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4.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5.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19"/>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0" documentId="8_{52B095E6-1679-4672-A77A-3AFDD485A266}" xr6:coauthVersionLast="47" xr6:coauthVersionMax="47" xr10:uidLastSave="{00000000-0000-0000-0000-000000000000}"/>
  <bookViews>
    <workbookView xWindow="-120" yWindow="-120" windowWidth="29040" windowHeight="15720" tabRatio="848" firstSheet="9" activeTab="19"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G" sheetId="73" r:id="rId12"/>
    <sheet name="RS-DDR" sheetId="74" r:id="rId13"/>
    <sheet name="RS-RDR" sheetId="75" r:id="rId14"/>
    <sheet name="RS-BPV" sheetId="66" r:id="rId15"/>
    <sheet name="RS-BPV-WIP" sheetId="68" r:id="rId16"/>
    <sheet name="RC-DEC" sheetId="69" r:id="rId17"/>
    <sheet name="RS-SIT" sheetId="70"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Conditional format rules" sheetId="29" r:id="rId27"/>
    <sheet name="Documents_sources" sheetId="18" state="hidden" r:id="rId28"/>
  </sheets>
  <definedNames>
    <definedName name="_xlnm._FilterDatabase" localSheetId="10" hidden="1">EMSI!$A$8:$AH$117</definedName>
    <definedName name="_xlnm._FilterDatabase" localSheetId="12" hidden="1">'RS-DDR'!$A$8:$M$16</definedName>
    <definedName name="_xlnm._FilterDatabase" localSheetId="13" hidden="1">'RS-RDR'!$A$8:$M$38</definedName>
    <definedName name="_xlnm._FilterDatabase" localSheetId="11" hidden="1">'RS-RIG'!$A$8:$M$33</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196" i="33" l="1"/>
  <c r="C196" i="33"/>
  <c r="D196" i="33"/>
  <c r="E196" i="33"/>
  <c r="F196" i="33"/>
  <c r="G196" i="33"/>
  <c r="H196" i="33"/>
  <c r="I196" i="33"/>
  <c r="J196" i="33"/>
  <c r="K196" i="33"/>
  <c r="L196" i="33"/>
  <c r="M196" i="33"/>
  <c r="N196" i="33"/>
  <c r="O196" i="33"/>
  <c r="P196" i="33"/>
  <c r="R196" i="33"/>
  <c r="S196" i="33"/>
  <c r="Z196" i="33"/>
  <c r="AA196" i="33"/>
  <c r="AC196" i="33"/>
  <c r="B15" i="60"/>
  <c r="C15" i="60"/>
  <c r="D15" i="60"/>
  <c r="E15" i="60"/>
  <c r="F15" i="60"/>
  <c r="G15" i="60"/>
  <c r="H15" i="60"/>
  <c r="I15" i="60"/>
  <c r="J15" i="60"/>
  <c r="K15" i="60"/>
  <c r="L15" i="60"/>
  <c r="M15" i="60"/>
  <c r="N15" i="60"/>
  <c r="O15" i="60"/>
  <c r="P15" i="60"/>
  <c r="Q15" i="60"/>
  <c r="R15" i="60"/>
  <c r="S15" i="60"/>
  <c r="T15" i="60"/>
  <c r="U15" i="60"/>
  <c r="V15" i="60"/>
  <c r="W15" i="60"/>
  <c r="A15" i="60"/>
  <c r="W39" i="75"/>
  <c r="V39" i="75"/>
  <c r="T39" i="75"/>
  <c r="S39" i="75"/>
  <c r="M39" i="75"/>
  <c r="L39" i="75"/>
  <c r="J39" i="75"/>
  <c r="I39" i="75"/>
  <c r="H39" i="75"/>
  <c r="G39" i="75"/>
  <c r="F39" i="75"/>
  <c r="E39" i="75"/>
  <c r="D39" i="75"/>
  <c r="C39" i="75"/>
  <c r="A39" i="75"/>
  <c r="W17" i="74"/>
  <c r="V17" i="74"/>
  <c r="T17" i="74"/>
  <c r="S17" i="74"/>
  <c r="M17" i="74"/>
  <c r="L17" i="74"/>
  <c r="J17" i="74"/>
  <c r="I17" i="74"/>
  <c r="H17" i="74"/>
  <c r="G17" i="74"/>
  <c r="F17" i="74"/>
  <c r="E17" i="74"/>
  <c r="D17" i="74"/>
  <c r="C17" i="74"/>
  <c r="A17" i="74"/>
  <c r="W34" i="73"/>
  <c r="V34" i="73"/>
  <c r="T34" i="73"/>
  <c r="S34" i="73"/>
  <c r="M34" i="73"/>
  <c r="L34" i="73"/>
  <c r="J34" i="73"/>
  <c r="I34" i="73"/>
  <c r="H34" i="73"/>
  <c r="G34" i="73"/>
  <c r="F34" i="73"/>
  <c r="E34" i="73"/>
  <c r="D34" i="73"/>
  <c r="C34" i="73"/>
  <c r="A34" i="73"/>
  <c r="AD192" i="71"/>
  <c r="F1" i="71" s="1"/>
  <c r="AC192" i="71"/>
  <c r="F2" i="71" s="1"/>
  <c r="AB192" i="71"/>
  <c r="Z192" i="71"/>
  <c r="Y192" i="71"/>
  <c r="S192" i="71"/>
  <c r="R192" i="71"/>
  <c r="P192" i="71"/>
  <c r="O192" i="71"/>
  <c r="N192" i="71"/>
  <c r="M192" i="71"/>
  <c r="L192" i="71"/>
  <c r="K192" i="71"/>
  <c r="J192" i="71"/>
  <c r="I192" i="71"/>
  <c r="H192" i="71"/>
  <c r="G192" i="71"/>
  <c r="F192" i="71"/>
  <c r="E192" i="71"/>
  <c r="D192" i="71"/>
  <c r="C192" i="71"/>
  <c r="A192" i="71"/>
  <c r="A15" i="70"/>
  <c r="C15" i="70"/>
  <c r="D15" i="70"/>
  <c r="E15" i="70"/>
  <c r="F15" i="70"/>
  <c r="G15" i="70"/>
  <c r="H15" i="70"/>
  <c r="I15" i="70"/>
  <c r="J15" i="70"/>
  <c r="K15" i="70"/>
  <c r="L15" i="70"/>
  <c r="M15" i="70"/>
  <c r="N15" i="70"/>
  <c r="O15" i="70"/>
  <c r="P15" i="70"/>
  <c r="R15" i="70"/>
  <c r="S15" i="70"/>
  <c r="Y15" i="70"/>
  <c r="Z15" i="70"/>
  <c r="AB15" i="70"/>
  <c r="A74" i="66"/>
  <c r="C74" i="66"/>
  <c r="D74" i="66"/>
  <c r="E74" i="66"/>
  <c r="F74" i="66"/>
  <c r="G74" i="66"/>
  <c r="H74" i="66"/>
  <c r="I74" i="66"/>
  <c r="J74" i="66"/>
  <c r="K74" i="66"/>
  <c r="L74" i="66"/>
  <c r="M74" i="66"/>
  <c r="N74" i="66"/>
  <c r="O74" i="66"/>
  <c r="P74" i="66"/>
  <c r="R74" i="66"/>
  <c r="S74" i="66"/>
  <c r="AA74" i="66"/>
  <c r="AB74" i="66"/>
  <c r="AD74" i="66"/>
  <c r="AD15" i="70"/>
  <c r="AC15" i="70"/>
  <c r="AF65" i="69"/>
  <c r="AE65" i="69"/>
  <c r="AD65" i="69"/>
  <c r="AB65" i="69"/>
  <c r="AA65" i="69"/>
  <c r="U65" i="69"/>
  <c r="T65" i="69"/>
  <c r="R65" i="69"/>
  <c r="Q65" i="69"/>
  <c r="P65" i="69"/>
  <c r="O65" i="69"/>
  <c r="N65" i="69"/>
  <c r="M65" i="69"/>
  <c r="L65" i="69"/>
  <c r="K65" i="69"/>
  <c r="J65" i="69"/>
  <c r="G65" i="69"/>
  <c r="F65" i="69"/>
  <c r="E65" i="69"/>
  <c r="D65" i="69"/>
  <c r="C65" i="69"/>
  <c r="A65" i="69"/>
  <c r="AD93" i="68" l="1"/>
  <c r="AC93" i="68"/>
  <c r="AB93" i="68"/>
  <c r="Z93" i="68"/>
  <c r="Y93" i="68"/>
  <c r="S93" i="68"/>
  <c r="R93" i="68"/>
  <c r="P93" i="68"/>
  <c r="O93" i="68"/>
  <c r="N93" i="68"/>
  <c r="M93" i="68"/>
  <c r="L93" i="68"/>
  <c r="K93" i="68"/>
  <c r="J93" i="68"/>
  <c r="I93" i="68"/>
  <c r="H93" i="68"/>
  <c r="G93" i="68"/>
  <c r="F93" i="68"/>
  <c r="E93" i="68"/>
  <c r="D93" i="68"/>
  <c r="C93" i="68"/>
  <c r="A93" i="68"/>
  <c r="AF74" i="66"/>
  <c r="AE74"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20" i="59"/>
  <c r="A24" i="56"/>
  <c r="AE196" i="33"/>
  <c r="AD196" i="33"/>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[Threaded comment]
Your version of Excel allows you to read this threaded comment; however, any edits to it will get removed if the file is opened in a newer version of Excel. Learn more: https://go.microsoft.com/fwlink/?linkid=870924
Comment: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t>
      </text>
    </comment>
    <comment ref="H11" authorId="1"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3"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4"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5"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6"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H1" authorId="1" shapeId="0" xr:uid="{4570E3BC-C741-489A-A78A-421EBE0A2EB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11" authorId="2" shapeId="0" xr:uid="{450D2339-A705-4808-865A-DE47F86A9ED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12" authorId="3" shapeId="0" xr:uid="{7AA19D51-1D33-4B9B-BE52-A2E51A3B53B1}">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12" authorId="4" shapeId="0" xr:uid="{542F91E3-E69C-4326-B2BD-75A564CC87B0}">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C18" authorId="5" shapeId="0" xr:uid="{427501DC-94D6-40AC-AB53-69343E8D716D}">
      <text>
        <t>[Threaded comment]
Your version of Excel allows you to read this threaded comment; however, any edits to it will get removed if the file is opened in a newer version of Excel. Learn more: https://go.microsoft.com/fwlink/?linkid=870924
Comment:
    Main courante des ARM =&gt; liste</t>
      </text>
    </comment>
    <comment ref="C19" authorId="6" shapeId="0" xr:uid="{2F3C1B5F-AE01-4255-B450-2BAE36EE9967}">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C36" authorId="7" shapeId="0" xr:uid="{E589D130-0254-4A06-B0D4-786737C54D9C}">
      <text>
        <t xml:space="preserve">[Threaded comment]
Your version of Excel allows you to read this threaded comment; however, any edits to it will get removed if the file is opened in a newer version of Excel. Learn more: https://go.microsoft.com/fwlink/?linkid=870924
Comment:
    Voir si ce n'est pas retrouvable dans Initial alert, via le centre de l'agent ? </t>
      </text>
    </comment>
    <comment ref="D46" authorId="8" shapeId="0" xr:uid="{35F4687D-6275-4358-8182-C47F7638BBD5}">
      <text>
        <t>[Threaded comment]
Your version of Excel allows you to read this threaded comment; however, any edits to it will get removed if the file is opened in a newer version of Excel. Learn more: https://go.microsoft.com/fwlink/?linkid=870924
Comment:
    Exos gère pas les PK comme ça !
Reply:
    Sujet sur l’autoroute… comment on passe cette localisation (pas d’adresse)</t>
      </text>
    </comment>
    <comment ref="C88" authorId="9" shapeId="0" xr:uid="{A4803FCF-E02E-4083-84FC-92B40E7A9D5D}">
      <text>
        <t>[Threaded comment]
Your version of Excel allows you to read this threaded comment; however, any edits to it will get removed if the file is opened in a newer version of Excel. Learn more: https://go.microsoft.com/fwlink/?linkid=870924
Comment:
    Exos a une liste de numéros avec en champs libre pour le type + un “numéro principal”</t>
      </text>
    </comment>
    <comment ref="B165" authorId="10" shapeId="0" xr:uid="{6D45BC39-07B8-4875-A22D-5F8881A6780E}">
      <text>
        <t>[Threaded comment]
Your version of Excel allows you to read this threaded comment; however, any edits to it will get removed if the file is opened in a newer version of Excel. Learn more: https://go.microsoft.com/fwlink/?linkid=870924
Comment:
    Hors du périmètre Appel Limitrophe
Reply:
    A voir… Car ça permet de mettre dans le même cas d’embrayer sur la demande d’engagement de vecteur du SMAU d’en face
Reply:
    Liste de textes libres déjà pour le moment</t>
      </text>
    </comment>
    <comment ref="B173" authorId="11" shapeId="0" xr:uid="{D4248A5B-AD83-4934-B056-EAEDD6CF723A}">
      <text>
        <t>[Threaded comment]
Your version of Excel allows you to read this threaded comment; however, any edits to it will get removed if the file is opened in a newer version of Excel. Learn more: https://go.microsoft.com/fwlink/?linkid=870924
Comment:
    A rediscuter !!! Mais au de la de la création</t>
      </text>
    </comment>
    <comment ref="C176" authorId="12" shapeId="0" xr:uid="{DBE9B7AD-3774-41D9-9ECE-8156E962B9EF}">
      <text>
        <t>[Threaded comment]
Your version of Excel allows you to read this threaded comment; however, any edits to it will get removed if the file is opened in a newer version of Excel. Learn more: https://go.microsoft.com/fwlink/?linkid=870924
Comment: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tc={1F89621F-4A5C-4ECD-A7C6-DD10AB56DF40}</author>
    <author>tc={B900B938-91F0-4B4A-A185-03AC7265E148}</author>
    <author>tc={80848A42-0F14-B24F-8D04-3043FFD08495}</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tc={671673A3-61CA-394E-94B2-4C7157E8A6A7}</author>
    <author>tc={3163C301-BF45-42AC-9B93-9FA29CCC4160}</author>
    <author>tc={E4B924E1-C80E-F54A-9F2A-990A48DF3558}</author>
    <author>tc={C836823B-BC8E-C84B-B7B0-FDAB5856DC4B}</author>
    <author>tc={F63CD7B6-7D33-47AE-8986-700F3EE32D5A}</author>
    <author>tc={A2629A30-8579-B745-804F-8D68CAC27551}</author>
    <author>tc={FF1AF53E-AE58-E849-A74B-33EB38D418D2}</author>
    <author>tc={85B1EF9F-47F0-CE46-887A-E909D7720A3B}</author>
    <author>tc={3B2E0936-494B-B445-A636-D7FDBB9167D5}</author>
    <author>tc={925BDB3E-FDC8-4AE9-BBEA-7ACEF4FDDB2C}</author>
    <author>tc={8AEC1623-DDE1-47FA-B84D-C6A42BA263BB}</author>
    <author>tc={0CFF5582-9153-4C81-BF2B-0E3E475CB201}</author>
    <author>tc={8DE310B9-0615-45CC-A644-35176EC52B6C}</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tc={7BED2FAB-053B-044B-A4B2-EA939D9441D5}</author>
    <author>tc={F6DBF483-4352-48F3-A605-280A47B8FAE1}</author>
    <author>tc={9EEEA36D-4CCB-4E28-A80B-46F1DF7D5A2C}</author>
    <author>tc={81700F22-8DFB-6A4A-BE92-3A0EE1C56D87}</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tc={0E967918-B0FF-874A-A786-2C84A1372A97}</author>
    <author>tc={9C971BC8-B630-4062-8B21-00AD945C0670}</author>
    <author>tc={1045B670-B272-44B0-BDBC-183806654ACA}</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tc={7364402D-5058-2242-A016-E8B1E4183D63}</author>
    <author>tc={07B5D5D0-B502-47B6-A891-DAEF39BCC4D8}</author>
    <author>tc={8BCB09BF-A48C-8242-B3C8-18F71F97C7AD}</author>
    <author>tc={F7E40DD6-D14F-4AC4-95ED-C43838656AE4}</author>
    <author>tc={3A4DE914-B324-41EC-B1CE-789615C59923}</author>
    <author>tc={A9F8EF48-108A-4EAB-A6C9-DAA6E6A1C56C}</author>
    <author>tc={BACFA223-4DEE-A546-BEB9-1FAFD40935A9}</author>
    <author>tc={E40A2F45-E340-487F-9FD6-2404E4F5A700}</author>
    <author>tc={9EEB9362-90F5-494F-BB71-06EF0D54376B}</author>
    <author>tc={CB950F1D-7F07-43E1-850B-913CBE20F585}</author>
    <author>tc={258F99A5-CCAC-44B3-9CB2-E5E5FB7A031F}</author>
    <author>tc={B13CB5B2-E438-4033-8E1A-8B428C2D7B3E}</author>
    <author>tc={10CBED9B-33B3-4F2D-9D08-CE6F15806504}</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tc={35BA8B78-AE32-4EC9-9879-40019918450A}</author>
    <author>tc={04411F78-544D-4A29-9486-C852BE16B4A1}</author>
    <author>tc={6729E6ED-B0CD-41F4-BDE9-63A71C3B0080}</author>
    <author>tc={D0DA69C0-CE9E-4870-BE12-1DC6165B5C02}</author>
    <author>tc={964987F5-BD33-4AED-972B-3B2857629C23}</author>
    <author>tc={56A2AD22-1E72-4495-AF2F-6EFF0E07EC59}</author>
    <author>tc={C8748D8D-BB3A-4C14-BADE-D16F62306724}</author>
    <author>tc={3E4494E4-4D0B-482E-8C44-6CA902FCAA01}</author>
    <author>tc={12397E16-0DD2-4B81-8BEC-31510D881B5D}</author>
    <author>tc={EC03513B-C463-ED45-B66B-DD6C50DF2248}</author>
    <author>tc={56075946-9C3F-8345-89AE-75C567E0E491}</author>
    <author>tc={D6BBFD18-B7C3-44E9-AAAF-C0520A0384D3}</author>
    <author>tc={3792C7C2-9F65-4E58-AF0D-9CB49954D7C2}</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2DE185BB-39B8-8846-9B2A-3BE28378E3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U8" authorId="2"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3"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4" shapeId="0" xr:uid="{714D9BD5-569A-7746-8D28-EE0807D930C4}">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H10" authorId="5" shapeId="0" xr:uid="{1F89621F-4A5C-4ECD-A7C6-DD10AB56DF40}">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6" shapeId="0" xr:uid="{B900B938-91F0-4B4A-A185-03AC7265E148}">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S16" authorId="7" shapeId="0" xr:uid="{80848A42-0F14-B24F-8D04-3043FFD08495}">
      <text>
        <t>[Threaded comment]
Your version of Excel allows you to read this threaded comment; however, any edits to it will get removed if the file is opened in a newer version of Excel. Learn more: https://go.microsoft.com/fwlink/?linkid=870924
Comment:
    Format : codeLabelComment
Détails : référence vers la nomenclature
Type Java : name</t>
      </text>
    </comment>
    <comment ref="U17" authorId="8" shapeId="0" xr:uid="{D4A6E809-E116-4F43-AB47-04D882212A95}">
      <text>
        <t>[Threaded comment]
Your version of Excel allows you to read this threaded comment; however, any edits to it will get removed if the file is opened in a newer version of Excel. Learn more: https://go.microsoft.com/fwlink/?linkid=870924
Comment:
    NOMENCLATURE: CISU-Code_Nature_de_fait</t>
      </text>
    </comment>
    <comment ref="U20" authorId="9" shapeId="0" xr:uid="{309DA0AD-08A5-48B1-8181-1F2CF88AD9D6}">
      <text>
        <t>[Threaded comment]
Your version of Excel allows you to read this threaded comment; however, any edits to it will get removed if the file is opened in a newer version of Excel. Learn more: https://go.microsoft.com/fwlink/?linkid=870924
Comment:
    Voir nomenclature CISU Type de Lieu</t>
      </text>
    </comment>
    <comment ref="U21" authorId="10" shapeId="0" xr:uid="{69DA961E-023F-4CCC-87B8-5E0165FCFF9B}">
      <text>
        <t>[Threaded comment]
Your version of Excel allows you to read this threaded comment; however, any edits to it will get removed if the file is opened in a newer version of Excel. Learn more: https://go.microsoft.com/fwlink/?linkid=870924
Comment:
    Voir nomenclature CISU Risque, menace et sensibilité</t>
      </text>
    </comment>
    <comment ref="C22" authorId="11" shapeId="0" xr:uid="{77ED2E6B-DD8D-4E8A-8AF3-5F8BE44D831E}">
      <text>
        <t xml:space="preserve">[Threaded comment]
Your version of Excel allows you to read this threaded comment; however, any edits to it will get removed if the file is opened in a newer version of Excel. Learn more: https://go.microsoft.com/fwlink/?linkid=870924
Comment:
    A l'étude  pour voir si on le sort de la qualification de l'affaire et on le met dans patient/victime ?
Reply: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2" authorId="12" shapeId="0" xr:uid="{5B87F3E0-42AE-40C0-BFFC-2EB08FD229EA}">
      <text>
        <t>[Threaded comment]
Your version of Excel allows you to read this threaded comment; however, any edits to it will get removed if the file is opened in a newer version of Excel. Learn more: https://go.microsoft.com/fwlink/?linkid=870924
Comment:
    Du coup oui c'est par patient, mais c'est pas forcément ce que les SAMU notent comme étant le motif d'intervention = nature de fait ?  Ou autre chose ?
Reply:
    Voir nomenclature CISU Motif de recours médico-secouriste</t>
      </text>
    </comment>
    <comment ref="C23" authorId="13" shapeId="0" xr:uid="{C407DBF8-A3A1-42F8-99B5-D8013FA36506}">
      <text>
        <t>[Threaded comment]
Your version of Excel allows you to read this threaded comment; however, any edits to it will get removed if the file is opened in a newer version of Excel. Learn more: https://go.microsoft.com/fwlink/?linkid=870924
Comment:
    Est-ce vraiment utile de s'échanger l'état du dossier ? Faut-il y ajouter le type ?  
Reply: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3" authorId="14" shapeId="0" xr:uid="{21F0D62A-A239-794F-8300-5B191BC3F425}">
      <text>
        <t>[Threaded comment]
Your version of Excel allows you to read this threaded comment; however, any edits to it will get removed if the file is opened in a newer version of Excel. Learn more: https://go.microsoft.com/fwlink/?linkid=870924
Comment:
    J’ai migré tous les champs dans case.details, ça te semble OK ?</t>
      </text>
    </comment>
    <comment ref="U24" authorId="15" shapeId="0" xr:uid="{0CF29C07-A470-4C7E-BB1B-C82F21208545}">
      <text>
        <t>[Threaded comment]
Your version of Excel allows you to read this threaded comment; however, any edits to it will get removed if the file is opened in a newer version of Excel. Learn more: https://go.microsoft.com/fwlink/?linkid=870924
Comment:
    Juste une énumération pour l'instant, pas de nomenclature dispo.</t>
      </text>
    </comment>
    <comment ref="K26" authorId="16" shapeId="0" xr:uid="{671673A3-61CA-394E-94B2-4C7157E8A6A7}">
      <text>
        <t>[Threaded comment]
Your version of Excel allows you to read this threaded comment; however, any edits to it will get removed if the file is opened in a newer version of Excel. Learn more: https://go.microsoft.com/fwlink/?linkid=870924
Comment:
    J’ai du mal à voir si les LRM où ont vraiment cette info !</t>
      </text>
    </comment>
    <comment ref="U26" authorId="17" shapeId="0" xr:uid="{3163C301-BF45-42AC-9B93-9FA29CCC4160}">
      <text>
        <t>[Threaded comment]
Your version of Excel allows you to read this threaded comment; however, any edits to it will get removed if the file is opened in a newer version of Excel. Learn more: https://go.microsoft.com/fwlink/?linkid=870924
Comment:
    Nomenclature SI-SAMU DEVENIRD</t>
      </text>
    </comment>
    <comment ref="D27" authorId="18" shapeId="0" xr:uid="{E4B924E1-C80E-F54A-9F2A-990A48DF3558}">
      <text>
        <t>[Threaded comment]
Your version of Excel allows you to read this threaded comment; however, any edits to it will get removed if the file is opened in a newer version of Excel. Learn more: https://go.microsoft.com/fwlink/?linkid=870924
Comment:
    L'info est-elle obligatoire pou les échanges 15-15</t>
      </text>
    </comment>
    <comment ref="K27" authorId="19" shapeId="0" xr:uid="{C836823B-BC8E-C84B-B7B0-FDAB5856DC4B}">
      <text>
        <t>[Threaded comment]
Your version of Excel allows you to read this threaded comment; however, any edits to it will get removed if the file is opened in a newer version of Excel. Learn more: https://go.microsoft.com/fwlink/?linkid=870924
Comment:
    Les P c’est les priorités ARM normalement, les propriétés de régulation médicales c’est les R1, R2, … non ? Est-ce qu’on passe que les P ? On passe les autres aussi ?</t>
      </text>
    </comment>
    <comment ref="U27" authorId="20" shapeId="0" xr:uid="{F63CD7B6-7D33-47AE-8986-700F3EE32D5A}">
      <text>
        <t>[Threaded comment]
Your version of Excel allows you to read this threaded comment; however, any edits to it will get removed if the file is opened in a newer version of Excel. Learn more: https://go.microsoft.com/fwlink/?linkid=870924
Comment:
    Nomenclature PRIORITE (fichier SI-SAMU envoyé par Philippe)</t>
      </text>
    </comment>
    <comment ref="U29" authorId="21" shapeId="0" xr:uid="{A2629A30-8579-B745-804F-8D68CAC27551}">
      <text>
        <t>[Threaded comment]
Your version of Excel allows you to read this threaded comment; however, any edits to it will get removed if the file is opened in a newer version of Excel. Learn more: https://go.microsoft.com/fwlink/?linkid=870924
Comment:
    NexSIS propose de rajouter UNKNOWN
Reply: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
Reply:
    Implémenter la nomenclature CISU/SI SAMU prévue ?</t>
      </text>
    </comment>
    <comment ref="X29" authorId="22" shapeId="0" xr:uid="{FF1AF53E-AE58-E849-A74B-33EB38D418D2}">
      <text>
        <t>[Threaded comment]
Your version of Excel allows you to read this threaded comment; however, any edits to it will get removed if the file is opened in a newer version of Excel. Learn more: https://go.microsoft.com/fwlink/?linkid=870924
Comment:
    Vu l’ENUM je ne pense pas que ça corresponde à ce que veut le métier donc je pense qu’il faut mieux l’enlever !</t>
      </text>
    </comment>
    <comment ref="C34" authorId="23" shapeId="0" xr:uid="{85B1EF9F-47F0-CE46-887A-E909D7720A3B}">
      <text>
        <t>[Threaded comment]
Your version of Excel allows you to read this threaded comment; however, any edits to it will get removed if the file is opened in a newer version of Excel. Learn more: https://go.microsoft.com/fwlink/?linkid=870924
Comment:
    Inetum est pas intéressé par le champ -&gt; pas stocké et renverra une concaténation. Possible de l’enlever ou le passer en facultatif ?
Reply:
    fait</t>
      </text>
    </comment>
    <comment ref="S34" authorId="24" shapeId="0" xr:uid="{3B2E0936-494B-B445-A636-D7FDBB9167D5}">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C35" authorId="25" shapeId="0" xr:uid="{925BDB3E-FDC8-4AE9-BBEA-7ACEF4FDDB2C}">
      <text>
        <t>[Threaded comment]
Your version of Excel allows you to read this threaded comment; however, any edits to it will get removed if the file is opened in a newer version of Excel. Learn more: https://go.microsoft.com/fwlink/?linkid=870924
Comment:
    Revu avec NexSIS =&gt; à passer en optionnel
Reply:
    A voir avec NexSIS
Reply: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5" authorId="26" shapeId="0" xr:uid="{8AEC1623-DDE1-47FA-B84D-C6A42BA263BB}">
      <text>
        <t>[Threaded comment]
Your version of Excel allows you to read this threaded comment; however, any edits to it will get removed if the file is opened in a newer version of Excel. Learn more: https://go.microsoft.com/fwlink/?linkid=870924
Comment:
    Ici il faut mettre uniquement le nom du lieu. Lieu-dit / quartier et le reste vont dans compléments de commune
Reply:
    Lac / foret sont plutôt des types de lieu ? Sauf si spécifique, par exemple Foret de Fontainebleau</t>
      </text>
    </comment>
    <comment ref="U37" authorId="27" shapeId="0" xr:uid="{0CFF5582-9153-4C81-BF2B-0E3E475CB201}">
      <text>
        <t>[Threaded comment]
Your version of Excel allows you to read this threaded comment; however, any edits to it will get removed if the file is opened in a newer version of Excel. Learn more: https://go.microsoft.com/fwlink/?linkid=870924
Comment:
    Voir pour compléter cette liste ?</t>
      </text>
    </comment>
    <comment ref="D46" authorId="28" shapeId="0" xr:uid="{8DE310B9-0615-45CC-A644-35176EC52B6C}">
      <text>
        <t>[Threaded comment]
Your version of Excel allows you to read this threaded comment; however, any edits to it will get removed if the file is opened in a newer version of Excel. Learn more: https://go.microsoft.com/fwlink/?linkid=870924
Comment: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Reply:
    Le monde réel !!! Toutes les rues n'ont pas été renommées ! Lille en 2014 avait 95 triplons (longtemps après fusion de 3 communes) -&gt; c'est très compliqué de renommer !!!
Reply: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Reply:
    Rq : lieu-dits permettent aussi de séparer 2 rives
Reply:
    =&gt; lieu-dit à extraire !!! Avoir sa propre ligne hors du nom du lieu, ça permet de travailler sur une fraction de la commune
Reply:
    Pas sûr qu'on puisse les exploiter...
Reply:
    Autoroute dans un sens = 1 commune et lieu-dits pour les tronçons 
Reply:
    Clé d'avoir commune = surface et lieu-dit = sous-surface (lieu-dit de commune, zonage du port, sous-partie d'un event, tronçon accessible d'un autoroute, ...)
Reply:
    Pas de dictionnaire opérationnel commun...
Reply:
    NexSIS fonctionne surtout sur le X/Y donc c’est pas un soucis ! 
Sur Paris, ils ont complété les adresses avec l’ancien nom de rue par exemple</t>
      </text>
    </comment>
    <comment ref="C50" authorId="29" shapeId="0" xr:uid="{49FC8FAC-1BAF-45B2-887C-3878DB0CEBFB}">
      <text>
        <t>[Threaded comment]
Your version of Excel allows you to read this threaded comment; however, any edits to it will get removed if the file is opened in a newer version of Excel. Learn more: https://go.microsoft.com/fwlink/?linkid=870924
Comment:
    On a finalement une logique de clé valeur avec des string sans contrôle. Le rendre plus modulaire avec des couples {cle(étages, interphone etc), valeur} avec une nomenclature sur les clés ?
=&gt; pas critique si validé CISU
Reply:
    On peut limiter le nombre de détails à 20 par exemple</t>
      </text>
    </comment>
    <comment ref="D59" authorId="30" shapeId="0" xr:uid="{8B068B41-6738-4D89-AE95-7DBE47687C8B}">
      <text>
        <t xml:space="preserve">[Threaded comment]
Your version of Excel allows you to read this threaded comment; however, any edits to it will get removed if the file is opened in a newer version of Excel. Learn more: https://go.microsoft.com/fwlink/?linkid=870924
Comment:
    Faut-il utiliser un autre objet, déjà existant ? </t>
      </text>
    </comment>
    <comment ref="Q62" authorId="31" shapeId="0" xr:uid="{82E4F400-D3A9-2343-9417-D338A272253E}">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 ref="H70" authorId="32" shapeId="0" xr:uid="{4ED4D63E-99DA-4C40-8B3F-74484A91486A}">
      <text>
        <t>[Threaded comment]
Your version of Excel allows you to read this threaded comment; however, any edits to it will get removed if the file is opened in a newer version of Excel. Learn more: https://go.microsoft.com/fwlink/?linkid=870924
Comment:
    Pourquoi passer par EPSG-4326 et pas dire WGS-84 direct ?
Reply:
    WGS système de projection et EPSG système de coordonnées ?</t>
      </text>
    </comment>
    <comment ref="D71" authorId="33"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H71" authorId="34" shapeId="0" xr:uid="{A443D7D1-FE76-42EE-B140-98BBD5AEDCB9}">
      <text>
        <t>[Threaded comment]
Your version of Excel allows you to read this threaded comment; however, any edits to it will get removed if the file is opened in a newer version of Excel. Learn more: https://go.microsoft.com/fwlink/?linkid=870924
Comment:
    Attention, pas d'équivalent strict du GML en json</t>
      </text>
    </comment>
    <comment ref="S71" authorId="35" shapeId="0" xr:uid="{44161FD7-DA29-2241-8A73-168E646C6F3C}">
      <text>
        <t>[Threaded comment]
Your version of Excel allows you to read this threaded comment; however, any edits to it will get removed if the file is opened in a newer version of Excel. Learn more: https://go.microsoft.com/fwlink/?linkid=870924
Comment:
    Pourquoi est-ce une string ?
Reply:
    À confirmer avec NexSIS, est-ce qu'on passe bien un fichier .sketch via une string ?
Reply:
    En attente exemple NexSIS</t>
      </text>
    </comment>
    <comment ref="D72" authorId="36" shapeId="0" xr:uid="{7E6D1FD8-7FC2-45FF-B55C-B3CE3EE247FA}">
      <text>
        <t>[Threaded comment]
Your version of Excel allows you to read this threaded comment; however, any edits to it will get removed if the file is opened in a newer version of Excel. Learn more: https://go.microsoft.com/fwlink/?linkid=870924
Comment: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Reply: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Reply:
    Référentiel commun permettrait de mettre des infos qui intéressent les différents acteurs et de les cloisonner (ex : personnes dangereuses, patients à risque, …) -&gt; possible de l’associer au bâtiment</t>
      </text>
    </comment>
    <comment ref="U73" authorId="37" shapeId="0" xr:uid="{82723964-123F-464F-AC6E-1559C240D31E}">
      <text>
        <t>[Threaded comment]
Your version of Excel allows you to read this threaded comment; however, any edits to it will get removed if the file is opened in a newer version of Excel. Learn more: https://go.microsoft.com/fwlink/?linkid=870924
Comment:
    Vraiment une enum ?</t>
      </text>
    </comment>
    <comment ref="C76" authorId="38" shapeId="0" xr:uid="{7BED2FAB-053B-044B-A4B2-EA939D9441D5}">
      <text>
        <t>[Threaded comment]
Your version of Excel allows you to read this threaded comment; however, any edits to it will get removed if the file is opened in a newer version of Excel. Learn more: https://go.microsoft.com/fwlink/?linkid=870924
Comment:
    A enlever car géré dans le code INSEE -&gt; le spécifier dans la description de la balise du code INSEE
Reply:
    Etranger : 99 + code pays https://medecine.univ-lorraine.fr/sites/medecine.univ-lorraine.fr/files/users/DU_DIU/03_codes_pays.pdf</t>
      </text>
    </comment>
    <comment ref="H76" authorId="39" shapeId="0" xr:uid="{F6DBF483-4352-48F3-A605-280A47B8FAE1}">
      <text>
        <t>[Threaded comment]
Your version of Excel allows you to read this threaded comment; however, any edits to it will get removed if the file is opened in a newer version of Excel. Learn more: https://go.microsoft.com/fwlink/?linkid=870924
Comment:
    Voir si il y'a une nomenclature NexSIS
Reply:
    =&gt; se rapprocher d'ISO</t>
      </text>
    </comment>
    <comment ref="X76" authorId="40" shapeId="0" xr:uid="{9EEEA36D-4CCB-4E28-A80B-46F1DF7D5A2C}">
      <text>
        <t>[Threaded comment]
Your version of Excel allows you to read this threaded comment; however, any edits to it will get removed if the file is opened in a newer version of Excel. Learn more: https://go.microsoft.com/fwlink/?linkid=870924
Comment:
    Le RS-EDA-SMUR n'a pas le champ Pays comme il peut être déterminé via le code INSEE plus haut
Reply:
    Ca serait plutôt à répercuter partout que faire des exceptions !</t>
      </text>
    </comment>
    <comment ref="X77" authorId="41" shapeId="0" xr:uid="{81700F22-8DFB-6A4A-BE92-3A0EE1C56D87}">
      <text>
        <t>[Threaded comment]
Your version of Excel allows you to read this threaded comment; however, any edits to it will get removed if the file is opened in a newer version of Excel. Learn more: https://go.microsoft.com/fwlink/?linkid=870924
Comment:
    Pas nécessaire ???!!!</t>
      </text>
    </comment>
    <comment ref="B78" authorId="42" shapeId="0" xr:uid="{33643ED9-2F99-2A40-A4E7-ECC8DE68B2E2}">
      <text>
        <t>[Threaded comment]
Your version of Excel allows you to read this threaded comment; however, any edits to it will get removed if the file is opened in a newer version of Excel. Learn more: https://go.microsoft.com/fwlink/?linkid=870924
Comment:
    RG : les alertes sont immutables !!! C’est pour ça qu’on en rajoute !
C’est l’affaire qu’on modifie -&gt; ex : location, aussi rajouter qualification du coup
Reply:
    A travailler et valider côté Hub, comment les LRMs gèrent une liste d'alerte avec des infos fonctionnellement complémentaires ? KO/OK</t>
      </text>
    </comment>
    <comment ref="Q78" authorId="43" shapeId="0" xr:uid="{36EBE513-9CB4-3348-B010-D39B51DF2455}">
      <text>
        <t>[Threaded comment]
Your version of Excel allows you to read this threaded comment; however, any edits to it will get removed if the file is opened in a newer version of Excel. Learn more: https://go.microsoft.com/fwlink/?linkid=870924
Comment: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Reply:
    NexSIS regarde en ce moment pour voir si c’est possible de fusionner en une liste d’alertes (notamment si c’est possible de faire ça avant le passage en prod !)
Reply:
    -&gt; Dans tous les cas, les LRM doivent prendre la plus récente !
Reply:
    C’est pas forcément la plus remplie mais regarder que l’alerte la plus récente. S’il manque des infos au sein de la dernière alerte, ils remontent la liste des alertes pour trouver la dernière info manquante
Reply:
    Nader creuse le sujet côté NexSIS pour voir comment c’est fait / modifiable côté NexSIS
Reply:
    C’est côté affaire que on récupère la centralisation -&gt; il faut échanger le fait que c’est vu comme ça. -&gt; C’est partagé par EMSI, pas ici (écrit en code CISU dans le système NexSIS… et mappé pour être envoyé en EMSI)</t>
      </text>
    </comment>
    <comment ref="H79" authorId="44" shapeId="0" xr:uid="{2185076E-A743-4FEC-950F-43630CD6417E}">
      <text>
        <t>[Threaded comment]
Your version of Excel allows you to read this threaded comment; however, any edits to it will get removed if the file is opened in a newer version of Excel. Learn more: https://go.microsoft.com/fwlink/?linkid=870924
Comment:
    REGEX à définir</t>
      </text>
    </comment>
    <comment ref="Q79" authorId="45" shapeId="0" xr:uid="{2A6A195C-5D26-FA4B-91BD-34DAEC1D051C}">
      <text>
        <t>[Threaded comment]
Your version of Excel allows you to read this threaded comment; however, any edits to it will get removed if the file is opened in a newer version of Excel. Learn more: https://go.microsoft.com/fwlink/?linkid=870924
Comment:
    Pas vraiment géré côté Santé, possible de passer la cardinalité à 0..1 ?</t>
      </text>
    </comment>
    <comment ref="C80" authorId="46" shapeId="0" xr:uid="{C5B6241A-BACF-47B3-9FCB-3D62B0208AEB}">
      <text>
        <t>[Threaded comment]
Your version of Excel allows you to read this threaded comment; however, any edits to it will get removed if the file is opened in a newer version of Excel. Learn more: https://go.microsoft.com/fwlink/?linkid=870924
Comment:
    Pour savoir quelle alerte utiliser dans une affaire :
=&gt; Regarder cette date de réception</t>
      </text>
    </comment>
    <comment ref="D82" authorId="47" shapeId="0" xr:uid="{849D9658-5404-49CC-A650-D8E23CF68C04}">
      <text>
        <t>[Threaded comment]
Your version of Excel allows you to read this threaded comment; however, any edits to it will get removed if the file is opened in a newer version of Excel. Learn more: https://go.microsoft.com/fwlink/?linkid=870924
Comment:
    Comment on gère le fait que des informations médicales et personnelles peuvent être saisies dans ce champs par le SAMU
Reply:
    Quelle politique HDS côté NexSIS ?</t>
      </text>
    </comment>
    <comment ref="J82" authorId="48" shapeId="0" xr:uid="{6A447ED8-B3D9-4E56-96E2-F03AE558F91D}">
      <text>
        <t>[Threaded comment]
Your version of Excel allows you to read this threaded comment; however, any edits to it will get removed if the file is opened in a newer version of Excel. Learn more: https://go.microsoft.com/fwlink/?linkid=870924
Comment:
    Passer tous les champs dans un style freetext avec un label freetext</t>
      </text>
    </comment>
    <comment ref="X82" authorId="49" shapeId="0" xr:uid="{0E967918-B0FF-874A-A786-2C84A1372A97}">
      <text>
        <t>[Threaded comment]
Your version of Excel allows you to read this threaded comment; however, any edits to it will get removed if the file is opened in a newer version of Excel. Learn more: https://go.microsoft.com/fwlink/?linkid=870924
Comment:
    Idem je pense que ça vaut le coup en 15-SMUR ! Par contre, je ne pense pas que ça doive être présent en 15-18 !</t>
      </text>
    </comment>
    <comment ref="D84" authorId="50" shapeId="0" xr:uid="{9C971BC8-B630-4062-8B21-00AD945C0670}">
      <text>
        <t xml:space="preserve">[Threaded comment]
Your version of Excel allows you to read this threaded comment; however, any edits to it will get removed if the file is opened in a newer version of Excel. Learn more: https://go.microsoft.com/fwlink/?linkid=870924
Comment:
    Permet de passer les informations spécifiques à l' ARM sur le dossier </t>
      </text>
    </comment>
    <comment ref="H86" authorId="51" shapeId="0" xr:uid="{1045B670-B272-44B0-BDBC-183806654ACA}">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U88" authorId="52" shapeId="0" xr:uid="{564332DB-ADA6-844E-907A-3843E012B57E}">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H90" authorId="53" shapeId="0" xr:uid="{50663E24-E8B2-4610-BB55-CDEDCB0AEBE2}">
      <text>
        <t>[Threaded comment]
Your version of Excel allows you to read this threaded comment; however, any edits to it will get removed if the file is opened in a newer version of Excel. Learn more: https://go.microsoft.com/fwlink/?linkid=870924
Comment:
    Pour aller au bout de la logique, le passer en objet CONTACT</t>
      </text>
    </comment>
    <comment ref="Q90" authorId="54" shapeId="0" xr:uid="{449D854F-D1BC-4874-A270-C7FBD5C53315}">
      <text>
        <t>[Threaded comment]
Your version of Excel allows you to read this threaded comment; however, any edits to it will get removed if the file is opened in a newer version of Excel. Learn more: https://go.microsoft.com/fwlink/?linkid=870924
Comment:
    A priori un seul appelant à l'origine mais potentiellement plusieurs données de contact en retour ?
Reply:
    Passer à 0..n
Reply:
    @Romain FOUILLAND @Daphné LECCIA (EXT) : pourquoi ce n'est pas le contact de contre appel qui est obligatoire ici ?
Reply: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Reply:
    Côté SAMU le contact requérant = contact de contre appel (sauf si précisé autrement). Il faut savoir qui rappeler en fait.
Peut être qu'il faut le préciser : on met le contact de contre appel seulement s'il est différent du numéro de l'appelant ? 
Reply:
    &gt; on met le contact de contre appel seulement s'il est différent du numéro de l'appelant ? 
Oui c'est ça la logique</t>
      </text>
    </comment>
    <comment ref="H91" authorId="55" shapeId="0" xr:uid="{D22EB006-FD31-4905-A0BA-E809AB322C44}">
      <text>
        <t>[Threaded comment]
Your version of Excel allows you to read this threaded comment; however, any edits to it will get removed if the file is opened in a newer version of Excel. Learn more: https://go.microsoft.com/fwlink/?linkid=870924
Comment:
    Demander en annexe côté NexSIS si ils mettent une nomenclature
Reply:
    =&gt; Utiliser le référentiel SI-SAMU pour les langues
Reply:
    =&gt; Plutôt ISO finalement</t>
      </text>
    </comment>
    <comment ref="U92" authorId="56" shapeId="0" xr:uid="{EC4CA26B-FA56-44B7-9485-D7650DC1B372}">
      <text>
        <t xml:space="preserve">[Threaded comment]
Your version of Excel allows you to read this threaded comment; however, any edits to it will get removed if the file is opened in a newer version of Excel. Learn more: https://go.microsoft.com/fwlink/?linkid=870924
Comment:
    NOMENCLATURE: 
fichier Nomenclatures EDA, 
onglet Type de requérant
Nom de la nomenclature : TYPAPPLT
Nomenclatures EDA.xlsx </t>
      </text>
    </comment>
    <comment ref="U93" authorId="57" shapeId="0" xr:uid="{0EC36618-96EE-478D-81B9-54F0CAEE9F88}">
      <text>
        <t>[Threaded comment]
Your version of Excel allows you to read this threaded comment; however, any edits to it will get removed if the file is opened in a newer version of Excel. Learn more: https://go.microsoft.com/fwlink/?linkid=870924
Comment:
    NOMENCLATURE: PBAPL_v1r01a.csv</t>
      </text>
    </comment>
    <comment ref="D94" authorId="58" shapeId="0" xr:uid="{0700921D-3E22-E44A-B10A-66139D58EFD3}">
      <text>
        <t>[Threaded comment]
Your version of Excel allows you to read this threaded comment; however, any edits to it will get removed if the file is opened in a newer version of Excel. Learn more: https://go.microsoft.com/fwlink/?linkid=870924
Comment:
    Inetum a une codification ! Pas possible de faire concordance sur du texte libre… Avoir une nomenclature + libre ?
Reply:
    Ici j'ai besoin de séparer 
Difficulté de communication (malentendant par ex) / Type de requérant (le patient) 
+ il va y avoir des nomenclatures côté SAMU je pense. </t>
      </text>
    </comment>
    <comment ref="E94" authorId="59" shapeId="0" xr:uid="{8B70DA13-018B-4BE7-9D85-CAD41DEDE16B}">
      <text>
        <t>[Threaded comment]
Your version of Excel allows you to read this threaded comment; however, any edits to it will get removed if the file is opened in a newer version of Excel. Learn more: https://go.microsoft.com/fwlink/?linkid=870924
Comment:
    Avoir une nomenclature ?
Reply:
    Champs libre côté NexSIS
Reply:
    Proposer une nomenclature / de passer des codes et si pas matchés -&gt; afficher le texte libre
Liste de string ?
Reply:
    https://ansforge.github.io/SAMU-interface-LRM/DST%20SI%20SAMU%20Interfa%C3%A7age%20LRM_V1.2.pdf
Reply:
    =&gt; OK pour une approche “nomenclature libre”</t>
      </text>
    </comment>
    <comment ref="J94" authorId="60" shapeId="0" xr:uid="{3343E777-8CBA-824D-A290-B18AD61B9129}">
      <text>
        <t>[Threaded comment]
Your version of Excel allows you to read this threaded comment; however, any edits to it will get removed if the file is opened in a newer version of Excel. Learn more: https://go.microsoft.com/fwlink/?linkid=870924
Comment:
    freetext ?</t>
      </text>
    </comment>
    <comment ref="E95" authorId="61" shapeId="0" xr:uid="{456C6261-46FE-47A3-ABE3-21780523066A}">
      <text>
        <t>[Threaded comment]
Your version of Excel allows you to read this threaded comment; however, any edits to it will get removed if the file is opened in a newer version of Excel. Learn more: https://go.microsoft.com/fwlink/?linkid=870924
Comment:
    Réfléchir à une structure récursive / détaillée également
Reply:
    callerName 
- complete (basé sur un template {firstName} {lastName})
- firstName
- lastName
Reply:
    Complete ? Aggregated ? Full ? 
-&gt; Nader regarde si le SitRep propose des trucs comme ça
Reply:
    Ok de le présenter comme ça sur le 4 juillet, on avisera ensuite en fonction du SItrep</t>
      </text>
    </comment>
    <comment ref="E98" authorId="62" shapeId="0" xr:uid="{F862C684-B65A-4FC1-AEC4-870221995080}">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98" authorId="63" shapeId="0" xr:uid="{6EB96170-F11A-4E55-BFF9-911EA46C448F}">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C99" authorId="64"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D99" authorId="65" shapeId="0" xr:uid="{A3B7AE35-2849-4423-8AE8-6B9911E6561D}">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99" authorId="66" shapeId="0" xr:uid="{902D6982-CF5B-4CB7-B9F4-E53F0BDFA27A}">
      <text>
        <t>[Threaded comment]
Your version of Excel allows you to read this threaded comment; however, any edits to it will get removed if the file is opened in a newer version of Excel. Learn more: https://go.microsoft.com/fwlink/?linkid=870924
Comment:
    Obligatoire du coup vu qu'on a une location dans l'affaire ?</t>
      </text>
    </comment>
    <comment ref="Q100" authorId="67" shapeId="0" xr:uid="{CC5C1D76-D97F-4BE5-B966-DD495B85204C}">
      <text>
        <t>[Threaded comment]
Your version of Excel allows you to read this threaded comment; however, any edits to it will get removed if the file is opened in a newer version of Excel. Learn more: https://go.microsoft.com/fwlink/?linkid=870924
Comment:
    Retour de Philippe : peut-on le passer en optionnel, ce qui n'oblige pas les SAMU à répéter la qualification à chaque fois ?</t>
      </text>
    </comment>
    <comment ref="D102" authorId="68" shapeId="0" xr:uid="{663EEC70-25D1-4531-8E3C-8B803A28B6D5}">
      <text>
        <t>[Threaded comment]
Your version of Excel allows you to read this threaded comment; however, any edits to it will get removed if the file is opened in a newer version of Excel. Learn more: https://go.microsoft.com/fwlink/?linkid=870924
Comment:
    Un concept emprunté au ROR est intéressant et transposable ici, parler d'unité de service pour décrire la plus petite maille</t>
      </text>
    </comment>
    <comment ref="E102" authorId="69" shapeId="0" xr:uid="{3BA75720-6FD7-4770-B19D-58D93FFDC9E8}">
      <text>
        <t>[Threaded comment]
Your version of Excel allows you to read this threaded comment; however, any edits to it will get removed if the file is opened in a newer version of Excel. Learn more: https://go.microsoft.com/fwlink/?linkid=870924
Comment:
    Nomenclature sur ça ?
Reply:
    Juste réfléchir aux valeurs possibles : SDIS, SAMU, ... ?
Et les départements FRXXX en centre ?</t>
      </text>
    </comment>
    <comment ref="D104" authorId="70" shapeId="0" xr:uid="{985CB9E8-D6A2-4815-BC2C-DD825BD96FAA}">
      <text>
        <t>[Threaded comment]
Your version of Excel allows you to read this threaded comment; however, any edits to it will get removed if the file is opened in a newer version of Excel. Learn more: https://go.microsoft.com/fwlink/?linkid=870924
Comment:
    Faire une nomenclature avec des valeurs comme : "ARM", "DISPATCHER", "MEDECIN REGULATEUR" etc 
Le CISU le prévois-t-il ? Optionnel à nouveau à mon avis</t>
      </text>
    </comment>
    <comment ref="T104" authorId="71" shapeId="0" xr:uid="{32F7371F-532E-4483-BA02-85ED2898A502}">
      <text>
        <t>[Threaded comment]
Your version of Excel allows you to read this threaded comment; however, any edits to it will get removed if the file is opened in a newer version of Excel. Learn more: https://go.microsoft.com/fwlink/?linkid=870924
Comment:
    je retire la croix tant que la nomenclature n'existe pas</t>
      </text>
    </comment>
    <comment ref="U104" authorId="72" shapeId="0" xr:uid="{17677DF8-67EB-4AE7-861C-BE96B97E6CBC}">
      <text>
        <t xml:space="preserve">[Threaded comment]
Your version of Excel allows you to read this threaded comment; however, any edits to it will get removed if the file is opened in a newer version of Excel. Learn more: https://go.microsoft.com/fwlink/?linkid=870924
Comment:
    NOMENCLATURE: PERSO (nomenclature SI-SAMU)
Reply:
    Pas trouvée https://github.com/ansforge/SAMU-Hub-Modeles/tree/auto/model_tracker/nomenclature_parser/out/latest/csv </t>
      </text>
    </comment>
    <comment ref="H105" authorId="73" shapeId="0" xr:uid="{7A1ACB5D-9506-421C-B92B-1CBD98910C4E}">
      <text>
        <t>[Threaded comment]
Your version of Excel allows you to read this threaded comment; however, any edits to it will get removed if the file is opened in a newer version of Excel. Learn more: https://go.microsoft.com/fwlink/?linkid=870924
Comment:
    Aligner en mode URI
Reply:
    Pour aller au bout de la logique, le passer en objet CONTACT
Reply:
    Mettre attachement</t>
      </text>
    </comment>
    <comment ref="X107" authorId="74" shapeId="0" xr:uid="{7364402D-5058-2242-A016-E8B1E4183D63}">
      <text>
        <t>[Threaded comment]
Your version of Excel allows you to read this threaded comment; however, any edits to it will get removed if the file is opened in a newer version of Excel. Learn more: https://go.microsoft.com/fwlink/?linkid=870924
Comment:
    A priori, peut-être plutôt le mettre partout pour le moment !</t>
      </text>
    </comment>
    <comment ref="T108" authorId="75" shapeId="0" xr:uid="{07B5D5D0-B502-47B6-A891-DAEF39BCC4D8}">
      <text>
        <t>[Threaded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t>
      </text>
    </comment>
    <comment ref="U108" authorId="76"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D113" authorId="77" shapeId="0" xr:uid="{F7E40DD6-D14F-4AC4-95ED-C43838656AE4}">
      <text>
        <t>[Threaded comment]
Your version of Excel allows you to read this threaded comment; however, any edits to it will get removed if the file is opened in a newer version of Excel. Learn more: https://go.microsoft.com/fwlink/?linkid=870924
Comment:
    Indiquer comment on fait le Hash =&gt; pas évident comme on fait le contrôle d'intégrité
Reply:
    Sha-256</t>
      </text>
    </comment>
    <comment ref="U114" authorId="78" shapeId="0" xr:uid="{3A4DE914-B324-41EC-B1CE-789615C59923}">
      <text>
        <t>[Threaded comment]
Your version of Excel allows you to read this threaded comment; however, any edits to it will get removed if the file is opened in a newer version of Excel. Learn more: https://go.microsoft.com/fwlink/?linkid=870924
Comment:
    Implémenter ici la liste des valeurs fr.health.samu possible.</t>
      </text>
    </comment>
    <comment ref="B115" authorId="79" shapeId="0" xr:uid="{A9F8EF48-108A-4EAB-A6C9-DAA6E6A1C56C}">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X115" authorId="80" shapeId="0" xr:uid="{BACFA223-4DEE-A546-BEB9-1FAFD40935A9}">
      <text>
        <t>[Threaded comment]
Your version of Excel allows you to read this threaded comment; however, any edits to it will get removed if the file is opened in a newer version of Excel. Learn more: https://go.microsoft.com/fwlink/?linkid=870924
Comment:
    Pourquoi pas ne le passer en 15-SMUR ? Ca peut permettre de savoir quel médecin régulateur a traité le dossier donc pratique lors du bilan/demande</t>
      </text>
    </comment>
    <comment ref="B119" authorId="81" shapeId="0" xr:uid="{E40A2F45-E340-487F-9FD6-2404E4F5A700}">
      <text>
        <t>[Threaded comment]
Your version of Excel allows you to read this threaded comment; however, any edits to it will get removed if the file is opened in a newer version of Excel. Learn more: https://go.microsoft.com/fwlink/?linkid=870924
Comment:
    A renvoyer dans le SGV
Reply:
    On va sortir ça dans un message séparé : ça impacte mes cinématiques sur tout ce qui est déjà publié, donc j'attends qu'on arbitre le 26 sur les mises à jour pour le faire.</t>
      </text>
    </comment>
    <comment ref="C119" authorId="82" shapeId="0" xr:uid="{9EEB9362-90F5-494F-BB71-06EF0D54376B}">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U123" authorId="83" shapeId="0" xr:uid="{CB950F1D-7F07-43E1-850B-913CBE20F585}">
      <text>
        <t>[Threaded comment]
Your version of Excel allows you to read this threaded comment; however, any edits to it will get removed if the file is opened in a newer version of Excel. Learn more: https://go.microsoft.com/fwlink/?linkid=870924
Comment:
    ENUM ?
Reply:
    C’est quoi DOSSARD et PLACE ?</t>
      </text>
    </comment>
    <comment ref="H125" authorId="84" shapeId="0" xr:uid="{258F99A5-CCAC-44B3-9CB2-E5E5FB7A031F}">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25" authorId="85" shapeId="0" xr:uid="{B13CB5B2-E438-4033-8E1A-8B428C2D7B3E}">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U125" authorId="86" shapeId="0" xr:uid="{10CBED9B-33B3-4F2D-9D08-CE6F15806504}">
      <text>
        <t>[Threaded comment]
Your version of Excel allows you to read this threaded comment; however, any edits to it will get removed if the file is opened in a newer version of Excel. Learn more: https://go.microsoft.com/fwlink/?linkid=870924
Comment:
    Remettre la nomenclature EMSI complète dans l'objet contact qu'on réutilise ici
Reply:
    Je n’ai pas compris
Reply:
    c'est le même type que contact, on a bien les même valeurs EMSI que dans le type contact. Il n'y a rien ç faire, c'était une note en séance avec Philippe.</t>
      </text>
    </comment>
    <comment ref="U131" authorId="87"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H133" authorId="88" shapeId="0" xr:uid="{647A8527-7AF1-45AA-BB58-53C964C0E6F0}">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33" authorId="89" shapeId="0" xr:uid="{396E04AD-6D8D-4E1E-B5C4-258495B5CC68}">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E138" authorId="90"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39" authorId="91"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U139" authorId="92"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t>
      </text>
    </comment>
    <comment ref="E140" authorId="93"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U140" authorId="94"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1" authorId="95"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V142" authorId="96"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t>
      </text>
    </comment>
    <comment ref="X143" authorId="97" shapeId="0" xr:uid="{3D102970-2CAE-5747-9D73-A1FBE73590AC}">
      <text>
        <t>[Threaded comment]
Your version of Excel allows you to read this threaded comment; however, any edits to it will get removed if the file is opened in a newer version of Excel. Learn more: https://go.microsoft.com/fwlink/?linkid=870924
Comment:
    Pas le prénom ??</t>
      </text>
    </comment>
    <comment ref="U146" authorId="98" shapeId="0" xr:uid="{014DE198-64E2-4507-A3FC-DF421F511779}">
      <text>
        <t>[Threaded comment]
Your version of Excel allows you to read this threaded comment; however, any edits to it will get removed if the file is opened in a newer version of Excel. Learn more: https://go.microsoft.com/fwlink/?linkid=870924
Comment:
    Implémenter la nomenclature CISU (cf. Fichier transmis par Philippe)</t>
      </text>
    </comment>
    <comment ref="E147" authorId="99"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U147" authorId="100"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C149" authorId="101" shapeId="0" xr:uid="{4EB3C325-52F0-4D01-94D2-8AA5841A689A}">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U149" authorId="102" shapeId="0" xr:uid="{FFA7F0E1-3845-469A-B7CF-A4621D3089F0}">
      <text>
        <t>[Threaded comment]
Your version of Excel allows you to read this threaded comment; however, any edits to it will get removed if the file is opened in a newer version of Excel. Learn more: https://go.microsoft.com/fwlink/?linkid=870924
Comment:
    Idem nomenclature 15-18 car exactement le même objet</t>
      </text>
    </comment>
    <comment ref="D151" authorId="103" shapeId="0" xr:uid="{C395B7C5-0539-4FBB-9D43-E0A24F8519C0}">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 ref="E153" authorId="104" shapeId="0" xr:uid="{790794B9-B934-4B4C-A8C0-8C9B2176B829}">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U154" authorId="105" shapeId="0" xr:uid="{2D9ECE82-3D73-4587-8C50-69F305FE6D3A}">
      <text>
        <t>[Threaded comment]
Your version of Excel allows you to read this threaded comment; however, any edits to it will get removed if the file is opened in a newer version of Excel. Learn more: https://go.microsoft.com/fwlink/?linkid=870924
Comment:
    NOMENCLATURE: GRAVITE_SF21.csv</t>
      </text>
    </comment>
    <comment ref="U156" authorId="106" shapeId="0" xr:uid="{000D1EF5-EA8D-4028-887E-09B730402CB5}">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A confirmer mais j’ai l’impression que c’est XXXX.X =&gt; “REGEX: \w{4}(\.\w)?”</t>
      </text>
    </comment>
    <comment ref="Q157" authorId="107" shapeId="0" xr:uid="{B2A46742-7986-49EC-BFF2-E5B137820840}">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U157" authorId="108" shapeId="0" xr:uid="{55DD76D7-71AA-4415-B5EF-4C960C6C5F04}">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C158" authorId="109" shapeId="0" xr:uid="{DC749AE9-4EDB-4A7F-8A7B-0D009E03AED0}">
      <text>
        <t xml:space="preserve">[Threaded comment]
Your version of Excel allows you to read this threaded comment; however, any edits to it will get removed if the file is opened in a newer version of Excel. Learn more: https://go.microsoft.com/fwlink/?linkid=870924
Comment:
    Quelle nomenclature  + est-ce un objet code + libellé ? </t>
      </text>
    </comment>
    <comment ref="U158" authorId="110" shapeId="0" xr:uid="{522C021E-FCFD-4A22-8243-F9B9E8F1567F}">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D162" authorId="111" shapeId="0" xr:uid="{A01A1601-D876-42A1-B7E1-CAFC7CAE43BD}">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B171" authorId="112" shapeId="0" xr:uid="{6542F462-2A54-48A5-9A62-7E7CFBDF2B9A}">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U174" authorId="113" shapeId="0" xr:uid="{4DB9FC1B-FE92-4AA7-B2F3-BFF17D976413}">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D181" authorId="114" shapeId="0" xr:uid="{35BA8B78-AE32-4EC9-9879-40019918450A}">
      <text>
        <t>[Threaded comment]
Your version of Excel allows you to read this threaded comment; however, any edits to it will get removed if the file is opened in a newer version of Excel. Learn more: https://go.microsoft.com/fwlink/?linkid=870924
Comment:
    Y'a-t-il une nomenclature derrière ? Sinon mettre plutôt du freetext</t>
      </text>
    </comment>
    <comment ref="U181" authorId="115" shapeId="0" xr:uid="{04411F78-544D-4A29-9486-C852BE16B4A1}">
      <text>
        <t>[Threaded comment]
Your version of Excel allows you to read this threaded comment; however, any edits to it will get removed if the file is opened in a newer version of Excel. Learn more: https://go.microsoft.com/fwlink/?linkid=870924
Comment:
    A revoir</t>
      </text>
    </comment>
    <comment ref="K183" authorId="116" shapeId="0" xr:uid="{6729E6ED-B0CD-41F4-BDE9-63A71C3B0080}">
      <text>
        <t>[Threaded comment]
Your version of Excel allows you to read this threaded comment; however, any edits to it will get removed if the file is opened in a newer version of Excel. Learn more: https://go.microsoft.com/fwlink/?linkid=870924
Comment:
    Il faut que ce soit idem EMSI ?</t>
      </text>
    </comment>
    <comment ref="D184" authorId="117" shapeId="0" xr:uid="{D0DA69C0-CE9E-4870-BE12-1DC6165B5C02}">
      <text>
        <t xml:space="preserve">[Threaded comment]
Your version of Excel allows you to read this threaded comment; however, any edits to it will get removed if the file is opened in a newer version of Excel. Learn more: https://go.microsoft.com/fwlink/?linkid=870924
Comment:
    Définir la nomenclature
Reply:
    Pas la même signification, que le "niveau de soins" d'engagement du vecteur. 
Reply:
    Dans le vecteur de transport : niveau de médicalisation du transport
Reply:
    Pas de nomenclature
Reply:
    Niveau de prise en charge au lieu de médicalisation (si médicalisation, on implique qu'un médecin est déjà engagé)
Reply:
    A revoir avec Philippe : on est dans la régulation médicale, donc il y a bien un médecin qui a pris une décision.
Le niveau médical de l'équipe engagée en revanche peut être différent
Reply:
    + il y a certains samu qui considère que le type de vecteur demandé = quel type d'équipe doit être dedans
</t>
      </text>
    </comment>
    <comment ref="U184" authorId="118" shapeId="0" xr:uid="{964987F5-BD33-4AED-972B-3B2857629C23}">
      <text>
        <t>[Threaded comment]
Your version of Excel allows you to read this threaded comment; however, any edits to it will get removed if the file is opened in a newer version of Excel. Learn more: https://go.microsoft.com/fwlink/?linkid=870924
Comment:
    Implémenter la nomenclature correspondante</t>
      </text>
    </comment>
    <comment ref="D185" authorId="119" shapeId="0" xr:uid="{56A2AD22-1E72-4495-AF2F-6EFF0E07EC59}">
      <text>
        <t>[Threaded comment]
Your version of Excel allows you to read this threaded comment; however, any edits to it will get removed if the file is opened in a newer version of Excel. Learn more: https://go.microsoft.com/fwlink/?linkid=870924
Comment:
    Reprendre un objet position du modèle adresse EMSI ?
Reply:
    Typer la destination : domicile, hôpital, établissement X, etc.
Reply:
    Idem, en cours avec Philippe
Reply:
    Mettre un objet identique à l'adresse de localisation. Pour pouvoir amener les personnes à n'importe quel endroit (y compris à domicile).
+ ajouter un champ FINESS ?</t>
      </text>
    </comment>
    <comment ref="E186" authorId="120" shapeId="0" xr:uid="{C8748D8D-BB3A-4C14-BADE-D16F62306724}">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 ref="C188" authorId="121" shapeId="0" xr:uid="{3E4494E4-4D0B-482E-8C44-6CA902FCAA01}">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188" authorId="122" shapeId="0" xr:uid="{12397E16-0DD2-4B81-8BEC-31510D881B5D}">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W188" authorId="123" shapeId="0" xr:uid="{EC03513B-C463-ED45-B66B-DD6C50DF2248}">
      <text>
        <t xml:space="preserve">[Threaded comment]
Your version of Excel allows you to read this threaded comment; however, any edits to it will get removed if the file is opened in a newer version of Excel. Learn more: https://go.microsoft.com/fwlink/?linkid=870924
Comment:
    @Elodie FALCIONI (EXT) A enlever non ?
Reply:
    non : si le LRM gère plusieurs appel, on peut le laisser. De toute façon j'enlève plus rien, on verra à la prochaine publication.
On ne sait pas comment on gère les mises à jour, tant que ce sujet n'est pas réglé je laisse. 
</t>
      </text>
    </comment>
    <comment ref="Q190" authorId="124" shapeId="0" xr:uid="{56075946-9C3F-8345-89AE-75C567E0E491}">
      <text>
        <t>[Threaded comment]
Your version of Excel allows you to read this threaded comment; however, any edits to it will get removed if the file is opened in a newer version of Excel. Learn more: https://go.microsoft.com/fwlink/?linkid=870924
Comment:
    Bien 0..3</t>
      </text>
    </comment>
    <comment ref="A195" authorId="125"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95" authorId="126"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tc={01361339-10D3-48AC-A489-2044EDD6D1C5}</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2"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3"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tc={953CCFA9-18F1-49C4-ABCE-A8F9A60BE853}</author>
    <author>tc={22BD1288-E0C6-964D-8449-E80317449401}</author>
    <author>tc={E2DB24A4-1E97-4CF6-8E77-B121328CAC25}</author>
  </authors>
  <commentList>
    <comment ref="H1" authorId="0" shapeId="0" xr:uid="{4FC34D19-52DE-449A-AEA2-BE9696950733}">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5C2C82CE-4819-4786-825F-A15C43C07BD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2B8BB9CF-F24E-4529-8CF6-DE80AE8CF1AA}">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953CCFA9-18F1-49C4-ABCE-A8F9A60BE853}">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B11" authorId="4" shapeId="0" xr:uid="{22BD1288-E0C6-964D-8449-E80317449401}">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O31" authorId="5" shapeId="0" xr:uid="{E2DB24A4-1E97-4CF6-8E77-B121328CAC2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tc={0CECF6C6-E21E-468B-93DD-2E230448855B}</author>
    <author>tc={2A3E4B9B-5881-4B0A-8BC9-E70E8861F387}</author>
    <author>tc={0CF11431-BA27-4A08-A908-C5E8B2A17D25}</author>
    <author>tc={3AC86E68-C403-492A-AB6E-E908ED6986BD}</author>
    <author>tc={9CE8492B-B01D-47FB-81DF-787FD4635D2F}</author>
  </authors>
  <commentList>
    <comment ref="H1" authorId="0" shapeId="0" xr:uid="{0CECF6C6-E21E-468B-93DD-2E230448855B}">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2A3E4B9B-5881-4B0A-8BC9-E70E8861F387}">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0CF11431-BA27-4A08-A908-C5E8B2A17D25}">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3AC86E68-C403-492A-AB6E-E908ED6986BD}">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C15" authorId="4" shapeId="0" xr:uid="{9CE8492B-B01D-47FB-81DF-787FD4635D2F}">
      <text>
        <t>[Threaded comment]
Your version of Excel allows you to read this threaded comment; however, any edits to it will get removed if the file is opened in a newer version of Excel. Learn more: https://go.microsoft.com/fwlink/?linkid=870924
Comment:
    + Cadre conventionnel aussi pour 15-15 ou ça s’appliquait pas trop c’est ça ?
Reply:
    Ça s'applique pas, ils voient même pas ce que c'est mais c'est facile à ajouter.</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tc={E47640B8-D45B-4859-9096-695AE3FC2B1E}</author>
    <author>tc={70976457-F334-49C3-A6B9-EF13E7BF90EC}</author>
    <author>tc={98E6A639-F684-44EA-891B-8547C207E3BF}</author>
    <author>tc={DF2AA6CA-FC70-4347-B614-9ADC9E1E6905}</author>
  </authors>
  <commentList>
    <comment ref="H1" authorId="0" shapeId="0" xr:uid="{6FE43FAC-640B-4B23-AE30-C5EC003889C6}">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F655AB1D-01D7-439F-A55F-44DB596DD0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E48E6C14-8065-49AA-9716-94F0B7E75F37}">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E47640B8-D45B-4859-9096-695AE3FC2B1E}">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C14" authorId="4" shapeId="0" xr:uid="{70976457-F334-49C3-A6B9-EF13E7BF90EC}">
      <text>
        <t xml:space="preserve">[Threaded comment]
Your version of Excel allows you to read this threaded comment; however, any edits to it will get removed if the file is opened in a newer version of Excel. Learn more: https://go.microsoft.com/fwlink/?linkid=870924
Comment:
    Il devrait aussi être dans la demande non ?
Reply:
    En 15-18 oui, en 15-15 bof, mais on peut le mettre pour le TIH. </t>
      </text>
    </comment>
    <comment ref="B16" authorId="5" shapeId="0" xr:uid="{98E6A639-F684-44EA-891B-8547C207E3BF}">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O36" authorId="6" shapeId="0" xr:uid="{DF2AA6CA-FC70-4347-B614-9ADC9E1E690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tc={0CE8A59F-6C67-4E3A-891B-3EA2B5782CF2}</author>
    <author>tc={AFBC43DC-22DD-45A7-94DB-0652D4386677}</author>
    <author>tc={E217C0E1-E310-4516-9319-75E49215DCA3}</author>
    <author>tc={CA9F7116-A69A-49A4-A9FD-112B11A9100E}</author>
    <author>tc={91C7B266-0E0A-4462-A600-2FC08026D2AA}</author>
    <author>tc={B49C2831-535E-4572-A161-4566AA17433A}</author>
  </authors>
  <commentList>
    <comment ref="C17" authorId="0" shapeId="0" xr:uid="{0CE8A59F-6C67-4E3A-891B-3EA2B5782CF2}">
      <text>
        <t>[Threaded comment]
Your version of Excel allows you to read this threaded comment; however, any edits to it will get removed if the file is opened in a newer version of Excel. Learn more: https://go.microsoft.com/fwlink/?linkid=870924
Comment:
    Type déduit par rapport à la localisation de l'intervention vs de la destination (ex. Si hospitalier alors sorite SMUR secondaire), et pour les TIH : idem plus niveau de médicalisation (=paramédical)</t>
      </text>
    </comment>
    <comment ref="D24" authorId="1" shapeId="0" xr:uid="{AFBC43DC-22DD-45A7-94DB-0652D4386677}">
      <text>
        <t>[Threaded comment]
Your version of Excel allows you to read this threaded comment; however, any edits to it will get removed if the file is opened in a newer version of Excel. Learn more: https://go.microsoft.com/fwlink/?linkid=870924
Comment:
    Quel libellé/code prendre ? 
Reply:
    Exemple : si accident routier entre un piéton et camion de marchandise, quel est le code à retenir ? AVPAR ? AVPARCAM ? AVPARPIE ? 
Reply:
    Ou est-ce à préciser dans le commentaire ?</t>
      </text>
    </comment>
    <comment ref="C33" authorId="2" shapeId="0" xr:uid="{E217C0E1-E310-4516-9319-75E49215DCA3}">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62" authorId="3"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65" authorId="4"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D71" authorId="5"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<sst xmlns="http://schemas.openxmlformats.org/spreadsheetml/2006/main" count="9987" uniqueCount="2626">
  <si>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</si>
  <si>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</si>
  <si>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</si>
  <si>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</si>
  <si>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</si>
  <si>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</si>
  <si>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</si>
  <si>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</si>
  <si>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</si>
  <si>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</si>
  <si>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</si>
  <si>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</si>
  <si>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</si>
  <si>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</si>
  <si>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</si>
  <si>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</si>
  <si>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</si>
  <si>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</si>
  <si>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</si>
  <si>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</si>
  <si>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</si>
  <si>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</si>
  <si>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</si>
  <si>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</si>
  <si>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</si>
  <si>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</si>
  <si>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</si>
  <si>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</si>
  <si>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</si>
  <si>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</si>
  <si>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</si>
  <si>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</si>
  <si>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</si>
  <si>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</si>
  <si>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</si>
  <si>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</si>
  <si>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</si>
  <si>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</si>
  <si>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</si>
  <si>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</si>
  <si>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</si>
  <si>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</si>
  <si>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</si>
  <si>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</si>
  <si>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</si>
  <si>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</si>
  <si>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</si>
  <si>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</si>
  <si>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</si>
  <si>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</si>
  <si>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</si>
  <si>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</si>
  <si>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</si>
  <si>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</si>
  <si>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</si>
  <si>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</si>
  <si>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</si>
  <si>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</si>
  <si>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</si>
  <si>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</si>
  <si>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</si>
  <si>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</si>
  <si>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</si>
  <si>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</si>
  <si>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</si>
  <si>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</si>
  <si>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</si>
  <si>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</si>
  <si>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</si>
  <si>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</si>
  <si>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</si>
  <si>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</si>
  <si>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</si>
  <si>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</si>
  <si>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</si>
  <si>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</si>
  <si>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</si>
  <si>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</si>
  <si>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</si>
  <si>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</si>
  <si>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</si>
  <si>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</si>
  <si>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</si>
  <si>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</si>
  <si>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</si>
  <si>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</si>
  <si>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</si>
  <si>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</si>
  <si>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</si>
  <si>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</si>
  <si>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</si>
  <si>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</si>
  <si>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</si>
  <si>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</si>
  <si>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</si>
  <si>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</si>
  <si>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</si>
  <si>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</si>
  <si>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</si>
  <si>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</si>
  <si>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</si>
  <si>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</si>
  <si>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</si>
  <si>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</si>
  <si>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</si>
  <si>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</si>
  <si>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</si>
  <si>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</si>
  <si>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</si>
  <si>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</si>
  <si>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</si>
  <si>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</si>
  <si>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</si>
  <si>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</si>
  <si>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</si>
  <si>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</si>
  <si>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</si>
  <si>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</si>
  <si>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</si>
  <si>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</si>
  <si>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</si>
  <si>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</si>
  <si>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</si>
  <si>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</si>
  <si>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</si>
  <si>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</si>
  <si>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</si>
  <si>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</si>
  <si>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</si>
  <si>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</si>
  <si>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</si>
  <si>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</si>
  <si>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</si>
  <si>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</si>
  <si>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</si>
  <si>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</si>
  <si>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</si>
  <si>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</si>
  <si>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</si>
  <si>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</si>
  <si>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</si>
  <si>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</si>
  <si>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</si>
  <si>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</si>
  <si>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</si>
  <si>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</si>
  <si>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</si>
  <si>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</si>
  <si>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</si>
  <si>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</si>
  <si>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</si>
  <si>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</si>
  <si>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</si>
  <si>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</si>
  <si>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</si>
  <si>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</si>
  <si>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</si>
  <si>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</si>
  <si>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</si>
  <si>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</si>
  <si>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</si>
  <si>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</si>
  <si>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</si>
  <si>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</si>
  <si>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</si>
  <si>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</si>
  <si>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</si>
  <si>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</si>
  <si>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</si>
  <si>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</si>
  <si>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</si>
  <si>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</si>
  <si>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</si>
  <si>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</si>
  <si>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</si>
  <si>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</si>
  <si>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</si>
  <si>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</si>
  <si>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</si>
  <si>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</si>
  <si>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</si>
  <si>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</si>
  <si>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</si>
  <si>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</si>
  <si>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</si>
  <si>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</si>
  <si>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</si>
  <si>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</si>
  <si>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</si>
  <si>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</si>
  <si>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</si>
  <si>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</si>
  <si>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</si>
  <si>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</si>
  <si>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</si>
  <si>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</si>
  <si>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</si>
  <si>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</si>
  <si>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</si>
  <si>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</si>
  <si>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</si>
  <si>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</si>
  <si>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</si>
  <si>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</si>
  <si>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</si>
  <si>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</si>
  <si>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</si>
  <si>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</si>
  <si>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</si>
  <si>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</si>
  <si>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</si>
  <si>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</si>
  <si>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</si>
  <si>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</si>
  <si>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</si>
  <si>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</si>
  <si>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</si>
  <si>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</si>
  <si>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</si>
  <si>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</si>
  <si>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</si>
  <si>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</si>
  <si>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</si>
  <si>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</si>
  <si>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</si>
  <si>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</si>
  <si>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</si>
  <si>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</si>
  <si>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</si>
  <si>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</si>
  <si>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</si>
  <si>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</si>
  <si>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</si>
  <si>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</si>
  <si>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</si>
  <si>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</si>
  <si>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</si>
  <si>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</si>
  <si>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</si>
  <si>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</si>
  <si>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</si>
  <si>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</si>
  <si>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</si>
  <si>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</si>
  <si>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</si>
  <si>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</si>
  <si>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</si>
  <si>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</si>
  <si>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</si>
  <si>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</si>
  <si>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</si>
  <si>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</si>
  <si>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</si>
  <si>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</si>
  <si>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</si>
  <si>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</si>
  <si>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</si>
  <si>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</si>
  <si>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</si>
  <si>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</si>
  <si>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</si>
  <si>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</si>
  <si>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</si>
  <si>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</si>
  <si>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</si>
  <si>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</si>
  <si>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</si>
  <si>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</si>
  <si>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</si>
  <si>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</si>
  <si>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</si>
  <si>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</si>
  <si>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</si>
  <si>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</si>
  <si>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</si>
  <si>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</si>
  <si>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</si>
  <si>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</si>
  <si>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</si>
  <si>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</si>
  <si>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</si>
  <si>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</si>
  <si>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</si>
  <si>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</si>
  <si>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</si>
  <si>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</si>
  <si>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</si>
  <si>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</si>
  <si>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</si>
  <si>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</si>
  <si>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</si>
  <si>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</si>
  <si>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</si>
  <si>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</si>
  <si>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</si>
  <si>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</si>
  <si>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</si>
  <si>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</si>
  <si>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</si>
  <si>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</si>
  <si>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</si>
  <si>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</si>
  <si>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</si>
  <si>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</si>
  <si>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</si>
  <si>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</si>
  <si>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</si>
  <si>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</si>
  <si>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</si>
  <si>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</si>
  <si>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</si>
  <si>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</si>
  <si>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</si>
  <si>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</si>
  <si>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</si>
  <si>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</si>
  <si>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</si>
  <si>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</si>
  <si>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</si>
  <si>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</si>
  <si>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</si>
  <si>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</si>
  <si>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</si>
  <si>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</si>
  <si>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</si>
  <si>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</si>
  <si>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</si>
  <si>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</si>
  <si>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</si>
  <si>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</si>
  <si>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</si>
  <si>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</si>
  <si>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</si>
  <si>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</si>
  <si>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</si>
  <si>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</si>
  <si>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</si>
  <si>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</si>
  <si>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</si>
  <si>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</si>
  <si>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</si>
  <si>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</si>
  <si>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</si>
  <si>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</si>
  <si>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</si>
  <si>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</si>
  <si>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</si>
  <si>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</si>
  <si>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</si>
  <si>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</si>
  <si>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</si>
  <si>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</si>
  <si>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</si>
  <si>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</si>
  <si>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</si>
  <si>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</si>
  <si>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</si>
  <si>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</si>
  <si>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</si>
  <si>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</si>
  <si>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</si>
  <si>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</si>
  <si>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</si>
  <si>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</si>
  <si>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</si>
  <si>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</si>
  <si>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</si>
  <si>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</si>
  <si>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</si>
  <si>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</si>
  <si>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</si>
  <si>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</si>
  <si>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</si>
  <si>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</si>
  <si>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</si>
  <si>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</si>
  <si>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</si>
  <si>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</si>
  <si>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</si>
  <si>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</si>
  <si>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</si>
  <si>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</si>
  <si>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</si>
  <si>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</si>
  <si>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</si>
  <si>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</si>
  <si>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</si>
  <si>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</si>
  <si>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</si>
  <si>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</si>
  <si>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</si>
  <si>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</si>
  <si>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</si>
  <si>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</si>
  <si>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</si>
  <si>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</si>
  <si>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</si>
  <si>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</si>
  <si>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</si>
  <si>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</si>
  <si>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</si>
  <si>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</si>
  <si>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</si>
  <si>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</si>
  <si>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</si>
  <si>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</si>
  <si>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</si>
  <si>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</si>
  <si>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</si>
  <si>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</si>
  <si>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</si>
  <si>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</si>
  <si>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</si>
  <si>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</si>
  <si>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</si>
  <si>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</si>
  <si>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</si>
  <si>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</si>
  <si>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</si>
  <si>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</si>
  <si>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</si>
  <si>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</si>
  <si>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</si>
  <si>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</si>
  <si>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</si>
  <si>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</si>
  <si>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</si>
  <si>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</si>
  <si>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</si>
  <si>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</si>
  <si>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</si>
  <si>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</si>
  <si>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</si>
  <si>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</si>
  <si>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</si>
  <si>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</si>
  <si>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</si>
  <si>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</si>
  <si>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</si>
  <si>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</si>
  <si>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</si>
  <si>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</si>
  <si>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</si>
  <si>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</si>
  <si>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</si>
  <si>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</si>
  <si>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</si>
  <si>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</si>
  <si>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</si>
  <si>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</si>
  <si>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</si>
  <si>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</si>
  <si>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</si>
  <si>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</si>
  <si>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</si>
  <si>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</si>
  <si>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</si>
  <si>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</si>
  <si>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</si>
  <si>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</si>
  <si>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</si>
  <si>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</si>
  <si>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</si>
  <si>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</si>
  <si>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</si>
  <si>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</si>
  <si>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</si>
  <si>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</si>
  <si>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</si>
  <si>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</si>
  <si>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</si>
  <si>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</si>
  <si>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</si>
  <si>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</si>
  <si>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</si>
  <si>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</si>
  <si>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</si>
  <si>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</si>
  <si>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</si>
  <si>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</si>
  <si>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</si>
  <si>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</si>
  <si>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</si>
  <si>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</si>
  <si>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</si>
  <si>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</si>
  <si>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</si>
  <si>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</si>
  <si>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</si>
  <si>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</si>
  <si>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</si>
  <si>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</si>
  <si>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</si>
  <si>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</si>
  <si>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</si>
  <si>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</si>
  <si>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</si>
  <si>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</si>
  <si>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</si>
  <si>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</si>
  <si>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</si>
  <si>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</si>
  <si>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</si>
  <si>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</si>
  <si>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</si>
  <si>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</si>
  <si>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</si>
  <si>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</si>
  <si>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</si>
  <si>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</si>
  <si>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</si>
  <si>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</si>
  <si>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</si>
  <si>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</si>
  <si>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</si>
  <si>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</si>
  <si>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</si>
  <si>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</si>
  <si>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</si>
  <si>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</si>
  <si>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</si>
  <si>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</si>
  <si>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</si>
  <si>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</si>
  <si>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</si>
  <si>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</si>
  <si>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</si>
  <si>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</si>
  <si>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</si>
  <si>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</si>
  <si>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</si>
  <si>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</si>
  <si>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</si>
  <si>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</si>
  <si>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</si>
  <si>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</si>
  <si>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</si>
  <si>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</si>
  <si>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</si>
  <si>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</si>
  <si>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</si>
  <si>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</si>
  <si>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</si>
  <si>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</si>
  <si>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</si>
  <si>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</si>
  <si>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</si>
  <si>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</si>
  <si>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</si>
  <si>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</si>
  <si>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</si>
  <si>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</si>
  <si>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</si>
  <si>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</si>
  <si>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</si>
  <si>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</si>
  <si>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</si>
  <si>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</si>
  <si>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</si>
  <si>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</si>
  <si>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</si>
  <si>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</si>
  <si>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</si>
  <si>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</si>
  <si>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</si>
  <si>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</si>
  <si>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</si>
  <si>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</si>
  <si>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</si>
  <si>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</si>
  <si>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</si>
  <si>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</si>
  <si>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</si>
  <si>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</si>
  <si>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</si>
  <si>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</si>
  <si>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</si>
  <si>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</si>
  <si>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</si>
  <si>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</si>
  <si>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</si>
  <si>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</si>
  <si>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</si>
  <si>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</si>
  <si>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</si>
  <si>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</si>
  <si>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</si>
  <si>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</si>
  <si>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</si>
  <si>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</si>
  <si>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</si>
  <si>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</si>
  <si>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</si>
  <si>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</si>
  <si>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</si>
  <si>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</si>
  <si>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</si>
  <si>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</si>
  <si>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</si>
  <si>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</si>
  <si>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</si>
  <si>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</si>
  <si>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</si>
  <si>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</si>
  <si>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</si>
  <si>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</si>
  <si>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</si>
  <si>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</si>
  <si>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</si>
  <si>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</si>
  <si>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</si>
  <si>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</si>
  <si>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</si>
  <si>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</si>
  <si>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</si>
  <si>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</si>
  <si>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</si>
  <si>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</si>
  <si>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</si>
  <si>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</si>
  <si>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</si>
  <si>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</si>
  <si>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</si>
  <si>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</si>
  <si>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</si>
  <si>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</si>
  <si>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</si>
  <si>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</si>
  <si>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</si>
  <si>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</si>
  <si>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</si>
  <si>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</si>
  <si>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</si>
  <si>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</si>
  <si>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</si>
  <si>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</si>
  <si>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</si>
  <si>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</si>
  <si>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</si>
  <si>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</si>
  <si>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</si>
  <si>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</si>
  <si>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</si>
  <si>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</si>
  <si>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</si>
  <si>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</si>
  <si>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</si>
  <si>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</si>
  <si>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</si>
  <si>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</si>
  <si>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</si>
  <si>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</si>
  <si>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</si>
  <si>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</si>
  <si>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</si>
  <si>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</si>
  <si>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</si>
  <si>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</si>
  <si>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</si>
  <si>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</si>
  <si>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</si>
  <si>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</si>
  <si>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</si>
  <si>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</si>
  <si>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</si>
  <si>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</si>
  <si>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</si>
  <si>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</si>
  <si>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</si>
  <si>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</si>
  <si>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</si>
  <si>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</si>
  <si>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</si>
  <si>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</si>
  <si>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</si>
  <si>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</si>
  <si>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</si>
  <si>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</si>
  <si>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</si>
  <si>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</si>
  <si>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</si>
  <si>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</si>
  <si>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</si>
  <si>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</si>
  <si>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</si>
  <si>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</si>
  <si>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</si>
  <si>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</si>
  <si>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</si>
  <si>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</si>
  <si>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</si>
  <si>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</si>
  <si>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</si>
  <si>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</si>
  <si>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</si>
  <si>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</si>
  <si>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</si>
  <si>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</si>
  <si>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</si>
  <si>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</si>
  <si>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</si>
  <si>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</si>
  <si>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</si>
  <si>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</si>
  <si>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</si>
  <si>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</si>
  <si>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</si>
  <si>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</si>
  <si>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</si>
  <si>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</si>
  <si>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</si>
  <si>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</si>
  <si>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</si>
  <si>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</si>
  <si>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</si>
  <si>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</si>
  <si>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</si>
  <si>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</si>
  <si>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</si>
  <si>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</si>
  <si>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</si>
  <si>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</si>
  <si>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</si>
  <si>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</si>
  <si>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</si>
  <si>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</si>
  <si>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</si>
  <si>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</si>
  <si>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</si>
  <si>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</si>
  <si>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</si>
  <si>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</si>
  <si>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</si>
  <si>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</si>
  <si>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</si>
  <si>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</si>
  <si>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</si>
  <si>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</si>
  <si>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</si>
  <si>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</si>
  <si>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</si>
  <si>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</si>
  <si>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</si>
  <si>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</si>
  <si>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</si>
  <si>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</si>
  <si>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</si>
  <si>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</si>
  <si>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</si>
  <si>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</si>
  <si>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</si>
  <si>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</si>
  <si>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</si>
  <si>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</si>
  <si>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</si>
  <si>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</si>
  <si>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</si>
  <si>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</si>
  <si>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</si>
  <si>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</si>
  <si>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</si>
  <si>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</si>
  <si>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</si>
  <si>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</si>
  <si>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</si>
  <si>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</si>
  <si>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</si>
  <si>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</si>
  <si>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</si>
  <si>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</si>
  <si>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</si>
  <si>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</si>
  <si>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</si>
  <si>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</si>
  <si>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</si>
  <si>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</si>
  <si>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</si>
  <si>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</si>
  <si>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</si>
  <si>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</si>
  <si>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</si>
  <si>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</si>
  <si>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</si>
  <si>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</si>
  <si>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</si>
  <si>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</si>
  <si>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</si>
  <si>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</si>
  <si>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</si>
  <si>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</si>
  <si>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</si>
  <si>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</si>
  <si>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</si>
  <si>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</si>
  <si>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</si>
  <si>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</si>
  <si>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</si>
  <si>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</si>
  <si>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</si>
  <si>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</si>
  <si>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</si>
  <si>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</si>
  <si>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</si>
  <si>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</si>
  <si>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</si>
  <si>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</si>
  <si>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</si>
  <si>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</si>
  <si>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</si>
  <si>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</si>
  <si>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</si>
  <si>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</si>
  <si>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</si>
  <si>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</si>
  <si>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</si>
  <si>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</si>
  <si>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</si>
  <si>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</si>
  <si>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</si>
  <si>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</si>
  <si>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</si>
  <si>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</si>
  <si>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</si>
  <si>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</si>
  <si>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</si>
  <si>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</si>
  <si>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</si>
  <si>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</si>
  <si>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</si>
  <si>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</si>
  <si>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</si>
  <si>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</si>
  <si>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</si>
  <si>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</si>
  <si>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</si>
  <si>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</si>
  <si>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</si>
  <si>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</si>
  <si>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</si>
  <si>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</si>
  <si>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</si>
  <si>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</si>
  <si>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</si>
  <si>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</si>
  <si>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</si>
  <si>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</si>
  <si>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</si>
  <si>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</si>
  <si>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</si>
  <si>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</si>
  <si>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</si>
  <si>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</si>
  <si>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</si>
  <si>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</si>
  <si>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</si>
  <si>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</si>
  <si>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</si>
  <si>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</si>
  <si>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</si>
  <si>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</si>
  <si>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</si>
  <si>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</si>
  <si>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</si>
  <si>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</si>
  <si>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</si>
  <si>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</si>
  <si>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</si>
  <si>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</si>
  <si>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</si>
  <si>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</si>
  <si>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</si>
  <si>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</si>
  <si>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</si>
  <si>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</si>
  <si>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</si>
  <si>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</si>
  <si>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</si>
  <si>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</si>
  <si>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</si>
  <si>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</si>
  <si>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</si>
  <si>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</si>
  <si>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</si>
  <si>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</si>
  <si>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</si>
  <si>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</si>
  <si>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</si>
  <si>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</si>
  <si>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</si>
  <si>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</si>
  <si>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</si>
  <si>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</si>
  <si>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</si>
  <si>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</si>
  <si>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</si>
  <si>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</si>
  <si>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</si>
  <si>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</si>
  <si>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</si>
  <si>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</si>
  <si>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</si>
  <si>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</si>
  <si>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</si>
  <si>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</si>
  <si>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</si>
  <si>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</si>
  <si>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</si>
  <si>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</si>
  <si>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</si>
  <si>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</si>
  <si>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</si>
  <si>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</si>
  <si>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</si>
  <si>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</si>
  <si>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</si>
  <si>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</si>
  <si>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</si>
  <si>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</si>
  <si>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</si>
  <si>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</si>
  <si>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</si>
  <si>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</si>
  <si>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</si>
  <si>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</si>
  <si>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</si>
  <si>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</si>
  <si>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</si>
  <si>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</si>
  <si>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</si>
  <si>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</si>
  <si>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</si>
  <si>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</si>
  <si>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</si>
  <si>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</si>
  <si>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</si>
  <si>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</si>
  <si>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</si>
  <si>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</si>
  <si>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</si>
  <si>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</si>
  <si>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</si>
  <si>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</si>
  <si>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</si>
  <si>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</si>
  <si>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</si>
  <si>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</si>
  <si>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</si>
  <si>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</si>
  <si>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</si>
  <si>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</si>
  <si>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</si>
  <si>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</si>
  <si>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</si>
  <si>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</si>
  <si>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</si>
  <si>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</si>
  <si>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</si>
  <si>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</si>
  <si>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</si>
  <si>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</si>
  <si>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</si>
  <si>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</si>
  <si>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</si>
  <si>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</si>
  <si>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</si>
  <si>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</si>
  <si>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</si>
  <si>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</si>
  <si>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</si>
  <si>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</si>
  <si>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</si>
  <si>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</si>
  <si>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</si>
  <si>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</si>
  <si>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</si>
  <si>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</si>
  <si>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</si>
  <si>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</si>
  <si>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</si>
  <si>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</si>
  <si>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</si>
  <si>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</si>
  <si>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</si>
  <si>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</si>
  <si>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</si>
  <si>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</si>
  <si>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</si>
  <si>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</si>
  <si>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</si>
  <si>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</si>
  <si>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</si>
  <si>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</si>
  <si>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</si>
  <si>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</si>
  <si>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</si>
  <si>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</si>
  <si>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</si>
  <si>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</si>
  <si>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</si>
  <si>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</si>
  <si>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</si>
  <si>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</si>
  <si>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</si>
  <si>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</si>
  <si>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</si>
  <si>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</si>
  <si>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</si>
  <si>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</si>
  <si>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</si>
  <si>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</si>
  <si>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</si>
  <si>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</si>
  <si>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</si>
  <si>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</si>
  <si>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</si>
  <si>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</si>
  <si>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</si>
  <si>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</si>
  <si>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</si>
  <si>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</si>
  <si>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</si>
  <si>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</si>
  <si>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</si>
  <si>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</si>
  <si>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</si>
  <si>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</si>
  <si>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</si>
  <si>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</si>
  <si>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</si>
  <si>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</si>
  <si>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</si>
  <si>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</si>
  <si>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</si>
  <si>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</si>
  <si>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</si>
  <si>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</si>
  <si>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</si>
  <si>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</si>
  <si>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</si>
  <si>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</si>
  <si>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</si>
  <si>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</si>
  <si>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</si>
  <si>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</si>
  <si>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</si>
  <si>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</si>
  <si>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</si>
  <si>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</si>
  <si>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</si>
  <si>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</si>
  <si>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</si>
  <si>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</si>
  <si>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</si>
  <si>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</si>
  <si>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</si>
  <si>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</si>
  <si>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</si>
  <si>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</si>
  <si>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</si>
  <si>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</si>
  <si>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</si>
  <si>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</si>
  <si>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</si>
  <si>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</si>
  <si>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</si>
  <si>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</si>
  <si>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</si>
  <si>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</si>
  <si>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</si>
  <si>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</si>
  <si>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</si>
  <si>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</si>
  <si>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</si>
  <si>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</si>
  <si>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</si>
  <si>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</si>
  <si>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</si>
  <si>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</si>
  <si>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</si>
  <si>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</si>
  <si>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</si>
  <si>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</si>
  <si>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</si>
  <si>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</si>
  <si>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</si>
  <si>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</si>
  <si>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</si>
  <si>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</si>
  <si>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</si>
  <si>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</si>
  <si>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</si>
  <si>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</si>
  <si>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</si>
  <si>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</si>
  <si>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</si>
  <si>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</si>
  <si>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</si>
  <si>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</si>
  <si>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</si>
  <si>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</si>
  <si>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</si>
  <si>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</si>
  <si>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</si>
  <si>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</si>
  <si>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</si>
  <si>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</si>
  <si>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</si>
  <si>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</si>
  <si>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</si>
  <si>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</si>
  <si>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</si>
  <si>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</si>
  <si>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</si>
  <si>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</si>
  <si>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</si>
  <si>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</si>
  <si>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</si>
  <si>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</si>
  <si>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</si>
  <si>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</si>
  <si>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</si>
  <si>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</si>
  <si>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</si>
  <si>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</si>
  <si>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</si>
  <si>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</si>
  <si>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</si>
  <si>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</si>
  <si>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</si>
  <si>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</si>
  <si>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</si>
  <si>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</si>
  <si>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</si>
  <si>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</si>
  <si>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</si>
  <si>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</si>
  <si>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</si>
  <si>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</si>
  <si>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</si>
  <si>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</si>
  <si>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</si>
  <si>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</si>
  <si>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</si>
  <si>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</si>
  <si>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</si>
  <si>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</si>
  <si>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</si>
  <si>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</si>
  <si>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</si>
  <si>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</si>
  <si>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</si>
  <si>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</si>
  <si>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</si>
  <si>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</si>
  <si>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</si>
  <si>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</si>
  <si>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</si>
  <si>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</si>
  <si>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</si>
  <si>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</si>
  <si>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</si>
  <si>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</si>
  <si>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</si>
  <si>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</si>
  <si>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</si>
  <si>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</si>
  <si>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</si>
  <si>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</si>
  <si>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</si>
  <si>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</si>
  <si>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</si>
  <si>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</si>
  <si>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</si>
  <si>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</si>
  <si>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</si>
  <si>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</si>
  <si>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</si>
  <si>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</si>
  <si>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</si>
  <si>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</si>
  <si>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</si>
  <si>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</si>
  <si>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</si>
  <si>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</si>
  <si>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</si>
  <si>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</si>
  <si>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</si>
  <si>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</si>
  <si>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</si>
  <si>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</si>
  <si>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</si>
  <si>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</si>
  <si>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</si>
  <si>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</si>
  <si>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</si>
  <si>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</si>
  <si>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</si>
  <si>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</si>
  <si>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</si>
  <si>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</si>
  <si>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</si>
  <si>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</si>
  <si>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</si>
  <si>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</si>
  <si>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</si>
  <si>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</si>
  <si>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</si>
  <si>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</si>
  <si>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</si>
  <si>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</si>
  <si>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</si>
  <si>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</si>
  <si>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</si>
  <si>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</si>
  <si>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</si>
  <si>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</si>
  <si>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</si>
  <si>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</si>
  <si>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</si>
  <si>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</si>
  <si>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</si>
  <si>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</si>
  <si>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</si>
  <si>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</si>
  <si>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</si>
  <si>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</si>
  <si>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</si>
  <si>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</si>
  <si>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</si>
  <si>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</si>
  <si>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</si>
  <si>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</si>
  <si>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</si>
  <si>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</si>
  <si>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</si>
  <si>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</si>
  <si>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</si>
  <si>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</si>
  <si>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</si>
  <si>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</si>
  <si>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</si>
  <si>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</si>
  <si>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</si>
  <si>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</si>
  <si>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</si>
  <si>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</si>
  <si>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</si>
  <si>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</si>
  <si>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</si>
  <si>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</si>
  <si>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</si>
  <si>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</si>
  <si>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</si>
  <si>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</si>
  <si>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</si>
  <si>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</si>
  <si>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</si>
  <si>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</si>
  <si>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</si>
  <si>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</si>
  <si>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</si>
  <si>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</si>
  <si>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</si>
  <si>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</si>
  <si>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</si>
  <si>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</si>
  <si>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</si>
  <si>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</si>
  <si>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</si>
  <si>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</si>
  <si>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</si>
  <si>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</si>
  <si>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</si>
  <si>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</si>
  <si>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</si>
  <si>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</si>
  <si>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</si>
  <si>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</si>
  <si>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</si>
  <si>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</si>
  <si>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</si>
  <si>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</si>
  <si>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</si>
  <si>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</si>
  <si>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</si>
  <si>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</si>
  <si>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</si>
  <si>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</si>
  <si>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</si>
  <si>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</si>
  <si>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</si>
  <si>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</si>
  <si>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</si>
  <si>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</si>
  <si>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</si>
  <si>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</si>
  <si>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</si>
  <si>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</si>
  <si>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</si>
  <si>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</si>
  <si>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</si>
  <si>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</si>
  <si>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</si>
  <si>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</si>
  <si>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</si>
  <si>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</si>
  <si>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</si>
  <si>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</si>
  <si>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</si>
  <si>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</si>
  <si>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</si>
  <si>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</si>
  <si>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</si>
  <si>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</si>
  <si>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</si>
  <si>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</si>
  <si>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</si>
  <si>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</si>
  <si>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</si>
  <si>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</si>
  <si>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</si>
  <si>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</si>
  <si>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</si>
  <si>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</si>
  <si>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</si>
  <si>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</si>
  <si>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</si>
  <si>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</si>
  <si>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</si>
  <si>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</si>
  <si>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</si>
  <si>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</si>
  <si>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</si>
  <si>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</si>
  <si>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</si>
  <si>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</si>
  <si>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</si>
  <si>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</si>
  <si>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</si>
  <si>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</si>
  <si>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</si>
  <si>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</si>
  <si>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</si>
  <si>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</si>
  <si>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</si>
  <si>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</si>
  <si>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</si>
  <si>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</si>
  <si>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</si>
  <si>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</si>
  <si>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</si>
  <si>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</si>
  <si>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</si>
  <si>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</si>
  <si>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</si>
  <si>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</si>
  <si>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</si>
  <si>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</si>
  <si>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</si>
  <si>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</si>
  <si>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</si>
  <si>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</si>
  <si>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</si>
  <si>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</si>
  <si>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</si>
  <si>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</si>
  <si>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</si>
  <si>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</si>
  <si>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</si>
  <si>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</si>
  <si>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</si>
  <si>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</si>
  <si>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</si>
  <si>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</si>
  <si>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</si>
  <si>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</si>
  <si>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</si>
  <si>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</si>
  <si>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</si>
  <si>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</si>
  <si>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</si>
  <si>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</si>
  <si>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</si>
  <si>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</si>
  <si>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</si>
  <si>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</si>
  <si>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</si>
  <si>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</si>
  <si>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</si>
  <si>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</si>
  <si>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</si>
  <si>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</si>
  <si>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</si>
  <si>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</si>
  <si>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</si>
  <si>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</si>
  <si>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</si>
  <si>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</si>
  <si>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</si>
  <si>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</si>
  <si>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</si>
  <si>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</si>
  <si>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</si>
  <si>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</si>
  <si>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</si>
  <si>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</si>
  <si>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</si>
  <si>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</si>
  <si>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</si>
  <si>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</si>
  <si>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</si>
  <si>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</si>
  <si>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</si>
  <si>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</si>
  <si>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</si>
  <si>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</si>
  <si>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</si>
  <si>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</si>
  <si>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</si>
  <si>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</si>
  <si>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</si>
  <si>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</si>
  <si>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</si>
  <si>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</si>
  <si>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</si>
  <si>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</si>
  <si>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</si>
  <si>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</si>
  <si>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</si>
  <si>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</si>
  <si>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</si>
  <si>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</si>
  <si>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</si>
  <si>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</si>
  <si>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</si>
  <si>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</si>
  <si>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</si>
  <si>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</si>
  <si>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</si>
  <si>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</si>
  <si>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</si>
  <si>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</si>
  <si>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</si>
  <si>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</si>
  <si>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</si>
  <si>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</si>
  <si>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</si>
  <si>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</si>
  <si>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</si>
  <si>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</si>
  <si>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</si>
  <si>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</si>
  <si>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</si>
  <si>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</si>
  <si>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</si>
  <si>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</si>
  <si>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</si>
  <si>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</si>
  <si>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</si>
  <si>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</si>
  <si>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</si>
  <si>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</si>
  <si>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</si>
  <si>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</si>
  <si>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</si>
  <si>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</si>
  <si>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</si>
  <si>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</si>
  <si>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</si>
  <si>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</si>
  <si>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</si>
  <si>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</si>
  <si>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</si>
  <si>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</si>
  <si>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</si>
  <si>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</si>
  <si>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</si>
  <si>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</si>
  <si>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</si>
  <si>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</si>
  <si>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</si>
  <si>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</si>
  <si>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</si>
  <si>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</si>
  <si>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</si>
  <si>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</si>
  <si>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</si>
  <si>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</si>
  <si>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</si>
  <si>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</si>
  <si>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</si>
  <si>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</si>
  <si>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</si>
  <si>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</si>
  <si>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</si>
  <si>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</si>
  <si>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</si>
  <si>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</si>
  <si>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</si>
  <si>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</si>
  <si>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</si>
  <si>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</si>
  <si>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</si>
  <si>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</si>
  <si>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</si>
  <si>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</si>
  <si>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</si>
  <si>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</si>
  <si>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</si>
  <si>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</si>
  <si>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</si>
  <si>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</si>
  <si>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</si>
  <si>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</si>
  <si>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</si>
  <si>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</si>
  <si>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</si>
  <si>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</si>
  <si>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</si>
  <si>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</si>
  <si>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</si>
  <si>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</si>
  <si>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</si>
  <si>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</si>
  <si>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</si>
  <si>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</si>
  <si>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</si>
  <si>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</si>
  <si>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</si>
  <si>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</si>
  <si>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</si>
  <si>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</si>
  <si>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</si>
  <si>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</si>
  <si>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</si>
  <si>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</si>
  <si>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</si>
  <si>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</si>
  <si>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</si>
  <si>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</si>
  <si>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</si>
  <si>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</si>
  <si>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</si>
  <si>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</si>
  <si>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</si>
  <si>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</si>
  <si>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</si>
  <si>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</si>
  <si>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</si>
  <si>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</si>
  <si>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</si>
  <si>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</si>
  <si>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</si>
  <si>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</si>
  <si>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</si>
  <si>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</si>
  <si>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</si>
  <si>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</si>
  <si>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</si>
  <si>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</si>
  <si>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</si>
  <si>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</si>
  <si>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</si>
  <si>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</si>
  <si>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</si>
  <si>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</si>
  <si>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</si>
  <si>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</si>
  <si>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</si>
  <si>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</si>
  <si>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</si>
  <si>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</si>
  <si>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</si>
  <si>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</si>
  <si>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</si>
  <si>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</si>
  <si>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</si>
  <si>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</si>
  <si>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</si>
  <si>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</si>
  <si>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</si>
  <si>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</si>
  <si>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</si>
  <si>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</si>
  <si>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</si>
  <si>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</si>
  <si>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</si>
  <si>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</si>
  <si>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</si>
  <si>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</si>
  <si>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</si>
  <si>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</si>
  <si>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</si>
  <si>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</si>
  <si>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</si>
  <si>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</si>
  <si>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</si>
  <si>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</si>
  <si>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</si>
  <si>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</si>
  <si>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</si>
  <si>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</si>
  <si>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</si>
  <si>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</si>
  <si>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</si>
  <si>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</si>
  <si>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</si>
  <si>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</si>
  <si>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</si>
  <si>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</si>
  <si>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 RS-EDA-SMUR:15-SMUR:createCaseHealthSmur</t>
  </si>
  <si>
    <t>15-SMUR</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</si>
  <si>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</si>
  <si>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</si>
  <si>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</si>
  <si>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</si>
  <si>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ENUM: AMU, SNP, NEONAT</t>
  </si>
  <si>
    <t>Type d'intervention</t>
  </si>
  <si>
    <t>interventionType</t>
  </si>
  <si>
    <t>Qualification de l'affaire/dossier</t>
  </si>
  <si>
    <t>Permet de qualifier l'affaire/dossier en général. 
15-18 : La qualification est issue d'une interprétation métier des alertes reçues.</t>
  </si>
  <si>
    <t>codeLabelComment</t>
  </si>
  <si>
    <t>NOMENCLATURE: CISU-Code_Nature_de_fait</t>
  </si>
  <si>
    <t># Voir whatsHappen (type codeLabelComment)</t>
  </si>
  <si>
    <t>NOMENCLATURE: CISU-Code_Type_de_lieu</t>
  </si>
  <si>
    <t>NOMENCLATURE: CISU-Code_Risque-Menace-Sensibilité</t>
  </si>
  <si>
    <t>NOMENCLATURE: CISU-Code_Motif_patient-victime</t>
  </si>
  <si>
    <t>ENUM: D, DR, DRM</t>
  </si>
  <si>
    <t>NOMENCLATURE: SI-SAMU-DEVENIRD</t>
  </si>
  <si>
    <t>NOMENCLATURE: SI-SAMU-PRIORITE</t>
  </si>
  <si>
    <t>Localisation de l'affaire/dossier</t>
  </si>
  <si>
    <t>Permet de décrire le lieu d'intervention.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</si>
  <si>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</si>
  <si>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Numéro, type et nom de la voie. Utilisé pour tout type de voie :  autoroute (PK, nom et sens), voie ferrée, voie navigable…
15-18 : Obligatoire et seule valeur des détails de l'adresse fournie par NexSIS.</t>
  </si>
  <si>
    <t>Type de la voie</t>
  </si>
  <si>
    <t>Nom de la voie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</si>
  <si>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</si>
  <si>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</si>
  <si>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Informations complémentaires sur la localisation</t>
  </si>
  <si>
    <t>L'objet alert correspond à la transcription d'une communication d'urgence, par exemple un appel téléphonique.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</si>
  <si>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Informations complémentaires sur l'alerte (observations ARM)</t>
  </si>
  <si>
    <t>Texte libre permettant de donner des informations supplémentaires concernant l'alerte.
15-15 : ce champ est celui dédié pour passer les observations ARM en texte libre.</t>
  </si>
  <si>
    <t>notes</t>
  </si>
  <si>
    <t>Date et heure de l'information complémentaire/l'observation ARM</t>
  </si>
  <si>
    <t>date et heure de l'observation</t>
  </si>
  <si>
    <t>Commentaire/Observations</t>
  </si>
  <si>
    <t>texte libre contenant les indications renseignées par l'ARM</t>
  </si>
  <si>
    <t xml:space="preserve">La personne est inconsciente (perte de connaissance). </t>
  </si>
  <si>
    <t>Requérant</t>
  </si>
  <si>
    <t xml:space="preserve">Type et valeur de l'URI permettant un rappel pour avoir plus d'informations : il peut s'agir du requérant, de la victime ou d'un témoin. </t>
  </si>
  <si>
    <t>Type de requérant</t>
  </si>
  <si>
    <t>NOMENCLATURE: SI-SAMU-TYPAPPLT</t>
  </si>
  <si>
    <t>NOMENCLATURE: SI-SAMU-PBAPL</t>
  </si>
  <si>
    <t>Champ servant à transférer la prise en charge d'un dossier à un autre CRAA après accord verbal de ce dernier.</t>
  </si>
  <si>
    <t>Patient / victime</t>
  </si>
  <si>
    <t>fr.health.samu044.DRFR15DDXAAJJJ00000.P00</t>
  </si>
  <si>
    <t>administrativeFile</t>
  </si>
  <si>
    <t>NOMENCLATURE: SI-SAMU-NOMENC_SEXE</t>
  </si>
  <si>
    <t>Traits non stricts de l'identité</t>
  </si>
  <si>
    <t>REGEX: P[0-9]{1,3}[YMWD]</t>
  </si>
  <si>
    <t>NOMENCLATURE: SI-SAMU-GRAVITE</t>
  </si>
  <si>
    <t>Informations complémentaires sur le patient</t>
  </si>
  <si>
    <t>Correspond à la zone de commentaire renseigné par patient créé/identifié</t>
  </si>
  <si>
    <t>Interrogatoire médical</t>
  </si>
  <si>
    <t>ID partagé du patient concerné par la décision, lorsque le patient existe et est identifié</t>
  </si>
  <si>
    <t>NOMENCLATURE: SI-SAMU-TYPEDEC</t>
  </si>
  <si>
    <t>Décision d'engagement</t>
  </si>
  <si>
    <t>Partage de l'équipe à engager sur le lieu de l'intervention</t>
  </si>
  <si>
    <t>engagementDetails</t>
  </si>
  <si>
    <t>Type de moyen</t>
  </si>
  <si>
    <t>détaille le moyen à engager</t>
  </si>
  <si>
    <t>SMUR, Pompiers</t>
  </si>
  <si>
    <t>categoryType</t>
  </si>
  <si>
    <t>NOMENCLATURE : TYPE_MOYEN</t>
  </si>
  <si>
    <t>Type de vecteur</t>
  </si>
  <si>
    <t>détaille le type de vecteur à engager</t>
  </si>
  <si>
    <t>AR, VLM, VSAV</t>
  </si>
  <si>
    <t>resourceType</t>
  </si>
  <si>
    <t>NOMENCLATURE : TYPE_VECTEUR</t>
  </si>
  <si>
    <t xml:space="preserve">ID vecteur </t>
  </si>
  <si>
    <t>resourceId</t>
  </si>
  <si>
    <t>teamCareInitial</t>
  </si>
  <si>
    <t>NOMENCLATURE : NIVSOIN</t>
  </si>
  <si>
    <t>Décision de transport/orientation</t>
  </si>
  <si>
    <t>transportDetails</t>
  </si>
  <si>
    <t>Type de devenir du patient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</si>
  <si>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</si>
  <si>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</si>
  <si>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</si>
  <si>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</si>
  <si>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Lorsque plusieurs alertes correspondent à une même affaire/dossier, la première alerte reçue est appelée Alerte initial "initialAlert", la seconde et les suivantes sont des objets "newAlert".
Les objet newAlert suivent le modèle d'un objet initialAlert
15-18 : Dans le cadre d'une mise à jour d'affaire, les objets alertes sont IMMUTABLES.</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</si>
  <si>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</si>
  <si>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</si>
  <si>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</si>
  <si>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</si>
  <si>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</si>
  <si>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</si>
  <si>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</si>
  <si>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</si>
  <si>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</si>
  <si>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</si>
  <si>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</si>
  <si>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</si>
  <si>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</si>
  <si>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</si>
  <si>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</si>
  <si>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</si>
  <si>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</si>
  <si>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</si>
  <si>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</si>
  <si>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</si>
  <si>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</si>
  <si>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</si>
  <si>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</si>
  <si>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</si>
  <si>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</si>
  <si>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</si>
  <si>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</si>
  <si>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</si>
  <si>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</si>
  <si>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</si>
  <si>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</si>
  <si>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</si>
  <si>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</si>
  <si>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</si>
  <si>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</si>
  <si>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</si>
  <si>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</si>
  <si>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</si>
  <si>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</si>
  <si>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</si>
  <si>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</si>
  <si>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</si>
  <si>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</si>
  <si>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</si>
  <si>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</si>
  <si>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</si>
  <si>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</si>
  <si>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</si>
  <si>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</si>
  <si>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</si>
  <si>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</si>
  <si>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</si>
  <si>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</si>
  <si>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</si>
  <si>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</si>
  <si>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</si>
  <si>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</si>
  <si>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</si>
  <si>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</si>
  <si>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</si>
  <si>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</si>
  <si>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</si>
  <si>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</si>
  <si>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</si>
  <si>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</si>
  <si>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</si>
  <si>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</si>
  <si>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</si>
  <si>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</si>
  <si>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</si>
  <si>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</si>
  <si>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</si>
  <si>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</si>
  <si>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</si>
  <si>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</si>
  <si>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</si>
  <si>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</si>
  <si>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</si>
  <si>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</si>
  <si>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</si>
  <si>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</si>
  <si>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</si>
  <si>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</si>
  <si>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</si>
  <si>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</si>
  <si>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</si>
  <si>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</si>
  <si>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</si>
  <si>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</si>
  <si>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</si>
  <si>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</si>
  <si>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</si>
  <si>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</si>
  <si>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</si>
  <si>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</si>
  <si>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</si>
  <si>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</si>
  <si>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</si>
  <si>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</si>
  <si>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</si>
  <si>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</si>
  <si>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</si>
  <si>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</si>
  <si>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</si>
  <si>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</si>
  <si>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</si>
  <si>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</si>
  <si>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</si>
  <si>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</si>
  <si>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</si>
  <si>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</si>
  <si>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</si>
  <si>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</si>
  <si>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</si>
  <si>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</si>
  <si>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</si>
  <si>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</si>
  <si>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</si>
  <si>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</si>
  <si>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</si>
  <si>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</si>
  <si>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</si>
  <si>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</si>
  <si>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</si>
  <si>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</si>
  <si>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</si>
  <si>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</si>
  <si>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</si>
  <si>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</si>
  <si>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</si>
  <si>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</si>
  <si>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</si>
  <si>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</si>
  <si>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</si>
  <si>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</si>
  <si>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</si>
  <si>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</si>
  <si>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</si>
  <si>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</si>
  <si>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</si>
  <si>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</si>
  <si>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</si>
  <si>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</si>
  <si>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</si>
  <si>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</si>
  <si>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</si>
  <si>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</si>
  <si>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</si>
  <si>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</si>
  <si>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</si>
  <si>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</si>
  <si>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</si>
  <si>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</si>
  <si>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</si>
  <si>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</si>
  <si>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</si>
  <si>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</si>
  <si>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</si>
  <si>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</si>
  <si>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</si>
  <si>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</si>
  <si>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</si>
  <si>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</si>
  <si>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</si>
  <si>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</si>
  <si>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</si>
  <si>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</si>
  <si>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</si>
  <si>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</si>
  <si>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</si>
  <si>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</si>
  <si>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</si>
  <si>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</si>
  <si>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</si>
  <si>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</si>
  <si>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</si>
  <si>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</si>
  <si>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</si>
  <si>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</si>
  <si>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</si>
  <si>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</si>
  <si>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</si>
  <si>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</si>
  <si>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</si>
  <si>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</si>
  <si>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</si>
  <si>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</si>
  <si>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</si>
  <si>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</si>
  <si>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</si>
  <si>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</si>
  <si>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</si>
  <si>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</si>
  <si>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</si>
  <si>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</si>
  <si>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</si>
  <si>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</si>
  <si>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</si>
  <si>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</si>
  <si>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</si>
  <si>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</si>
  <si>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</si>
  <si>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</si>
  <si>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</si>
  <si>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</si>
  <si>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</si>
  <si>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</si>
  <si>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</si>
  <si>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</si>
  <si>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</si>
  <si>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</si>
  <si>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</si>
  <si>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</si>
  <si>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</si>
  <si>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</si>
  <si>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</si>
  <si>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</si>
  <si>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</si>
  <si>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</si>
  <si>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</si>
  <si>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</si>
  <si>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</si>
  <si>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</si>
  <si>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</si>
  <si>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</si>
  <si>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</si>
  <si>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</si>
  <si>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</si>
  <si>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</si>
  <si>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</si>
  <si>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</si>
  <si>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</si>
  <si>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</si>
  <si>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</si>
  <si>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</si>
  <si>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</si>
  <si>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</si>
  <si>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</si>
  <si>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</si>
  <si>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</si>
  <si>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</si>
  <si>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</si>
  <si>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</si>
  <si>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</si>
  <si>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</si>
  <si>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</si>
  <si>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</si>
  <si>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</si>
  <si>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</si>
  <si>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</si>
  <si>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</si>
  <si>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</si>
  <si>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</si>
  <si>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</si>
  <si>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</si>
  <si>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</si>
  <si>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</si>
  <si>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</si>
  <si>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</si>
  <si>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</si>
  <si>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</si>
  <si>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</si>
  <si>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</si>
  <si>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</si>
  <si>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</si>
  <si>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</si>
  <si>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</si>
  <si>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</si>
  <si>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</si>
  <si>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</si>
  <si>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</si>
  <si>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</si>
  <si>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</si>
  <si>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</si>
  <si>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</si>
  <si>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</si>
  <si>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</si>
  <si>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</si>
  <si>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</si>
  <si>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</si>
  <si>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</si>
  <si>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</si>
  <si>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</si>
  <si>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</si>
  <si>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</si>
  <si>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</si>
  <si>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</si>
  <si>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</si>
  <si>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</si>
  <si>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</si>
  <si>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</si>
  <si>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</si>
  <si>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</si>
  <si>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</si>
  <si>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</si>
  <si>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</si>
  <si>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</si>
  <si>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</si>
  <si>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</si>
  <si>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</si>
  <si>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</si>
  <si>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</si>
  <si>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</si>
  <si>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</si>
  <si>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</si>
  <si>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</si>
  <si>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</si>
  <si>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</si>
  <si>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</si>
  <si>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</si>
  <si>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</si>
  <si>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</si>
  <si>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</si>
  <si>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</si>
  <si>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</si>
  <si>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</si>
  <si>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</si>
  <si>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</si>
  <si>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</si>
  <si>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</si>
  <si>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</si>
  <si>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</si>
  <si>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</si>
  <si>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</si>
  <si>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</si>
  <si>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</si>
  <si>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</si>
  <si>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</si>
  <si>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</si>
  <si>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</si>
  <si>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</si>
  <si>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</si>
  <si>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</si>
  <si>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</si>
  <si>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</si>
  <si>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</si>
  <si>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</si>
  <si>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</si>
  <si>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</si>
  <si>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</si>
  <si>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</si>
  <si>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</si>
  <si>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</si>
  <si>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</si>
  <si>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</si>
  <si>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</si>
  <si>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</si>
  <si>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</si>
  <si>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</si>
  <si>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</si>
  <si>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</si>
  <si>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</si>
  <si>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</si>
  <si>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</si>
  <si>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</si>
  <si>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</si>
  <si>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</si>
  <si>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</si>
  <si>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</si>
  <si>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</si>
  <si>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</si>
  <si>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</si>
  <si>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</si>
  <si>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</si>
  <si>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</si>
  <si>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</si>
  <si>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</si>
  <si>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</si>
  <si>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</si>
  <si>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</si>
  <si>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</si>
  <si>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</si>
  <si>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</si>
  <si>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</si>
  <si>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</si>
  <si>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</si>
  <si>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</si>
  <si>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</si>
  <si>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</si>
  <si>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</si>
  <si>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</si>
  <si>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</si>
  <si>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</si>
  <si>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</si>
  <si>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</si>
  <si>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</si>
  <si>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</si>
  <si>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</si>
  <si>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</si>
  <si>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</si>
  <si>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</si>
  <si>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</si>
  <si>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</si>
  <si>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</si>
  <si>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</si>
  <si>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</si>
  <si>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</si>
  <si>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</si>
  <si>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</si>
  <si>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</si>
  <si>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</si>
  <si>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</si>
  <si>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</si>
  <si>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</si>
  <si>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</si>
  <si>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</si>
  <si>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</si>
  <si>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</si>
  <si>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</si>
  <si>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</si>
  <si>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</si>
  <si>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</si>
  <si>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</si>
  <si>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</si>
  <si>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</si>
  <si>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</si>
  <si>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</si>
  <si>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</si>
  <si>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</si>
  <si>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</si>
  <si>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</si>
  <si>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</si>
  <si>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</si>
  <si>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</si>
  <si>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</si>
  <si>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</si>
  <si>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</si>
  <si>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</si>
  <si>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</si>
  <si>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</si>
  <si>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</si>
  <si>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</si>
  <si>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</si>
  <si>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</si>
  <si>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</si>
  <si>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</si>
  <si>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</si>
  <si>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</si>
  <si>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</si>
  <si>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</si>
  <si>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</si>
  <si>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</si>
  <si>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</si>
  <si>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</si>
  <si>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</si>
  <si>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</si>
  <si>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</si>
  <si>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</si>
  <si>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</si>
  <si>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</si>
  <si>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</si>
  <si>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</si>
  <si>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</si>
  <si>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</si>
  <si>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</si>
  <si>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</si>
  <si>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Balise</t>
  </si>
  <si>
    <t>ID du message RS-EDR</t>
  </si>
  <si>
    <t>Identifiant unique de l'Echange de Ressource concerné. Le premier qui le créé à raison, ensuite il ne change pas. Il s'agit du message servant à échanger l'ensemble des ressources mobilisées/engagées sur un dossier</t>
  </si>
  <si>
    <t>RSEDRId</t>
  </si>
  <si>
    <t>Vecteur/ressource engagée</t>
  </si>
  <si>
    <t>Liste des vecteurs associés au message :  liste l'ensemble des vecteurs ou ressources mobilisées</t>
  </si>
  <si>
    <t>mobilizedResources</t>
  </si>
  <si>
    <t>Date/heure de déclenchement</t>
  </si>
  <si>
    <t>date et heure d'engagement de la ressource</t>
  </si>
  <si>
    <t>dateTime</t>
  </si>
  <si>
    <t>ID partagé</t>
  </si>
  <si>
    <t>ID unique de la ressource engagée</t>
  </si>
  <si>
    <t>resourceID</t>
  </si>
  <si>
    <t>A normer</t>
  </si>
  <si>
    <t>Type de ressource mobilisée (nomenclature type de vecteur à implémenter pour l'instant, voir ensuite si elle est complétée par des ressources autres que des vecteurs)</t>
  </si>
  <si>
    <t>Nomenclature / liste à implémenter</t>
  </si>
  <si>
    <t>Immatriculation</t>
  </si>
  <si>
    <t>plate</t>
  </si>
  <si>
    <t>Nom donné par l’organisation d’appartenance</t>
  </si>
  <si>
    <t>Organisation à laquelle appartient la ressource</t>
  </si>
  <si>
    <t>orgID</t>
  </si>
  <si>
    <t>Centre d’affectation</t>
  </si>
  <si>
    <t>Lieu de garage principal</t>
  </si>
  <si>
    <t>centerName</t>
  </si>
  <si>
    <t>Type de centre d’affectation</t>
  </si>
  <si>
    <t>centerType</t>
  </si>
  <si>
    <t>Commune du centre d’affectation</t>
  </si>
  <si>
    <t>Code INSEE de la commune du centre d'affectation</t>
  </si>
  <si>
    <t>centerCity</t>
  </si>
  <si>
    <t>Marque vecteur</t>
  </si>
  <si>
    <t>make</t>
  </si>
  <si>
    <t>Modèle vecteur</t>
  </si>
  <si>
    <t>model</t>
  </si>
  <si>
    <t>Equipe vecteur</t>
  </si>
  <si>
    <t>Décrit le type et l'équipe à bord du vecteur</t>
  </si>
  <si>
    <t>team</t>
  </si>
  <si>
    <t>Médical / paramédical : indique le niveau de médicalisation du vecteur</t>
  </si>
  <si>
    <t>ENUM : Medicale, Paramédicale</t>
  </si>
  <si>
    <t>Voir pour implémenter une nomenclature ?</t>
  </si>
  <si>
    <t>Nom de l'équipe à bord du vecteur</t>
  </si>
  <si>
    <t>Etat vecteur</t>
  </si>
  <si>
    <t>state</t>
  </si>
  <si>
    <t>Date/heure de changement de statut</t>
  </si>
  <si>
    <t>Statut du vecteur</t>
  </si>
  <si>
    <t>Statuts Antares</t>
  </si>
  <si>
    <t>ENUM : Alerté, Parti, Arrivée sur les lieux, Transport destination, Arrivée destination, Fin de médicalisation , Quitte destination, Retour base, Rentrée Base</t>
  </si>
  <si>
    <t>Disponibilité du vecteur</t>
  </si>
  <si>
    <t>Indique si le vecteur est disponible / indisponible</t>
  </si>
  <si>
    <t>availability</t>
  </si>
  <si>
    <t>ENUM : Disponible, Indisponible, Inconnu</t>
  </si>
  <si>
    <t>Type et valeur de l'URI utilisée par la ressource.</t>
  </si>
  <si>
    <t>Type de l'URI utilisée</t>
  </si>
  <si>
    <t>Valeur de l'URI utilisée pour contacter la ressource</t>
  </si>
  <si>
    <t>Texte libre permettant de passer toute autre information (équipements supplémentaires / particuliers, particularités du vecteur)</t>
  </si>
  <si>
    <t>ID DDR partagé</t>
  </si>
  <si>
    <t>Identifiant unique partagé de la demande de ressource</t>
  </si>
  <si>
    <t>RSDDRId</t>
  </si>
  <si>
    <t>Demande de ressource</t>
  </si>
  <si>
    <t>Groupe date heure de début de la demande</t>
  </si>
  <si>
    <t>resourceRequest</t>
  </si>
  <si>
    <t>request</t>
  </si>
  <si>
    <t>Date Heure de création de la demande</t>
  </si>
  <si>
    <t>Voir liste des effets à obtenir identifiés</t>
  </si>
  <si>
    <t>Cadre conventionnel</t>
  </si>
  <si>
    <t>convention</t>
  </si>
  <si>
    <t>Délai souhaité</t>
  </si>
  <si>
    <t>delay</t>
  </si>
  <si>
    <t>Effet à obtenir</t>
  </si>
  <si>
    <t>purpose</t>
  </si>
  <si>
    <t>Liste/nomenclature des effets à obtenir à ajouteer</t>
  </si>
  <si>
    <t>Implémenter la liste des effets à obtenir ici</t>
  </si>
  <si>
    <t>Précisions sur la demande</t>
  </si>
  <si>
    <t>Identifiant unique partagé de la demande de ressource à laquelle l'expéditeur répond</t>
  </si>
  <si>
    <t>Réponse à la demande de concours</t>
  </si>
  <si>
    <t>Date Heure de réponse</t>
  </si>
  <si>
    <t>Réponse</t>
  </si>
  <si>
    <t>oui / non / oui partiel</t>
  </si>
  <si>
    <t>Délai de réponse</t>
  </si>
  <si>
    <t>Indique le délai de réponse auquel s'engage l'expéditeur</t>
  </si>
  <si>
    <t>Précisions sur la réponse</t>
  </si>
  <si>
    <t>Commentaire libre pour apporter toutes précisions utiles à la réponse</t>
  </si>
  <si>
    <t>RPIS</t>
  </si>
  <si>
    <t>15-RPIS</t>
  </si>
  <si>
    <t>15-TSU</t>
  </si>
  <si>
    <t>Evènement</t>
  </si>
  <si>
    <t>Identifiant du SAMU qui engage le SMUR</t>
  </si>
  <si>
    <t xml:space="preserve">Numéro du SAMU régulant la mission SMUR. 
A valoriser par fr.health.samuXXX :  {pays}.{domaine}.{organisation}
</t>
  </si>
  <si>
    <t>samuId</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</si>
  <si>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</si>
  <si>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</si>
  <si>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</si>
  <si>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</si>
  <si>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</si>
  <si>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</si>
  <si>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</si>
  <si>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</si>
  <si>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</si>
  <si>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</si>
  <si>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</si>
  <si>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</si>
  <si>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</si>
  <si>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</si>
  <si>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</si>
  <si>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</si>
  <si>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</si>
  <si>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</si>
  <si>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Type d'évènement</t>
  </si>
  <si>
    <t>Sortie SUR primaire, Sortie SMUR Secondaire, Transfert TIIH</t>
  </si>
  <si>
    <t>S, P, T</t>
  </si>
  <si>
    <t>Annulation</t>
  </si>
  <si>
    <t>cancelled</t>
  </si>
  <si>
    <t>Annulation de l'intervention</t>
  </si>
  <si>
    <t>Indique si la mission est annulée</t>
  </si>
  <si>
    <t>VRAI, FAUX</t>
  </si>
  <si>
    <t>cancelStatus</t>
  </si>
  <si>
    <t>boolean</t>
  </si>
  <si>
    <t>Date et heure de l'annulation</t>
  </si>
  <si>
    <t>Régulation médicale</t>
  </si>
  <si>
    <t>regulation</t>
  </si>
  <si>
    <t>Circonstances ayant données lieu à l’appel</t>
  </si>
  <si>
    <t>A valoriser avec un code de la nomenclature TYPCIRCO</t>
  </si>
  <si>
    <t>AVPAR</t>
  </si>
  <si>
    <t>Libellé court</t>
  </si>
  <si>
    <t>A valoriser avec le libellé de la nomenclature TYPCIRCO.
Dans le cas où un système n'est pas en mesure de reconnaître un code, il peut directement afficher le libellé qui est obligatoirement fourni avec le code.</t>
  </si>
  <si>
    <t>Accident routier</t>
  </si>
  <si>
    <t xml:space="preserve">Motif de recours </t>
  </si>
  <si>
    <t>A valoriser avec un code la nomenclature TYPMDR</t>
  </si>
  <si>
    <t>DVDETRES</t>
  </si>
  <si>
    <t>A valoriser avec le libellé de la nomenclature TYPMDR.
Dans le cas où un système n'est pas en mesure de reconnaître un code, il peut directement afficher le libellé qui est obligatoirement fourni avec le code.</t>
  </si>
  <si>
    <t>Dét respiratoire</t>
  </si>
  <si>
    <t>Niveau de médicalisation initial</t>
  </si>
  <si>
    <t xml:space="preserve">Type d’équipe (médical, paramédicale, secouriste).
A valoriser par un code de la nomenclature 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</si>
  <si>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</si>
  <si>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</si>
  <si>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</si>
  <si>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</si>
  <si>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</si>
  <si>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</si>
  <si>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Sexe</t>
  </si>
  <si>
    <t>Sexe du patient, suivant le libellé court de la nomenclature 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</si>
  <si>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</si>
  <si>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</si>
  <si>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</si>
  <si>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</si>
  <si>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</si>
  <si>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</si>
  <si>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</si>
  <si>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</si>
  <si>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</si>
  <si>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</si>
  <si>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</si>
  <si>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</si>
  <si>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</si>
  <si>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</si>
  <si>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TYPELIEU.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</si>
  <si>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</si>
  <si>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</si>
  <si>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</si>
  <si>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</si>
  <si>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</si>
  <si>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</si>
  <si>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</si>
  <si>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</si>
  <si>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</si>
  <si>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</si>
  <si>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</si>
  <si>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</si>
  <si>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</si>
  <si>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</si>
  <si>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</si>
  <si>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</si>
  <si>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</si>
  <si>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</si>
  <si>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</si>
  <si>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</si>
  <si>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</si>
  <si>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</si>
  <si>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ABV</t>
  </si>
  <si>
    <t>actions</t>
  </si>
  <si>
    <t>Diagnostic principal SMUR</t>
  </si>
  <si>
    <t>Thésaurus SFMU-FEDORU.
A valoriser par un code de la nomenclature Diagnostic SMUR.</t>
  </si>
  <si>
    <t>R579</t>
  </si>
  <si>
    <t>Diagnostic associé  SMUR</t>
  </si>
  <si>
    <t>R578</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</si>
  <si>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</si>
  <si>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</si>
  <si>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</si>
  <si>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</si>
  <si>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</si>
  <si>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</si>
  <si>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</si>
  <si>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</si>
  <si>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</si>
  <si>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</si>
  <si>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</si>
  <si>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</si>
  <si>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</si>
  <si>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</si>
  <si>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</si>
  <si>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</si>
  <si>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</si>
  <si>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</si>
  <si>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</si>
  <si>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</si>
  <si>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</si>
  <si>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</si>
  <si>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</si>
  <si>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</si>
  <si>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</si>
  <si>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</si>
  <si>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</si>
  <si>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</si>
  <si>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</si>
  <si>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</si>
  <si>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</si>
  <si>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</si>
  <si>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</si>
  <si>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</si>
  <si>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</si>
  <si>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</si>
  <si>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</si>
  <si>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TYPMOYEN.</t>
  </si>
  <si>
    <t>SMUR</t>
  </si>
  <si>
    <t>resourceCategory</t>
  </si>
  <si>
    <t>Type de vecteur de transport</t>
  </si>
  <si>
    <t>Précise le type de véhicule terrestre / aérien / maritime engagé dans l'intervention.
A valoriser par un code de la nomenclature TYPVECT.</t>
  </si>
  <si>
    <t>Niveau de médicalisation du transport</t>
  </si>
  <si>
    <t>Type d’équipe (médical, paramédicale, secouriste).
A valoriser par un code de la nomenclature NIVSOIN.</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</si>
  <si>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</si>
  <si>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</si>
  <si>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</si>
  <si>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</si>
  <si>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</si>
  <si>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</si>
  <si>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</si>
  <si>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</si>
  <si>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</si>
  <si>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</si>
  <si>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</si>
  <si>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</si>
  <si>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</si>
  <si>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</si>
  <si>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</si>
  <si>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</si>
  <si>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</si>
  <si>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</si>
  <si>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</si>
  <si>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</si>
  <si>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</si>
  <si>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</si>
  <si>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</si>
  <si>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</si>
  <si>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</si>
  <si>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</si>
  <si>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</si>
  <si>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</si>
  <si>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</si>
  <si>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</si>
  <si>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</si>
  <si>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</si>
  <si>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</si>
  <si>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</si>
  <si>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</si>
  <si>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</si>
  <si>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</si>
  <si>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</si>
  <si>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</si>
  <si>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</si>
  <si>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</si>
  <si>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</si>
  <si>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</si>
  <si>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</si>
  <si>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</si>
  <si>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</si>
  <si>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</si>
  <si>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</si>
  <si>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</si>
  <si>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</si>
  <si>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</si>
  <si>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</si>
  <si>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</si>
  <si>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</si>
  <si>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</si>
  <si>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</si>
  <si>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</si>
  <si>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</si>
  <si>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</si>
  <si>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</si>
  <si>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</si>
  <si>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</si>
  <si>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</si>
  <si>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</si>
  <si>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</si>
  <si>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</si>
  <si>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</si>
  <si>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</si>
  <si>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</si>
  <si>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</si>
  <si>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</si>
  <si>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</si>
  <si>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</si>
  <si>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</si>
  <si>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</si>
  <si>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</si>
  <si>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</si>
  <si>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</si>
  <si>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</si>
  <si>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</si>
  <si>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</si>
  <si>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</si>
  <si>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</si>
  <si>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</si>
  <si>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</si>
  <si>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</si>
  <si>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</si>
  <si>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</si>
  <si>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</si>
  <si>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</si>
  <si>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</si>
  <si>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</si>
  <si>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</si>
  <si>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</si>
  <si>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</si>
  <si>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</si>
  <si>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</si>
  <si>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</si>
  <si>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</si>
  <si>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</si>
  <si>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</si>
  <si>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</si>
  <si>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</si>
  <si>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</si>
  <si>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</si>
  <si>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</si>
  <si>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</si>
  <si>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</si>
  <si>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</si>
  <si>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</si>
  <si>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</si>
  <si>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</si>
  <si>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</si>
  <si>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Niveau de médicalisation souhaitée</t>
  </si>
  <si>
    <t>Destination souhaitée</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</si>
  <si>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</si>
  <si>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</si>
  <si>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</si>
  <si>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</si>
  <si>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</si>
  <si>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</si>
  <si>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</si>
  <si>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</si>
  <si>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</si>
  <si>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</si>
  <si>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Statuts Vecteur</t>
  </si>
  <si>
    <t>ID du SMUR</t>
  </si>
  <si>
    <t xml:space="preserve">Numéro du d'identification du SMUR
</t>
  </si>
  <si>
    <t>dateStatus</t>
  </si>
  <si>
    <t>Date et heure de l'état de situation du SMUR</t>
  </si>
  <si>
    <t>Type d'état de situation</t>
  </si>
  <si>
    <t xml:space="preserve">Maintenance </t>
  </si>
  <si>
    <t>geoPositionUpdate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</si>
  <si>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</si>
  <si>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</si>
  <si>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</si>
  <si>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</si>
  <si>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</si>
  <si>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</si>
  <si>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</si>
  <si>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</si>
  <si>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</si>
  <si>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</si>
  <si>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</si>
  <si>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</si>
  <si>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</si>
  <si>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</si>
  <si>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</si>
  <si>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</si>
  <si>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</si>
  <si>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</si>
  <si>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</si>
  <si>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</si>
  <si>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</si>
  <si>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</si>
  <si>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</si>
  <si>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</si>
  <si>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</si>
  <si>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</si>
  <si>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</si>
  <si>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</si>
  <si>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</si>
  <si>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</si>
  <si>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</si>
  <si>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</si>
  <si>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</si>
  <si>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</si>
  <si>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</si>
  <si>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</si>
  <si>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</si>
  <si>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</si>
  <si>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</si>
  <si>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</si>
  <si>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</si>
  <si>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</si>
  <si>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geoResourceRequest</t>
  </si>
  <si>
    <t>Identifiant(s) de(s) ressource(s)</t>
  </si>
  <si>
    <t>Liste des ID des ressources pour lesquels le demandeur a besoin d'obtenir plus de détails</t>
  </si>
  <si>
    <t>geoResourceDetails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</si>
  <si>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</si>
  <si>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</si>
  <si>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</si>
  <si>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</si>
  <si>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</si>
  <si>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</si>
  <si>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Type de ressource</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</si>
  <si>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</si>
  <si>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</si>
  <si>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</si>
  <si>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</si>
  <si>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</si>
  <si>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</si>
  <si>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</si>
  <si>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</si>
  <si>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</si>
  <si>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</si>
  <si>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</si>
  <si>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</si>
  <si>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</si>
  <si>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</si>
  <si>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</si>
  <si>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</si>
  <si>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</si>
  <si>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</si>
  <si>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</si>
  <si>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</si>
  <si>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</si>
  <si>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</si>
  <si>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</si>
  <si>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</si>
  <si>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</si>
  <si>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</si>
  <si>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</si>
  <si>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</si>
  <si>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</si>
  <si>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</si>
  <si>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</si>
  <si>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</si>
  <si>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</si>
  <si>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</si>
  <si>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</si>
  <si>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</si>
  <si>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</si>
  <si>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</si>
  <si>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</si>
  <si>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</si>
  <si>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</si>
  <si>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</si>
  <si>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</si>
  <si>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info</t>
  </si>
  <si>
    <t>Information</t>
  </si>
  <si>
    <t> Champ libre permettant de transmettre des informations quelconques</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</si>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</sst>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49">
    <font>
      <sz val="11"/>
      <color rgb="FF808080"/>
      <name val="Tahoma"/>
    </font>
    <font>
      <sz val="11"/>
      <color theme="1"/>
      <name val="Calibri"/>
      <family val="2"/>
      <scheme val="minor"/>
    </font>
    <font>
      <sz val="11"/>
      <color theme="1"/>
      <name val="Calibri"/>
      <family val="2"/>
      <scheme val="minor"/>
    </font>
    <font>
      <sz val="11"/>
      <color rgb="FF808080"/>
      <name val="Calibri2"/>
    </font>
    <font>
      <u/>
      <sz val="11"/>
      <color rgb="FF0563C1"/>
      <name val="Tahoma"/>
      <family val="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u/>
      <sz val="11"/>
      <color rgb="FF0563C1"/>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s>
  <fills count="64">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theme="5" tint="-0.249977111117893"/>
        <bgColor indexed="64"/>
      </patternFill>
    </fill>
  </fills>
  <borders count="54">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s>
  <cellStyleXfs count="14">
    <xf numFmtId="0" fontId="0" fillId="0" borderId="0"/>
    <xf numFmtId="0" fontId="43" fillId="2" borderId="0" applyBorder="0" applyProtection="0"/>
    <xf numFmtId="0" fontId="43" fillId="2" borderId="0" applyBorder="0" applyProtection="0"/>
    <xf numFmtId="0" fontId="3" fillId="2" borderId="0" applyBorder="0" applyProtection="0"/>
    <xf numFmtId="0" fontId="43" fillId="2" borderId="0" applyBorder="0" applyProtection="0"/>
    <xf numFmtId="0" fontId="3" fillId="2" borderId="0" applyBorder="0" applyProtection="0"/>
    <xf numFmtId="0" fontId="5" fillId="0" borderId="0" applyBorder="0" applyProtection="0"/>
    <xf numFmtId="0" fontId="6" fillId="0" borderId="0" applyBorder="0" applyProtection="0"/>
    <xf numFmtId="164" fontId="7" fillId="0" borderId="0" applyBorder="0" applyProtection="0"/>
    <xf numFmtId="0" fontId="43" fillId="2" borderId="0" applyBorder="0" applyProtection="0"/>
    <xf numFmtId="0" fontId="43" fillId="2" borderId="0" applyBorder="0" applyProtection="0"/>
    <xf numFmtId="0" fontId="43" fillId="2" borderId="0" applyBorder="0" applyProtection="0"/>
    <xf numFmtId="0" fontId="3" fillId="2" borderId="0" applyBorder="0" applyProtection="0"/>
    <xf numFmtId="0" fontId="4" fillId="0" borderId="0" applyBorder="0" applyProtection="0"/>
  </cellStyleXfs>
  <cellXfs count="739">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26" fillId="0" borderId="0" xfId="0" applyFont="1"/>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7" fillId="0" borderId="3" xfId="0" applyFont="1" applyBorder="1"/>
    <xf numFmtId="0" fontId="0" fillId="0" borderId="3" xfId="0" applyBorder="1" applyAlignment="1">
      <alignment wrapText="1"/>
    </xf>
    <xf numFmtId="0" fontId="28" fillId="0" borderId="0" xfId="0" applyFont="1"/>
    <xf numFmtId="0" fontId="29" fillId="0" borderId="0" xfId="0" applyFont="1"/>
    <xf numFmtId="0" fontId="30" fillId="0" borderId="0" xfId="0" applyFont="1"/>
    <xf numFmtId="0" fontId="30" fillId="0" borderId="0" xfId="0" applyFont="1" applyAlignment="1">
      <alignment vertical="center"/>
    </xf>
    <xf numFmtId="0" fontId="31" fillId="0" borderId="0" xfId="0" applyFont="1"/>
    <xf numFmtId="0" fontId="32" fillId="0" borderId="0" xfId="0" applyFont="1"/>
    <xf numFmtId="0" fontId="31" fillId="0" borderId="0" xfId="0" applyFont="1" applyAlignment="1">
      <alignment vertical="center"/>
    </xf>
    <xf numFmtId="0" fontId="33" fillId="0" borderId="0" xfId="0" applyFont="1"/>
    <xf numFmtId="0" fontId="0" fillId="0" borderId="0" xfId="0" applyAlignment="1">
      <alignment horizontal="center"/>
    </xf>
    <xf numFmtId="0" fontId="34"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5"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6"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2" fillId="0" borderId="0" xfId="0" applyFont="1" applyAlignment="1">
      <alignment wrapText="1"/>
    </xf>
    <xf numFmtId="0" fontId="9" fillId="4" borderId="1" xfId="0" applyFont="1" applyFill="1" applyBorder="1" applyAlignment="1">
      <alignment horizontal="center"/>
    </xf>
    <xf numFmtId="0" fontId="37" fillId="0" borderId="0" xfId="0" applyFont="1" applyAlignment="1">
      <alignment wrapText="1"/>
    </xf>
    <xf numFmtId="0" fontId="0" fillId="11" borderId="0" xfId="0" applyFill="1"/>
    <xf numFmtId="0" fontId="37" fillId="0" borderId="1" xfId="0" applyFont="1" applyBorder="1" applyAlignment="1">
      <alignment vertical="center" wrapText="1"/>
    </xf>
    <xf numFmtId="0" fontId="37" fillId="0" borderId="1" xfId="0" applyFont="1" applyBorder="1" applyAlignment="1">
      <alignment wrapText="1"/>
    </xf>
    <xf numFmtId="0" fontId="33" fillId="0" borderId="0" xfId="0" applyFont="1" applyAlignment="1">
      <alignment wrapText="1"/>
    </xf>
    <xf numFmtId="0" fontId="37"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9" fillId="0" borderId="2" xfId="0" applyFont="1" applyBorder="1"/>
    <xf numFmtId="0" fontId="39" fillId="0" borderId="1" xfId="0" applyFont="1" applyBorder="1"/>
    <xf numFmtId="0" fontId="37" fillId="0" borderId="0" xfId="0" applyFont="1" applyAlignment="1">
      <alignment horizontal="left"/>
    </xf>
    <xf numFmtId="0" fontId="37" fillId="0" borderId="1" xfId="0" applyFont="1" applyBorder="1"/>
    <xf numFmtId="0" fontId="39" fillId="4" borderId="1" xfId="0" applyFont="1" applyFill="1" applyBorder="1" applyAlignment="1">
      <alignment horizontal="center"/>
    </xf>
    <xf numFmtId="0" fontId="37" fillId="0" borderId="0" xfId="0" applyFont="1" applyAlignment="1">
      <alignment horizontal="center" wrapText="1"/>
    </xf>
    <xf numFmtId="0" fontId="40" fillId="4" borderId="1" xfId="0" applyFont="1" applyFill="1" applyBorder="1" applyAlignment="1">
      <alignment horizontal="center"/>
    </xf>
    <xf numFmtId="0" fontId="39" fillId="0" borderId="0" xfId="0" applyFont="1" applyAlignment="1">
      <alignment horizontal="center"/>
    </xf>
    <xf numFmtId="0" fontId="34" fillId="0" borderId="0" xfId="0" applyFont="1"/>
    <xf numFmtId="0" fontId="35" fillId="4" borderId="1" xfId="0" applyFont="1" applyFill="1" applyBorder="1"/>
    <xf numFmtId="0" fontId="35"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35" fillId="0" borderId="4" xfId="0" applyFont="1" applyBorder="1"/>
    <xf numFmtId="0" fontId="42" fillId="0" borderId="1" xfId="0" applyFont="1" applyBorder="1"/>
    <xf numFmtId="0" fontId="42" fillId="0" borderId="6" xfId="0" applyFont="1" applyBorder="1"/>
    <xf numFmtId="0" fontId="44" fillId="0" borderId="0" xfId="0" applyFont="1"/>
    <xf numFmtId="0" fontId="44" fillId="0" borderId="0" xfId="0" applyFont="1" applyAlignment="1">
      <alignment wrapText="1"/>
    </xf>
    <xf numFmtId="0" fontId="46" fillId="0" borderId="1" xfId="0" applyFont="1" applyBorder="1"/>
    <xf numFmtId="0" fontId="47" fillId="0" borderId="1" xfId="0" applyFont="1" applyBorder="1"/>
    <xf numFmtId="0" fontId="48" fillId="0" borderId="1" xfId="0" applyFont="1" applyBorder="1"/>
    <xf numFmtId="0" fontId="49" fillId="0" borderId="0" xfId="0" applyFont="1"/>
    <xf numFmtId="0" fontId="50" fillId="0" borderId="0" xfId="0" applyFont="1"/>
    <xf numFmtId="0" fontId="50" fillId="0" borderId="6" xfId="0" applyFont="1" applyBorder="1"/>
    <xf numFmtId="0" fontId="51" fillId="0" borderId="0" xfId="0" applyFont="1"/>
    <xf numFmtId="0" fontId="51" fillId="0" borderId="0" xfId="0" applyFont="1" applyAlignment="1">
      <alignment wrapText="1"/>
    </xf>
    <xf numFmtId="0" fontId="52" fillId="0" borderId="0" xfId="0" applyFont="1"/>
    <xf numFmtId="0" fontId="53" fillId="14" borderId="0" xfId="0" applyFont="1" applyFill="1"/>
    <xf numFmtId="0" fontId="53" fillId="17" borderId="0" xfId="0" applyFont="1" applyFill="1"/>
    <xf numFmtId="0" fontId="53" fillId="16" borderId="0" xfId="0" applyFont="1" applyFill="1"/>
    <xf numFmtId="0" fontId="35" fillId="18" borderId="1" xfId="0" applyFont="1" applyFill="1" applyBorder="1"/>
    <xf numFmtId="0" fontId="44" fillId="0" borderId="0" xfId="0" applyFont="1" applyAlignment="1">
      <alignment horizontal="left" wrapText="1"/>
    </xf>
    <xf numFmtId="0" fontId="8" fillId="0" borderId="0" xfId="0" applyFont="1" applyAlignment="1">
      <alignment horizontal="left" wrapText="1"/>
    </xf>
    <xf numFmtId="0" fontId="44" fillId="0" borderId="0" xfId="0" applyFont="1" applyAlignment="1">
      <alignment horizontal="center" wrapText="1"/>
    </xf>
    <xf numFmtId="9" fontId="34" fillId="0" borderId="0" xfId="0" applyNumberFormat="1" applyFont="1"/>
    <xf numFmtId="0" fontId="60" fillId="0" borderId="0" xfId="0" applyFont="1"/>
    <xf numFmtId="0" fontId="34" fillId="0" borderId="0" xfId="0" applyFont="1" applyAlignment="1">
      <alignment horizontal="left" wrapText="1"/>
    </xf>
    <xf numFmtId="0" fontId="51" fillId="0" borderId="0" xfId="0" applyFont="1" applyAlignment="1">
      <alignment horizontal="left" wrapText="1"/>
    </xf>
    <xf numFmtId="0" fontId="37" fillId="0" borderId="0" xfId="0" applyFont="1" applyAlignment="1">
      <alignment horizontal="left" wrapText="1"/>
    </xf>
    <xf numFmtId="0" fontId="62" fillId="15" borderId="10" xfId="0" applyFont="1" applyFill="1" applyBorder="1"/>
    <xf numFmtId="0" fontId="60" fillId="0" borderId="11" xfId="0" applyFont="1" applyBorder="1"/>
    <xf numFmtId="0" fontId="63" fillId="0" borderId="0" xfId="0" applyFont="1"/>
    <xf numFmtId="0" fontId="60" fillId="0" borderId="12" xfId="0" applyFont="1" applyBorder="1"/>
    <xf numFmtId="0" fontId="60" fillId="0" borderId="13" xfId="0" applyFont="1" applyBorder="1"/>
    <xf numFmtId="0" fontId="63" fillId="0" borderId="14" xfId="0" applyFont="1" applyBorder="1"/>
    <xf numFmtId="0" fontId="60" fillId="0" borderId="15" xfId="0" applyFont="1" applyBorder="1"/>
    <xf numFmtId="0" fontId="63" fillId="20" borderId="0" xfId="0" applyFont="1" applyFill="1"/>
    <xf numFmtId="0" fontId="61" fillId="0" borderId="0" xfId="0" applyFont="1"/>
    <xf numFmtId="0" fontId="34" fillId="5" borderId="0" xfId="0" applyFont="1" applyFill="1" applyAlignment="1">
      <alignment horizontal="center" vertical="center"/>
    </xf>
    <xf numFmtId="0" fontId="36" fillId="5" borderId="0" xfId="0" applyFont="1" applyFill="1" applyAlignment="1">
      <alignment horizontal="center" vertical="center"/>
    </xf>
    <xf numFmtId="0" fontId="34" fillId="0" borderId="0" xfId="0" applyFont="1" applyAlignment="1">
      <alignment horizontal="center" vertical="center" wrapText="1"/>
    </xf>
    <xf numFmtId="0" fontId="34" fillId="0" borderId="0" xfId="0" applyFont="1" applyAlignment="1">
      <alignment horizontal="center" vertical="center"/>
    </xf>
    <xf numFmtId="0" fontId="0" fillId="0" borderId="0" xfId="0" applyAlignment="1">
      <alignment horizontal="center" vertical="center"/>
    </xf>
    <xf numFmtId="0" fontId="44" fillId="0" borderId="16" xfId="0" applyFont="1" applyBorder="1" applyAlignment="1">
      <alignment horizontal="center" wrapText="1"/>
    </xf>
    <xf numFmtId="0" fontId="44" fillId="0" borderId="0" xfId="0" applyFont="1" applyAlignment="1">
      <alignment horizontal="left" vertical="top" wrapText="1"/>
    </xf>
    <xf numFmtId="0" fontId="8" fillId="0" borderId="0" xfId="0" applyFont="1" applyAlignment="1">
      <alignment horizontal="left" vertical="top" wrapText="1"/>
    </xf>
    <xf numFmtId="0" fontId="34" fillId="0" borderId="0" xfId="0" applyFont="1" applyAlignment="1">
      <alignment horizontal="left" vertical="top" wrapText="1"/>
    </xf>
    <xf numFmtId="0" fontId="37" fillId="0" borderId="0" xfId="0" applyFont="1" applyAlignment="1">
      <alignment horizontal="left" vertical="top" wrapText="1"/>
    </xf>
    <xf numFmtId="0" fontId="51" fillId="0" borderId="0" xfId="0" applyFont="1" applyAlignment="1">
      <alignment horizontal="left" vertical="top" wrapText="1"/>
    </xf>
    <xf numFmtId="0" fontId="44" fillId="0" borderId="16" xfId="0" applyFont="1" applyBorder="1" applyAlignment="1">
      <alignment horizontal="left" wrapText="1"/>
    </xf>
    <xf numFmtId="0" fontId="34" fillId="21" borderId="0" xfId="0" applyFont="1" applyFill="1" applyAlignment="1">
      <alignment horizontal="center" vertical="center" wrapText="1"/>
    </xf>
    <xf numFmtId="0" fontId="59" fillId="23" borderId="0" xfId="0" applyFont="1" applyFill="1" applyAlignment="1">
      <alignment horizontal="center" vertical="center" wrapText="1"/>
    </xf>
    <xf numFmtId="0" fontId="59" fillId="22" borderId="16" xfId="0" applyFont="1" applyFill="1" applyBorder="1" applyAlignment="1">
      <alignment horizontal="center" vertical="center" wrapText="1"/>
    </xf>
    <xf numFmtId="0" fontId="51" fillId="0" borderId="0" xfId="0" applyFont="1" applyAlignment="1">
      <alignment horizontal="center" vertical="center" wrapText="1"/>
    </xf>
    <xf numFmtId="0" fontId="44" fillId="0" borderId="0" xfId="0" applyFont="1" applyAlignment="1">
      <alignment horizontal="center" vertical="center" wrapText="1"/>
    </xf>
    <xf numFmtId="0" fontId="8" fillId="0" borderId="0" xfId="0" applyFont="1" applyAlignment="1">
      <alignment horizontal="center" vertical="center" wrapText="1"/>
    </xf>
    <xf numFmtId="0" fontId="37" fillId="0" borderId="0" xfId="0" applyFont="1" applyAlignment="1">
      <alignment horizontal="center" vertical="center"/>
    </xf>
    <xf numFmtId="0" fontId="37" fillId="0" borderId="0" xfId="0" applyFont="1" applyAlignment="1">
      <alignment horizontal="center" vertical="center" wrapText="1"/>
    </xf>
    <xf numFmtId="49" fontId="66" fillId="0" borderId="0" xfId="0" applyNumberFormat="1" applyFont="1" applyAlignment="1">
      <alignment horizontal="center" vertical="center"/>
    </xf>
    <xf numFmtId="49" fontId="66" fillId="0" borderId="0" xfId="0" applyNumberFormat="1" applyFont="1" applyAlignment="1">
      <alignment vertical="center"/>
    </xf>
    <xf numFmtId="49" fontId="66" fillId="0" borderId="0" xfId="0" applyNumberFormat="1" applyFont="1"/>
    <xf numFmtId="49" fontId="70" fillId="0" borderId="0" xfId="0" applyNumberFormat="1" applyFont="1"/>
    <xf numFmtId="49" fontId="66" fillId="0" borderId="0" xfId="0" applyNumberFormat="1" applyFont="1" applyAlignment="1">
      <alignment horizontal="left" vertical="top"/>
    </xf>
    <xf numFmtId="49" fontId="70" fillId="0" borderId="0" xfId="0" applyNumberFormat="1" applyFont="1" applyAlignment="1">
      <alignment horizontal="left" vertical="top"/>
    </xf>
    <xf numFmtId="49" fontId="72" fillId="0" borderId="0" xfId="0" applyNumberFormat="1" applyFont="1"/>
    <xf numFmtId="49" fontId="66" fillId="0" borderId="0" xfId="0" applyNumberFormat="1" applyFont="1" applyAlignment="1">
      <alignment horizontal="center"/>
    </xf>
    <xf numFmtId="49" fontId="67" fillId="0" borderId="0" xfId="0" applyNumberFormat="1" applyFont="1"/>
    <xf numFmtId="49" fontId="68" fillId="0" borderId="0" xfId="0" applyNumberFormat="1" applyFont="1" applyAlignment="1">
      <alignment vertical="top"/>
    </xf>
    <xf numFmtId="49" fontId="68" fillId="0" borderId="0" xfId="0" applyNumberFormat="1" applyFont="1" applyAlignment="1">
      <alignment vertical="top" wrapText="1"/>
    </xf>
    <xf numFmtId="49" fontId="66" fillId="0" borderId="0" xfId="0" applyNumberFormat="1" applyFont="1" applyAlignment="1">
      <alignment wrapText="1"/>
    </xf>
    <xf numFmtId="49" fontId="66" fillId="0" borderId="0" xfId="0" applyNumberFormat="1" applyFont="1" applyAlignment="1">
      <alignment vertical="top"/>
    </xf>
    <xf numFmtId="49" fontId="66" fillId="0" borderId="0" xfId="0" applyNumberFormat="1" applyFont="1" applyAlignment="1">
      <alignment vertical="top" wrapText="1"/>
    </xf>
    <xf numFmtId="49" fontId="71" fillId="0" borderId="0" xfId="0" applyNumberFormat="1" applyFont="1" applyAlignment="1">
      <alignment vertical="center" wrapText="1"/>
    </xf>
    <xf numFmtId="49" fontId="66" fillId="0" borderId="23" xfId="0" applyNumberFormat="1" applyFont="1" applyBorder="1" applyAlignment="1">
      <alignment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vertical="center"/>
    </xf>
    <xf numFmtId="49" fontId="66" fillId="0" borderId="23" xfId="0" applyNumberFormat="1" applyFont="1" applyBorder="1" applyAlignment="1">
      <alignment horizontal="left" vertical="center" wrapText="1"/>
    </xf>
    <xf numFmtId="49" fontId="66" fillId="0" borderId="24" xfId="0" applyNumberFormat="1" applyFont="1" applyBorder="1" applyAlignment="1">
      <alignment vertical="center" wrapText="1"/>
    </xf>
    <xf numFmtId="49" fontId="66" fillId="0" borderId="24" xfId="0" applyNumberFormat="1" applyFont="1" applyBorder="1" applyAlignment="1">
      <alignment horizontal="center" vertical="center"/>
    </xf>
    <xf numFmtId="49" fontId="75" fillId="0" borderId="25" xfId="0" applyNumberFormat="1" applyFont="1" applyBorder="1" applyAlignment="1">
      <alignment horizontal="center" vertical="center" wrapText="1"/>
    </xf>
    <xf numFmtId="49" fontId="75" fillId="0" borderId="26" xfId="0" applyNumberFormat="1" applyFont="1" applyBorder="1" applyAlignment="1">
      <alignment horizontal="center" vertical="center" wrapText="1"/>
    </xf>
    <xf numFmtId="49" fontId="75" fillId="0" borderId="27" xfId="0" applyNumberFormat="1" applyFont="1" applyBorder="1" applyAlignment="1">
      <alignment horizontal="center" vertical="center" wrapText="1"/>
    </xf>
    <xf numFmtId="49" fontId="66" fillId="24" borderId="23" xfId="0" applyNumberFormat="1" applyFont="1" applyFill="1" applyBorder="1" applyAlignment="1">
      <alignment vertical="center" wrapText="1"/>
    </xf>
    <xf numFmtId="0" fontId="64"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56" fillId="0" borderId="0" xfId="0" applyFont="1" applyAlignment="1">
      <alignment horizontal="left"/>
    </xf>
    <xf numFmtId="0" fontId="79" fillId="0" borderId="11" xfId="0" applyFont="1" applyBorder="1" applyAlignment="1">
      <alignment vertical="center"/>
    </xf>
    <xf numFmtId="0" fontId="54" fillId="0" borderId="0" xfId="0" applyFont="1"/>
    <xf numFmtId="0" fontId="54" fillId="0" borderId="0" xfId="0" applyFont="1" applyAlignment="1">
      <alignment wrapText="1"/>
    </xf>
    <xf numFmtId="0" fontId="0" fillId="25" borderId="0" xfId="0" applyFill="1"/>
    <xf numFmtId="0" fontId="41" fillId="0" borderId="0" xfId="0" applyFont="1" applyAlignment="1">
      <alignment vertical="center" wrapText="1"/>
    </xf>
    <xf numFmtId="0" fontId="80" fillId="0" borderId="0" xfId="0" applyFont="1"/>
    <xf numFmtId="0" fontId="81" fillId="23" borderId="0" xfId="0" applyFont="1" applyFill="1" applyAlignment="1">
      <alignment horizontal="center" vertical="center" wrapText="1"/>
    </xf>
    <xf numFmtId="0" fontId="54" fillId="25" borderId="0" xfId="0" applyFont="1" applyFill="1"/>
    <xf numFmtId="0" fontId="2" fillId="0" borderId="0" xfId="0" applyFont="1"/>
    <xf numFmtId="0" fontId="54" fillId="26" borderId="0" xfId="0" applyFont="1" applyFill="1"/>
    <xf numFmtId="0" fontId="54" fillId="5" borderId="0" xfId="0" applyFont="1" applyFill="1" applyAlignment="1">
      <alignment horizontal="center" vertical="center"/>
    </xf>
    <xf numFmtId="0" fontId="54" fillId="0" borderId="0" xfId="0" applyFont="1" applyAlignment="1">
      <alignment horizontal="center" vertical="center" wrapText="1"/>
    </xf>
    <xf numFmtId="0" fontId="54" fillId="21" borderId="0" xfId="0" applyFont="1" applyFill="1" applyAlignment="1">
      <alignment horizontal="center" vertical="center" wrapText="1"/>
    </xf>
    <xf numFmtId="0" fontId="81" fillId="22" borderId="16" xfId="0" applyFont="1" applyFill="1" applyBorder="1" applyAlignment="1">
      <alignment horizontal="center" vertical="center" wrapText="1"/>
    </xf>
    <xf numFmtId="0" fontId="54" fillId="21" borderId="1" xfId="0" applyFont="1" applyFill="1" applyBorder="1" applyAlignment="1">
      <alignment horizontal="center" vertical="center" wrapText="1"/>
    </xf>
    <xf numFmtId="0" fontId="54" fillId="0" borderId="0" xfId="0" applyFont="1" applyAlignment="1">
      <alignment horizontal="center" vertical="center"/>
    </xf>
    <xf numFmtId="0" fontId="54" fillId="0" borderId="0" xfId="0" applyFont="1" applyAlignment="1">
      <alignment horizontal="left" wrapText="1"/>
    </xf>
    <xf numFmtId="0" fontId="82" fillId="0" borderId="0" xfId="0" applyFont="1" applyAlignment="1">
      <alignment horizontal="left"/>
    </xf>
    <xf numFmtId="0" fontId="85" fillId="0" borderId="0" xfId="0" applyFont="1" applyAlignment="1">
      <alignment horizontal="left"/>
    </xf>
    <xf numFmtId="0" fontId="87" fillId="0" borderId="0" xfId="0" applyFont="1" applyAlignment="1">
      <alignment horizontal="left"/>
    </xf>
    <xf numFmtId="0" fontId="88" fillId="0" borderId="0" xfId="0" applyFont="1" applyAlignment="1">
      <alignment wrapText="1"/>
    </xf>
    <xf numFmtId="0" fontId="58" fillId="0" borderId="0" xfId="0" applyFont="1"/>
    <xf numFmtId="0" fontId="57" fillId="0" borderId="16" xfId="0" applyFont="1" applyBorder="1" applyAlignment="1">
      <alignment horizontal="left" wrapText="1"/>
    </xf>
    <xf numFmtId="0" fontId="89" fillId="0" borderId="0" xfId="13" applyFont="1"/>
    <xf numFmtId="0" fontId="90" fillId="0" borderId="0" xfId="0" applyFont="1" applyAlignment="1">
      <alignment horizontal="left"/>
    </xf>
    <xf numFmtId="0" fontId="88" fillId="0" borderId="0" xfId="0" applyFont="1" applyAlignment="1">
      <alignment horizontal="left" vertical="top" wrapText="1"/>
    </xf>
    <xf numFmtId="0" fontId="57" fillId="0" borderId="0" xfId="0" applyFont="1"/>
    <xf numFmtId="0" fontId="91" fillId="0" borderId="0" xfId="0" applyFont="1" applyAlignment="1">
      <alignment horizontal="left"/>
    </xf>
    <xf numFmtId="0" fontId="91" fillId="0" borderId="0" xfId="0" applyFont="1"/>
    <xf numFmtId="0" fontId="88" fillId="0" borderId="0" xfId="0" applyFont="1" applyAlignment="1">
      <alignment horizontal="center" vertical="center" wrapText="1"/>
    </xf>
    <xf numFmtId="0" fontId="54" fillId="0" borderId="0" xfId="0" applyFont="1" applyAlignment="1">
      <alignment horizontal="left" vertical="top"/>
    </xf>
    <xf numFmtId="0" fontId="56" fillId="0" borderId="0" xfId="0" applyFont="1"/>
    <xf numFmtId="0" fontId="57" fillId="0" borderId="0" xfId="0" applyFont="1" applyAlignment="1">
      <alignment wrapText="1"/>
    </xf>
    <xf numFmtId="0" fontId="55" fillId="0" borderId="0" xfId="0" applyFont="1"/>
    <xf numFmtId="0" fontId="92" fillId="0" borderId="0" xfId="0" applyFont="1"/>
    <xf numFmtId="0" fontId="93" fillId="0" borderId="0" xfId="0" applyFont="1"/>
    <xf numFmtId="0" fontId="85" fillId="19" borderId="7" xfId="0" applyFont="1" applyFill="1" applyBorder="1" applyAlignment="1">
      <alignment wrapText="1"/>
    </xf>
    <xf numFmtId="0" fontId="60" fillId="0" borderId="16" xfId="0" applyFont="1" applyBorder="1" applyAlignment="1">
      <alignment horizontal="center" wrapText="1"/>
    </xf>
    <xf numFmtId="0" fontId="60" fillId="0" borderId="16" xfId="0" applyFont="1" applyBorder="1" applyAlignment="1">
      <alignment horizontal="left" wrapText="1"/>
    </xf>
    <xf numFmtId="0" fontId="94" fillId="0" borderId="0" xfId="0" applyFont="1" applyAlignment="1">
      <alignment horizontal="left"/>
    </xf>
    <xf numFmtId="0" fontId="60" fillId="0" borderId="0" xfId="0" applyFont="1" applyAlignment="1">
      <alignment wrapText="1"/>
    </xf>
    <xf numFmtId="0" fontId="60" fillId="0" borderId="0" xfId="0" applyFont="1" applyAlignment="1">
      <alignment horizontal="left" wrapText="1"/>
    </xf>
    <xf numFmtId="0" fontId="60" fillId="0" borderId="0" xfId="0" applyFont="1" applyAlignment="1">
      <alignment horizontal="center" vertical="center" wrapText="1"/>
    </xf>
    <xf numFmtId="0" fontId="60" fillId="0" borderId="0" xfId="0" applyFont="1" applyAlignment="1">
      <alignment horizontal="left" vertical="top" wrapText="1"/>
    </xf>
    <xf numFmtId="0" fontId="60" fillId="0" borderId="0" xfId="0" applyFont="1" applyAlignment="1">
      <alignment horizontal="left" vertical="center" wrapText="1"/>
    </xf>
    <xf numFmtId="0" fontId="60" fillId="0" borderId="0" xfId="0" applyFont="1" applyAlignment="1">
      <alignment horizontal="center" wrapText="1"/>
    </xf>
    <xf numFmtId="0" fontId="60" fillId="0" borderId="0" xfId="0" applyFont="1" applyAlignment="1">
      <alignment vertical="top" wrapText="1"/>
    </xf>
    <xf numFmtId="0" fontId="95" fillId="0" borderId="0" xfId="0" applyFont="1" applyAlignment="1">
      <alignment horizontal="left"/>
    </xf>
    <xf numFmtId="0" fontId="54" fillId="0" borderId="0" xfId="0" applyFont="1" applyAlignment="1">
      <alignment horizontal="left" vertical="top" wrapText="1"/>
    </xf>
    <xf numFmtId="0" fontId="42" fillId="0" borderId="0" xfId="0" applyFont="1"/>
    <xf numFmtId="0" fontId="54" fillId="0" borderId="0" xfId="0" quotePrefix="1" applyFont="1" applyAlignment="1">
      <alignment wrapText="1"/>
    </xf>
    <xf numFmtId="0" fontId="54" fillId="0" borderId="0" xfId="0" applyFont="1" applyAlignment="1">
      <alignment horizontal="center" wrapText="1"/>
    </xf>
    <xf numFmtId="0" fontId="96" fillId="0" borderId="0" xfId="0" applyFont="1" applyAlignment="1">
      <alignment wrapText="1"/>
    </xf>
    <xf numFmtId="0" fontId="97" fillId="0" borderId="0" xfId="13" applyFont="1"/>
    <xf numFmtId="0" fontId="91" fillId="0" borderId="0" xfId="0" applyFont="1" applyAlignment="1">
      <alignment wrapText="1"/>
    </xf>
    <xf numFmtId="0" fontId="34" fillId="0" borderId="0" xfId="0" applyFont="1" applyAlignment="1">
      <alignment horizontal="center" wrapText="1"/>
    </xf>
    <xf numFmtId="0" fontId="83" fillId="5" borderId="0" xfId="0" applyFont="1" applyFill="1" applyAlignment="1">
      <alignment horizontal="center" vertical="center" wrapText="1"/>
    </xf>
    <xf numFmtId="0" fontId="51" fillId="0" borderId="0" xfId="0" applyFont="1" applyAlignment="1">
      <alignment horizontal="center" wrapText="1"/>
    </xf>
    <xf numFmtId="0" fontId="86" fillId="0" borderId="0" xfId="0" applyFont="1" applyAlignment="1">
      <alignment horizontal="center" wrapText="1"/>
    </xf>
    <xf numFmtId="0" fontId="85" fillId="0" borderId="0" xfId="0" applyFont="1" applyAlignment="1">
      <alignment horizontal="center" wrapText="1"/>
    </xf>
    <xf numFmtId="0" fontId="88" fillId="0" borderId="0" xfId="0" applyFont="1" applyAlignment="1">
      <alignment horizontal="center" wrapText="1"/>
    </xf>
    <xf numFmtId="0" fontId="54" fillId="0" borderId="0" xfId="0" applyFont="1" applyAlignment="1">
      <alignment horizontal="left" vertical="center" wrapText="1"/>
    </xf>
    <xf numFmtId="0" fontId="34" fillId="0" borderId="0" xfId="0" applyFont="1" applyProtection="1">
      <protection locked="0"/>
    </xf>
    <xf numFmtId="0" fontId="98" fillId="0" borderId="0" xfId="0" applyFont="1"/>
    <xf numFmtId="0" fontId="99" fillId="0" borderId="0" xfId="0" applyFont="1"/>
    <xf numFmtId="49" fontId="66" fillId="0" borderId="24" xfId="0" applyNumberFormat="1" applyFont="1" applyBorder="1" applyAlignment="1">
      <alignment horizontal="left" vertical="center" wrapText="1"/>
    </xf>
    <xf numFmtId="0" fontId="44" fillId="26" borderId="0" xfId="0" applyFont="1" applyFill="1" applyAlignment="1">
      <alignment horizontal="center" wrapText="1"/>
    </xf>
    <xf numFmtId="0" fontId="8" fillId="26" borderId="0" xfId="0" applyFont="1" applyFill="1"/>
    <xf numFmtId="0" fontId="61" fillId="27" borderId="0" xfId="0" applyFont="1" applyFill="1"/>
    <xf numFmtId="49" fontId="66" fillId="0" borderId="23" xfId="0" applyNumberFormat="1" applyFont="1" applyBorder="1" applyAlignment="1">
      <alignment horizontal="center" vertical="center" wrapText="1"/>
    </xf>
    <xf numFmtId="49" fontId="66" fillId="0" borderId="23" xfId="0" applyNumberFormat="1" applyFont="1" applyBorder="1" applyAlignment="1">
      <alignment horizontal="left" vertical="center"/>
    </xf>
    <xf numFmtId="0" fontId="35" fillId="28" borderId="0" xfId="0" applyFont="1" applyFill="1"/>
    <xf numFmtId="0" fontId="41" fillId="29" borderId="0" xfId="0" applyFont="1" applyFill="1" applyAlignment="1">
      <alignment wrapText="1"/>
    </xf>
    <xf numFmtId="0" fontId="46" fillId="0" borderId="28" xfId="0" applyFont="1" applyBorder="1"/>
    <xf numFmtId="0" fontId="35" fillId="30" borderId="0" xfId="0" applyFont="1" applyFill="1"/>
    <xf numFmtId="0" fontId="47" fillId="0" borderId="28" xfId="0" applyFont="1" applyBorder="1"/>
    <xf numFmtId="0" fontId="35" fillId="31" borderId="0" xfId="0" applyFont="1" applyFill="1"/>
    <xf numFmtId="0" fontId="100" fillId="0" borderId="28" xfId="0" applyFont="1" applyBorder="1"/>
    <xf numFmtId="0" fontId="35" fillId="32" borderId="1" xfId="0" applyFont="1" applyFill="1" applyBorder="1"/>
    <xf numFmtId="0" fontId="50" fillId="0" borderId="4" xfId="0" applyFont="1" applyBorder="1"/>
    <xf numFmtId="0" fontId="101" fillId="0" borderId="0" xfId="0" applyFont="1"/>
    <xf numFmtId="0" fontId="42" fillId="0" borderId="29" xfId="0" applyFont="1" applyBorder="1"/>
    <xf numFmtId="0" fontId="36" fillId="0" borderId="0" xfId="0" applyFont="1" applyAlignment="1">
      <alignment wrapText="1"/>
    </xf>
    <xf numFmtId="0" fontId="11" fillId="5" borderId="30" xfId="0" applyFont="1" applyFill="1" applyBorder="1"/>
    <xf numFmtId="0" fontId="11" fillId="5" borderId="7" xfId="0" applyFont="1" applyFill="1" applyBorder="1"/>
    <xf numFmtId="0" fontId="11" fillId="36" borderId="7" xfId="0" applyFont="1" applyFill="1" applyBorder="1" applyAlignment="1">
      <alignment wrapText="1"/>
    </xf>
    <xf numFmtId="0" fontId="11" fillId="33" borderId="7" xfId="0" applyFont="1" applyFill="1" applyBorder="1" applyAlignment="1">
      <alignment wrapText="1"/>
    </xf>
    <xf numFmtId="0" fontId="11" fillId="37" borderId="7" xfId="0" applyFont="1" applyFill="1" applyBorder="1" applyAlignment="1">
      <alignment wrapText="1"/>
    </xf>
    <xf numFmtId="0" fontId="11" fillId="34" borderId="7" xfId="0" applyFont="1" applyFill="1" applyBorder="1" applyAlignment="1">
      <alignment wrapText="1"/>
    </xf>
    <xf numFmtId="0" fontId="11" fillId="38" borderId="7" xfId="0" applyFont="1" applyFill="1" applyBorder="1"/>
    <xf numFmtId="0" fontId="11" fillId="35" borderId="7" xfId="0" applyFont="1" applyFill="1" applyBorder="1" applyAlignment="1">
      <alignment wrapText="1"/>
    </xf>
    <xf numFmtId="0" fontId="11" fillId="35" borderId="1" xfId="0" applyFont="1" applyFill="1" applyBorder="1" applyAlignment="1">
      <alignment wrapText="1"/>
    </xf>
    <xf numFmtId="0" fontId="103" fillId="0" borderId="0" xfId="0" applyFont="1"/>
    <xf numFmtId="0" fontId="6" fillId="39" borderId="7" xfId="0" applyFont="1" applyFill="1" applyBorder="1"/>
    <xf numFmtId="0" fontId="6" fillId="19" borderId="7" xfId="0" applyFont="1" applyFill="1" applyBorder="1" applyAlignment="1">
      <alignment wrapText="1"/>
    </xf>
    <xf numFmtId="0" fontId="6" fillId="19" borderId="7" xfId="0" quotePrefix="1" applyFont="1" applyFill="1" applyBorder="1" applyAlignment="1">
      <alignment wrapText="1"/>
    </xf>
    <xf numFmtId="0" fontId="25" fillId="40" borderId="7" xfId="0" applyFont="1" applyFill="1" applyBorder="1"/>
    <xf numFmtId="0" fontId="6" fillId="41" borderId="7" xfId="0" applyFont="1" applyFill="1" applyBorder="1" applyAlignment="1">
      <alignment wrapText="1"/>
    </xf>
    <xf numFmtId="0" fontId="6" fillId="42" borderId="7" xfId="0" applyFont="1" applyFill="1" applyBorder="1"/>
    <xf numFmtId="0" fontId="6" fillId="31"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8" borderId="7" xfId="0" applyFont="1" applyFill="1" applyBorder="1" applyAlignment="1">
      <alignment wrapText="1"/>
    </xf>
    <xf numFmtId="0" fontId="6" fillId="43" borderId="7" xfId="0" applyFont="1" applyFill="1" applyBorder="1"/>
    <xf numFmtId="0" fontId="6" fillId="44" borderId="7" xfId="0" applyFont="1" applyFill="1" applyBorder="1" applyAlignment="1">
      <alignment wrapText="1"/>
    </xf>
    <xf numFmtId="0" fontId="31" fillId="41" borderId="7" xfId="0" applyFont="1" applyFill="1" applyBorder="1" applyAlignment="1">
      <alignment wrapText="1"/>
    </xf>
    <xf numFmtId="0" fontId="31" fillId="44" borderId="7" xfId="0" applyFont="1" applyFill="1" applyBorder="1" applyAlignment="1">
      <alignment wrapText="1"/>
    </xf>
    <xf numFmtId="0" fontId="6" fillId="45" borderId="7" xfId="0" applyFont="1" applyFill="1" applyBorder="1" applyAlignment="1">
      <alignment wrapText="1"/>
    </xf>
    <xf numFmtId="0" fontId="6" fillId="31" borderId="7" xfId="0" applyFont="1" applyFill="1" applyBorder="1" applyAlignment="1">
      <alignment wrapText="1"/>
    </xf>
    <xf numFmtId="0" fontId="6" fillId="42" borderId="7" xfId="0" applyFont="1" applyFill="1" applyBorder="1" applyAlignment="1">
      <alignment wrapText="1"/>
    </xf>
    <xf numFmtId="0" fontId="6" fillId="46" borderId="7" xfId="0" applyFont="1" applyFill="1" applyBorder="1" applyAlignment="1">
      <alignment wrapText="1"/>
    </xf>
    <xf numFmtId="0" fontId="31" fillId="46" borderId="7" xfId="0" applyFont="1" applyFill="1" applyBorder="1" applyAlignment="1">
      <alignment wrapText="1"/>
    </xf>
    <xf numFmtId="0" fontId="31" fillId="28" borderId="7" xfId="0" applyFont="1" applyFill="1" applyBorder="1" applyAlignment="1">
      <alignment wrapText="1"/>
    </xf>
    <xf numFmtId="0" fontId="6" fillId="30" borderId="7" xfId="0" applyFont="1" applyFill="1" applyBorder="1"/>
    <xf numFmtId="0" fontId="6" fillId="30" borderId="0" xfId="0" applyFont="1" applyFill="1"/>
    <xf numFmtId="0" fontId="6" fillId="40" borderId="7" xfId="0" applyFont="1" applyFill="1" applyBorder="1" applyAlignment="1">
      <alignment wrapText="1"/>
    </xf>
    <xf numFmtId="0" fontId="6" fillId="31" borderId="0" xfId="0" applyFont="1" applyFill="1"/>
    <xf numFmtId="0" fontId="6" fillId="43" borderId="0" xfId="0" applyFont="1" applyFill="1"/>
    <xf numFmtId="0" fontId="31" fillId="0" borderId="7" xfId="0" applyFont="1" applyBorder="1" applyAlignment="1">
      <alignment wrapText="1"/>
    </xf>
    <xf numFmtId="0" fontId="6" fillId="19" borderId="7" xfId="0" applyFont="1" applyFill="1" applyBorder="1"/>
    <xf numFmtId="0" fontId="6" fillId="40" borderId="7" xfId="0" applyFont="1" applyFill="1" applyBorder="1"/>
    <xf numFmtId="0" fontId="6" fillId="43" borderId="7" xfId="0" applyFont="1" applyFill="1" applyBorder="1" applyAlignment="1">
      <alignment wrapText="1"/>
    </xf>
    <xf numFmtId="0" fontId="6" fillId="0" borderId="7" xfId="0" applyFont="1" applyBorder="1"/>
    <xf numFmtId="0" fontId="6" fillId="19" borderId="0" xfId="0" applyFont="1" applyFill="1"/>
    <xf numFmtId="0" fontId="6" fillId="45" borderId="7" xfId="0" applyFont="1" applyFill="1" applyBorder="1"/>
    <xf numFmtId="0" fontId="31" fillId="31" borderId="7" xfId="0" applyFont="1" applyFill="1" applyBorder="1" applyAlignment="1">
      <alignment wrapText="1"/>
    </xf>
    <xf numFmtId="0" fontId="31" fillId="19" borderId="7" xfId="0" applyFont="1" applyFill="1" applyBorder="1" applyAlignment="1">
      <alignment wrapText="1"/>
    </xf>
    <xf numFmtId="0" fontId="104" fillId="43" borderId="7" xfId="0" applyFont="1" applyFill="1" applyBorder="1" applyAlignment="1">
      <alignment wrapText="1"/>
    </xf>
    <xf numFmtId="0" fontId="6" fillId="28" borderId="7" xfId="0" applyFont="1" applyFill="1" applyBorder="1"/>
    <xf numFmtId="0" fontId="104" fillId="28" borderId="7" xfId="0" applyFont="1" applyFill="1" applyBorder="1" applyAlignment="1">
      <alignment wrapText="1"/>
    </xf>
    <xf numFmtId="0" fontId="6" fillId="41" borderId="7" xfId="0" applyFont="1" applyFill="1" applyBorder="1"/>
    <xf numFmtId="0" fontId="6" fillId="41" borderId="0" xfId="0" applyFont="1" applyFill="1"/>
    <xf numFmtId="0" fontId="104" fillId="19" borderId="7" xfId="0" applyFont="1" applyFill="1" applyBorder="1" applyAlignment="1">
      <alignment wrapText="1"/>
    </xf>
    <xf numFmtId="0" fontId="104" fillId="31" borderId="7" xfId="0" applyFont="1" applyFill="1" applyBorder="1" applyAlignment="1">
      <alignment wrapText="1"/>
    </xf>
    <xf numFmtId="0" fontId="104" fillId="46" borderId="7" xfId="0" applyFont="1" applyFill="1" applyBorder="1" applyAlignment="1">
      <alignment wrapText="1"/>
    </xf>
    <xf numFmtId="0" fontId="104" fillId="44" borderId="7" xfId="0" applyFont="1" applyFill="1" applyBorder="1" applyAlignment="1">
      <alignment wrapText="1"/>
    </xf>
    <xf numFmtId="0" fontId="104" fillId="41" borderId="7" xfId="0" applyFont="1" applyFill="1" applyBorder="1" applyAlignment="1">
      <alignment wrapText="1"/>
    </xf>
    <xf numFmtId="0" fontId="14" fillId="0" borderId="31" xfId="0" applyFont="1" applyBorder="1" applyAlignment="1">
      <alignment wrapText="1"/>
    </xf>
    <xf numFmtId="0" fontId="14" fillId="0" borderId="32" xfId="0" applyFont="1" applyBorder="1" applyAlignment="1">
      <alignment wrapText="1"/>
    </xf>
    <xf numFmtId="0" fontId="14" fillId="42" borderId="32" xfId="0" applyFont="1" applyFill="1" applyBorder="1"/>
    <xf numFmtId="0" fontId="0" fillId="42" borderId="0" xfId="0" applyFill="1"/>
    <xf numFmtId="0" fontId="35" fillId="4" borderId="33" xfId="0" applyFont="1" applyFill="1" applyBorder="1"/>
    <xf numFmtId="0" fontId="35" fillId="0" borderId="33" xfId="0" applyFont="1" applyBorder="1"/>
    <xf numFmtId="0" fontId="35" fillId="0" borderId="28" xfId="0" applyFont="1" applyBorder="1"/>
    <xf numFmtId="0" fontId="35" fillId="0" borderId="34" xfId="0" applyFont="1" applyBorder="1"/>
    <xf numFmtId="0" fontId="35" fillId="4" borderId="28" xfId="0" applyFont="1" applyFill="1" applyBorder="1"/>
    <xf numFmtId="0" fontId="35" fillId="4" borderId="34" xfId="0" applyFont="1" applyFill="1" applyBorder="1"/>
    <xf numFmtId="0" fontId="37" fillId="0" borderId="28" xfId="0" applyFont="1" applyBorder="1"/>
    <xf numFmtId="0" fontId="37" fillId="0" borderId="34" xfId="0" applyFont="1" applyBorder="1"/>
    <xf numFmtId="0" fontId="35" fillId="0" borderId="35" xfId="0" applyFont="1" applyBorder="1"/>
    <xf numFmtId="0" fontId="11" fillId="47" borderId="7" xfId="0" applyFont="1" applyFill="1" applyBorder="1" applyAlignment="1">
      <alignment wrapText="1"/>
    </xf>
    <xf numFmtId="0" fontId="57" fillId="0" borderId="0" xfId="0" applyFont="1" applyAlignment="1">
      <alignment horizontal="center" wrapText="1"/>
    </xf>
    <xf numFmtId="0" fontId="57" fillId="0" borderId="16" xfId="0" applyFont="1" applyBorder="1" applyAlignment="1">
      <alignment horizontal="center" wrapText="1"/>
    </xf>
    <xf numFmtId="0" fontId="6" fillId="0" borderId="7" xfId="0" applyFont="1" applyBorder="1" applyAlignment="1">
      <alignment horizontal="left" wrapText="1"/>
    </xf>
    <xf numFmtId="0" fontId="57" fillId="0" borderId="0" xfId="0" applyFont="1" applyAlignment="1">
      <alignment horizontal="center" vertical="center" wrapText="1"/>
    </xf>
    <xf numFmtId="0" fontId="35" fillId="0" borderId="6" xfId="0" applyFont="1" applyBorder="1"/>
    <xf numFmtId="0" fontId="88" fillId="0" borderId="0" xfId="0" applyFont="1" applyAlignment="1">
      <alignment horizontal="left" wrapText="1"/>
    </xf>
    <xf numFmtId="0" fontId="57" fillId="0" borderId="0" xfId="0" applyFont="1" applyAlignment="1">
      <alignment horizontal="left" vertical="top" wrapText="1"/>
    </xf>
    <xf numFmtId="0" fontId="57" fillId="19" borderId="7" xfId="0" applyFont="1" applyFill="1" applyBorder="1" applyAlignment="1">
      <alignment wrapText="1"/>
    </xf>
    <xf numFmtId="0" fontId="83" fillId="5" borderId="0" xfId="0" applyFont="1" applyFill="1" applyAlignment="1">
      <alignment horizontal="center" vertical="center"/>
    </xf>
    <xf numFmtId="0" fontId="55" fillId="0" borderId="0" xfId="0" applyFont="1" applyAlignment="1">
      <alignment wrapText="1"/>
    </xf>
    <xf numFmtId="0" fontId="55" fillId="0" borderId="0" xfId="0" applyFont="1" applyAlignment="1">
      <alignment horizontal="left" vertical="top" wrapText="1"/>
    </xf>
    <xf numFmtId="0" fontId="55" fillId="20" borderId="0" xfId="0" applyFont="1" applyFill="1" applyAlignment="1">
      <alignment horizontal="left" vertical="top" wrapText="1"/>
    </xf>
    <xf numFmtId="0" fontId="109" fillId="0" borderId="0" xfId="0" applyFont="1" applyAlignment="1">
      <alignment wrapText="1"/>
    </xf>
    <xf numFmtId="0" fontId="110" fillId="0" borderId="0" xfId="0" applyFont="1" applyAlignment="1">
      <alignment horizontal="left" vertical="top" wrapText="1"/>
    </xf>
    <xf numFmtId="0" fontId="108" fillId="20" borderId="0" xfId="0" applyFont="1" applyFill="1" applyAlignment="1">
      <alignment wrapText="1"/>
    </xf>
    <xf numFmtId="0" fontId="110" fillId="0" borderId="0" xfId="0" applyFont="1" applyAlignment="1">
      <alignment wrapText="1"/>
    </xf>
    <xf numFmtId="0" fontId="94" fillId="0" borderId="0" xfId="0" applyFont="1" applyAlignment="1">
      <alignment wrapText="1"/>
    </xf>
    <xf numFmtId="0" fontId="55" fillId="20" borderId="0" xfId="0" applyFont="1" applyFill="1" applyAlignment="1">
      <alignment wrapText="1"/>
    </xf>
    <xf numFmtId="0" fontId="110" fillId="24" borderId="0" xfId="0" applyFont="1" applyFill="1" applyAlignment="1">
      <alignment horizontal="left" vertical="top" wrapText="1"/>
    </xf>
    <xf numFmtId="0" fontId="6" fillId="48" borderId="7" xfId="0" applyFont="1" applyFill="1" applyBorder="1" applyAlignment="1">
      <alignment vertical="center"/>
    </xf>
    <xf numFmtId="0" fontId="6" fillId="49" borderId="7" xfId="0" applyFont="1" applyFill="1" applyBorder="1" applyAlignment="1">
      <alignment wrapText="1"/>
    </xf>
    <xf numFmtId="0" fontId="6" fillId="50" borderId="7" xfId="0" applyFont="1" applyFill="1" applyBorder="1" applyAlignment="1">
      <alignment wrapText="1"/>
    </xf>
    <xf numFmtId="0" fontId="104" fillId="31" borderId="7" xfId="0" applyFont="1" applyFill="1" applyBorder="1" applyAlignment="1">
      <alignment vertical="center"/>
    </xf>
    <xf numFmtId="0" fontId="104" fillId="48" borderId="7" xfId="0" applyFont="1" applyFill="1" applyBorder="1" applyAlignment="1">
      <alignment vertical="center"/>
    </xf>
    <xf numFmtId="0" fontId="104" fillId="43" borderId="7" xfId="0" applyFont="1" applyFill="1" applyBorder="1" applyAlignment="1">
      <alignment vertical="center"/>
    </xf>
    <xf numFmtId="0" fontId="6" fillId="51" borderId="7" xfId="0" applyFont="1" applyFill="1" applyBorder="1" applyAlignment="1">
      <alignment wrapText="1"/>
    </xf>
    <xf numFmtId="0" fontId="6" fillId="52" borderId="7" xfId="0" applyFont="1" applyFill="1" applyBorder="1" applyAlignment="1">
      <alignment wrapText="1"/>
    </xf>
    <xf numFmtId="0" fontId="6" fillId="51" borderId="7" xfId="0" quotePrefix="1" applyFont="1" applyFill="1" applyBorder="1" applyAlignment="1">
      <alignment wrapText="1"/>
    </xf>
    <xf numFmtId="0" fontId="6" fillId="52" borderId="7" xfId="0" applyFont="1" applyFill="1" applyBorder="1" applyAlignment="1">
      <alignment horizontal="left" wrapText="1"/>
    </xf>
    <xf numFmtId="0" fontId="11" fillId="5" borderId="30" xfId="0" applyFont="1" applyFill="1" applyBorder="1" applyAlignment="1">
      <alignment horizontal="center" vertical="center"/>
    </xf>
    <xf numFmtId="0" fontId="81" fillId="15" borderId="0" xfId="0" applyFont="1" applyFill="1" applyAlignment="1">
      <alignment horizontal="center" vertical="center" wrapText="1"/>
    </xf>
    <xf numFmtId="0" fontId="81" fillId="15" borderId="0" xfId="0" applyFont="1" applyFill="1" applyAlignment="1">
      <alignment horizontal="left" vertical="center" wrapText="1"/>
    </xf>
    <xf numFmtId="0" fontId="6" fillId="24" borderId="0" xfId="0" applyFont="1" applyFill="1" applyAlignment="1">
      <alignment vertical="center"/>
    </xf>
    <xf numFmtId="0" fontId="6" fillId="24" borderId="0" xfId="0" applyFont="1" applyFill="1" applyAlignment="1">
      <alignment horizontal="center" vertical="center"/>
    </xf>
    <xf numFmtId="0" fontId="61" fillId="53" borderId="0" xfId="0" applyFont="1" applyFill="1"/>
    <xf numFmtId="0" fontId="113" fillId="0" borderId="0" xfId="0" applyFont="1" applyAlignment="1">
      <alignment wrapText="1"/>
    </xf>
    <xf numFmtId="0" fontId="35" fillId="0" borderId="29" xfId="0" applyFont="1" applyBorder="1"/>
    <xf numFmtId="0" fontId="114" fillId="34" borderId="0" xfId="0" applyFont="1" applyFill="1" applyAlignment="1">
      <alignment wrapText="1"/>
    </xf>
    <xf numFmtId="0" fontId="11" fillId="5" borderId="7" xfId="0" applyFont="1" applyFill="1" applyBorder="1" applyAlignment="1">
      <alignment wrapText="1"/>
    </xf>
    <xf numFmtId="0" fontId="11" fillId="34" borderId="36" xfId="0" applyFont="1" applyFill="1" applyBorder="1" applyAlignment="1">
      <alignment wrapText="1"/>
    </xf>
    <xf numFmtId="0" fontId="104" fillId="43" borderId="30" xfId="0" applyFont="1" applyFill="1" applyBorder="1"/>
    <xf numFmtId="0" fontId="104" fillId="31" borderId="7" xfId="0" applyFont="1" applyFill="1" applyBorder="1"/>
    <xf numFmtId="0" fontId="6" fillId="54" borderId="7" xfId="0" applyFont="1" applyFill="1" applyBorder="1" applyAlignment="1">
      <alignment wrapText="1"/>
    </xf>
    <xf numFmtId="0" fontId="6" fillId="55" borderId="7" xfId="0" applyFont="1" applyFill="1" applyBorder="1" applyAlignment="1">
      <alignment wrapText="1"/>
    </xf>
    <xf numFmtId="0" fontId="115" fillId="19" borderId="7" xfId="0" applyFont="1" applyFill="1" applyBorder="1"/>
    <xf numFmtId="0" fontId="115" fillId="19" borderId="36" xfId="0" applyFont="1" applyFill="1" applyBorder="1"/>
    <xf numFmtId="0" fontId="6" fillId="56" borderId="7" xfId="0" applyFont="1" applyFill="1" applyBorder="1" applyAlignment="1">
      <alignment wrapText="1"/>
    </xf>
    <xf numFmtId="0" fontId="6" fillId="56" borderId="37" xfId="0" applyFont="1" applyFill="1" applyBorder="1" applyAlignment="1">
      <alignment wrapText="1"/>
    </xf>
    <xf numFmtId="0" fontId="115" fillId="0" borderId="7" xfId="0" applyFont="1" applyBorder="1"/>
    <xf numFmtId="0" fontId="6" fillId="57" borderId="33" xfId="0" applyFont="1" applyFill="1" applyBorder="1"/>
    <xf numFmtId="0" fontId="115" fillId="58" borderId="7" xfId="0" applyFont="1" applyFill="1" applyBorder="1"/>
    <xf numFmtId="0" fontId="104" fillId="43" borderId="7" xfId="0" applyFont="1" applyFill="1" applyBorder="1"/>
    <xf numFmtId="0" fontId="11" fillId="5" borderId="38" xfId="0" applyFont="1" applyFill="1" applyBorder="1"/>
    <xf numFmtId="0" fontId="11" fillId="5" borderId="38" xfId="0" applyFont="1" applyFill="1" applyBorder="1" applyAlignment="1">
      <alignment wrapText="1"/>
    </xf>
    <xf numFmtId="0" fontId="11" fillId="37" borderId="38" xfId="0" applyFont="1" applyFill="1" applyBorder="1" applyAlignment="1">
      <alignment wrapText="1"/>
    </xf>
    <xf numFmtId="0" fontId="11" fillId="34" borderId="38" xfId="0" applyFont="1" applyFill="1" applyBorder="1" applyAlignment="1">
      <alignment wrapText="1"/>
    </xf>
    <xf numFmtId="0" fontId="104" fillId="43" borderId="39" xfId="0" applyFont="1" applyFill="1" applyBorder="1"/>
    <xf numFmtId="0" fontId="6" fillId="31" borderId="39" xfId="0" applyFont="1" applyFill="1" applyBorder="1"/>
    <xf numFmtId="0" fontId="104" fillId="31" borderId="39" xfId="0" applyFont="1" applyFill="1" applyBorder="1"/>
    <xf numFmtId="0" fontId="6" fillId="19" borderId="39" xfId="0" applyFont="1" applyFill="1" applyBorder="1" applyAlignment="1">
      <alignment wrapText="1"/>
    </xf>
    <xf numFmtId="0" fontId="115" fillId="19" borderId="39" xfId="0" applyFont="1" applyFill="1" applyBorder="1"/>
    <xf numFmtId="0" fontId="6" fillId="55" borderId="39" xfId="0" applyFont="1" applyFill="1" applyBorder="1" applyAlignment="1">
      <alignment wrapText="1"/>
    </xf>
    <xf numFmtId="0" fontId="6" fillId="19" borderId="7" xfId="0" applyFont="1" applyFill="1" applyBorder="1" applyAlignment="1">
      <alignment vertical="top" wrapText="1"/>
    </xf>
    <xf numFmtId="0" fontId="11" fillId="37" borderId="38" xfId="0" applyFont="1" applyFill="1" applyBorder="1" applyAlignment="1">
      <alignment vertical="top" wrapText="1"/>
    </xf>
    <xf numFmtId="0" fontId="11" fillId="5" borderId="38" xfId="0" applyFont="1" applyFill="1" applyBorder="1" applyAlignment="1">
      <alignment vertical="top"/>
    </xf>
    <xf numFmtId="0" fontId="11" fillId="5" borderId="38" xfId="0" applyFont="1" applyFill="1" applyBorder="1" applyAlignment="1">
      <alignment vertical="top" wrapText="1"/>
    </xf>
    <xf numFmtId="0" fontId="11" fillId="34" borderId="38" xfId="0" applyFont="1" applyFill="1" applyBorder="1" applyAlignment="1">
      <alignment vertical="top" wrapText="1"/>
    </xf>
    <xf numFmtId="0" fontId="8" fillId="38" borderId="0" xfId="0" applyFont="1" applyFill="1" applyAlignment="1">
      <alignment vertical="top"/>
    </xf>
    <xf numFmtId="0" fontId="8" fillId="33" borderId="0" xfId="0" applyFont="1" applyFill="1" applyAlignment="1">
      <alignment vertical="top" wrapText="1"/>
    </xf>
    <xf numFmtId="0" fontId="11" fillId="59" borderId="7" xfId="0" applyFont="1" applyFill="1" applyBorder="1" applyAlignment="1">
      <alignment vertical="top" wrapText="1"/>
    </xf>
    <xf numFmtId="0" fontId="8" fillId="33" borderId="1" xfId="0" applyFont="1" applyFill="1" applyBorder="1" applyAlignment="1">
      <alignment vertical="top" wrapText="1"/>
    </xf>
    <xf numFmtId="0" fontId="8" fillId="0" borderId="0" xfId="0" applyFont="1" applyAlignment="1">
      <alignment vertical="top"/>
    </xf>
    <xf numFmtId="0" fontId="0" fillId="0" borderId="0" xfId="0" applyAlignment="1">
      <alignment vertical="top"/>
    </xf>
    <xf numFmtId="0" fontId="6" fillId="19" borderId="0" xfId="0" applyFont="1" applyFill="1" applyAlignment="1">
      <alignment vertical="top" wrapText="1"/>
    </xf>
    <xf numFmtId="0" fontId="6" fillId="56" borderId="42" xfId="0" applyFont="1" applyFill="1" applyBorder="1" applyAlignment="1">
      <alignment vertical="top" wrapText="1"/>
    </xf>
    <xf numFmtId="0" fontId="6" fillId="56" borderId="43" xfId="0" applyFont="1" applyFill="1" applyBorder="1" applyAlignment="1">
      <alignment vertical="top" wrapText="1"/>
    </xf>
    <xf numFmtId="0" fontId="6" fillId="19" borderId="39" xfId="0" applyFont="1" applyFill="1" applyBorder="1" applyAlignment="1">
      <alignment vertical="top" wrapText="1"/>
    </xf>
    <xf numFmtId="0" fontId="6"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4" fillId="0" borderId="0" xfId="0" applyFont="1" applyAlignment="1">
      <alignment horizontal="center"/>
    </xf>
    <xf numFmtId="0" fontId="11" fillId="5" borderId="49" xfId="0" applyFont="1" applyFill="1" applyBorder="1"/>
    <xf numFmtId="0" fontId="11" fillId="5" borderId="39" xfId="0" applyFont="1" applyFill="1" applyBorder="1" applyAlignment="1">
      <alignment wrapText="1"/>
    </xf>
    <xf numFmtId="0" fontId="11" fillId="37" borderId="39" xfId="0" applyFont="1" applyFill="1" applyBorder="1" applyAlignment="1">
      <alignment wrapText="1"/>
    </xf>
    <xf numFmtId="0" fontId="11" fillId="37" borderId="39" xfId="0" applyFont="1" applyFill="1" applyBorder="1" applyAlignment="1">
      <alignment vertical="top" wrapText="1"/>
    </xf>
    <xf numFmtId="0" fontId="11" fillId="37" borderId="50" xfId="0" applyFont="1" applyFill="1" applyBorder="1" applyAlignment="1">
      <alignment wrapText="1"/>
    </xf>
    <xf numFmtId="0" fontId="116" fillId="0" borderId="30" xfId="0" applyFont="1" applyBorder="1"/>
    <xf numFmtId="0" fontId="6" fillId="51" borderId="7" xfId="0" applyFont="1" applyFill="1" applyBorder="1" applyAlignment="1">
      <alignment horizontal="left" wrapText="1"/>
    </xf>
    <xf numFmtId="0" fontId="43" fillId="0" borderId="0" xfId="0" applyFont="1"/>
    <xf numFmtId="0" fontId="104" fillId="48" borderId="38" xfId="0" applyFont="1" applyFill="1" applyBorder="1" applyAlignment="1">
      <alignment vertical="center"/>
    </xf>
    <xf numFmtId="0" fontId="104" fillId="48" borderId="39" xfId="0" applyFont="1" applyFill="1" applyBorder="1" applyAlignment="1">
      <alignment vertical="center"/>
    </xf>
    <xf numFmtId="0" fontId="6" fillId="48" borderId="38" xfId="0" applyFont="1" applyFill="1" applyBorder="1" applyAlignment="1">
      <alignment vertical="center"/>
    </xf>
    <xf numFmtId="0" fontId="6" fillId="48" borderId="39" xfId="0" applyFont="1" applyFill="1" applyBorder="1" applyAlignment="1">
      <alignment vertical="center"/>
    </xf>
    <xf numFmtId="0" fontId="104" fillId="31" borderId="30" xfId="0" applyFont="1" applyFill="1" applyBorder="1"/>
    <xf numFmtId="0" fontId="104" fillId="31" borderId="39" xfId="0" applyFont="1" applyFill="1" applyBorder="1" applyAlignment="1">
      <alignment vertical="center"/>
    </xf>
    <xf numFmtId="0" fontId="6" fillId="0" borderId="39" xfId="0" applyFont="1" applyBorder="1" applyAlignment="1">
      <alignment wrapText="1"/>
    </xf>
    <xf numFmtId="0" fontId="6" fillId="46" borderId="39" xfId="0" applyFont="1" applyFill="1" applyBorder="1" applyAlignment="1">
      <alignment wrapText="1"/>
    </xf>
    <xf numFmtId="0" fontId="104" fillId="43" borderId="52" xfId="0" applyFont="1" applyFill="1" applyBorder="1" applyAlignment="1">
      <alignment vertical="center"/>
    </xf>
    <xf numFmtId="0" fontId="6" fillId="48" borderId="52" xfId="0" applyFont="1" applyFill="1" applyBorder="1" applyAlignment="1">
      <alignment vertical="center"/>
    </xf>
    <xf numFmtId="0" fontId="104" fillId="48" borderId="52" xfId="0" applyFont="1" applyFill="1" applyBorder="1" applyAlignment="1">
      <alignment vertical="center"/>
    </xf>
    <xf numFmtId="0" fontId="6" fillId="19" borderId="52" xfId="0" applyFont="1" applyFill="1" applyBorder="1" applyAlignment="1">
      <alignment wrapText="1"/>
    </xf>
    <xf numFmtId="0" fontId="6" fillId="19" borderId="52" xfId="0" quotePrefix="1" applyFont="1" applyFill="1" applyBorder="1" applyAlignment="1">
      <alignment wrapText="1"/>
    </xf>
    <xf numFmtId="0" fontId="0" fillId="0" borderId="51" xfId="0" applyBorder="1"/>
    <xf numFmtId="0" fontId="6" fillId="46" borderId="52" xfId="0" applyFont="1" applyFill="1" applyBorder="1" applyAlignment="1">
      <alignment wrapText="1"/>
    </xf>
    <xf numFmtId="0" fontId="54" fillId="0" borderId="51" xfId="0" applyFont="1" applyBorder="1" applyAlignment="1">
      <alignment horizontal="center"/>
    </xf>
    <xf numFmtId="0" fontId="54" fillId="0" borderId="51" xfId="0" applyFont="1" applyBorder="1"/>
    <xf numFmtId="0" fontId="104" fillId="24" borderId="53" xfId="0" applyFont="1" applyFill="1" applyBorder="1"/>
    <xf numFmtId="0" fontId="104" fillId="43" borderId="52" xfId="0" applyFont="1" applyFill="1" applyBorder="1"/>
    <xf numFmtId="0" fontId="6" fillId="31" borderId="52" xfId="0" applyFont="1" applyFill="1" applyBorder="1"/>
    <xf numFmtId="0" fontId="104" fillId="31" borderId="52" xfId="0" applyFont="1" applyFill="1" applyBorder="1"/>
    <xf numFmtId="0" fontId="6" fillId="19" borderId="51" xfId="0" applyFont="1" applyFill="1" applyBorder="1" applyAlignment="1">
      <alignment vertical="top" wrapText="1"/>
    </xf>
    <xf numFmtId="0" fontId="6" fillId="57" borderId="51" xfId="0" applyFont="1" applyFill="1" applyBorder="1"/>
    <xf numFmtId="0" fontId="115" fillId="19" borderId="52" xfId="0" applyFont="1" applyFill="1" applyBorder="1"/>
    <xf numFmtId="0" fontId="6" fillId="55" borderId="52" xfId="0" applyFont="1" applyFill="1" applyBorder="1" applyAlignment="1">
      <alignment wrapText="1"/>
    </xf>
    <xf numFmtId="0" fontId="104" fillId="31" borderId="52" xfId="0" applyFont="1" applyFill="1" applyBorder="1" applyAlignment="1">
      <alignment vertical="center"/>
    </xf>
    <xf numFmtId="0" fontId="104" fillId="48" borderId="51" xfId="0" applyFont="1" applyFill="1" applyBorder="1" applyAlignment="1">
      <alignment vertical="center"/>
    </xf>
    <xf numFmtId="0" fontId="6" fillId="52" borderId="52" xfId="0" applyFont="1" applyFill="1" applyBorder="1" applyAlignment="1">
      <alignment wrapText="1"/>
    </xf>
    <xf numFmtId="0" fontId="6" fillId="0" borderId="51" xfId="0" applyFont="1" applyBorder="1" applyAlignment="1">
      <alignment wrapText="1"/>
    </xf>
    <xf numFmtId="0" fontId="6" fillId="0" borderId="51" xfId="0" applyFont="1" applyBorder="1" applyAlignment="1">
      <alignment horizontal="left" wrapText="1"/>
    </xf>
    <xf numFmtId="0" fontId="60" fillId="0" borderId="51" xfId="0" applyFont="1" applyBorder="1" applyAlignment="1">
      <alignment wrapText="1"/>
    </xf>
    <xf numFmtId="0" fontId="0" fillId="0" borderId="51" xfId="0" applyBorder="1" applyAlignment="1">
      <alignment horizontal="center"/>
    </xf>
    <xf numFmtId="0" fontId="54" fillId="14" borderId="0" xfId="0" applyFont="1" applyFill="1" applyAlignment="1">
      <alignment horizontal="left"/>
    </xf>
    <xf numFmtId="0" fontId="85" fillId="14" borderId="0" xfId="0" applyFont="1" applyFill="1" applyAlignment="1">
      <alignment horizontal="left"/>
    </xf>
    <xf numFmtId="0" fontId="57" fillId="0" borderId="0" xfId="0" applyFont="1" applyAlignment="1">
      <alignment horizontal="left" wrapText="1"/>
    </xf>
    <xf numFmtId="0" fontId="117" fillId="0" borderId="0" xfId="0" applyFont="1" applyAlignment="1">
      <alignment horizontal="left" wrapText="1"/>
    </xf>
    <xf numFmtId="0" fontId="57" fillId="0" borderId="0" xfId="0" applyFont="1" applyAlignment="1">
      <alignment vertical="top" wrapText="1"/>
    </xf>
    <xf numFmtId="0" fontId="57" fillId="26" borderId="0" xfId="0" applyFont="1" applyFill="1"/>
    <xf numFmtId="0" fontId="57" fillId="20" borderId="0" xfId="0" applyFont="1" applyFill="1" applyAlignment="1">
      <alignment horizontal="left" vertical="top" wrapText="1"/>
    </xf>
    <xf numFmtId="0" fontId="115" fillId="19" borderId="7" xfId="0" applyFont="1" applyFill="1" applyBorder="1" applyAlignment="1">
      <alignment horizontal="center" vertical="center"/>
    </xf>
    <xf numFmtId="0" fontId="115" fillId="19" borderId="36" xfId="0" applyFont="1" applyFill="1" applyBorder="1" applyAlignment="1">
      <alignment horizontal="center" vertical="center"/>
    </xf>
    <xf numFmtId="0" fontId="85" fillId="0" borderId="0" xfId="0" applyFont="1"/>
    <xf numFmtId="0" fontId="85" fillId="0" borderId="51" xfId="0" applyFont="1" applyBorder="1"/>
    <xf numFmtId="0" fontId="6" fillId="19" borderId="39" xfId="0" applyFont="1" applyFill="1" applyBorder="1"/>
    <xf numFmtId="0" fontId="25" fillId="19" borderId="39" xfId="0" applyFont="1" applyFill="1" applyBorder="1"/>
    <xf numFmtId="0" fontId="6" fillId="19" borderId="52" xfId="0" applyFont="1" applyFill="1" applyBorder="1"/>
    <xf numFmtId="0" fontId="118" fillId="0" borderId="0" xfId="0" applyFont="1" applyAlignment="1">
      <alignment wrapText="1"/>
    </xf>
    <xf numFmtId="0" fontId="118" fillId="0" borderId="0" xfId="0" applyFont="1" applyAlignment="1">
      <alignment horizontal="left"/>
    </xf>
    <xf numFmtId="0" fontId="119" fillId="0" borderId="0" xfId="0" applyFont="1" applyAlignment="1">
      <alignment horizontal="left"/>
    </xf>
    <xf numFmtId="0" fontId="109" fillId="0" borderId="0" xfId="0" applyFont="1" applyAlignment="1">
      <alignment horizontal="left" wrapText="1"/>
    </xf>
    <xf numFmtId="0" fontId="109" fillId="0" borderId="0" xfId="0" applyFont="1" applyAlignment="1">
      <alignment horizontal="center" vertical="center" wrapText="1"/>
    </xf>
    <xf numFmtId="0" fontId="120" fillId="0" borderId="16" xfId="0" applyFont="1" applyBorder="1" applyAlignment="1">
      <alignment horizontal="center" wrapText="1"/>
    </xf>
    <xf numFmtId="0" fontId="118" fillId="26" borderId="0" xfId="0" applyFont="1" applyFill="1"/>
    <xf numFmtId="0" fontId="109" fillId="0" borderId="0" xfId="0" applyFont="1" applyAlignment="1">
      <alignment horizontal="center" wrapText="1"/>
    </xf>
    <xf numFmtId="0" fontId="120" fillId="0" borderId="0" xfId="0" applyFont="1"/>
    <xf numFmtId="0" fontId="58" fillId="60" borderId="0" xfId="0" applyFont="1" applyFill="1" applyAlignment="1">
      <alignment horizontal="left"/>
    </xf>
    <xf numFmtId="0" fontId="6" fillId="60" borderId="0" xfId="0" applyFont="1" applyFill="1"/>
    <xf numFmtId="0" fontId="85" fillId="60" borderId="0" xfId="0" applyFont="1" applyFill="1" applyAlignment="1">
      <alignment horizontal="left"/>
    </xf>
    <xf numFmtId="0" fontId="104" fillId="0" borderId="0" xfId="0" applyFont="1"/>
    <xf numFmtId="0" fontId="121" fillId="0" borderId="0" xfId="0" applyFont="1" applyAlignment="1">
      <alignment wrapText="1"/>
    </xf>
    <xf numFmtId="0" fontId="82" fillId="51" borderId="0" xfId="0" applyFont="1" applyFill="1" applyAlignment="1">
      <alignment horizontal="left"/>
    </xf>
    <xf numFmtId="0" fontId="119" fillId="51" borderId="0" xfId="0" applyFont="1" applyFill="1" applyAlignment="1">
      <alignment horizontal="left"/>
    </xf>
    <xf numFmtId="0" fontId="54" fillId="20" borderId="0" xfId="0" applyFont="1" applyFill="1" applyAlignment="1">
      <alignment horizontal="left"/>
    </xf>
    <xf numFmtId="0" fontId="85" fillId="61" borderId="0" xfId="0" applyFont="1" applyFill="1" applyAlignment="1">
      <alignment horizontal="left"/>
    </xf>
    <xf numFmtId="0" fontId="60" fillId="61" borderId="0" xfId="0" applyFont="1" applyFill="1" applyAlignment="1">
      <alignment horizontal="left"/>
    </xf>
    <xf numFmtId="0" fontId="58" fillId="61" borderId="0" xfId="0" applyFont="1" applyFill="1" applyAlignment="1">
      <alignment horizontal="left"/>
    </xf>
    <xf numFmtId="0" fontId="85" fillId="20" borderId="0" xfId="0" applyFont="1" applyFill="1" applyAlignment="1">
      <alignment horizontal="left"/>
    </xf>
    <xf numFmtId="0" fontId="109" fillId="0" borderId="16" xfId="0" applyFont="1" applyBorder="1" applyAlignment="1">
      <alignment horizontal="center" wrapText="1"/>
    </xf>
    <xf numFmtId="0" fontId="109" fillId="0" borderId="0" xfId="0" applyFont="1" applyAlignment="1">
      <alignment horizontal="left" vertical="top" wrapText="1"/>
    </xf>
    <xf numFmtId="0" fontId="109" fillId="0" borderId="16" xfId="0" applyFont="1" applyBorder="1" applyAlignment="1">
      <alignment horizontal="left" wrapText="1"/>
    </xf>
    <xf numFmtId="0" fontId="118" fillId="0" borderId="0" xfId="0" applyFont="1"/>
    <xf numFmtId="0" fontId="122" fillId="0" borderId="0" xfId="0" applyFont="1" applyAlignment="1">
      <alignment horizontal="left" wrapText="1"/>
    </xf>
    <xf numFmtId="0" fontId="59" fillId="21" borderId="0" xfId="0" applyFont="1" applyFill="1" applyAlignment="1">
      <alignment horizontal="center" wrapText="1"/>
    </xf>
    <xf numFmtId="0" fontId="124" fillId="0" borderId="0" xfId="0" applyFont="1" applyAlignment="1">
      <alignment wrapText="1"/>
    </xf>
    <xf numFmtId="0" fontId="124" fillId="0" borderId="0" xfId="0" applyFont="1" applyAlignment="1">
      <alignment horizontal="left"/>
    </xf>
    <xf numFmtId="0" fontId="125" fillId="0" borderId="0" xfId="0" applyFont="1" applyAlignment="1">
      <alignment horizontal="left"/>
    </xf>
    <xf numFmtId="0" fontId="124" fillId="0" borderId="0" xfId="0" applyFont="1" applyAlignment="1">
      <alignment horizontal="left" wrapText="1"/>
    </xf>
    <xf numFmtId="0" fontId="124" fillId="0" borderId="0" xfId="0" applyFont="1" applyAlignment="1">
      <alignment horizontal="center" vertical="center" wrapText="1"/>
    </xf>
    <xf numFmtId="0" fontId="124" fillId="0" borderId="0" xfId="0" applyFont="1" applyAlignment="1">
      <alignment horizontal="center" wrapText="1"/>
    </xf>
    <xf numFmtId="0" fontId="124" fillId="0" borderId="16" xfId="0" applyFont="1" applyBorder="1" applyAlignment="1">
      <alignment horizontal="center" wrapText="1"/>
    </xf>
    <xf numFmtId="0" fontId="124" fillId="26" borderId="0" xfId="0" applyFont="1" applyFill="1"/>
    <xf numFmtId="0" fontId="124" fillId="0" borderId="0" xfId="0" applyFont="1" applyAlignment="1">
      <alignment horizontal="left" vertical="top" wrapText="1"/>
    </xf>
    <xf numFmtId="0" fontId="124" fillId="0" borderId="16" xfId="0" applyFont="1" applyBorder="1" applyAlignment="1">
      <alignment horizontal="left" wrapText="1"/>
    </xf>
    <xf numFmtId="0" fontId="124" fillId="0" borderId="0" xfId="0" applyFont="1"/>
    <xf numFmtId="0" fontId="35" fillId="0" borderId="0" xfId="0" applyFont="1"/>
    <xf numFmtId="0" fontId="126" fillId="0" borderId="0" xfId="0" applyFont="1" applyAlignment="1">
      <alignment vertical="center"/>
    </xf>
    <xf numFmtId="0" fontId="127" fillId="0" borderId="0" xfId="0" applyFont="1"/>
    <xf numFmtId="0" fontId="128" fillId="0" borderId="0" xfId="0" applyFont="1" applyAlignment="1">
      <alignment horizontal="left" vertical="center" indent="1"/>
    </xf>
    <xf numFmtId="0" fontId="129" fillId="0" borderId="0" xfId="0" applyFont="1"/>
    <xf numFmtId="0" fontId="130" fillId="0" borderId="0" xfId="0" applyFont="1"/>
    <xf numFmtId="0" fontId="130" fillId="0" borderId="0" xfId="0" applyFont="1" applyAlignment="1">
      <alignment wrapText="1"/>
    </xf>
    <xf numFmtId="0" fontId="108" fillId="0" borderId="0" xfId="0" applyFont="1" applyAlignment="1">
      <alignment wrapText="1"/>
    </xf>
    <xf numFmtId="0" fontId="130" fillId="0" borderId="0" xfId="0" applyFont="1" applyAlignment="1">
      <alignment horizontal="left" wrapText="1"/>
    </xf>
    <xf numFmtId="0" fontId="129" fillId="21" borderId="0" xfId="0" applyFont="1" applyFill="1" applyAlignment="1">
      <alignment horizontal="center" wrapText="1"/>
    </xf>
    <xf numFmtId="0" fontId="130" fillId="0" borderId="0" xfId="0" applyFont="1" applyAlignment="1">
      <alignment horizontal="center" vertical="center" wrapText="1"/>
    </xf>
    <xf numFmtId="0" fontId="130" fillId="0" borderId="0" xfId="0" applyFont="1" applyAlignment="1">
      <alignment horizontal="center" wrapText="1"/>
    </xf>
    <xf numFmtId="0" fontId="130" fillId="0" borderId="0" xfId="0" applyFont="1" applyAlignment="1">
      <alignment horizontal="left" vertical="top" wrapText="1"/>
    </xf>
    <xf numFmtId="0" fontId="131" fillId="0" borderId="0" xfId="0" applyFont="1" applyAlignment="1">
      <alignment horizontal="left"/>
    </xf>
    <xf numFmtId="0" fontId="131" fillId="0" borderId="0" xfId="0" applyFont="1" applyAlignment="1">
      <alignment wrapText="1"/>
    </xf>
    <xf numFmtId="0" fontId="131" fillId="0" borderId="0" xfId="0" applyFont="1" applyAlignment="1">
      <alignment horizontal="left" wrapText="1"/>
    </xf>
    <xf numFmtId="0" fontId="131" fillId="0" borderId="0" xfId="0" applyFont="1" applyAlignment="1">
      <alignment horizontal="center" vertical="center" wrapText="1"/>
    </xf>
    <xf numFmtId="0" fontId="131" fillId="0" borderId="0" xfId="0" applyFont="1" applyAlignment="1">
      <alignment horizontal="center" wrapText="1"/>
    </xf>
    <xf numFmtId="0" fontId="131" fillId="0" borderId="16" xfId="0" applyFont="1" applyBorder="1" applyAlignment="1">
      <alignment horizontal="center" wrapText="1"/>
    </xf>
    <xf numFmtId="0" fontId="131" fillId="26" borderId="0" xfId="0" applyFont="1" applyFill="1"/>
    <xf numFmtId="0" fontId="131" fillId="0" borderId="0" xfId="0" applyFont="1" applyAlignment="1">
      <alignment horizontal="left" vertical="top" wrapText="1"/>
    </xf>
    <xf numFmtId="0" fontId="131" fillId="0" borderId="16" xfId="0" applyFont="1" applyBorder="1" applyAlignment="1">
      <alignment horizontal="left" wrapText="1"/>
    </xf>
    <xf numFmtId="0" fontId="131" fillId="0" borderId="0" xfId="0" applyFont="1"/>
    <xf numFmtId="0" fontId="132" fillId="0" borderId="0" xfId="0" applyFont="1"/>
    <xf numFmtId="0" fontId="133" fillId="0" borderId="1" xfId="0" applyFont="1" applyBorder="1"/>
    <xf numFmtId="0" fontId="134" fillId="0" borderId="0" xfId="0" applyFont="1" applyAlignment="1">
      <alignment wrapText="1"/>
    </xf>
    <xf numFmtId="0" fontId="134" fillId="0" borderId="0" xfId="0" applyFont="1" applyAlignment="1">
      <alignment horizontal="left"/>
    </xf>
    <xf numFmtId="0" fontId="135" fillId="0" borderId="0" xfId="0" applyFont="1" applyAlignment="1">
      <alignment horizontal="left"/>
    </xf>
    <xf numFmtId="0" fontId="134" fillId="0" borderId="0" xfId="0" applyFont="1" applyAlignment="1">
      <alignment horizontal="left" wrapText="1"/>
    </xf>
    <xf numFmtId="0" fontId="134" fillId="0" borderId="0" xfId="0" applyFont="1" applyAlignment="1">
      <alignment horizontal="center" vertical="center" wrapText="1"/>
    </xf>
    <xf numFmtId="0" fontId="134" fillId="0" borderId="0" xfId="0" applyFont="1" applyAlignment="1">
      <alignment horizontal="center" wrapText="1"/>
    </xf>
    <xf numFmtId="0" fontId="134" fillId="0" borderId="16" xfId="0" applyFont="1" applyBorder="1" applyAlignment="1">
      <alignment horizontal="center" wrapText="1"/>
    </xf>
    <xf numFmtId="0" fontId="134" fillId="26" borderId="0" xfId="0" applyFont="1" applyFill="1"/>
    <xf numFmtId="0" fontId="134" fillId="24" borderId="0" xfId="0" applyFont="1" applyFill="1" applyAlignment="1">
      <alignment horizontal="left" vertical="top" wrapText="1"/>
    </xf>
    <xf numFmtId="0" fontId="134" fillId="0" borderId="16" xfId="0" applyFont="1" applyBorder="1" applyAlignment="1">
      <alignment horizontal="left" wrapText="1"/>
    </xf>
    <xf numFmtId="0" fontId="134" fillId="0" borderId="0" xfId="0" applyFont="1"/>
    <xf numFmtId="0" fontId="136" fillId="0" borderId="0" xfId="0" applyFont="1" applyAlignment="1">
      <alignment wrapText="1"/>
    </xf>
    <xf numFmtId="0" fontId="136" fillId="0" borderId="0" xfId="0" applyFont="1" applyAlignment="1">
      <alignment horizontal="left"/>
    </xf>
    <xf numFmtId="0" fontId="137" fillId="0" borderId="0" xfId="0" applyFont="1" applyAlignment="1">
      <alignment horizontal="left"/>
    </xf>
    <xf numFmtId="0" fontId="138" fillId="19" borderId="7" xfId="0" applyFont="1" applyFill="1" applyBorder="1" applyAlignment="1">
      <alignment wrapText="1"/>
    </xf>
    <xf numFmtId="0" fontId="136" fillId="0" borderId="0" xfId="0" applyFont="1" applyAlignment="1">
      <alignment horizontal="left" wrapText="1"/>
    </xf>
    <xf numFmtId="0" fontId="136" fillId="0" borderId="0" xfId="0" applyFont="1" applyAlignment="1">
      <alignment horizontal="center" vertical="center" wrapText="1"/>
    </xf>
    <xf numFmtId="0" fontId="136" fillId="0" borderId="0" xfId="0" applyFont="1" applyAlignment="1">
      <alignment horizontal="center" wrapText="1"/>
    </xf>
    <xf numFmtId="0" fontId="136" fillId="0" borderId="16" xfId="0" applyFont="1" applyBorder="1" applyAlignment="1">
      <alignment horizontal="center" wrapText="1"/>
    </xf>
    <xf numFmtId="0" fontId="136" fillId="26" borderId="0" xfId="0" applyFont="1" applyFill="1"/>
    <xf numFmtId="0" fontId="136" fillId="0" borderId="0" xfId="0" applyFont="1" applyAlignment="1">
      <alignment horizontal="left" vertical="top" wrapText="1"/>
    </xf>
    <xf numFmtId="0" fontId="136" fillId="0" borderId="16" xfId="0" applyFont="1" applyBorder="1" applyAlignment="1">
      <alignment horizontal="left" wrapText="1"/>
    </xf>
    <xf numFmtId="0" fontId="136" fillId="0" borderId="0" xfId="0" applyFont="1"/>
    <xf numFmtId="0" fontId="139" fillId="0" borderId="0" xfId="0" applyFont="1" applyAlignment="1">
      <alignment wrapText="1"/>
    </xf>
    <xf numFmtId="0" fontId="140" fillId="0" borderId="0" xfId="0" applyFont="1" applyAlignment="1">
      <alignment wrapText="1"/>
    </xf>
    <xf numFmtId="0" fontId="140" fillId="0" borderId="0" xfId="0" applyFont="1" applyAlignment="1">
      <alignment horizontal="left"/>
    </xf>
    <xf numFmtId="0" fontId="140" fillId="0" borderId="0" xfId="0" applyFont="1"/>
    <xf numFmtId="0" fontId="140" fillId="0" borderId="0" xfId="0" applyFont="1" applyAlignment="1">
      <alignment horizontal="left" wrapText="1"/>
    </xf>
    <xf numFmtId="0" fontId="140" fillId="0" borderId="0" xfId="0" applyFont="1" applyAlignment="1">
      <alignment horizontal="center" vertical="center" wrapText="1"/>
    </xf>
    <xf numFmtId="0" fontId="140" fillId="0" borderId="0" xfId="0" applyFont="1" applyAlignment="1">
      <alignment horizontal="center" wrapText="1"/>
    </xf>
    <xf numFmtId="0" fontId="140" fillId="0" borderId="16" xfId="0" applyFont="1" applyBorder="1" applyAlignment="1">
      <alignment horizontal="center" wrapText="1"/>
    </xf>
    <xf numFmtId="0" fontId="140" fillId="26" borderId="0" xfId="0" applyFont="1" applyFill="1"/>
    <xf numFmtId="0" fontId="140" fillId="0" borderId="0" xfId="0" applyFont="1" applyAlignment="1">
      <alignment horizontal="left" vertical="top" wrapText="1"/>
    </xf>
    <xf numFmtId="0" fontId="140" fillId="0" borderId="16" xfId="0" applyFont="1" applyBorder="1" applyAlignment="1">
      <alignment horizontal="left" wrapText="1"/>
    </xf>
    <xf numFmtId="0" fontId="136" fillId="24" borderId="0" xfId="0" applyFont="1" applyFill="1" applyAlignment="1">
      <alignment horizontal="left" vertical="top" wrapText="1"/>
    </xf>
    <xf numFmtId="0" fontId="141" fillId="0" borderId="0" xfId="0" applyFont="1" applyAlignment="1">
      <alignment horizontal="left"/>
    </xf>
    <xf numFmtId="0" fontId="142" fillId="0" borderId="1" xfId="0" applyFont="1" applyBorder="1"/>
    <xf numFmtId="0" fontId="139" fillId="0" borderId="0" xfId="0" applyFont="1" applyAlignment="1">
      <alignment horizontal="center" vertical="center" wrapText="1"/>
    </xf>
    <xf numFmtId="0" fontId="136" fillId="0" borderId="0" xfId="0" quotePrefix="1" applyFont="1" applyAlignment="1">
      <alignment horizontal="left" wrapText="1"/>
    </xf>
    <xf numFmtId="0" fontId="139" fillId="0" borderId="0" xfId="0" applyFont="1" applyAlignment="1">
      <alignment horizontal="left" wrapText="1"/>
    </xf>
    <xf numFmtId="0" fontId="134" fillId="0" borderId="0" xfId="0" applyFont="1" applyAlignment="1">
      <alignment horizontal="left" vertical="top"/>
    </xf>
    <xf numFmtId="0" fontId="134" fillId="0" borderId="0" xfId="0" applyFont="1" applyAlignment="1">
      <alignment horizontal="left" vertical="top" wrapText="1"/>
    </xf>
    <xf numFmtId="0" fontId="136" fillId="0" borderId="7" xfId="0" applyFont="1" applyBorder="1" applyAlignment="1">
      <alignment wrapText="1"/>
    </xf>
    <xf numFmtId="0" fontId="135" fillId="0" borderId="0" xfId="0" applyFont="1" applyAlignment="1">
      <alignment wrapText="1"/>
    </xf>
    <xf numFmtId="0" fontId="135" fillId="0" borderId="0" xfId="0" applyFont="1" applyAlignment="1">
      <alignment horizontal="left" wrapText="1"/>
    </xf>
    <xf numFmtId="0" fontId="143" fillId="0" borderId="0" xfId="0" applyFont="1" applyAlignment="1">
      <alignment horizontal="center" vertical="center" wrapText="1"/>
    </xf>
    <xf numFmtId="0" fontId="135" fillId="0" borderId="0" xfId="0" applyFont="1" applyAlignment="1">
      <alignment horizontal="center" wrapText="1"/>
    </xf>
    <xf numFmtId="0" fontId="135" fillId="0" borderId="16" xfId="0" applyFont="1" applyBorder="1" applyAlignment="1">
      <alignment horizontal="center" wrapText="1"/>
    </xf>
    <xf numFmtId="0" fontId="135" fillId="26" borderId="0" xfId="0" applyFont="1" applyFill="1"/>
    <xf numFmtId="0" fontId="135" fillId="0" borderId="0" xfId="0" applyFont="1" applyAlignment="1">
      <alignment horizontal="left" vertical="top" wrapText="1"/>
    </xf>
    <xf numFmtId="0" fontId="135" fillId="0" borderId="16" xfId="0" applyFont="1" applyBorder="1" applyAlignment="1">
      <alignment horizontal="left" wrapText="1"/>
    </xf>
    <xf numFmtId="0" fontId="135" fillId="0" borderId="0" xfId="0" applyFont="1"/>
    <xf numFmtId="0" fontId="137" fillId="0" borderId="0" xfId="0" applyFont="1"/>
    <xf numFmtId="0" fontId="144" fillId="0" borderId="1" xfId="0" applyFont="1" applyBorder="1"/>
    <xf numFmtId="0" fontId="143" fillId="0" borderId="0" xfId="0" applyFont="1" applyAlignment="1">
      <alignment wrapText="1"/>
    </xf>
    <xf numFmtId="0" fontId="136" fillId="0" borderId="0" xfId="0" applyFont="1" applyAlignment="1">
      <alignment wrapText="1" shrinkToFit="1"/>
    </xf>
    <xf numFmtId="0" fontId="141" fillId="0" borderId="0" xfId="0" applyFont="1" applyAlignment="1">
      <alignment wrapText="1"/>
    </xf>
    <xf numFmtId="0" fontId="141" fillId="0" borderId="0" xfId="0" applyFont="1" applyAlignment="1">
      <alignment horizontal="left" wrapText="1"/>
    </xf>
    <xf numFmtId="0" fontId="141" fillId="0" borderId="0" xfId="0" applyFont="1" applyAlignment="1">
      <alignment horizontal="center" vertical="center" wrapText="1"/>
    </xf>
    <xf numFmtId="0" fontId="141" fillId="0" borderId="0" xfId="0" applyFont="1" applyAlignment="1">
      <alignment horizontal="center" wrapText="1"/>
    </xf>
    <xf numFmtId="0" fontId="141" fillId="0" borderId="16" xfId="0" applyFont="1" applyBorder="1" applyAlignment="1">
      <alignment horizontal="center" wrapText="1"/>
    </xf>
    <xf numFmtId="0" fontId="141" fillId="26" borderId="0" xfId="0" applyFont="1" applyFill="1"/>
    <xf numFmtId="0" fontId="141" fillId="0" borderId="0" xfId="0" applyFont="1" applyAlignment="1">
      <alignment horizontal="left" vertical="top" wrapText="1"/>
    </xf>
    <xf numFmtId="0" fontId="141" fillId="0" borderId="16" xfId="0" applyFont="1" applyBorder="1" applyAlignment="1">
      <alignment horizontal="left" wrapText="1"/>
    </xf>
    <xf numFmtId="0" fontId="141" fillId="0" borderId="0" xfId="0" applyFont="1"/>
    <xf numFmtId="0" fontId="145" fillId="0" borderId="0" xfId="13" applyFont="1"/>
    <xf numFmtId="0" fontId="146" fillId="0" borderId="0" xfId="13" applyFont="1"/>
    <xf numFmtId="0" fontId="137" fillId="20" borderId="0" xfId="0" applyFont="1" applyFill="1" applyAlignment="1">
      <alignment wrapText="1"/>
    </xf>
    <xf numFmtId="0" fontId="147" fillId="0" borderId="0" xfId="0" applyFont="1"/>
    <xf numFmtId="0" fontId="136" fillId="0" borderId="0" xfId="0" quotePrefix="1" applyFont="1" applyAlignment="1">
      <alignment wrapText="1"/>
    </xf>
    <xf numFmtId="0" fontId="147" fillId="0" borderId="0" xfId="0" applyFont="1" applyAlignment="1">
      <alignment horizontal="center" wrapText="1"/>
    </xf>
    <xf numFmtId="0" fontId="147" fillId="0" borderId="0" xfId="0" applyFont="1" applyAlignment="1">
      <alignment horizontal="left" vertical="top" wrapText="1"/>
    </xf>
    <xf numFmtId="0" fontId="147" fillId="0" borderId="0" xfId="0" applyFont="1" applyAlignment="1">
      <alignment wrapText="1"/>
    </xf>
    <xf numFmtId="0" fontId="147" fillId="0" borderId="0" xfId="0" applyFont="1" applyAlignment="1">
      <alignment horizontal="left" wrapText="1"/>
    </xf>
    <xf numFmtId="0" fontId="148" fillId="0" borderId="0" xfId="0" applyFont="1"/>
    <xf numFmtId="0" fontId="148" fillId="0" borderId="0" xfId="0" applyFont="1" applyAlignment="1">
      <alignment horizontal="center" vertical="center"/>
    </xf>
    <xf numFmtId="0" fontId="139" fillId="0" borderId="0" xfId="0" applyFont="1" applyAlignment="1">
      <alignment horizontal="left"/>
    </xf>
    <xf numFmtId="0" fontId="139" fillId="0" borderId="0" xfId="0" applyFont="1" applyAlignment="1">
      <alignment horizontal="center" wrapText="1"/>
    </xf>
    <xf numFmtId="0" fontId="139" fillId="0" borderId="0" xfId="0" applyFont="1" applyAlignment="1">
      <alignment horizontal="left" vertical="top" wrapText="1"/>
    </xf>
    <xf numFmtId="0" fontId="136" fillId="19" borderId="7" xfId="0" applyFont="1" applyFill="1" applyBorder="1" applyAlignment="1">
      <alignment wrapText="1"/>
    </xf>
    <xf numFmtId="0" fontId="137" fillId="0" borderId="0" xfId="0" applyFont="1" applyAlignment="1">
      <alignment wrapText="1"/>
    </xf>
    <xf numFmtId="0" fontId="137" fillId="20" borderId="0" xfId="0" applyFont="1" applyFill="1" applyAlignment="1">
      <alignment horizontal="left" vertical="top" wrapText="1"/>
    </xf>
    <xf numFmtId="0" fontId="137" fillId="0" borderId="0" xfId="0" applyFont="1" applyAlignment="1">
      <alignment horizontal="left" vertical="top" wrapText="1"/>
    </xf>
    <xf numFmtId="0" fontId="136" fillId="0" borderId="0" xfId="0" applyFont="1" applyAlignment="1">
      <alignment horizontal="left" vertical="center" wrapText="1"/>
    </xf>
    <xf numFmtId="0" fontId="134" fillId="0" borderId="7" xfId="0" applyFont="1" applyBorder="1" applyAlignment="1">
      <alignment wrapText="1"/>
    </xf>
    <xf numFmtId="0" fontId="135" fillId="0" borderId="0" xfId="0" quotePrefix="1" applyFont="1" applyAlignment="1">
      <alignment horizontal="left" wrapText="1"/>
    </xf>
    <xf numFmtId="0" fontId="135" fillId="0" borderId="0" xfId="0" applyFont="1" applyAlignment="1">
      <alignment horizontal="center" vertical="center" wrapText="1"/>
    </xf>
    <xf numFmtId="0" fontId="135" fillId="19" borderId="7" xfId="0" applyFont="1" applyFill="1" applyBorder="1" applyAlignment="1">
      <alignment wrapText="1"/>
    </xf>
    <xf numFmtId="0" fontId="136" fillId="0" borderId="0" xfId="0" applyFont="1" applyAlignment="1">
      <alignment vertical="top" wrapText="1"/>
    </xf>
    <xf numFmtId="0" fontId="136" fillId="20" borderId="0" xfId="0" applyFont="1" applyFill="1" applyAlignment="1">
      <alignment wrapText="1"/>
    </xf>
    <xf numFmtId="0" fontId="136" fillId="20" borderId="0" xfId="0" applyFont="1" applyFill="1" applyAlignment="1">
      <alignment horizontal="left" vertical="top" wrapText="1"/>
    </xf>
    <xf numFmtId="0" fontId="136" fillId="14" borderId="0" xfId="0" applyFont="1" applyFill="1" applyAlignment="1">
      <alignment wrapText="1"/>
    </xf>
    <xf numFmtId="0" fontId="136" fillId="14" borderId="0" xfId="0" applyFont="1" applyFill="1" applyAlignment="1">
      <alignment horizontal="left"/>
    </xf>
    <xf numFmtId="0" fontId="81" fillId="21" borderId="16" xfId="0" applyFont="1" applyFill="1" applyBorder="1" applyAlignment="1">
      <alignment horizontal="center" vertical="center" wrapText="1"/>
    </xf>
    <xf numFmtId="0" fontId="136" fillId="62" borderId="0" xfId="0" applyFont="1" applyFill="1" applyAlignment="1">
      <alignment wrapText="1"/>
    </xf>
    <xf numFmtId="0" fontId="136" fillId="62" borderId="0" xfId="0" applyFont="1" applyFill="1" applyAlignment="1">
      <alignment horizontal="left"/>
    </xf>
    <xf numFmtId="0" fontId="136" fillId="62" borderId="0" xfId="0" applyFont="1" applyFill="1" applyAlignment="1">
      <alignment horizontal="left" wrapText="1"/>
    </xf>
    <xf numFmtId="0" fontId="136" fillId="62" borderId="0" xfId="0" applyFont="1" applyFill="1" applyAlignment="1">
      <alignment horizontal="center" vertical="center" wrapText="1"/>
    </xf>
    <xf numFmtId="0" fontId="136" fillId="62" borderId="0" xfId="0" applyFont="1" applyFill="1" applyAlignment="1">
      <alignment horizontal="center" wrapText="1"/>
    </xf>
    <xf numFmtId="0" fontId="136" fillId="62" borderId="16" xfId="0" applyFont="1" applyFill="1" applyBorder="1" applyAlignment="1">
      <alignment horizontal="center" wrapText="1"/>
    </xf>
    <xf numFmtId="0" fontId="136" fillId="62" borderId="0" xfId="0" applyFont="1" applyFill="1"/>
    <xf numFmtId="0" fontId="136" fillId="62" borderId="0" xfId="0" applyFont="1" applyFill="1" applyAlignment="1">
      <alignment horizontal="left" vertical="top" wrapText="1"/>
    </xf>
    <xf numFmtId="0" fontId="136" fillId="62" borderId="16" xfId="0" applyFont="1" applyFill="1" applyBorder="1" applyAlignment="1">
      <alignment horizontal="left" wrapText="1"/>
    </xf>
    <xf numFmtId="0" fontId="1" fillId="0" borderId="0" xfId="0" applyFont="1" applyAlignment="1">
      <alignment horizontal="left"/>
    </xf>
    <xf numFmtId="0" fontId="62" fillId="15" borderId="8" xfId="0" applyFont="1" applyFill="1" applyBorder="1" applyAlignment="1">
      <alignment horizontal="left"/>
    </xf>
    <xf numFmtId="0" fontId="62" fillId="15" borderId="9" xfId="0" applyFont="1" applyFill="1" applyBorder="1" applyAlignment="1">
      <alignment horizontal="left"/>
    </xf>
    <xf numFmtId="49" fontId="66" fillId="0" borderId="23" xfId="0" applyNumberFormat="1" applyFont="1" applyBorder="1" applyAlignment="1">
      <alignment horizontal="center" vertical="center" wrapText="1"/>
    </xf>
    <xf numFmtId="49" fontId="67" fillId="0" borderId="17" xfId="0" applyNumberFormat="1" applyFont="1" applyBorder="1" applyAlignment="1">
      <alignment horizontal="center"/>
    </xf>
    <xf numFmtId="49" fontId="67" fillId="0" borderId="18" xfId="0" applyNumberFormat="1" applyFont="1" applyBorder="1" applyAlignment="1">
      <alignment horizontal="center"/>
    </xf>
    <xf numFmtId="49" fontId="67" fillId="0" borderId="19" xfId="0" applyNumberFormat="1" applyFont="1" applyBorder="1" applyAlignment="1">
      <alignment horizontal="center"/>
    </xf>
    <xf numFmtId="49" fontId="76" fillId="0" borderId="20" xfId="0" applyNumberFormat="1" applyFont="1" applyBorder="1" applyAlignment="1">
      <alignment horizontal="center" vertical="center" wrapText="1"/>
    </xf>
    <xf numFmtId="49" fontId="76" fillId="0" borderId="21" xfId="0" applyNumberFormat="1" applyFont="1" applyBorder="1" applyAlignment="1">
      <alignment horizontal="center" vertical="center" wrapText="1"/>
    </xf>
    <xf numFmtId="49" fontId="76" fillId="0" borderId="22" xfId="0" applyNumberFormat="1" applyFont="1" applyBorder="1" applyAlignment="1">
      <alignment horizontal="center"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horizontal="left" vertical="center"/>
    </xf>
    <xf numFmtId="49" fontId="70" fillId="0" borderId="0" xfId="0" applyNumberFormat="1" applyFont="1" applyAlignment="1">
      <alignment horizontal="left" vertical="top"/>
    </xf>
    <xf numFmtId="49" fontId="66" fillId="0" borderId="0" xfId="0" applyNumberFormat="1" applyFont="1" applyAlignment="1">
      <alignment horizontal="left" vertical="top"/>
    </xf>
    <xf numFmtId="0" fontId="41" fillId="13" borderId="0" xfId="0" applyFont="1" applyFill="1" applyAlignment="1">
      <alignment horizontal="center" vertical="center" wrapText="1"/>
    </xf>
    <xf numFmtId="0" fontId="34" fillId="0" borderId="0" xfId="0" applyFont="1" applyAlignment="1">
      <alignment horizontal="center" wrapText="1"/>
    </xf>
    <xf numFmtId="0" fontId="59" fillId="21" borderId="0" xfId="0" applyFont="1" applyFill="1" applyAlignment="1">
      <alignment horizontal="center" wrapText="1"/>
    </xf>
    <xf numFmtId="0" fontId="59" fillId="23" borderId="0" xfId="0" applyFont="1" applyFill="1" applyAlignment="1">
      <alignment horizontal="center" wrapText="1"/>
    </xf>
    <xf numFmtId="0" fontId="59" fillId="23" borderId="0" xfId="0" applyFont="1" applyFill="1" applyAlignment="1">
      <alignment horizontal="center" vertical="center" wrapText="1"/>
    </xf>
    <xf numFmtId="0" fontId="41" fillId="29" borderId="0" xfId="0" applyFont="1" applyFill="1" applyAlignment="1">
      <alignment wrapText="1"/>
    </xf>
    <xf numFmtId="0" fontId="36" fillId="33" borderId="0" xfId="0" applyFont="1" applyFill="1" applyAlignment="1">
      <alignment wrapText="1"/>
    </xf>
    <xf numFmtId="0" fontId="36" fillId="34" borderId="0" xfId="0" applyFont="1" applyFill="1" applyAlignment="1">
      <alignment wrapText="1"/>
    </xf>
    <xf numFmtId="0" fontId="36" fillId="35" borderId="0" xfId="0" applyFont="1" applyFill="1" applyAlignment="1">
      <alignment wrapText="1"/>
    </xf>
    <xf numFmtId="0" fontId="112" fillId="23" borderId="0" xfId="0" applyFont="1" applyFill="1" applyAlignment="1">
      <alignment horizontal="center" wrapText="1"/>
    </xf>
    <xf numFmtId="0" fontId="61" fillId="53" borderId="40" xfId="0" applyFont="1" applyFill="1" applyBorder="1" applyAlignment="1">
      <alignment horizontal="center" vertical="center"/>
    </xf>
    <xf numFmtId="0" fontId="61" fillId="53" borderId="29" xfId="0" applyFont="1" applyFill="1" applyBorder="1" applyAlignment="1">
      <alignment horizontal="center" vertical="center"/>
    </xf>
    <xf numFmtId="0" fontId="35" fillId="32" borderId="41" xfId="0" applyFont="1" applyFill="1" applyBorder="1" applyAlignment="1">
      <alignment horizontal="center" vertical="center"/>
    </xf>
    <xf numFmtId="0" fontId="35" fillId="32" borderId="34" xfId="0" applyFont="1" applyFill="1" applyBorder="1" applyAlignment="1">
      <alignment horizontal="center" vertical="center"/>
    </xf>
    <xf numFmtId="0" fontId="35" fillId="31" borderId="0" xfId="0" applyFont="1" applyFill="1" applyAlignment="1">
      <alignment horizontal="center" vertical="center"/>
    </xf>
    <xf numFmtId="0" fontId="35" fillId="30" borderId="0" xfId="0" applyFont="1" applyFill="1" applyAlignment="1">
      <alignment horizontal="center" vertical="center"/>
    </xf>
    <xf numFmtId="0" fontId="35" fillId="28" borderId="0" xfId="0" applyFont="1" applyFill="1" applyAlignment="1">
      <alignment horizontal="center" vertical="center"/>
    </xf>
    <xf numFmtId="0" fontId="34" fillId="0" borderId="0" xfId="0" applyFont="1" applyAlignment="1">
      <alignment wrapText="1"/>
    </xf>
    <xf numFmtId="0" fontId="114" fillId="34" borderId="0" xfId="0" applyFont="1" applyFill="1" applyAlignment="1">
      <alignment wrapText="1"/>
    </xf>
    <xf numFmtId="0" fontId="6" fillId="0" borderId="0" xfId="0" applyFont="1" applyAlignment="1">
      <alignment horizontal="left" vertical="top" wrapText="1"/>
    </xf>
    <xf numFmtId="0" fontId="6" fillId="0" borderId="0" xfId="0" applyFont="1" applyAlignment="1">
      <alignment horizontal="left" vertical="center" wrapText="1"/>
    </xf>
    <xf numFmtId="0" fontId="0" fillId="5" borderId="1" xfId="0" applyFill="1" applyBorder="1" applyAlignment="1"/>
    <xf numFmtId="0" fontId="1" fillId="0" borderId="0" xfId="0" applyFont="1" applyAlignment="1">
      <alignment wrapText="1"/>
    </xf>
    <xf numFmtId="0" fontId="1" fillId="0" borderId="0" xfId="0" applyFont="1" applyAlignment="1">
      <alignment horizontal="left" wrapText="1"/>
    </xf>
    <xf numFmtId="0" fontId="1" fillId="0" borderId="0" xfId="0" applyFont="1" applyAlignment="1">
      <alignment horizontal="center" vertical="center" wrapText="1"/>
    </xf>
    <xf numFmtId="0" fontId="1" fillId="0" borderId="0" xfId="0" applyFont="1" applyAlignment="1">
      <alignment horizontal="center" wrapText="1"/>
    </xf>
    <xf numFmtId="0" fontId="1" fillId="0" borderId="16" xfId="0" applyFont="1" applyBorder="1" applyAlignment="1">
      <alignment horizontal="center" wrapText="1"/>
    </xf>
    <xf numFmtId="0" fontId="1" fillId="0" borderId="0" xfId="0" applyFont="1" applyAlignment="1">
      <alignment horizontal="left" vertical="top" wrapText="1"/>
    </xf>
    <xf numFmtId="0" fontId="1" fillId="0" borderId="16" xfId="0" applyFont="1" applyBorder="1" applyAlignment="1">
      <alignment horizontal="left" wrapText="1"/>
    </xf>
    <xf numFmtId="0" fontId="1" fillId="0" borderId="7" xfId="0" applyFont="1" applyBorder="1" applyAlignment="1">
      <alignment wrapText="1"/>
    </xf>
    <xf numFmtId="0" fontId="1" fillId="0" borderId="0" xfId="0" quotePrefix="1" applyFont="1" applyAlignment="1">
      <alignment horizontal="left" wrapText="1"/>
    </xf>
    <xf numFmtId="0" fontId="1" fillId="20" borderId="0" xfId="0" applyFont="1" applyFill="1" applyAlignment="1">
      <alignment wrapText="1"/>
    </xf>
    <xf numFmtId="0" fontId="1" fillId="63" borderId="16" xfId="0" applyFont="1" applyFill="1" applyBorder="1" applyAlignment="1">
      <alignment horizontal="center" wrapText="1"/>
    </xf>
    <xf numFmtId="0" fontId="1" fillId="0" borderId="0" xfId="0" applyFont="1"/>
    <xf numFmtId="0" fontId="1" fillId="0" borderId="0" xfId="0" applyFont="1" applyAlignment="1">
      <alignment wrapText="1" shrinkToFit="1"/>
    </xf>
    <xf numFmtId="0" fontId="1" fillId="19" borderId="7" xfId="0" applyFont="1" applyFill="1" applyBorder="1" applyAlignment="1">
      <alignment wrapText="1"/>
    </xf>
    <xf numFmtId="0" fontId="1" fillId="0" borderId="0" xfId="0" applyFont="1" applyAlignment="1">
      <alignment vertical="top" wrapText="1"/>
    </xf>
    <xf numFmtId="0" fontId="1" fillId="20" borderId="0" xfId="0" applyFont="1" applyFill="1" applyAlignment="1">
      <alignment horizontal="left" vertical="top" wrapText="1"/>
    </xf>
    <xf numFmtId="0" fontId="1" fillId="19" borderId="0" xfId="0" applyFont="1" applyFill="1" applyAlignment="1">
      <alignment horizontal="left" wrapText="1"/>
    </xf>
    <xf numFmtId="0" fontId="1" fillId="60" borderId="0" xfId="0" applyFont="1" applyFill="1" applyAlignment="1">
      <alignment wrapText="1"/>
    </xf>
    <xf numFmtId="0" fontId="1" fillId="60" borderId="0" xfId="0" applyFont="1" applyFill="1" applyAlignment="1">
      <alignment horizontal="left" wrapText="1"/>
    </xf>
    <xf numFmtId="0" fontId="1" fillId="60" borderId="0" xfId="0" applyFont="1" applyFill="1" applyAlignment="1">
      <alignment horizontal="left"/>
    </xf>
    <xf numFmtId="14" fontId="1" fillId="0" borderId="0" xfId="0" applyNumberFormat="1" applyFont="1" applyAlignment="1">
      <alignment horizontal="left" wrapText="1"/>
    </xf>
    <xf numFmtId="0" fontId="1" fillId="61" borderId="0" xfId="0" applyFont="1" applyFill="1" applyAlignment="1">
      <alignment wrapText="1"/>
    </xf>
    <xf numFmtId="0" fontId="1" fillId="61" borderId="0" xfId="0" applyFont="1" applyFill="1" applyAlignment="1">
      <alignment horizontal="left" wrapText="1"/>
    </xf>
    <xf numFmtId="0" fontId="1" fillId="61" borderId="0" xfId="0" applyFont="1" applyFill="1" applyAlignment="1">
      <alignment horizontal="left"/>
    </xf>
    <xf numFmtId="0" fontId="1" fillId="26" borderId="16" xfId="0" applyFont="1" applyFill="1" applyBorder="1" applyAlignment="1">
      <alignment horizont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766">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border>
        <top style="double">
          <color theme="4"/>
        </top>
      </border>
    </dxf>
    <dxf>
      <border outline="0">
        <bottom style="thin">
          <color rgb="FF8EA9DB"/>
        </bottom>
      </border>
    </dxf>
    <dxf>
      <border outline="0">
        <left style="thin">
          <color rgb="FF8EA9DB"/>
        </left>
        <right style="thin">
          <color rgb="FF8EA9DB"/>
        </right>
        <top style="thin">
          <color rgb="FF8EA9DB"/>
        </top>
        <bottom style="thin">
          <color rgb="FF8EA9DB"/>
        </bottom>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5" tint="0.79998168889431442"/>
        </patternFill>
      </fill>
    </dxf>
    <dxf>
      <fill>
        <patternFill>
          <bgColor theme="9"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9" tint="0.79998168889431442"/>
        </patternFill>
      </fill>
    </dxf>
    <dxf>
      <fill>
        <patternFill>
          <bgColor theme="6" tint="0.79998168889431442"/>
        </patternFill>
      </fill>
    </dxf>
    <dxf>
      <fill>
        <patternFill>
          <bgColor theme="7"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FE1FF"/>
        </patternFill>
      </fill>
    </dxf>
    <dxf>
      <fill>
        <patternFill>
          <bgColor theme="5"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6"/>
        </patternFill>
      </fill>
    </dxf>
    <dxf>
      <fill>
        <patternFill>
          <bgColor rgb="FFF58383"/>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7" tint="0.79998168889431442"/>
        </patternFill>
      </fill>
    </dxf>
    <dxf>
      <fill>
        <patternFill>
          <bgColor rgb="FFFFE1FF"/>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757171"/>
      <color rgb="FFEC7524"/>
      <color rgb="FFCC00CC"/>
      <color rgb="FFFF9933"/>
      <color rgb="FF69008E"/>
      <color rgb="FFFFCCFF"/>
      <color rgb="FFFFE1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Elodie FALCIONI (EXT)" id="{10AA01AE-01D7-784E-A4FB-B6D4F18B5232}"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1745" dataDxfId="1744">
  <autoFilter ref="A8:AD20" xr:uid="{EF99425A-BF7C-494D-843B-A436A28F1D50}"/>
  <tableColumns count="30">
    <tableColumn id="26" xr3:uid="{F6E0102F-6A62-4676-8743-12C78DFD5AAE}" name="ID" totalsRowFunction="count" dataDxfId="1742" totalsRowDxfId="1743"/>
    <tableColumn id="34" xr3:uid="{C5C184C6-181D-45CF-A63D-7AEDCADFA43B}" name="Donnée (Niveau 1)" dataDxfId="1740" totalsRowDxfId="1741"/>
    <tableColumn id="1" xr3:uid="{48BA0677-2A51-4516-901D-245A32C9EF11}" name="Donnée (Niveau 2)" totalsRowFunction="count" dataDxfId="1738" totalsRowDxfId="1739"/>
    <tableColumn id="2" xr3:uid="{22B866D0-1B5E-4581-93E5-86229BC69C02}" name="Donnée (Niveau 3)" totalsRowFunction="count" dataDxfId="1736" totalsRowDxfId="1737"/>
    <tableColumn id="3" xr3:uid="{888BC815-3A76-4EEA-B68B-9A9CFFA21AC6}" name="Donnée (Niveau 4)" totalsRowFunction="count" dataDxfId="1734" totalsRowDxfId="1735"/>
    <tableColumn id="4" xr3:uid="{A1D31B95-E51B-44D1-A7C2-8E42F9D33E13}" name="Donnée (Niveau 5)" totalsRowFunction="count" dataDxfId="1732" totalsRowDxfId="1733"/>
    <tableColumn id="5" xr3:uid="{EA6D57DD-52EF-4D70-B539-0505DC6517EC}" name="Donnée (Niveau 6)" totalsRowFunction="count" dataDxfId="1730" totalsRowDxfId="1731"/>
    <tableColumn id="6" xr3:uid="{3FE552E2-2FEF-4E1A-B5DE-F4C21C13A296}" name="Description" totalsRowFunction="count" dataDxfId="1728" totalsRowDxfId="1729"/>
    <tableColumn id="14" xr3:uid="{BE5AEDCA-1CC5-4938-964E-9C68E6A07DC7}" name="Exemples" totalsRowFunction="count" dataDxfId="1726" totalsRowDxfId="1727"/>
    <tableColumn id="13" xr3:uid="{ED5FE47C-9997-4511-9856-83AF83A90171}" name="Fichier XSD" totalsRowFunction="count" dataDxfId="1724" totalsRowDxfId="1725"/>
    <tableColumn id="32" xr3:uid="{5C8C2495-D269-4E47-88B5-00584EF6B484}" name="Balise EMSI" dataDxfId="1722" totalsRowDxfId="1723"/>
    <tableColumn id="7" xr3:uid="{5C4F4C1E-17D3-4C4E-9650-A41F0BBB82B0}" name="Balise NexSIS" totalsRowFunction="count" dataDxfId="1720" totalsRowDxfId="1721"/>
    <tableColumn id="21" xr3:uid="{D8470834-C8F8-4F70-9302-7A4C602B72E6}" name="Nouvelle balise" totalsRowFunction="count" dataDxfId="1718" totalsRowDxfId="1719"/>
    <tableColumn id="8" xr3:uid="{D4E41060-B282-4AE5-8C87-3716CFB70625}" name="Nantes - balise" totalsRowFunction="count" dataDxfId="1716" totalsRowDxfId="1717"/>
    <tableColumn id="15" xr3:uid="{BB0E9A10-45CE-44DE-802C-D3A58D081A2F}" name="Nantes - description" totalsRowFunction="count" dataDxfId="1714" totalsRowDxfId="1715"/>
    <tableColumn id="18" xr3:uid="{8FE17C2A-E229-4B7F-B204-F356EEB4AE45}" name="GT399" totalsRowFunction="count" dataDxfId="1712" totalsRowDxfId="1713"/>
    <tableColumn id="9" xr3:uid="{4C9E2B92-3A78-454F-B9FF-8B97A2EAE3ED}" name="GT399 description" totalsRowFunction="count" dataDxfId="1710" totalsRowDxfId="1711"/>
    <tableColumn id="10" xr3:uid="{CCF33634-CF25-46BD-8DE3-12B24D24D5F8}" name="Priorisation" totalsRowFunction="count" dataDxfId="1708" totalsRowDxfId="1709"/>
    <tableColumn id="11" xr3:uid="{85B3828E-8687-4AA3-88CE-D610FCBDCFDE}" name="Cardinalité" dataDxfId="1706" totalsRowDxfId="1707"/>
    <tableColumn id="27" xr3:uid="{CF8F2F83-80E1-4F34-8CA4-101022C31379}" name="Objet" totalsRowFunction="count" dataDxfId="1704" totalsRowDxfId="1705"/>
    <tableColumn id="12" xr3:uid="{9491E93A-73C3-4214-8227-2A99EABCA3C1}" name="Format (ou type)" totalsRowFunction="count" dataDxfId="1702" totalsRowDxfId="1703"/>
    <tableColumn id="31" xr3:uid="{97801A1D-505C-4F61-ACF5-6EE844F5E23A}" name="Détails de format" dataDxfId="1700" totalsRowDxfId="1701"/>
    <tableColumn id="36" xr3:uid="{62248724-3AC6-48C6-B62F-D3C050A5A08F}" name="15-18" dataDxfId="1698" totalsRowDxfId="1699"/>
    <tableColumn id="35" xr3:uid="{2A6F94A4-B86B-4A8C-8862-6337DBF190B2}" name="15-15" dataDxfId="1696" totalsRowDxfId="1697"/>
    <tableColumn id="37" xr3:uid="{01782744-2942-D140-994A-3D343B0E0342}" name="CUT" dataDxfId="1694" totalsRowDxfId="1695"/>
    <tableColumn id="19" xr3:uid="{B112D546-E236-4723-880E-6D39731D2093}" name="Commentaire Hub Santé" totalsRowFunction="count" dataDxfId="1692" totalsRowDxfId="1693"/>
    <tableColumn id="16" xr3:uid="{E6CB6828-8B65-4F12-95B0-B9304BA135D8}" name="Commentaire Philippe Dreyfus" totalsRowFunction="count" dataDxfId="1690" totalsRowDxfId="1691"/>
    <tableColumn id="33" xr3:uid="{9AEA7D2D-C467-4E16-9414-C9877028EA11}" name="Commentaire FBE" dataDxfId="1688" totalsRowDxfId="1689"/>
    <tableColumn id="17" xr3:uid="{ACE48C56-220E-4341-8BEC-04B45FF1F728}" name="Commentaire Yann Penverne" totalsRowFunction="count" dataDxfId="1686" totalsRowDxfId="1687"/>
    <tableColumn id="20" xr3:uid="{A0AF1313-269D-4060-8F91-417D2F081DEB}" name="NexSIS" totalsRowFunction="custom" dataDxfId="1684" totalsRowDxfId="1685">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1664" dataDxfId="1663" totalsRowDxfId="1662">
  <autoFilter ref="A8:AD14" xr:uid="{EF99425A-BF7C-494D-843B-A436A28F1D50}"/>
  <tableColumns count="30">
    <tableColumn id="26" xr3:uid="{D5B2518C-6D8E-6147-8C4F-B866728B3834}" name="ID" totalsRowFunction="count" dataDxfId="1660" totalsRowDxfId="1661"/>
    <tableColumn id="34" xr3:uid="{87148819-B7A5-7947-82EE-7CD825960AED}" name="Donnée (Niveau 1)" dataDxfId="1658" totalsRowDxfId="1659"/>
    <tableColumn id="1" xr3:uid="{D13C8DA4-A6E7-6647-83BF-735A36445504}" name="Donnée (Niveau 2)" totalsRowFunction="count" dataDxfId="1656" totalsRowDxfId="1657"/>
    <tableColumn id="2" xr3:uid="{9844E3D8-484C-674F-A6FE-C5E74C0BECD7}" name="Donnée (Niveau 3)" totalsRowFunction="count" dataDxfId="1654" totalsRowDxfId="1655"/>
    <tableColumn id="3" xr3:uid="{EDEAC3BB-E6E5-6D4A-81D4-0D53BDE32BE7}" name="Donnée (Niveau 4)" totalsRowFunction="count" dataDxfId="1652" totalsRowDxfId="1653"/>
    <tableColumn id="4" xr3:uid="{02D62420-0C0A-4A42-BF62-D538EE277DA2}" name="Donnée (Niveau 5)" totalsRowFunction="count" dataDxfId="1650" totalsRowDxfId="1651"/>
    <tableColumn id="5" xr3:uid="{AEDF2332-EB8E-3F47-A30F-62F4B295DC6E}" name="Donnée (Niveau 6)" totalsRowFunction="count" dataDxfId="1648" totalsRowDxfId="1649"/>
    <tableColumn id="6" xr3:uid="{6B82679A-C79E-B942-87C2-2A9AC62DFE61}" name="Description" totalsRowFunction="count" dataDxfId="1646" totalsRowDxfId="1647"/>
    <tableColumn id="14" xr3:uid="{64EB0DE7-7110-B649-B47F-39D14AB54769}" name="Exemples" totalsRowFunction="count" dataDxfId="1644" totalsRowDxfId="1645"/>
    <tableColumn id="7" xr3:uid="{30859462-25E2-6C4B-8D3C-5F2310CF2710}" name="Balise NexSIS" totalsRowFunction="count" dataDxfId="1642" totalsRowDxfId="1643"/>
    <tableColumn id="21" xr3:uid="{C7789C87-5B0F-9240-95BB-36A6DBBF16F7}" name="Nouvelle balise" totalsRowFunction="count" dataDxfId="1640" totalsRowDxfId="1641"/>
    <tableColumn id="8" xr3:uid="{56A311D2-6944-B44A-BA90-1B44FB783B25}" name="Nantes - balise" totalsRowFunction="count" dataDxfId="1638" totalsRowDxfId="1639"/>
    <tableColumn id="15" xr3:uid="{CC481BC4-1ACF-7849-B03D-7121652EE416}" name="Nantes - description" totalsRowFunction="count" dataDxfId="1636" totalsRowDxfId="1637"/>
    <tableColumn id="18" xr3:uid="{DA3EC825-B94E-6142-B1D1-58F763F6812E}" name="GT399" totalsRowFunction="count" dataDxfId="1634" totalsRowDxfId="1635"/>
    <tableColumn id="9" xr3:uid="{A60F6B9F-CF7A-6F48-A3FD-7FC591506696}" name="GT399 description" totalsRowFunction="count" dataDxfId="1632" totalsRowDxfId="1633"/>
    <tableColumn id="10" xr3:uid="{F183E99A-8936-D242-9E2F-7DF202579449}" name="Priorisation" totalsRowFunction="count" dataDxfId="1630" totalsRowDxfId="1631"/>
    <tableColumn id="11" xr3:uid="{0C55DBEB-B030-EB40-8778-44C43E402B7D}" name="Cardinalité" dataDxfId="1628" totalsRowDxfId="1629"/>
    <tableColumn id="27" xr3:uid="{3EA0014F-1F9E-3346-86AA-D19E79E32F71}" name="Objet" totalsRowFunction="count" dataDxfId="1626" totalsRowDxfId="1627"/>
    <tableColumn id="12" xr3:uid="{A3CD3B4C-97D3-9741-9A73-087C7A9F8936}" name="Format (ou type)" totalsRowFunction="count" dataDxfId="1624" totalsRowDxfId="1625"/>
    <tableColumn id="37" xr3:uid="{3FE45E5F-AD1E-7B48-BE25-BC7327DD16EC}" name="Nomenclature/ énumération" dataDxfId="1622" totalsRowDxfId="1623"/>
    <tableColumn id="31" xr3:uid="{9CB46CA4-597C-5148-8480-F8796E3C5AFD}" name="Détails de format" dataDxfId="1620" totalsRowDxfId="1621"/>
    <tableColumn id="36" xr3:uid="{97A47004-218F-7749-B82B-5B2AEE40A23C}" name="15-18" dataDxfId="1618" totalsRowDxfId="1619"/>
    <tableColumn id="35" xr3:uid="{544CEA0F-DCB5-C64C-9CDE-A40F1906888F}" name="15-15" dataDxfId="1616" totalsRowDxfId="1617"/>
    <tableColumn id="39" xr3:uid="{6DB8C4C4-E592-DA4D-B502-CA1F3A98FF18}" name="CUT" dataDxfId="1614" totalsRowDxfId="1615"/>
    <tableColumn id="19" xr3:uid="{F48E57B7-0080-CD4F-8CC0-D9866BEEABEE}" name="Commentaire Hub Santé" totalsRowFunction="count" dataDxfId="1612" totalsRowDxfId="1613"/>
    <tableColumn id="16" xr3:uid="{93611743-80E2-3A49-9F47-6E81E63C36BC}" name="Commentaire Philippe Dreyfus" totalsRowFunction="count" dataDxfId="1610" totalsRowDxfId="1611"/>
    <tableColumn id="33" xr3:uid="{E8582012-E1AA-5C48-84F3-81E85831EA3D}" name="Commentaire FBE" dataDxfId="1608" totalsRowDxfId="1609"/>
    <tableColumn id="17" xr3:uid="{10CD9342-79AA-B840-BD59-F6A02345EC01}" name="Commentaire Yann Penverne" totalsRowFunction="count" dataDxfId="1606" totalsRowDxfId="1607"/>
    <tableColumn id="20" xr3:uid="{36DD8A92-EC42-2849-A047-5EE0AABF1132}" name="NexSIS" totalsRowFunction="custom" dataDxfId="1604" totalsRowDxfId="1605">
      <totalsRowFormula>SUBTOTAL(103,createCase3[NexSIS])-COUNTIFS(createCase3[NexSIS],"=X")</totalsRowFormula>
    </tableColumn>
    <tableColumn id="22" xr3:uid="{055A2D99-D525-3349-A349-779652E6F495}" name="Métier" totalsRowFunction="custom" dataDxfId="1602" totalsRowDxfId="1603">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328" dataDxfId="1327" totalsRowDxfId="1326">
  <autoFilter ref="A11:AD191" xr:uid="{EF99425A-BF7C-494D-843B-A436A28F1D50}"/>
  <tableColumns count="30">
    <tableColumn id="26" xr3:uid="{ABF5D23D-E9BE-447B-A48E-850A8FE050AB}" name="ID" totalsRowFunction="count" dataDxfId="1324" totalsRowDxfId="1325"/>
    <tableColumn id="34" xr3:uid="{C603A664-BB7C-4E81-81F5-9AC771B920CE}" name="Donnée (Niveau 1)" dataDxfId="1322" totalsRowDxfId="1323"/>
    <tableColumn id="1" xr3:uid="{985EC22A-699F-4D1C-A0FF-90DCFB6591AE}" name="Donnée (Niveau 2)" totalsRowFunction="count" dataDxfId="1320" totalsRowDxfId="1321"/>
    <tableColumn id="2" xr3:uid="{9726EFFF-17E9-4567-9D61-3FDED4A1439C}" name="Donnée (Niveau 3)" totalsRowFunction="count" dataDxfId="1318" totalsRowDxfId="1319"/>
    <tableColumn id="3" xr3:uid="{DC2A9A2B-BD09-4CA3-892C-4DE6298A5712}" name="Donnée (Niveau 4)" totalsRowFunction="count" dataDxfId="1316" totalsRowDxfId="1317"/>
    <tableColumn id="4" xr3:uid="{B78C276D-8762-4642-9D7D-502A3706006F}" name="Donnée (Niveau 5)" totalsRowFunction="count" dataDxfId="1314" totalsRowDxfId="1315"/>
    <tableColumn id="5" xr3:uid="{E754A894-2972-4273-B6DD-CF0D8D93573D}" name="Donnée (Niveau 6)" totalsRowFunction="count" dataDxfId="1312" totalsRowDxfId="1313"/>
    <tableColumn id="6" xr3:uid="{24AAC4C6-656F-44C0-87E7-A586457237B4}" name="Description" totalsRowFunction="count" dataDxfId="1310" totalsRowDxfId="1311"/>
    <tableColumn id="14" xr3:uid="{5B142435-1C90-4234-8FB8-74C6ED9A57EB}" name="Exemples" totalsRowFunction="count" dataDxfId="1308" totalsRowDxfId="1309"/>
    <tableColumn id="7" xr3:uid="{23939F30-951A-4F60-A1C3-04B73AEA5803}" name="Balise NexSIS" totalsRowFunction="count" dataDxfId="1306" totalsRowDxfId="1307"/>
    <tableColumn id="21" xr3:uid="{DC207162-20F5-49F1-888F-349E9D3CC392}" name="Nouvelle balise" totalsRowFunction="count" dataDxfId="1304" totalsRowDxfId="1305"/>
    <tableColumn id="8" xr3:uid="{7556FAA0-1801-4DD7-900A-EE18363D5E82}" name="Nantes - balise" totalsRowFunction="count" dataDxfId="1302" totalsRowDxfId="1303"/>
    <tableColumn id="15" xr3:uid="{5FB127EE-7452-472C-AB5F-3281FCE1AA29}" name="Nantes - description" totalsRowFunction="count" dataDxfId="1300" totalsRowDxfId="1301"/>
    <tableColumn id="18" xr3:uid="{B55CBC10-E0E1-44C1-8A07-61AE2E43D1CB}" name="GT399" totalsRowFunction="count" dataDxfId="1298" totalsRowDxfId="1299"/>
    <tableColumn id="9" xr3:uid="{ED8CCBEC-AE8D-4416-B493-B3C4C06F7DE9}" name="GT399 description" totalsRowFunction="count" dataDxfId="1296" totalsRowDxfId="1297"/>
    <tableColumn id="10" xr3:uid="{46B3BCFD-A3E1-4528-930E-7787E8879562}" name="Priorisation" totalsRowFunction="count" dataDxfId="1294" totalsRowDxfId="1295"/>
    <tableColumn id="11" xr3:uid="{ABAA3778-8B61-4076-8B61-44A440D6CD31}" name="Cardinalité" dataDxfId="1292" totalsRowDxfId="1293"/>
    <tableColumn id="27" xr3:uid="{E5276C21-A4EF-4884-B4FB-C3E1823816EB}" name="Objet" totalsRowFunction="count" dataDxfId="1290" totalsRowDxfId="1291"/>
    <tableColumn id="12" xr3:uid="{5E7CF984-0D2D-4AB5-8857-24FA22847AFC}" name="Format (ou type)" totalsRowFunction="count" dataDxfId="1288" totalsRowDxfId="1289"/>
    <tableColumn id="37" xr3:uid="{2169D618-3BA4-45CD-952B-3014DC716E45}" name="Nomenclature/ énumération" dataDxfId="1286" totalsRowDxfId="1287"/>
    <tableColumn id="31" xr3:uid="{EC8DCE8F-9583-487D-94F2-441D28009773}" name="Détails de format" dataDxfId="1284" totalsRowDxfId="1285"/>
    <tableColumn id="36" xr3:uid="{2218AE1F-CDAB-423E-B754-D13BA6E01E7D}" name="Exos/RRAMU" dataDxfId="1282" totalsRowDxfId="1283"/>
    <tableColumn id="35" xr3:uid="{CF1EC0D3-4BCA-452A-AF26-36BE082E3351}" name="15-15" dataDxfId="1280" totalsRowDxfId="1281"/>
    <tableColumn id="39" xr3:uid="{4775AE16-DC68-4E34-8344-7B69CEBD7DD8}" name="CUT" dataDxfId="1278" totalsRowDxfId="1279"/>
    <tableColumn id="19" xr3:uid="{8FA91BE2-BC77-4525-BDE0-F6A9933290D7}" name="Commentaire Hub Santé" totalsRowFunction="count" dataDxfId="1276" totalsRowDxfId="1277"/>
    <tableColumn id="16" xr3:uid="{CFE0C64C-3AF3-4ED4-B261-757CDC0E4BAF}" name="Commentaire Philippe Dreyfus" totalsRowFunction="count" dataDxfId="1274" totalsRowDxfId="1275"/>
    <tableColumn id="33" xr3:uid="{DEAB7E62-6BC9-459A-9537-0973D7DAD581}" name="Commentaire FBE" dataDxfId="1272" totalsRowDxfId="1273"/>
    <tableColumn id="17" xr3:uid="{29D9B450-9ECA-42F9-BAF0-F3037CEEF915}" name="Commentaire Yann Penverne" totalsRowFunction="count" dataDxfId="1270" totalsRowDxfId="1271"/>
    <tableColumn id="20" xr3:uid="{DDA0A9DE-8EA2-4BC6-88A9-FC4FC0D98FFE}" name="NexSIS" totalsRowFunction="custom" dataDxfId="1268" totalsRowDxfId="1269">
      <totalsRowFormula>SUBTOTAL(103,createCase142[NexSIS])-COUNTIFS(createCase142[NexSIS],"=X")</totalsRowFormula>
    </tableColumn>
    <tableColumn id="22" xr3:uid="{1E79267D-7033-4469-BFCF-BBE2A69D6108}" name="Métier" totalsRowFunction="custom" dataDxfId="1266" totalsRowDxfId="1267">
      <totalsRowFormula>SUBTOTAL(103,createCase142[Métier])-COUNTIFS(createCase142[Métier],"=X")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E196" totalsRowCount="1" headerRowDxfId="992" dataDxfId="991" totalsRowDxfId="990">
  <autoFilter ref="A8:AE195" xr:uid="{EF99425A-BF7C-494D-843B-A436A28F1D50}"/>
  <tableColumns count="31">
    <tableColumn id="26" xr3:uid="{F89F79B0-EC13-4626-8B8B-E72803CF8D7F}" name="ID" totalsRowFunction="count" dataDxfId="988" totalsRowDxfId="989"/>
    <tableColumn id="34" xr3:uid="{82D9E408-6E89-6548-8064-32C2C1C49796}" name="Donnée (Niveau 1)" dataDxfId="986" totalsRowDxfId="987"/>
    <tableColumn id="1" xr3:uid="{A4D81CB2-5DBF-46A1-831A-3B0CB8713987}" name="Donnée (Niveau 2)" totalsRowFunction="count" dataDxfId="984" totalsRowDxfId="985"/>
    <tableColumn id="2" xr3:uid="{70FEA672-42A5-4D50-83E3-20F1DC99F826}" name="Donnée (Niveau 3)" totalsRowFunction="count" dataDxfId="982" totalsRowDxfId="983"/>
    <tableColumn id="3" xr3:uid="{E5F546D4-3F7C-49D3-ACAD-5C0AA86EEA72}" name="Donnée (Niveau 4)" totalsRowFunction="count" dataDxfId="980" totalsRowDxfId="981"/>
    <tableColumn id="4" xr3:uid="{C36F63D5-6F86-4068-8553-7E11F2FF2E34}" name="Donnée (Niveau 5)" totalsRowFunction="count" dataDxfId="978" totalsRowDxfId="979"/>
    <tableColumn id="5" xr3:uid="{BCD32C8B-1BF5-4152-A4E3-856EB454D41F}" name="Donnée (Niveau 6)" totalsRowFunction="count" dataDxfId="976" totalsRowDxfId="977"/>
    <tableColumn id="6" xr3:uid="{31AB271A-A79E-4AD6-A425-139013E5C0ED}" name="Description" totalsRowFunction="count" dataDxfId="974" totalsRowDxfId="975"/>
    <tableColumn id="14" xr3:uid="{42356E16-5C2C-47EF-96D9-1439EB52D654}" name="Exemples" totalsRowFunction="count" dataDxfId="972" totalsRowDxfId="973"/>
    <tableColumn id="7" xr3:uid="{05B3DFF6-BC4E-40A1-862A-0EBD5F2686D8}" name="Balise NexSIS" totalsRowFunction="count" dataDxfId="970" totalsRowDxfId="971"/>
    <tableColumn id="21" xr3:uid="{A67EAB5D-C889-4A87-AEDD-CB5D507B5224}" name="Nouvelle balise" totalsRowFunction="count" dataDxfId="968" totalsRowDxfId="969"/>
    <tableColumn id="8" xr3:uid="{142E6E6B-2EEA-41C0-969F-103EB7FEE77B}" name="Nantes - balise" totalsRowFunction="count" dataDxfId="966" totalsRowDxfId="967"/>
    <tableColumn id="15" xr3:uid="{4B3C95EC-2C41-42CE-9528-75F02E532B07}" name="Nantes - description" totalsRowFunction="count" dataDxfId="964" totalsRowDxfId="965"/>
    <tableColumn id="18" xr3:uid="{DD4C49C8-6EEB-4810-B6DF-F5EA0958E68F}" name="GT399" totalsRowFunction="count" dataDxfId="962" totalsRowDxfId="963"/>
    <tableColumn id="9" xr3:uid="{1EF347D1-5F3C-455F-B7CC-0411A0A13BA5}" name="GT399 description" totalsRowFunction="count" dataDxfId="960" totalsRowDxfId="961"/>
    <tableColumn id="10" xr3:uid="{A688C13F-43B2-4D38-AB61-5A8FA70F8877}" name="Priorisation" totalsRowFunction="count" dataDxfId="958" totalsRowDxfId="959"/>
    <tableColumn id="11" xr3:uid="{740E98DF-4145-4688-96B5-1DB2B4C65860}" name="Cardinalité" dataDxfId="956" totalsRowDxfId="957"/>
    <tableColumn id="27" xr3:uid="{5362BDCB-F398-463F-807C-5642BE8139A3}" name="Objet" totalsRowFunction="count" dataDxfId="954" totalsRowDxfId="955"/>
    <tableColumn id="12" xr3:uid="{F99D40B9-B75A-4B6D-AD14-A9CC94A67A94}" name="Format (ou type)" totalsRowFunction="count" dataDxfId="952" totalsRowDxfId="953"/>
    <tableColumn id="37" xr3:uid="{C4249FC6-D549-4A35-98D7-D98FEFD604C7}" name="Nomenclature/ énumération" dataDxfId="950" totalsRowDxfId="951"/>
    <tableColumn id="31" xr3:uid="{165DCEEB-09D9-4414-9EB1-071322B65527}" name="Détails de format" dataDxfId="948" totalsRowDxfId="949"/>
    <tableColumn id="36" xr3:uid="{DFE77849-E589-4C00-A974-5EA32CAC9950}" name="15-18" dataDxfId="946" totalsRowDxfId="947"/>
    <tableColumn id="35" xr3:uid="{6F7422E5-A9F0-4CB5-94CC-23CADED3A1EA}" name="15-15" dataDxfId="944" totalsRowDxfId="945"/>
    <tableColumn id="24" xr3:uid="{84A6C4F7-D7B2-45A3-94D6-FA4C63F0BF6D}" name="15-SMUR" dataDxfId="942" totalsRowDxfId="943"/>
    <tableColumn id="39" xr3:uid="{D123E456-B227-404D-9075-2C12B6D79281}" name="CUT" dataDxfId="940" totalsRowDxfId="941"/>
    <tableColumn id="19" xr3:uid="{0E27CA97-E0CC-4707-8A95-C2EB8B822A50}" name="Commentaire Hub Santé" totalsRowFunction="count" dataDxfId="938" totalsRowDxfId="939"/>
    <tableColumn id="16" xr3:uid="{85C90A89-19FA-4640-8DE9-5BC81E29801A}" name="Commentaire Philippe Dreyfus" totalsRowFunction="count" dataDxfId="936" totalsRowDxfId="937"/>
    <tableColumn id="33" xr3:uid="{F9B7E469-F267-4217-89F6-2332B9BE9F00}" name="Commentaire FBE" dataDxfId="934" totalsRowDxfId="935"/>
    <tableColumn id="17" xr3:uid="{AF1719C0-5CFC-4F9F-8447-1E16DD154E8D}" name="Commentaire Yann Penverne" totalsRowFunction="count" dataDxfId="932" totalsRowDxfId="933"/>
    <tableColumn id="20" xr3:uid="{A1AC7405-8CAD-4797-ACD3-A6DB9BD4973A}" name="NexSIS" totalsRowFunction="custom" dataDxfId="930" totalsRowDxfId="931">
      <totalsRowFormula>SUBTOTAL(103,createCase[NexSIS])-COUNTIFS(createCase[NexSIS],"=X")</totalsRowFormula>
    </tableColumn>
    <tableColumn id="22" xr3:uid="{BFD15786-BC47-434A-8C58-1A07EC8D4305}" name="Métier" totalsRowFunction="custom" dataDxfId="928" totalsRowDxfId="929">
      <totalsRowFormula>SUBTOTAL(103,createCase[Métier])-COUNTIFS(createCase[Métier],"=X")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W34" totalsRowCount="1" headerRowDxfId="874" dataDxfId="873" totalsRowDxfId="872">
  <autoFilter ref="A8:W33" xr:uid="{C92664FE-ED8F-46D7-9DD5-6F2E0861D6FF}"/>
  <tableColumns count="23">
    <tableColumn id="26" xr3:uid="{62D1D962-435E-445C-8176-6AFEE7ABB964}" name="ID" totalsRowFunction="count" dataDxfId="870" totalsRowDxfId="871"/>
    <tableColumn id="34" xr3:uid="{AF99D652-DA31-487A-8CE3-C43A9D0D0F82}" name="Donnée (Niveau 1)" dataDxfId="868" totalsRowDxfId="869"/>
    <tableColumn id="1" xr3:uid="{26624729-2378-4BE4-AF94-2AD83420E408}" name="Donnée (Niveau 2)" totalsRowFunction="count" dataDxfId="866" totalsRowDxfId="867"/>
    <tableColumn id="2" xr3:uid="{3DF2C155-D187-4F5C-A2F9-29CA2B2A18CC}" name="Donnée (Niveau 3)" totalsRowFunction="count" dataDxfId="864" totalsRowDxfId="865"/>
    <tableColumn id="3" xr3:uid="{DD16CD2E-7545-4983-AF64-50A47209731F}" name="Donnée (Niveau 4)" totalsRowFunction="count" dataDxfId="862" totalsRowDxfId="863"/>
    <tableColumn id="4" xr3:uid="{9201EFE0-C9BD-490F-B6AA-83311B09262F}" name="Donnée (Niveau 5)" totalsRowFunction="count" dataDxfId="860" totalsRowDxfId="861"/>
    <tableColumn id="5" xr3:uid="{20C32895-212D-4F26-B134-FBDF1FD4ED0E}" name="Donnée (Niveau 6)" totalsRowFunction="count" dataDxfId="858" totalsRowDxfId="859"/>
    <tableColumn id="6" xr3:uid="{036B2D7E-23E0-4814-B2FB-5C619B25F782}" name="Description" totalsRowFunction="count" dataDxfId="856" totalsRowDxfId="857"/>
    <tableColumn id="14" xr3:uid="{51A4E1A3-F3DC-4BAD-9F20-81B65F485A0D}" name="Exemples" totalsRowFunction="count" dataDxfId="854" totalsRowDxfId="855"/>
    <tableColumn id="21" xr3:uid="{C6BE7A8E-F875-441C-BFA9-86D71B9EFF88}" name="Balise" totalsRowFunction="count" dataDxfId="852" totalsRowDxfId="853"/>
    <tableColumn id="11" xr3:uid="{F10EE65F-1515-4AE2-9211-FD44F3EA5D3E}" name="Cardinalité" dataDxfId="850" totalsRowDxfId="851"/>
    <tableColumn id="27" xr3:uid="{B47DCBC0-7B24-497F-8892-323B08A42011}" name="Objet" totalsRowFunction="count" dataDxfId="848" totalsRowDxfId="849"/>
    <tableColumn id="12" xr3:uid="{15BDE3A9-E8A9-4EFC-A353-0269A66BC2B2}" name="Format (ou type)" totalsRowFunction="count" dataDxfId="846" totalsRowDxfId="847"/>
    <tableColumn id="37" xr3:uid="{046163B9-02C2-4347-B7FB-61E0432AAB68}" name="Nomenclature/ énumération" dataDxfId="844" totalsRowDxfId="845"/>
    <tableColumn id="31" xr3:uid="{20E92D64-29A1-4239-93C5-E8F762FFD8DE}" name="Détails de format" dataDxfId="842" totalsRowDxfId="843"/>
    <tableColumn id="36" xr3:uid="{636C128D-46D4-443D-9FB6-645B4E8390EC}" name="15-18" dataDxfId="840" totalsRowDxfId="841"/>
    <tableColumn id="35" xr3:uid="{3C17CD84-5847-4BD3-990E-46197D8D30CE}" name="15-15" dataDxfId="838" totalsRowDxfId="839"/>
    <tableColumn id="39" xr3:uid="{8F5DF9DE-3AC1-4BBF-B05B-904A5EB4D934}" name="CUT" dataDxfId="836" totalsRowDxfId="837"/>
    <tableColumn id="19" xr3:uid="{B90DC3CB-85F4-4D23-8DE4-7B4C05AC2236}" name="Commentaire Hub Santé" totalsRowFunction="count" dataDxfId="834" totalsRowDxfId="835"/>
    <tableColumn id="16" xr3:uid="{E17F6AB0-4FBD-425F-A071-573AD4BA0F3E}" name="Commentaire Philippe Dreyfus" totalsRowFunction="count" dataDxfId="832" totalsRowDxfId="833"/>
    <tableColumn id="33" xr3:uid="{7CFA00D6-8048-42E1-B541-BEA178D54E3E}" name="Commentaire FBE" dataDxfId="830" totalsRowDxfId="831"/>
    <tableColumn id="17" xr3:uid="{FC58F8C6-81B4-4955-A593-71BD7E5BDA7A}" name="Commentaire Yann Penverne" totalsRowFunction="count" dataDxfId="828" totalsRowDxfId="829"/>
    <tableColumn id="22" xr3:uid="{DB0180C0-781E-4165-87A4-8168655417AB}" name="Métier" totalsRowFunction="custom" dataDxfId="826" totalsRowDxfId="827">
      <totalsRowFormula>SUBTOTAL(103,createCase1418[Métier])-COUNTIFS(createCase1418[Métier],"=X")</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W17" totalsRowCount="1" headerRowDxfId="769" dataDxfId="768" totalsRowDxfId="767">
  <autoFilter ref="A8:W16" xr:uid="{C92664FE-ED8F-46D7-9DD5-6F2E0861D6FF}"/>
  <tableColumns count="23">
    <tableColumn id="26" xr3:uid="{3D95D60D-4749-4205-B5A3-C40BC9083DDF}" name="ID" totalsRowFunction="count" dataDxfId="765" totalsRowDxfId="766"/>
    <tableColumn id="34" xr3:uid="{F55F9431-FBCC-4C37-BC99-DDE204E6AD66}" name="Donnée (Niveau 1)" dataDxfId="763" totalsRowDxfId="764"/>
    <tableColumn id="1" xr3:uid="{7BDE9DBC-8BFF-4962-94C8-303215EF6651}" name="Donnée (Niveau 2)" totalsRowFunction="count" dataDxfId="761" totalsRowDxfId="762"/>
    <tableColumn id="2" xr3:uid="{D40563B8-DCFF-4581-97D6-3BC1A593C4AB}" name="Donnée (Niveau 3)" totalsRowFunction="count" dataDxfId="759" totalsRowDxfId="760"/>
    <tableColumn id="3" xr3:uid="{25A7848B-AF8E-4993-88F6-92216A238470}" name="Donnée (Niveau 4)" totalsRowFunction="count" dataDxfId="757" totalsRowDxfId="758"/>
    <tableColumn id="4" xr3:uid="{AA50B053-891E-46D9-A92A-0E26EF075B7E}" name="Donnée (Niveau 5)" totalsRowFunction="count" dataDxfId="755" totalsRowDxfId="756"/>
    <tableColumn id="5" xr3:uid="{58A3E3FB-40F5-40E2-96F6-8C1C4AF04759}" name="Donnée (Niveau 6)" totalsRowFunction="count" dataDxfId="753" totalsRowDxfId="754"/>
    <tableColumn id="6" xr3:uid="{C62E45BF-811F-42E7-AB88-572B417F6150}" name="Description" totalsRowFunction="count" dataDxfId="751" totalsRowDxfId="752"/>
    <tableColumn id="14" xr3:uid="{F9F87B89-8446-4459-82BE-4CC3FDAE3D24}" name="Exemples" totalsRowFunction="count" dataDxfId="749" totalsRowDxfId="750"/>
    <tableColumn id="21" xr3:uid="{48DE3666-C566-4CAB-B0A7-07A3209B6595}" name="Balise" totalsRowFunction="count" dataDxfId="747" totalsRowDxfId="748"/>
    <tableColumn id="11" xr3:uid="{FD69FEBC-E70D-44C5-AD2D-C6CC2D1C0D06}" name="Cardinalité" dataDxfId="745" totalsRowDxfId="746"/>
    <tableColumn id="27" xr3:uid="{B5A842FA-9CEA-4996-A030-5CA520DDD42D}" name="Objet" totalsRowFunction="count" dataDxfId="743" totalsRowDxfId="744"/>
    <tableColumn id="12" xr3:uid="{A04D9211-F25C-4418-9545-A6F2966A3528}" name="Format (ou type)" totalsRowFunction="count" dataDxfId="741" totalsRowDxfId="742"/>
    <tableColumn id="37" xr3:uid="{4AA2533B-7EE3-47E8-A3C9-3721487911B2}" name="Nomenclature/ énumération" dataDxfId="739" totalsRowDxfId="740"/>
    <tableColumn id="31" xr3:uid="{5F33B9AF-8F57-40C0-B58A-2900055019D0}" name="Détails de format" dataDxfId="737" totalsRowDxfId="738"/>
    <tableColumn id="36" xr3:uid="{4350E4CE-9B26-491D-804C-0334C47A43C5}" name="15-18" dataDxfId="735" totalsRowDxfId="736"/>
    <tableColumn id="35" xr3:uid="{D25EA6AD-098C-4C6E-94BD-A321CF38C383}" name="15-15" dataDxfId="733" totalsRowDxfId="734"/>
    <tableColumn id="39" xr3:uid="{05BE7884-8749-4B81-B356-DDAA0EAB4864}" name="CUT" dataDxfId="731" totalsRowDxfId="732"/>
    <tableColumn id="19" xr3:uid="{6A104928-C33B-4AA9-A990-40B6C20E9D80}" name="Commentaire Hub Santé" totalsRowFunction="count" dataDxfId="729" totalsRowDxfId="730"/>
    <tableColumn id="16" xr3:uid="{712AA8BE-EBEC-4D34-9BE4-C551609D4A8E}" name="Commentaire Philippe Dreyfus" totalsRowFunction="count" dataDxfId="727" totalsRowDxfId="728"/>
    <tableColumn id="33" xr3:uid="{C7EF274F-4008-4396-97F1-6B640D914E6E}" name="Commentaire FBE" dataDxfId="725" totalsRowDxfId="726"/>
    <tableColumn id="17" xr3:uid="{BC6A7B64-7E37-4F83-AA3E-8E136D3C025C}" name="Commentaire Yann Penverne" totalsRowFunction="count" dataDxfId="723" totalsRowDxfId="724"/>
    <tableColumn id="22" xr3:uid="{FBAE91BA-4332-4036-98CF-545C9190993D}" name="Métier" totalsRowFunction="custom" dataDxfId="721" totalsRowDxfId="722">
      <totalsRowFormula>SUBTOTAL(103,createCase141814[Métier])-COUNTIFS(createCase141814[Métier],"=X")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W39" totalsRowCount="1" headerRowDxfId="607" dataDxfId="606" totalsRowDxfId="605">
  <autoFilter ref="A8:W38" xr:uid="{C92664FE-ED8F-46D7-9DD5-6F2E0861D6FF}"/>
  <tableColumns count="23">
    <tableColumn id="26" xr3:uid="{F0BBFE2C-91EC-4F63-8C42-7A13D8DB1773}" name="ID" totalsRowFunction="count" dataDxfId="603" totalsRowDxfId="604"/>
    <tableColumn id="34" xr3:uid="{D4146487-94AF-45AE-9337-108D3BA4CEB4}" name="Donnée (Niveau 1)" dataDxfId="601" totalsRowDxfId="602"/>
    <tableColumn id="1" xr3:uid="{6249CE60-4860-4AE5-B2FE-DC960F0E9986}" name="Donnée (Niveau 2)" totalsRowFunction="count" dataDxfId="599" totalsRowDxfId="600"/>
    <tableColumn id="2" xr3:uid="{C2D3DCAE-6928-4F1C-AF61-C37FEBF17CE7}" name="Donnée (Niveau 3)" totalsRowFunction="count" dataDxfId="597" totalsRowDxfId="598"/>
    <tableColumn id="3" xr3:uid="{33216364-1D3C-4C3A-9A87-FDF54DD48221}" name="Donnée (Niveau 4)" totalsRowFunction="count" dataDxfId="595" totalsRowDxfId="596"/>
    <tableColumn id="4" xr3:uid="{57EF9CD5-EC70-4A23-A60C-23D9F357C89F}" name="Donnée (Niveau 5)" totalsRowFunction="count" dataDxfId="593" totalsRowDxfId="594"/>
    <tableColumn id="5" xr3:uid="{9F84A053-8A83-4A58-AEB1-A4D4BC92B461}" name="Donnée (Niveau 6)" totalsRowFunction="count" dataDxfId="591" totalsRowDxfId="592"/>
    <tableColumn id="6" xr3:uid="{D1C161A6-6AE9-4A45-944C-37A17B71ECB9}" name="Description" totalsRowFunction="count" dataDxfId="589" totalsRowDxfId="590"/>
    <tableColumn id="14" xr3:uid="{B7506A0E-75D9-44A0-9C02-5DB0ECF2A955}" name="Exemples" totalsRowFunction="count" dataDxfId="587" totalsRowDxfId="588"/>
    <tableColumn id="21" xr3:uid="{8064C132-A136-4348-BB46-3374B12E8118}" name="Balise" totalsRowFunction="count" dataDxfId="585" totalsRowDxfId="586"/>
    <tableColumn id="11" xr3:uid="{07C5EC80-6F69-4BF2-A52F-A8DC0C68FDD5}" name="Cardinalité" dataDxfId="583" totalsRowDxfId="584"/>
    <tableColumn id="27" xr3:uid="{45AE51DB-A6BF-45B0-A5E3-450B57AFF1BE}" name="Objet" totalsRowFunction="count" dataDxfId="581" totalsRowDxfId="582"/>
    <tableColumn id="12" xr3:uid="{DDC6828F-2B6C-4E05-87D2-07F4D40557F4}" name="Format (ou type)" totalsRowFunction="count" dataDxfId="579" totalsRowDxfId="580"/>
    <tableColumn id="37" xr3:uid="{66657B31-D3ED-45B0-AFA9-C1A1912F21C1}" name="Nomenclature/ énumération" dataDxfId="577" totalsRowDxfId="578"/>
    <tableColumn id="31" xr3:uid="{FC0F3951-1CFE-4C1D-96D5-F355E8519DFE}" name="Détails de format" dataDxfId="575" totalsRowDxfId="576"/>
    <tableColumn id="36" xr3:uid="{E4D376D5-6C75-44C6-9C5A-2DB0ECCB6D64}" name="15-18" dataDxfId="573" totalsRowDxfId="574"/>
    <tableColumn id="35" xr3:uid="{EA11A1BC-8967-40FA-ADCD-0B84F05B4FB7}" name="15-15" dataDxfId="571" totalsRowDxfId="572"/>
    <tableColumn id="39" xr3:uid="{D31DD38F-C6EE-4749-A560-C7A57192A678}" name="CUT" dataDxfId="569" totalsRowDxfId="570"/>
    <tableColumn id="19" xr3:uid="{B19166B6-0C3E-4F4D-ADFE-C549689DAD0F}" name="Commentaire Hub Santé" totalsRowFunction="count" dataDxfId="567" totalsRowDxfId="568"/>
    <tableColumn id="16" xr3:uid="{4463EAB1-8B99-416B-81E7-7BF762EFF67F}" name="Commentaire Philippe Dreyfus" totalsRowFunction="count" dataDxfId="565" totalsRowDxfId="566"/>
    <tableColumn id="33" xr3:uid="{AEB9EA63-47DE-4EB1-98A2-28AF16C300B3}" name="Commentaire FBE" dataDxfId="563" totalsRowDxfId="564"/>
    <tableColumn id="17" xr3:uid="{A303D711-3B44-411C-AFCC-D94F65BB0726}" name="Commentaire Yann Penverne" totalsRowFunction="count" dataDxfId="561" totalsRowDxfId="562"/>
    <tableColumn id="22" xr3:uid="{05D5BA78-9525-42BB-9AA1-997AB030D68E}" name="Métier" totalsRowFunction="custom" dataDxfId="559" totalsRowDxfId="560">
      <totalsRowFormula>SUBTOTAL(103,createCase14181419[Métier])-COUNTIFS(createCase14181419[Métier],"=X")</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4" totalsRowCount="1" headerRowDxfId="544" dataDxfId="543" totalsRowDxfId="542">
  <autoFilter ref="A8:AF73" xr:uid="{63D50B21-49FD-4724-931E-4B74BF8476B1}"/>
  <tableColumns count="32">
    <tableColumn id="26" xr3:uid="{8D5EDC39-215F-4E94-846A-3D4ACA1D2C53}" name="ID" totalsRowFunction="count" dataDxfId="540" totalsRowDxfId="541"/>
    <tableColumn id="34" xr3:uid="{207093F4-4D8B-4CEB-9D2D-235D14641525}" name="Donnée (Niveau 1)" dataDxfId="538" totalsRowDxfId="539"/>
    <tableColumn id="1" xr3:uid="{9E73ABC5-269F-4BD3-9995-81E72371DAE3}" name="Donnée (Niveau 2)" totalsRowFunction="count" dataDxfId="536" totalsRowDxfId="537"/>
    <tableColumn id="2" xr3:uid="{2161A585-4F28-44FE-A023-7DB4D8C14776}" name="Donnée (Niveau 3)" totalsRowFunction="count" dataDxfId="534" totalsRowDxfId="535"/>
    <tableColumn id="3" xr3:uid="{B4AC3C84-E90A-41BE-8D7E-B00512446AA0}" name="Donnée (Niveau 4)" totalsRowFunction="count" dataDxfId="532" totalsRowDxfId="533"/>
    <tableColumn id="4" xr3:uid="{7625C9EB-D58E-42FE-879B-9F8F2027D9BC}" name="Donnée (Niveau 5)" totalsRowFunction="count" dataDxfId="530" totalsRowDxfId="531"/>
    <tableColumn id="5" xr3:uid="{F9A74558-8C8F-45C8-835B-46F0B31B479D}" name="Donnée (Niveau 6)" totalsRowFunction="count" dataDxfId="528" totalsRowDxfId="529"/>
    <tableColumn id="6" xr3:uid="{09509801-3591-48A7-8985-CCEA3490DE3C}" name="Description" totalsRowFunction="count" dataDxfId="526" totalsRowDxfId="527"/>
    <tableColumn id="14" xr3:uid="{8545E83F-C13A-48FC-82C5-4A224D3A6106}" name="Exemples" totalsRowFunction="count" dataDxfId="524" totalsRowDxfId="525"/>
    <tableColumn id="7" xr3:uid="{F7282465-AB67-4D8A-90B4-CAF4CDB5007B}" name="Balise NexSIS" totalsRowFunction="count" dataDxfId="522" totalsRowDxfId="523"/>
    <tableColumn id="21" xr3:uid="{44DD35C0-3D58-465E-82FF-70ABB11F29EF}" name="Nouvelle balise" totalsRowFunction="count" dataDxfId="520" totalsRowDxfId="521"/>
    <tableColumn id="8" xr3:uid="{8F87BED5-B74C-4B7A-B29D-D91C208A9F73}" name="Nantes - balise" totalsRowFunction="count" dataDxfId="518" totalsRowDxfId="519"/>
    <tableColumn id="15" xr3:uid="{718CC66C-29F4-4C63-B0E0-D70789F55F8F}" name="Nantes - description" totalsRowFunction="count" dataDxfId="516" totalsRowDxfId="517"/>
    <tableColumn id="18" xr3:uid="{65F92B88-E7A2-45E5-8796-E162FAED8248}" name="GT399" totalsRowFunction="count" dataDxfId="514" totalsRowDxfId="515"/>
    <tableColumn id="9" xr3:uid="{A24D6524-4257-4D93-94F9-A3667397DDBA}" name="GT399 description" totalsRowFunction="count" dataDxfId="512" totalsRowDxfId="513"/>
    <tableColumn id="10" xr3:uid="{E016D53B-CB5B-4F83-A1DA-7C210BE8E926}" name="Priorisation" totalsRowFunction="count" dataDxfId="510" totalsRowDxfId="511"/>
    <tableColumn id="11" xr3:uid="{17AE5B25-E42A-4545-AF36-AE2BF5D231F1}" name="Cardinalité" dataDxfId="508" totalsRowDxfId="509"/>
    <tableColumn id="27" xr3:uid="{0646FC2D-E448-497F-9566-96B9E754D7B3}" name="Objet" totalsRowFunction="count" dataDxfId="506" totalsRowDxfId="507"/>
    <tableColumn id="12" xr3:uid="{9F463A79-A8A7-456D-BC30-1910D14EEA3A}" name="Format (ou type)" totalsRowFunction="count" dataDxfId="504" totalsRowDxfId="505"/>
    <tableColumn id="37" xr3:uid="{B034C9F4-78BE-4F4D-9B79-BA9F5DAB2826}" name="Nomenclature/ énumération" dataDxfId="502" totalsRowDxfId="503"/>
    <tableColumn id="31" xr3:uid="{3158C7A2-A99D-4EF2-8BAE-8667747DCF73}" name="Détails de format" dataDxfId="500" totalsRowDxfId="501"/>
    <tableColumn id="36" xr3:uid="{89279DA3-D94C-4AAB-B817-DF00FFBA9888}" name="15-RPIS" dataDxfId="498" totalsRowDxfId="499"/>
    <tableColumn id="13" xr3:uid="{A70D290D-71CE-4BB5-8E04-3E3B951B7729}" name="15-SMUR" dataDxfId="496" totalsRowDxfId="497"/>
    <tableColumn id="23" xr3:uid="{FB137A89-375F-455A-9ADB-F409CB7B19B9}" name="15-18" dataDxfId="494" totalsRowDxfId="495"/>
    <tableColumn id="35" xr3:uid="{EE84F553-FEE7-4CD0-89C0-C8DD492F4429}" name="15-TSU" dataDxfId="492" totalsRowDxfId="493"/>
    <tableColumn id="39" xr3:uid="{DA320A45-45B6-4963-91DD-917A38D8DF49}" name="CUT" dataDxfId="490" totalsRowDxfId="491"/>
    <tableColumn id="19" xr3:uid="{FF109D4E-4787-4AB3-9E15-478656FCDADF}" name="Commentaire Hub Santé" totalsRowFunction="count" dataDxfId="488" totalsRowDxfId="489"/>
    <tableColumn id="16" xr3:uid="{642C8AF9-3354-4F6C-A37B-363B64C9780B}" name="Commentaire Philippe Dreyfus" totalsRowFunction="count" dataDxfId="486" totalsRowDxfId="487"/>
    <tableColumn id="33" xr3:uid="{44001357-ED08-4953-9C2E-B2302A17E223}" name="Commentaire FBE" dataDxfId="484" totalsRowDxfId="485"/>
    <tableColumn id="17" xr3:uid="{D9CE2245-CA19-44A0-94CC-CE702DFB5445}" name="Commentaire Yann Penverne" totalsRowFunction="count" dataDxfId="482" totalsRowDxfId="483"/>
    <tableColumn id="20" xr3:uid="{2A0BBAC6-9A77-4C1A-BA6E-777232E44EA6}" name="NexSIS" totalsRowFunction="custom" dataDxfId="480" totalsRowDxfId="481">
      <totalsRowFormula>SUBTOTAL(103,createCase2912[NexSIS])-COUNTIFS(createCase2912[NexSIS],"=X")</totalsRowFormula>
    </tableColumn>
    <tableColumn id="22" xr3:uid="{2D3A15A0-662A-48E8-A3A3-1095AE1804CC}" name="Métier" totalsRowFunction="custom" dataDxfId="478" totalsRowDxfId="479">
      <totalsRowFormula>SUBTOTAL(103,createCase2912[Métier])-COUNTIFS(createCase2912[Métier],"=X")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D93" totalsRowCount="1" headerRowDxfId="469" dataDxfId="468" totalsRowDxfId="467">
  <autoFilter ref="A8:AD92" xr:uid="{61BCAC55-9BDD-436A-8C43-43FA10A8A29F}"/>
  <tableColumns count="30">
    <tableColumn id="26" xr3:uid="{588455DD-C3D5-4460-AC26-09BB83302193}" name="ID" totalsRowFunction="count" dataDxfId="465" totalsRowDxfId="466"/>
    <tableColumn id="34" xr3:uid="{75617E3F-38B8-498E-B488-E5382B8D8E59}" name="Donnée (Niveau 1)" dataDxfId="463" totalsRowDxfId="464"/>
    <tableColumn id="1" xr3:uid="{90A61A2B-B1CF-4E5B-AC63-E218B3506FE1}" name="Donnée (Niveau 2)" totalsRowFunction="count" dataDxfId="461" totalsRowDxfId="462"/>
    <tableColumn id="2" xr3:uid="{40B5ED06-C233-4300-B851-9639491A20EA}" name="Donnée (Niveau 3)" totalsRowFunction="count" dataDxfId="459" totalsRowDxfId="460"/>
    <tableColumn id="3" xr3:uid="{FE650810-91F2-43FA-A1A9-4ADEDDF019D9}" name="Donnée (Niveau 4)" totalsRowFunction="count" dataDxfId="457" totalsRowDxfId="458"/>
    <tableColumn id="4" xr3:uid="{67B0AC35-FCE9-4B98-A5B5-F79242422DED}" name="Donnée (Niveau 5)" totalsRowFunction="count" dataDxfId="455" totalsRowDxfId="456"/>
    <tableColumn id="5" xr3:uid="{5584FBA0-8C9A-4B74-996C-489E5B6D8B31}" name="Donnée (Niveau 6)" totalsRowFunction="count" dataDxfId="453" totalsRowDxfId="454"/>
    <tableColumn id="6" xr3:uid="{B561E47E-0EF4-4741-9318-11ED52CE2081}" name="Description" totalsRowFunction="count" dataDxfId="451" totalsRowDxfId="452"/>
    <tableColumn id="14" xr3:uid="{BCB241CF-864B-404B-9457-5CFCE283A52E}" name="Exemples" totalsRowFunction="count" dataDxfId="449" totalsRowDxfId="450"/>
    <tableColumn id="7" xr3:uid="{EAF17525-FE29-430A-A520-5F864853ED00}" name="Balise NexSIS" totalsRowFunction="count" dataDxfId="447" totalsRowDxfId="448"/>
    <tableColumn id="21" xr3:uid="{D0BFFE6C-4225-46D0-B895-F3676779BA23}" name="Nouvelle balise" totalsRowFunction="count" dataDxfId="445" totalsRowDxfId="446"/>
    <tableColumn id="8" xr3:uid="{3895610D-D4D5-42BF-BCF9-30A1A3C697D5}" name="Nantes - balise" totalsRowFunction="count" dataDxfId="443" totalsRowDxfId="444"/>
    <tableColumn id="15" xr3:uid="{A4C3AF04-789D-45AA-AF75-181EE5D3C889}" name="Nantes - description" totalsRowFunction="count" dataDxfId="441" totalsRowDxfId="442"/>
    <tableColumn id="18" xr3:uid="{0B319C5E-2B1A-48A1-AB5B-565B289E8E5A}" name="GT399" totalsRowFunction="count" dataDxfId="439" totalsRowDxfId="440"/>
    <tableColumn id="9" xr3:uid="{3270362B-AE6D-4A4F-9B53-9B4705420332}" name="GT399 description" totalsRowFunction="count" dataDxfId="437" totalsRowDxfId="438"/>
    <tableColumn id="10" xr3:uid="{7DFD36C3-C87A-40C8-A097-E0E6D15F31FF}" name="Priorisation" totalsRowFunction="count" dataDxfId="435" totalsRowDxfId="436"/>
    <tableColumn id="11" xr3:uid="{830A5A92-5BDB-4DBC-B7BB-71ACF59E0F86}" name="Cardinalité" dataDxfId="433" totalsRowDxfId="434"/>
    <tableColumn id="27" xr3:uid="{84308AE7-7DC0-4DF5-B1F2-D62629FB9721}" name="Objet" totalsRowFunction="count" dataDxfId="431" totalsRowDxfId="432"/>
    <tableColumn id="12" xr3:uid="{BC7634C4-D51C-4D1D-A74D-CA61CA757208}" name="Format (ou type)" totalsRowFunction="count" dataDxfId="429" totalsRowDxfId="430"/>
    <tableColumn id="37" xr3:uid="{66BD417D-8F82-43EE-8B74-84DF4CC46C92}" name="Nomenclature/ énumération" dataDxfId="427" totalsRowDxfId="428"/>
    <tableColumn id="31" xr3:uid="{57E65586-98BD-4335-934F-A093282E1FEE}" name="Détails de format" dataDxfId="425" totalsRowDxfId="426"/>
    <tableColumn id="36" xr3:uid="{8151D5CE-9DBC-4230-BFCD-A109E5501497}" name="15-18" dataDxfId="423" totalsRowDxfId="424"/>
    <tableColumn id="35" xr3:uid="{B2C9F5A2-91F5-468B-AE17-940BE1DE3870}" name="15-SMUR" dataDxfId="421" totalsRowDxfId="422"/>
    <tableColumn id="39" xr3:uid="{81AAA84E-9D2F-4ADE-9D78-C7DB3A5A2ACF}" name="15-ATSU" dataDxfId="419" totalsRowDxfId="420"/>
    <tableColumn id="19" xr3:uid="{0F82E793-70E1-4AE5-ACE7-7E8EB5091B93}" name="Commentaire Hub Santé" totalsRowFunction="count" dataDxfId="417" totalsRowDxfId="418"/>
    <tableColumn id="16" xr3:uid="{C59347C9-5FCC-40A9-8926-CA2A963211D3}" name="Commentaire Philippe Dreyfus" totalsRowFunction="count" dataDxfId="415" totalsRowDxfId="416"/>
    <tableColumn id="33" xr3:uid="{61C64199-FD5A-477C-9F67-38D22581EECF}" name="Commentaire FBE" dataDxfId="413" totalsRowDxfId="414"/>
    <tableColumn id="17" xr3:uid="{E78A9C85-C797-4A18-8685-52FDE2B659CA}" name="Commentaire Yann Penverne" totalsRowFunction="count" dataDxfId="411" totalsRowDxfId="412"/>
    <tableColumn id="20" xr3:uid="{F9D1F989-7BDE-4BE2-8178-8D906FAA358D}" name="NexSIS" totalsRowFunction="custom" dataDxfId="409" totalsRowDxfId="410">
      <totalsRowFormula>SUBTOTAL(103,createCase215[NexSIS])-COUNTIFS(createCase215[NexSIS],"=X")</totalsRowFormula>
    </tableColumn>
    <tableColumn id="22" xr3:uid="{736803F3-8344-4B8F-A1B7-881CC3FA1483}" name="Métier" totalsRowFunction="custom" dataDxfId="407" totalsRowDxfId="408">
      <totalsRowFormula>SUBTOTAL(103,createCase215[Métier])-COUNTIFS(createCase215[Métier],"=X")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F65" totalsRowCount="1" headerRowDxfId="396" dataDxfId="395" totalsRowDxfId="394">
  <autoFilter ref="A8:AF64" xr:uid="{35EA0160-5939-4AFE-BAAE-8243018C4F97}"/>
  <tableColumns count="32">
    <tableColumn id="26" xr3:uid="{12D8CEB3-E681-43DF-BEC0-6C291A8D8329}" name="ID" totalsRowFunction="count" dataDxfId="392" totalsRowDxfId="393"/>
    <tableColumn id="34" xr3:uid="{9EE009C3-D24E-469A-A94A-F3A00D5DDB8B}" name="Donnée (Niveau 1)" dataDxfId="390" totalsRowDxfId="391"/>
    <tableColumn id="1" xr3:uid="{B7EC5B63-675D-4F31-B76D-3E5B9E37F078}" name="Donnée (Niveau 2)" totalsRowFunction="count" dataDxfId="388" totalsRowDxfId="389"/>
    <tableColumn id="2" xr3:uid="{5B57BF21-F87F-460E-ACB7-9BCE55E6C176}" name="Donnée (Niveau 3)" totalsRowFunction="count" dataDxfId="386" totalsRowDxfId="387"/>
    <tableColumn id="3" xr3:uid="{8520709C-ABA8-4102-B671-D70267716998}" name="Donnée (Niveau 4)" totalsRowFunction="count" dataDxfId="384" totalsRowDxfId="385"/>
    <tableColumn id="4" xr3:uid="{94B80BD7-3514-45E7-8B9D-A5DC5D37E118}" name="Donnée (Niveau 5)" totalsRowFunction="count" dataDxfId="382" totalsRowDxfId="383"/>
    <tableColumn id="5" xr3:uid="{F774375F-2786-4A73-8C43-B5EB8D703C0F}" name="Donnée (Niveau 6)" totalsRowFunction="count" dataDxfId="380" totalsRowDxfId="381"/>
    <tableColumn id="23" xr3:uid="{338CDAC6-AC89-46E4-AF8E-187CA0315B6E}" name="Colonne2" dataDxfId="378" totalsRowDxfId="379"/>
    <tableColumn id="13" xr3:uid="{5043CFEE-E3A2-40E9-89E2-B8C2A1E632D2}" name="Colonne1" dataDxfId="376" totalsRowDxfId="377"/>
    <tableColumn id="6" xr3:uid="{C95E5171-3260-402B-86BF-C67DF056D407}" name="Description" totalsRowFunction="count" dataDxfId="374" totalsRowDxfId="375"/>
    <tableColumn id="14" xr3:uid="{067837E0-4917-486E-9C27-F725A2C59FCC}" name="Exemples" totalsRowFunction="count" dataDxfId="372" totalsRowDxfId="373"/>
    <tableColumn id="7" xr3:uid="{47E5D71A-AC82-4F55-8E27-563593D3B2F2}" name="Balise NexSIS" totalsRowFunction="count" dataDxfId="370" totalsRowDxfId="371"/>
    <tableColumn id="21" xr3:uid="{48DFB3FE-D2A7-4950-A487-0263E812B718}" name="Nouvelle balise" totalsRowFunction="count" dataDxfId="368" totalsRowDxfId="369"/>
    <tableColumn id="8" xr3:uid="{23093890-1C60-4E05-B2F8-363E069FD671}" name="Nantes - balise" totalsRowFunction="count" dataDxfId="366" totalsRowDxfId="367"/>
    <tableColumn id="15" xr3:uid="{8DC442E9-7D57-46C9-A861-01C2491324E2}" name="Nantes - description" totalsRowFunction="count" dataDxfId="364" totalsRowDxfId="365"/>
    <tableColumn id="18" xr3:uid="{57F2ED8D-3700-461C-82A4-8C8C841C0155}" name="GT399" totalsRowFunction="count" dataDxfId="362" totalsRowDxfId="363"/>
    <tableColumn id="9" xr3:uid="{45CB5E5C-D372-4A26-AF5B-2DA6114D7886}" name="GT399 description" totalsRowFunction="count" dataDxfId="360" totalsRowDxfId="361"/>
    <tableColumn id="10" xr3:uid="{00C96956-9EC8-4735-8013-245FC44ED807}" name="Priorisation" totalsRowFunction="count" dataDxfId="358" totalsRowDxfId="359"/>
    <tableColumn id="11" xr3:uid="{EF3C732C-A2D6-463A-85FD-D8AA0C9B50F6}" name="Cardinalité" dataDxfId="356" totalsRowDxfId="357"/>
    <tableColumn id="27" xr3:uid="{1B7324D2-64BE-4C9B-A6EE-8283085CB7EC}" name="Objet" totalsRowFunction="count" dataDxfId="354" totalsRowDxfId="355"/>
    <tableColumn id="12" xr3:uid="{346BC643-C741-4ED3-B94E-9C4FB69ED0A9}" name="Format (ou type)" totalsRowFunction="count" dataDxfId="352" totalsRowDxfId="353"/>
    <tableColumn id="37" xr3:uid="{BE51494B-A6D7-451B-9A84-3ECED33214DA}" name="Nomenclature/ énumération" dataDxfId="350" totalsRowDxfId="351"/>
    <tableColumn id="31" xr3:uid="{6BD336ED-7D35-4C80-AE8F-19525394188D}" name="Détails de format" dataDxfId="348" totalsRowDxfId="349"/>
    <tableColumn id="36" xr3:uid="{E5F8BD0D-97FB-4023-B64F-B4F8A90F6ADA}" name="15-SMUR" dataDxfId="346" totalsRowDxfId="347"/>
    <tableColumn id="35" xr3:uid="{45734523-870D-44C5-B243-A03765CD1CDD}" name="15-XX" dataDxfId="344" totalsRowDxfId="345"/>
    <tableColumn id="39" xr3:uid="{F8B31559-1068-4F01-BFEB-663EA0804A93}" name="CUT" dataDxfId="342" totalsRowDxfId="343"/>
    <tableColumn id="19" xr3:uid="{B4C5005C-0D3A-4440-A4BD-B2D49E8D7DD6}" name="Commentaire Hub Santé" totalsRowFunction="count" dataDxfId="340" totalsRowDxfId="341"/>
    <tableColumn id="16" xr3:uid="{8AC22362-8626-468F-AB79-BB4DB6E31CD3}" name="Commentaire Philippe Dreyfus" totalsRowFunction="count" dataDxfId="338" totalsRowDxfId="339"/>
    <tableColumn id="33" xr3:uid="{D9D4C6BB-6562-473E-8C63-13A3EDF78820}" name="Commentaire FBE" dataDxfId="336" totalsRowDxfId="337"/>
    <tableColumn id="17" xr3:uid="{11394A71-F820-4495-9AD4-2BF85E5B2920}" name="Commentaire Yann Penverne" totalsRowFunction="count" dataDxfId="334" totalsRowDxfId="335"/>
    <tableColumn id="20" xr3:uid="{036A98E5-4C02-415A-989D-802A776C391D}" name="NexSIS" totalsRowFunction="custom" dataDxfId="332" totalsRowDxfId="333">
      <totalsRowFormula>SUBTOTAL(103,createCase16[NexSIS])-COUNTIFS(createCase16[NexSIS],"=X")</totalsRowFormula>
    </tableColumn>
    <tableColumn id="22" xr3:uid="{307F1363-FE7C-48AC-ADD9-C3A2A561630D}" name="Métier" totalsRowFunction="custom" dataDxfId="330" totalsRowDxfId="331">
      <totalsRowFormula>SUBTOTAL(103,createCase16[Métier])-COUNTIFS(createCase16[Métier],"=X")</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AD15" totalsRowCount="1" headerRowDxfId="318" dataDxfId="317" totalsRowDxfId="316">
  <autoFilter ref="A8:AD14" xr:uid="{F3595FED-2D23-43E0-82AA-4A679D9E25EC}"/>
  <tableColumns count="30">
    <tableColumn id="26" xr3:uid="{1FA9DD08-C96F-4AE2-8207-3C37C2625ABE}" name="ID" totalsRowFunction="count" dataDxfId="314" totalsRowDxfId="315"/>
    <tableColumn id="34" xr3:uid="{795EBD09-E696-417D-A399-6AF56CB38FFE}" name="Donnée (Niveau 1)" dataDxfId="312" totalsRowDxfId="313"/>
    <tableColumn id="1" xr3:uid="{5D55C6A7-D3C8-4B4F-962B-D684CC469CD7}" name="Donnée (Niveau 2)" totalsRowFunction="count" dataDxfId="310" totalsRowDxfId="311"/>
    <tableColumn id="2" xr3:uid="{6064AA15-6125-4E52-A059-BCD0F891AC4D}" name="Donnée (Niveau 3)" totalsRowFunction="count" dataDxfId="308" totalsRowDxfId="309"/>
    <tableColumn id="3" xr3:uid="{C4094AB5-565D-4563-9A98-4BAC24C8C03F}" name="Donnée (Niveau 4)" totalsRowFunction="count" dataDxfId="306" totalsRowDxfId="307"/>
    <tableColumn id="4" xr3:uid="{FDFD5534-55B3-462C-A013-1AF4EEFC7A0E}" name="Donnée (Niveau 5)" totalsRowFunction="count" dataDxfId="304" totalsRowDxfId="305"/>
    <tableColumn id="5" xr3:uid="{4C7DDDEF-FB5D-40CE-A24D-1069A6180C9C}" name="Donnée (Niveau 6)" totalsRowFunction="count" dataDxfId="302" totalsRowDxfId="303"/>
    <tableColumn id="6" xr3:uid="{BDC8426F-031A-4500-84AD-15FC39F3F6CE}" name="Description" totalsRowFunction="count" dataDxfId="300" totalsRowDxfId="301"/>
    <tableColumn id="14" xr3:uid="{1BD518AA-08F2-4CB0-853F-ED4258E389B3}" name="Exemples" totalsRowFunction="count" dataDxfId="298" totalsRowDxfId="299"/>
    <tableColumn id="7" xr3:uid="{34980826-8C15-43DE-AC2D-D8B45029291F}" name="Balise NexSIS" totalsRowFunction="count" dataDxfId="296" totalsRowDxfId="297"/>
    <tableColumn id="21" xr3:uid="{773DD795-C5AD-4B15-84FB-8DE01F1F60C4}" name="Nouvelle balise" totalsRowFunction="count" dataDxfId="294" totalsRowDxfId="295"/>
    <tableColumn id="8" xr3:uid="{7EEA980C-947D-475D-9893-55AE50A34AE8}" name="Nantes - balise" totalsRowFunction="count" dataDxfId="292" totalsRowDxfId="293"/>
    <tableColumn id="15" xr3:uid="{151091E7-82F7-490D-BF28-3C8435A09341}" name="Nantes - description" totalsRowFunction="count" dataDxfId="290" totalsRowDxfId="291"/>
    <tableColumn id="18" xr3:uid="{BDE79025-50B5-46A2-A136-ACCCF4ADD26F}" name="GT399" totalsRowFunction="count" dataDxfId="288" totalsRowDxfId="289"/>
    <tableColumn id="9" xr3:uid="{C314D2A3-1B1F-46CA-87E0-4413BDD02CA7}" name="GT399 description" totalsRowFunction="count" dataDxfId="286" totalsRowDxfId="287"/>
    <tableColumn id="10" xr3:uid="{0C3B1690-50DF-4DF0-8303-94ED4A082730}" name="Priorisation" totalsRowFunction="count" dataDxfId="284" totalsRowDxfId="285"/>
    <tableColumn id="11" xr3:uid="{CF28EC3A-4C91-435F-AC27-1982AA8ADD1D}" name="Cardinalité" dataDxfId="282" totalsRowDxfId="283"/>
    <tableColumn id="27" xr3:uid="{A2A017CB-AD8E-44B3-8642-D11115614E70}" name="Objet" totalsRowFunction="count" dataDxfId="280" totalsRowDxfId="281"/>
    <tableColumn id="12" xr3:uid="{66EFD264-E68A-4187-98CB-316B01B4417B}" name="Format (ou type)" totalsRowFunction="count" dataDxfId="278" totalsRowDxfId="279"/>
    <tableColumn id="37" xr3:uid="{EE16CD08-1554-426C-9970-EB455A6E91CE}" name="Nomenclature/ énumération" dataDxfId="276" totalsRowDxfId="277"/>
    <tableColumn id="31" xr3:uid="{2C55E942-315D-4196-88AC-22B3956DA9E4}" name="Détails de format" dataDxfId="274" totalsRowDxfId="275"/>
    <tableColumn id="36" xr3:uid="{4457D8CC-EA04-48F7-94E1-5038866A5C40}" name="15-18" dataDxfId="272" totalsRowDxfId="273"/>
    <tableColumn id="35" xr3:uid="{DE6F3E1D-4E7D-4614-B0F4-FBCC8B26E17F}" name="15-15" dataDxfId="270" totalsRowDxfId="271"/>
    <tableColumn id="39" xr3:uid="{ED0D760B-A01B-4FCE-968A-DF8FB318720F}" name="CUT" dataDxfId="268" totalsRowDxfId="269"/>
    <tableColumn id="19" xr3:uid="{13987337-997C-423C-8C6C-CD2A636B3191}" name="Commentaire Hub Santé" totalsRowFunction="count" dataDxfId="266" totalsRowDxfId="267"/>
    <tableColumn id="16" xr3:uid="{2E666105-7978-4AB4-BD35-48C364391E38}" name="Commentaire Philippe Dreyfus" totalsRowFunction="count" dataDxfId="264" totalsRowDxfId="265"/>
    <tableColumn id="33" xr3:uid="{59ED82FB-9F32-4B0C-92AF-B11030B269C4}" name="Commentaire FBE" dataDxfId="262" totalsRowDxfId="263"/>
    <tableColumn id="17" xr3:uid="{FF32A60F-0401-427C-85E9-AF6C668D67E5}" name="Commentaire Yann Penverne" totalsRowFunction="count" dataDxfId="260" totalsRowDxfId="261"/>
    <tableColumn id="20" xr3:uid="{4C3C4242-9715-4D3F-8678-E2DF7E298B48}" name="NexSIS" totalsRowFunction="custom" dataDxfId="258" totalsRowDxfId="259">
      <totalsRowFormula>SUBTOTAL(103,createCase291217[NexSIS])-COUNTIFS(createCase291217[NexSIS],"=X")</totalsRowFormula>
    </tableColumn>
    <tableColumn id="22" xr3:uid="{89A21B40-369F-479D-8124-13571B8DC460}" name="Métier" totalsRowFunction="custom" dataDxfId="256" totalsRowDxfId="257">
      <totalsRowFormula>SUBTOTAL(103,createCase291217[Métier])-COUNTIFS(createCase291217[Métier],"=X")</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231" dataDxfId="230" totalsRowDxfId="229">
  <autoFilter ref="A8:AD18" xr:uid="{3932ADEA-DC88-4A0F-8DAC-A587FD7E4148}"/>
  <tableColumns count="30">
    <tableColumn id="26" xr3:uid="{3299B1BE-9E8D-4297-8D33-E8B4E6314998}" name="ID" totalsRowFunction="count" dataDxfId="227" totalsRowDxfId="228"/>
    <tableColumn id="34" xr3:uid="{943EB1AA-FC87-47D8-9208-417FE7A33ACF}" name="Donnée (Niveau 1)" dataDxfId="225" totalsRowDxfId="226"/>
    <tableColumn id="1" xr3:uid="{9AB0B7F6-617C-49F5-8E21-C93976E9DCDA}" name="Donnée (Niveau 2)" totalsRowFunction="count" dataDxfId="223" totalsRowDxfId="224"/>
    <tableColumn id="2" xr3:uid="{A48A81EF-3C17-489D-BCD8-5B425E174DCF}" name="Donnée (Niveau 3)" totalsRowFunction="count" dataDxfId="221" totalsRowDxfId="222"/>
    <tableColumn id="3" xr3:uid="{AEF972B8-4C2B-48DE-9661-295612B8D9D4}" name="Donnée (Niveau 4)" totalsRowFunction="count" dataDxfId="219" totalsRowDxfId="220"/>
    <tableColumn id="4" xr3:uid="{3788DC23-8937-4CF6-BF8E-302839D5FFDD}" name="Donnée (Niveau 5)" totalsRowFunction="count" dataDxfId="217" totalsRowDxfId="218"/>
    <tableColumn id="5" xr3:uid="{52D81477-ABE6-4966-B95A-C02F570AE73A}" name="Donnée (Niveau 6)" totalsRowFunction="count" dataDxfId="215" totalsRowDxfId="216"/>
    <tableColumn id="6" xr3:uid="{8CBF540E-BEA4-4436-8262-A7C687CE3E2D}" name="Description" totalsRowFunction="count" dataDxfId="213" totalsRowDxfId="214"/>
    <tableColumn id="14" xr3:uid="{64D795F4-1995-494F-810E-260DF2C5085A}" name="Exemples" totalsRowFunction="count" dataDxfId="211" totalsRowDxfId="212"/>
    <tableColumn id="7" xr3:uid="{D6B3F761-7C6E-417A-9BDD-696632C9F5FF}" name="Balise NexSIS" totalsRowFunction="count" dataDxfId="209" totalsRowDxfId="210"/>
    <tableColumn id="21" xr3:uid="{9DFC9AE6-5781-4CF5-9259-45DCFD672294}" name="Nouvelle balise" totalsRowFunction="count" dataDxfId="207" totalsRowDxfId="208"/>
    <tableColumn id="8" xr3:uid="{01EECBEF-753B-4F59-99A4-4790E47E73EE}" name="Nantes - balise" totalsRowFunction="count" dataDxfId="205" totalsRowDxfId="206"/>
    <tableColumn id="15" xr3:uid="{0A856445-1DFB-47A0-8F98-1BB704EBE9BB}" name="Nantes - description" totalsRowFunction="count" dataDxfId="203" totalsRowDxfId="204"/>
    <tableColumn id="18" xr3:uid="{C7281F1D-46DF-4F03-B261-CAA071B10445}" name="GT399" totalsRowFunction="count" dataDxfId="201" totalsRowDxfId="202"/>
    <tableColumn id="9" xr3:uid="{8F75A270-1699-45B9-AEE8-46DC9C103E9A}" name="GT399 description" totalsRowFunction="count" dataDxfId="199" totalsRowDxfId="200"/>
    <tableColumn id="10" xr3:uid="{C4EF9828-8BEA-45BA-9358-37C041F8BE93}" name="Priorisation" totalsRowFunction="count" dataDxfId="197" totalsRowDxfId="198"/>
    <tableColumn id="11" xr3:uid="{C8A1EB70-9D5E-41CB-888E-94DB682F73EE}" name="Cardinalité" dataDxfId="195" totalsRowDxfId="196"/>
    <tableColumn id="27" xr3:uid="{CA1C1D4B-6AA0-4DEB-8946-D2D88578F7E3}" name="Objet" totalsRowFunction="count" dataDxfId="193" totalsRowDxfId="194"/>
    <tableColumn id="12" xr3:uid="{DE654E76-8FBA-4354-9CF8-6E6A462E6409}" name="Format (ou type)" totalsRowFunction="count" dataDxfId="191" totalsRowDxfId="192"/>
    <tableColumn id="37" xr3:uid="{C96CA3D7-42EC-4F04-A68A-7444B82822C8}" name="Nomenclature/ énumération" dataDxfId="189" totalsRowDxfId="190"/>
    <tableColumn id="31" xr3:uid="{D0A863DE-C408-4007-8ED1-035E6F8C1949}" name="Détails de format" dataDxfId="187" totalsRowDxfId="188"/>
    <tableColumn id="36" xr3:uid="{4FBDDCB5-6890-404E-AF57-163DA21D490D}" name="15-18" dataDxfId="185" totalsRowDxfId="186"/>
    <tableColumn id="35" xr3:uid="{31AA9CC8-C176-428C-BF54-6A11D6D81BB2}" name="15-15" dataDxfId="183" totalsRowDxfId="184"/>
    <tableColumn id="39" xr3:uid="{8866D17E-800C-4E85-BE99-1E028619BE67}" name="CUT" dataDxfId="181" totalsRowDxfId="182"/>
    <tableColumn id="19" xr3:uid="{89AE86E7-D981-4E55-B036-1545CE5A0149}" name="Commentaire Hub Santé" totalsRowFunction="count" dataDxfId="179" totalsRowDxfId="180"/>
    <tableColumn id="16" xr3:uid="{ACDAA173-B451-4B80-A3E5-E5A1D928393F}" name="Commentaire Philippe Dreyfus" totalsRowFunction="count" dataDxfId="177" totalsRowDxfId="178"/>
    <tableColumn id="33" xr3:uid="{9B4758BD-1388-4079-8A50-1F8C39538EDF}" name="Commentaire FBE" dataDxfId="175" totalsRowDxfId="176"/>
    <tableColumn id="17" xr3:uid="{BF13D23C-C019-4EEE-96CD-540F8E568157}" name="Commentaire Yann Penverne" totalsRowFunction="count" dataDxfId="173" totalsRowDxfId="174"/>
    <tableColumn id="20" xr3:uid="{CA95465C-6ED7-43BD-96F7-66CA68FFA6DF}" name="NexSIS" totalsRowFunction="custom" dataDxfId="171" totalsRowDxfId="172">
      <totalsRowFormula>SUBTOTAL(103,createCase29[NexSIS])-COUNTIFS(createCase29[NexSIS],"=X")</totalsRowFormula>
    </tableColumn>
    <tableColumn id="22" xr3:uid="{A91321AB-D5A1-492C-80AF-94204824579D}" name="Métier" totalsRowFunction="custom" dataDxfId="169" totalsRowDxfId="170">
      <totalsRowFormula>SUBTOTAL(103,createCase29[Métier])-COUNTIFS(createCase29[Métier],"=X")</totalsRow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168">
  <autoFilter ref="A8:W23" xr:uid="{EEF68223-2157-47F6-9133-264D671F0942}"/>
  <tableColumns count="23">
    <tableColumn id="1" xr3:uid="{0308532B-296F-49D7-B76E-23948A2F1FAE}" name="ID" totalsRowFunction="count" dataDxfId="166" totalsRowDxfId="167"/>
    <tableColumn id="2" xr3:uid="{4E5CA3CD-74C0-41D7-A064-93B29A44F6EA}" name="Donnée (Niveau 1)" totalsRowFunction="custom" dataDxfId="164" totalsRowDxfId="165">
      <totalsRowFormula>SUBTOTAL(103,Tableau3[Donnée (Niveau 1)])</totalsRowFormula>
    </tableColumn>
    <tableColumn id="3" xr3:uid="{099F4D11-28E8-482A-B443-FA0B35F69A5A}" name="Donnée (Niveau 2)" totalsRowFunction="custom" dataDxfId="162" totalsRowDxfId="163">
      <totalsRowFormula>SUBTOTAL(103,Tableau3[Donnée (Niveau 2)])</totalsRowFormula>
    </tableColumn>
    <tableColumn id="4" xr3:uid="{894FFF8F-C344-436B-8995-6D977D9EE845}" name="Donnée (Niveau 3)" totalsRowFunction="custom" dataDxfId="160" totalsRowDxfId="161">
      <totalsRowFormula>SUBTOTAL(103,Tableau3[Donnée (Niveau 3)])</totalsRowFormula>
    </tableColumn>
    <tableColumn id="5" xr3:uid="{AB815DDF-5ECF-4083-A621-45835C8FE42C}" name="Donnée (Niveau 4)" totalsRowFunction="custom" dataDxfId="158" totalsRowDxfId="159">
      <totalsRowFormula>SUBTOTAL(103,Tableau3[Donnée (Niveau 4)])</totalsRowFormula>
    </tableColumn>
    <tableColumn id="6" xr3:uid="{20F05C10-E73C-4ECE-95CB-368439F635A4}" name="Donnée (Niveau 5)" totalsRowFunction="custom" dataDxfId="156" totalsRowDxfId="157">
      <totalsRowFormula>SUBTOTAL(103,Tableau3[Donnée (Niveau 5)])</totalsRowFormula>
    </tableColumn>
    <tableColumn id="7" xr3:uid="{CD2D80B3-AFB4-4A43-A25F-9936020F0A33}" name="Donnée (Niveau 6)" totalsRowFunction="custom" dataDxfId="154" totalsRowDxfId="155">
      <totalsRowFormula>SUBTOTAL(103,Tableau3[Donnée (Niveau 6)])</totalsRowFormula>
    </tableColumn>
    <tableColumn id="8" xr3:uid="{6D534A97-72D3-4D26-ACDA-1E36EFF5A5D1}" name="Description" totalsRowFunction="custom" totalsRowDxfId="153">
      <totalsRowFormula>SUBTOTAL(103,Tableau3[Description])</totalsRowFormula>
    </tableColumn>
    <tableColumn id="9" xr3:uid="{1C7F0F41-E26E-4A31-99F7-36DA6F587FD4}" name="Exemples" totalsRowFunction="custom" totalsRowDxfId="152">
      <totalsRowFormula>SUBTOTAL(103,Tableau3[Exemples])</totalsRowFormula>
    </tableColumn>
    <tableColumn id="10" xr3:uid="{16E03419-7018-452F-85C4-FD235A5FD831}" name="Balise NexSIS" totalsRowFunction="custom" totalsRowDxfId="151">
      <totalsRowFormula>SUBTOTAL(103,Tableau3[Balise NexSIS])</totalsRowFormula>
    </tableColumn>
    <tableColumn id="11" xr3:uid="{B07E8B63-480E-4E4D-B3C9-5480DBD4EBFD}" name="Nouvelle balise" totalsRowFunction="custom" totalsRowDxfId="150">
      <totalsRowFormula>SUBTOTAL(103,Tableau3[Nouvelle balise])</totalsRowFormula>
    </tableColumn>
    <tableColumn id="12" xr3:uid="{580E514F-043D-4789-9329-386B22D4622D}" name="Nantes - balise" totalsRowFunction="custom" totalsRowDxfId="149">
      <totalsRowFormula>SUBTOTAL(103,Tableau3[Nantes - balise])</totalsRowFormula>
    </tableColumn>
    <tableColumn id="13" xr3:uid="{0C60FD75-9B70-4899-B643-430300539392}" name="Nantes - description" totalsRowFunction="custom" totalsRowDxfId="148">
      <totalsRowFormula>SUBTOTAL(103,Tableau3[Nantes - description])</totalsRowFormula>
    </tableColumn>
    <tableColumn id="14" xr3:uid="{A80B0132-E4A5-41BF-9151-A57B2C45E16D}" name="GT399" totalsRowFunction="custom" totalsRowDxfId="147">
      <totalsRowFormula>SUBTOTAL(103,Tableau3[GT399])</totalsRowFormula>
    </tableColumn>
    <tableColumn id="15" xr3:uid="{8E187925-974B-4A24-81D7-AB82144912F1}" name="GT399 description" totalsRowFunction="custom" totalsRowDxfId="146">
      <totalsRowFormula>SUBTOTAL(103,Tableau3[GT399 description])</totalsRowFormula>
    </tableColumn>
    <tableColumn id="16" xr3:uid="{42F38D08-76CB-4B3A-A731-4207FB6FBE23}" name="Priorisation" totalsRowFunction="custom" totalsRowDxfId="145">
      <totalsRowFormula>SUBTOTAL(103,Tableau3[Priorisation])</totalsRowFormula>
    </tableColumn>
    <tableColumn id="17" xr3:uid="{9F68F1ED-1480-436C-8BC5-AA551A9025A4}" name="Cardinalité" totalsRowFunction="custom" dataDxfId="143" totalsRowDxfId="144">
      <totalsRowFormula>SUBTOTAL(103,Tableau3[Cardinalité])</totalsRowFormula>
    </tableColumn>
    <tableColumn id="18" xr3:uid="{8D71687D-B67F-4FBE-A91C-E3D7AF1CF7CE}" name="Objet" totalsRowFunction="custom" dataDxfId="141" totalsRowDxfId="142">
      <totalsRowFormula>SUBTOTAL(103,Tableau3[Objet])</totalsRowFormula>
    </tableColumn>
    <tableColumn id="19" xr3:uid="{3997D7F5-733D-4A1D-97E2-3BDAED2B9FE3}" name="Format (ou type)" totalsRowFunction="custom" dataDxfId="139" totalsRowDxfId="140">
      <totalsRowFormula>SUBTOTAL(103,Tableau3[Format (ou type)])</totalsRowFormula>
    </tableColumn>
    <tableColumn id="20" xr3:uid="{33562809-70DE-436A-940D-49F45D5F14A8}" name="Nomenclature/ énumération" totalsRowFunction="custom" totalsRowDxfId="138">
      <totalsRowFormula>SUBTOTAL(103,Tableau3[Nomenclature/ énumération])</totalsRowFormula>
    </tableColumn>
    <tableColumn id="21" xr3:uid="{0FBF9953-AE08-41BF-9CDE-EA27950F10D4}" name="Détails de format" totalsRowFunction="custom" totalsRowDxfId="137">
      <totalsRowFormula>SUBTOTAL(103,Tableau3[Détails de format])</totalsRowFormula>
    </tableColumn>
    <tableColumn id="22" xr3:uid="{9F868D8D-588A-4128-8291-ABF86AE38F9A}" name="15-18" totalsRowFunction="custom" dataDxfId="135" totalsRowDxfId="136">
      <totalsRowFormula>SUBTOTAL(103,Tableau3[15-18])</totalsRowFormula>
    </tableColumn>
    <tableColumn id="23" xr3:uid="{87B18F95-525A-4A9B-860F-C7A99278233D}" name="15-15" totalsRowFunction="custom" dataDxfId="133" totalsRowDxfId="134">
      <totalsRowFormula>SUBTOTAL(103,Tableau3[15-15])</totalsRow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132">
  <autoFilter ref="A8:W9" xr:uid="{75253F3A-254C-4618-A5FE-BEE9E9C3C612}"/>
  <tableColumns count="23">
    <tableColumn id="1" xr3:uid="{B9312955-B2A3-439B-98E2-35497FC3B9CD}" name="ID" totalsRowFunction="count" dataDxfId="130" totalsRowDxfId="131"/>
    <tableColumn id="2" xr3:uid="{A41A30AA-1973-446D-97F1-BB8048C22A4F}" name="Donnée (Niveau 1)" totalsRowFunction="custom" dataDxfId="128" totalsRowDxfId="129">
      <totalsRowFormula>SUBTOTAL(103,Tableau35[Donnée (Niveau 1)])</totalsRowFormula>
    </tableColumn>
    <tableColumn id="3" xr3:uid="{DFE7CE8D-9D20-4AEF-A0BD-66C619A3B39A}" name="Donnée (Niveau 2)" totalsRowFunction="custom" dataDxfId="126" totalsRowDxfId="127">
      <totalsRowFormula>SUBTOTAL(103,Tableau35[Donnée (Niveau 2)])</totalsRowFormula>
    </tableColumn>
    <tableColumn id="4" xr3:uid="{D4BCA6FB-BEEB-4675-B373-97CA3247D3B3}" name="Donnée (Niveau 3)" totalsRowFunction="custom" dataDxfId="124" totalsRowDxfId="125">
      <totalsRowFormula>SUBTOTAL(103,Tableau35[Donnée (Niveau 3)])</totalsRowFormula>
    </tableColumn>
    <tableColumn id="5" xr3:uid="{98330C77-3D56-4BE0-94A2-82DDC5827C96}" name="Donnée (Niveau 4)" totalsRowFunction="custom" dataDxfId="122" totalsRowDxfId="123">
      <totalsRowFormula>SUBTOTAL(103,Tableau35[Donnée (Niveau 4)])</totalsRowFormula>
    </tableColumn>
    <tableColumn id="6" xr3:uid="{3D011196-6587-48FF-87E2-AE1D56773EE7}" name="Donnée (Niveau 5)" totalsRowFunction="custom" dataDxfId="120" totalsRowDxfId="121">
      <totalsRowFormula>SUBTOTAL(103,Tableau35[Donnée (Niveau 5)])</totalsRowFormula>
    </tableColumn>
    <tableColumn id="7" xr3:uid="{9EBCC79E-BB78-43E2-8390-99AED4817490}" name="Donnée (Niveau 6)" totalsRowFunction="custom" dataDxfId="118" totalsRowDxfId="119">
      <totalsRowFormula>SUBTOTAL(103,Tableau35[Donnée (Niveau 6)])</totalsRowFormula>
    </tableColumn>
    <tableColumn id="8" xr3:uid="{E26B9737-D2F7-4253-9691-0FAB27540899}" name="Description" totalsRowFunction="custom" totalsRowDxfId="117">
      <totalsRowFormula>SUBTOTAL(103,Tableau35[Description])</totalsRowFormula>
    </tableColumn>
    <tableColumn id="9" xr3:uid="{CD269DAD-CD7B-426A-8623-52708A75A9F3}" name="Exemples" totalsRowFunction="custom" totalsRowDxfId="116">
      <totalsRowFormula>SUBTOTAL(103,Tableau35[Exemples])</totalsRowFormula>
    </tableColumn>
    <tableColumn id="10" xr3:uid="{20924355-7D5C-49E1-BBA9-453A972E5FD5}" name="Balise NexSIS" totalsRowFunction="custom" totalsRowDxfId="115">
      <totalsRowFormula>SUBTOTAL(103,Tableau35[Balise NexSIS])</totalsRowFormula>
    </tableColumn>
    <tableColumn id="11" xr3:uid="{E6886C03-3B0D-46D0-99EE-5173E67D42D5}" name="Nouvelle balise" totalsRowFunction="custom" totalsRowDxfId="114">
      <totalsRowFormula>SUBTOTAL(103,Tableau35[Nouvelle balise])</totalsRowFormula>
    </tableColumn>
    <tableColumn id="12" xr3:uid="{FC0A1304-6D18-4479-8A8D-40E1640CC417}" name="Nantes - balise" totalsRowFunction="custom" totalsRowDxfId="113">
      <totalsRowFormula>SUBTOTAL(103,Tableau35[Nantes - balise])</totalsRowFormula>
    </tableColumn>
    <tableColumn id="13" xr3:uid="{F13FED84-5993-4B0F-9596-BB54F03D8CD2}" name="Nantes - description" totalsRowFunction="custom" totalsRowDxfId="112">
      <totalsRowFormula>SUBTOTAL(103,Tableau35[Nantes - description])</totalsRowFormula>
    </tableColumn>
    <tableColumn id="14" xr3:uid="{D10C28EC-5A2B-4C5A-9DF5-FA610DC16AB7}" name="GT399" totalsRowFunction="custom" totalsRowDxfId="111">
      <totalsRowFormula>SUBTOTAL(103,Tableau35[GT399])</totalsRowFormula>
    </tableColumn>
    <tableColumn id="15" xr3:uid="{BEB12139-7DD8-42F5-B1E1-2ECBC4C5542E}" name="GT399 description" totalsRowFunction="custom" totalsRowDxfId="110">
      <totalsRowFormula>SUBTOTAL(103,Tableau35[GT399 description])</totalsRowFormula>
    </tableColumn>
    <tableColumn id="16" xr3:uid="{188B779B-92B8-4FEF-8EED-51C2A38708D0}" name="Priorisation" totalsRowFunction="custom" totalsRowDxfId="109">
      <totalsRowFormula>SUBTOTAL(103,Tableau35[Priorisation])</totalsRowFormula>
    </tableColumn>
    <tableColumn id="17" xr3:uid="{F4CC96EB-6D1D-4960-BCD8-CD461F381ED8}" name="Cardinalité" totalsRowFunction="custom" dataDxfId="107" totalsRowDxfId="108">
      <totalsRowFormula>SUBTOTAL(103,Tableau35[Cardinalité])</totalsRowFormula>
    </tableColumn>
    <tableColumn id="18" xr3:uid="{B0090839-6783-4E0E-8106-4E6A56CCAFD2}" name="Objet" totalsRowFunction="custom" dataDxfId="105" totalsRowDxfId="106">
      <totalsRowFormula>SUBTOTAL(103,Tableau35[Objet])</totalsRowFormula>
    </tableColumn>
    <tableColumn id="19" xr3:uid="{A81D9ACE-1BA2-42E2-A7BF-AD6A21D051B7}" name="Format (ou type)" totalsRowFunction="custom" dataDxfId="103" totalsRowDxfId="104">
      <totalsRowFormula>SUBTOTAL(103,Tableau35[Format (ou type)])</totalsRowFormula>
    </tableColumn>
    <tableColumn id="20" xr3:uid="{395551A0-AF3E-4BCA-A2D1-B5B3AFE7BB0F}" name="Nomenclature/ énumération" totalsRowFunction="custom" totalsRowDxfId="102">
      <totalsRowFormula>SUBTOTAL(103,Tableau35[Nomenclature/ énumération])</totalsRowFormula>
    </tableColumn>
    <tableColumn id="21" xr3:uid="{CA6C9852-2D54-43AF-A983-D0F4CF56B2B4}" name="Détails de format" totalsRowFunction="custom" totalsRowDxfId="101">
      <totalsRowFormula>SUBTOTAL(103,Tableau35[Détails de format])</totalsRowFormula>
    </tableColumn>
    <tableColumn id="22" xr3:uid="{15560D52-4B8E-408C-878A-EEE9AFD8D183}" name="15-18" totalsRowFunction="custom" totalsRowDxfId="100">
      <totalsRowFormula>SUBTOTAL(103,Tableau35[15-18])</totalsRowFormula>
    </tableColumn>
    <tableColumn id="23" xr3:uid="{F8085B3C-2A10-48F6-B2F1-428BF4D2A4F6}" name="15-15" totalsRowFunction="custom" totalsRowDxfId="99">
      <totalsRowFormula>SUBTOTAL(103,Tableau35[15-15])</totalsRowFormula>
    </tableColumn>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98">
  <autoFilter ref="A8:W19" xr:uid="{1FE8A3AF-4E94-4B60-8D0F-BDD2D3ECE80A}"/>
  <tableColumns count="23">
    <tableColumn id="1" xr3:uid="{2194A6A9-978B-49BF-92EC-24BA1F982865}" name="ID" totalsRowFunction="count" dataDxfId="96" totalsRowDxfId="97"/>
    <tableColumn id="2" xr3:uid="{7639722A-2F33-4FF5-974B-AF23A0A6AFB1}" name="Donnée (Niveau 1)" totalsRowFunction="custom" dataDxfId="94" totalsRowDxfId="95">
      <totalsRowFormula>SUBTOTAL(103,Tableau357[Donnée (Niveau 1)])</totalsRowFormula>
    </tableColumn>
    <tableColumn id="3" xr3:uid="{9BD64E43-D2AF-489F-A571-5D02F069CB5A}" name="Donnée (Niveau 2)" totalsRowFunction="custom" dataDxfId="92" totalsRowDxfId="93">
      <totalsRowFormula>SUBTOTAL(103,Tableau357[Donnée (Niveau 2)])</totalsRowFormula>
    </tableColumn>
    <tableColumn id="4" xr3:uid="{3A15C35A-E24A-431E-9B0F-5AA03F1DEC65}" name="Donnée (Niveau 3)" totalsRowFunction="custom" dataDxfId="90" totalsRowDxfId="91">
      <totalsRowFormula>SUBTOTAL(103,Tableau357[Donnée (Niveau 3)])</totalsRowFormula>
    </tableColumn>
    <tableColumn id="5" xr3:uid="{30450838-7269-4B21-AED9-DE744E6D7BE7}" name="Donnée (Niveau 4)" totalsRowFunction="custom" dataDxfId="88" totalsRowDxfId="89">
      <totalsRowFormula>SUBTOTAL(103,Tableau357[Donnée (Niveau 4)])</totalsRowFormula>
    </tableColumn>
    <tableColumn id="6" xr3:uid="{3660E566-E514-413D-B57E-5899D7E2C97A}" name="Donnée (Niveau 5)" totalsRowFunction="custom" dataDxfId="86" totalsRowDxfId="87">
      <totalsRowFormula>SUBTOTAL(103,Tableau357[Donnée (Niveau 5)])</totalsRowFormula>
    </tableColumn>
    <tableColumn id="7" xr3:uid="{9C7BB915-267A-4C5A-AA02-029048F4DC4E}" name="Donnée (Niveau 6)" totalsRowFunction="custom" dataDxfId="84" totalsRowDxfId="85">
      <totalsRowFormula>SUBTOTAL(103,Tableau357[Donnée (Niveau 6)])</totalsRowFormula>
    </tableColumn>
    <tableColumn id="8" xr3:uid="{E5B15786-B76A-4BEA-9067-9613FD29334F}" name="Description" totalsRowFunction="custom" totalsRowDxfId="83">
      <totalsRowFormula>SUBTOTAL(103,Tableau357[Description])</totalsRowFormula>
    </tableColumn>
    <tableColumn id="9" xr3:uid="{8DB05C06-6CE9-4263-BA6F-48CE0AE9983C}" name="Exemples" totalsRowFunction="custom" totalsRowDxfId="82">
      <totalsRowFormula>SUBTOTAL(103,Tableau357[Exemples])</totalsRowFormula>
    </tableColumn>
    <tableColumn id="10" xr3:uid="{1837705E-85D2-43D6-9CDA-E6F77570DBBD}" name="Balise NexSIS" totalsRowFunction="custom" totalsRowDxfId="81">
      <totalsRowFormula>SUBTOTAL(103,Tableau357[Balise NexSIS])</totalsRowFormula>
    </tableColumn>
    <tableColumn id="11" xr3:uid="{957F756D-730B-4641-8748-30510E6525C0}" name="Nouvelle balise" totalsRowFunction="custom" dataDxfId="79" totalsRowDxfId="80">
      <totalsRowFormula>SUBTOTAL(103,Tableau357[Nouvelle balise])</totalsRowFormula>
    </tableColumn>
    <tableColumn id="12" xr3:uid="{3169EF9C-BB85-4FFA-B5E7-A3B8B73FC3A2}" name="Nantes - balise" totalsRowFunction="custom" totalsRowDxfId="78">
      <totalsRowFormula>SUBTOTAL(103,Tableau357[Nantes - balise])</totalsRowFormula>
    </tableColumn>
    <tableColumn id="13" xr3:uid="{E548F095-B313-42ED-B82E-D4F99D2C0A04}" name="Nantes - description" totalsRowFunction="custom" totalsRowDxfId="77">
      <totalsRowFormula>SUBTOTAL(103,Tableau357[Nantes - description])</totalsRowFormula>
    </tableColumn>
    <tableColumn id="14" xr3:uid="{CC704391-8DDA-45F3-B8AB-AE5DEBD43C11}" name="GT399" totalsRowFunction="custom" totalsRowDxfId="76">
      <totalsRowFormula>SUBTOTAL(103,Tableau357[GT399])</totalsRowFormula>
    </tableColumn>
    <tableColumn id="15" xr3:uid="{A5BB6FA3-0492-4977-AD3E-CEAAE8366B7A}" name="GT399 description" totalsRowFunction="custom" totalsRowDxfId="75">
      <totalsRowFormula>SUBTOTAL(103,Tableau357[GT399 description])</totalsRowFormula>
    </tableColumn>
    <tableColumn id="16" xr3:uid="{6BC9EA61-5862-4D25-B98C-EA9E88DF081C}" name="Priorisation" totalsRowFunction="custom" totalsRowDxfId="74">
      <totalsRowFormula>SUBTOTAL(103,Tableau357[Priorisation])</totalsRowFormula>
    </tableColumn>
    <tableColumn id="17" xr3:uid="{F8CC7813-2529-4AB6-8673-B22D55F47970}" name="Cardinalité" totalsRowFunction="custom" dataDxfId="72" totalsRowDxfId="73">
      <totalsRowFormula>SUBTOTAL(103,Tableau357[Cardinalité])</totalsRowFormula>
    </tableColumn>
    <tableColumn id="18" xr3:uid="{F8AA89E9-3720-467E-92C2-F847AE5D62EB}" name="Objet" totalsRowFunction="custom" dataDxfId="70" totalsRowDxfId="71">
      <totalsRowFormula>SUBTOTAL(103,Tableau357[Objet])</totalsRowFormula>
    </tableColumn>
    <tableColumn id="19" xr3:uid="{044C8000-1042-455B-8904-0733131290E6}" name="Format (ou type)" totalsRowFunction="custom" dataDxfId="68" totalsRowDxfId="69">
      <totalsRowFormula>SUBTOTAL(103,Tableau357[Format (ou type)])</totalsRowFormula>
    </tableColumn>
    <tableColumn id="20" xr3:uid="{4C43F220-1FFF-4D6A-B274-6AC8F1923DC0}" name="Nomenclature/ énumération" totalsRowFunction="custom" dataDxfId="66" totalsRowDxfId="67">
      <totalsRowFormula>SUBTOTAL(103,Tableau357[Nomenclature/ énumération])</totalsRowFormula>
    </tableColumn>
    <tableColumn id="21" xr3:uid="{F3647E69-0E89-450A-AF38-B5627E006D73}" name="Détails de format" totalsRowFunction="custom" dataDxfId="64" totalsRowDxfId="65">
      <totalsRowFormula>SUBTOTAL(103,Tableau357[Détails de format])</totalsRowFormula>
    </tableColumn>
    <tableColumn id="22" xr3:uid="{BDA6CEC4-51B8-4CFB-B6B6-B7AF21F84DE9}" name="15-18" totalsRowFunction="custom" totalsRowDxfId="63">
      <totalsRowFormula>SUBTOTAL(103,Tableau357[15-18])</totalsRowFormula>
    </tableColumn>
    <tableColumn id="23" xr3:uid="{A7D9FC89-3D3C-442A-BF60-2B5E8CAB8757}" name="15-15" totalsRowFunction="custom" totalsRowDxfId="62">
      <totalsRowFormula>SUBTOTAL(103,Tableau357[15-15])</totalsRowFormula>
    </tableColumn>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61" totalsRowDxfId="60" headerRowBorderDxfId="58" tableBorderDxfId="59" totalsRowBorderDxfId="57">
  <autoFilter ref="A8:W14" xr:uid="{E931F4C5-87AC-4B70-ADC3-93962301DA67}"/>
  <tableColumns count="23">
    <tableColumn id="1" xr3:uid="{1E224984-052D-4A13-B622-AE0F71DD159A}" name="ID" totalsRowFunction="custom" dataDxfId="55" totalsRowDxfId="56">
      <totalsRowFormula>SUBTOTAL(103, Tableau9[ID])</totalsRowFormula>
    </tableColumn>
    <tableColumn id="2" xr3:uid="{C0689F99-92F2-497E-8FC9-D5C9893BC7E9}" name="Donnée (Niveau 1)" totalsRowFunction="custom" dataDxfId="53" totalsRowDxfId="54">
      <totalsRowFormula>SUBTOTAL(103, Tableau9[Donnée (Niveau 1)])</totalsRowFormula>
    </tableColumn>
    <tableColumn id="3" xr3:uid="{415D4766-C4FA-4EA5-814E-1F0F00B07B37}" name="Donnée (Niveau 2)" totalsRowFunction="custom" dataDxfId="51" totalsRowDxfId="52">
      <totalsRowFormula>SUBTOTAL(103, Tableau9[Donnée (Niveau 2)])</totalsRowFormula>
    </tableColumn>
    <tableColumn id="4" xr3:uid="{3376F3F3-12CC-4AD9-9955-3EC68C5C3DD9}" name="Donnée (Niveau 3)" totalsRowFunction="custom" dataDxfId="49" totalsRowDxfId="50">
      <totalsRowFormula>SUBTOTAL(103, Tableau9[Donnée (Niveau 3)])</totalsRowFormula>
    </tableColumn>
    <tableColumn id="5" xr3:uid="{541A98F6-3A3C-473C-86A3-80321C6E2798}" name="Donnée (Niveau 4)" totalsRowFunction="custom" dataDxfId="47" totalsRowDxfId="48">
      <totalsRowFormula>SUBTOTAL(103, Tableau9[Donnée (Niveau 4)])</totalsRowFormula>
    </tableColumn>
    <tableColumn id="6" xr3:uid="{9860160A-69B0-43CC-ACC3-513CC21BBCC9}" name="Donnée (Niveau 5)" totalsRowFunction="custom" dataDxfId="45" totalsRowDxfId="46">
      <totalsRowFormula>SUBTOTAL(103, Tableau9[Donnée (Niveau 5)])</totalsRowFormula>
    </tableColumn>
    <tableColumn id="7" xr3:uid="{A283BE6B-5F72-4E28-A1D0-C3CEFC3A3203}" name="Donnée (Niveau 6)" totalsRowFunction="custom" dataDxfId="43" totalsRowDxfId="44">
      <totalsRowFormula>SUBTOTAL(103, Tableau9[Donnée (Niveau 6)])</totalsRowFormula>
    </tableColumn>
    <tableColumn id="8" xr3:uid="{19DF1CAC-A34E-4D6F-9152-7E372105A411}" name="Description" totalsRowFunction="custom" totalsRowDxfId="42">
      <totalsRowFormula>SUBTOTAL(103, Tableau9[Description])</totalsRowFormula>
    </tableColumn>
    <tableColumn id="9" xr3:uid="{19C7F4C5-FBF2-4DDF-8C18-64844C80A068}" name="Exemples" totalsRowFunction="custom" totalsRowDxfId="41">
      <totalsRowFormula>SUBTOTAL(103, Tableau9[Exemples])</totalsRowFormula>
    </tableColumn>
    <tableColumn id="10" xr3:uid="{25BE0A12-B3F7-4026-80D6-5AED0D62F912}" name="Balise NexSIS" totalsRowFunction="custom" totalsRowDxfId="40">
      <totalsRowFormula>SUBTOTAL(103, Tableau9[Balise NexSIS])</totalsRowFormula>
    </tableColumn>
    <tableColumn id="11" xr3:uid="{7578B8D2-C435-4424-9B0B-FE7DB8E3AC98}" name="Nouvelle balise" totalsRowFunction="custom" totalsRowDxfId="39">
      <totalsRowFormula>SUBTOTAL(103, Tableau9[Nouvelle balise])</totalsRowFormula>
    </tableColumn>
    <tableColumn id="12" xr3:uid="{BED9B1DE-1D7A-44E1-B55A-77D8F2867832}" name="Nantes - balise" totalsRowFunction="custom" totalsRowDxfId="38">
      <totalsRowFormula>SUBTOTAL(103, Tableau9[Nantes - balise])</totalsRowFormula>
    </tableColumn>
    <tableColumn id="13" xr3:uid="{0A269333-965B-47E6-A39A-3828EC8525D7}" name="Nantes - description" totalsRowFunction="custom" totalsRowDxfId="37">
      <totalsRowFormula>SUBTOTAL(103, Tableau9[Nantes - description])</totalsRowFormula>
    </tableColumn>
    <tableColumn id="14" xr3:uid="{9551F7F9-F22B-4AE0-8C95-D6D0EABBF631}" name="GT399" totalsRowFunction="custom" totalsRowDxfId="36">
      <totalsRowFormula>SUBTOTAL(103, Tableau9[GT399])</totalsRowFormula>
    </tableColumn>
    <tableColumn id="15" xr3:uid="{B250F388-C8B6-4941-A85E-C23834348517}" name="GT399 description" totalsRowFunction="custom" totalsRowDxfId="35">
      <totalsRowFormula>SUBTOTAL(103, Tableau9[GT399 description])</totalsRowFormula>
    </tableColumn>
    <tableColumn id="16" xr3:uid="{A477B070-59A8-4A28-9E4D-9B4503B0FCDC}" name="Priorisation" totalsRowFunction="custom" totalsRowDxfId="34">
      <totalsRowFormula>SUBTOTAL(103, Tableau9[Priorisation])</totalsRowFormula>
    </tableColumn>
    <tableColumn id="17" xr3:uid="{8D44E1CE-FB68-4E9B-AE44-0ADF0DFE048B}" name="Cardinalité" totalsRowFunction="custom" dataDxfId="32" totalsRowDxfId="33">
      <totalsRowFormula>SUBTOTAL(103, Tableau9[Cardinalité])</totalsRowFormula>
    </tableColumn>
    <tableColumn id="18" xr3:uid="{F5551B1C-1DCC-4580-B858-E095724B74EC}" name="Objet" totalsRowFunction="custom" totalsRowDxfId="31">
      <totalsRowFormula>SUBTOTAL(103, Tableau9[Objet])</totalsRowFormula>
    </tableColumn>
    <tableColumn id="19" xr3:uid="{836B344A-EF05-48E1-9A56-678F7B1B5ECF}" name="Format (ou type)" totalsRowFunction="custom" totalsRowDxfId="30">
      <totalsRowFormula>SUBTOTAL(103, Tableau9[Format (ou type)])</totalsRowFormula>
    </tableColumn>
    <tableColumn id="20" xr3:uid="{622F58D5-8FA2-4261-957A-F5060FF0501F}" name="Nomenclature/ énumération" totalsRowFunction="custom" totalsRowDxfId="29">
      <totalsRowFormula>SUBTOTAL(103, Tableau9[Nomenclature/ énumération])</totalsRowFormula>
    </tableColumn>
    <tableColumn id="21" xr3:uid="{EE4A67A2-A8BB-40C5-B66B-2C677A555E0D}" name="Détails de format" totalsRowFunction="custom" totalsRowDxfId="28">
      <totalsRowFormula>SUBTOTAL(103, Tableau9[Détails de format])</totalsRowFormula>
    </tableColumn>
    <tableColumn id="22" xr3:uid="{74252E4D-4A09-4C3D-A70C-71232233BE99}" name="15-18" totalsRowFunction="custom" totalsRowDxfId="27">
      <totalsRowFormula>SUBTOTAL(103, Tableau9[15-18])</totalsRowFormula>
    </tableColumn>
    <tableColumn id="23" xr3:uid="{9A825B74-72E7-4083-95A6-ADAB0B83FA51}" name="15-15" totalsRowFunction="custom" totalsRowDxfId="26">
      <totalsRowFormula>SUBTOTAL(103, Tableau9[15-15])</totalsRowFormula>
    </tableColumn>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25" headerRowBorderDxfId="23" tableBorderDxfId="24">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22">
      <totalsRowFormula>SUBTOTAL(103,Tableau911[Nantes - balise])</totalsRowFormula>
    </tableColumn>
    <tableColumn id="24" xr3:uid="{B812F9CB-695C-4233-9210-247EE7E30D5C}" name="Nantes - description" totalsRowFunction="custom" dataDxfId="21">
      <totalsRowFormula>SUBTOTAL(103,Tableau911[Nantes - description])</totalsRowFormula>
    </tableColumn>
    <tableColumn id="23" xr3:uid="{369A7FC9-8210-45F8-B7CE-7CA66D94704C}" name="GT399" totalsRowFunction="custom" dataDxfId="20">
      <totalsRowFormula>SUBTOTAL(103,Tableau911[GT399])</totalsRowFormula>
    </tableColumn>
    <tableColumn id="22" xr3:uid="{CC0C4430-85CE-4749-B0EF-01F38758D213}" name="GT399 description" totalsRowFunction="custom" dataDxfId="19">
      <totalsRowFormula>SUBTOTAL(103,Tableau911[GT399 description])</totalsRowFormula>
    </tableColumn>
    <tableColumn id="21" xr3:uid="{C8812723-9205-4252-A00F-7EA4ABD87E9F}" name="Priorisation" totalsRowFunction="custom" dataDxfId="18">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17" headerRowBorderDxfId="15" tableBorderDxfId="16">
  <autoFilter ref="A8:W11" xr:uid="{4F62EADF-21E3-48F1-8B6F-5A3984C01C34}"/>
  <tableColumns count="23">
    <tableColumn id="1" xr3:uid="{B6643D7A-4C2D-4D5B-82CD-9FB6A5509A72}" name="ID" totalsRowFunction="count"/>
    <tableColumn id="2" xr3:uid="{D8AD65B6-1FCA-4B50-9A1E-843B91A13A63}" name="Donnée (Niveau 1)" totalsRowFunction="custom" dataDxfId="14">
      <totalsRowFormula>SUBTOTAL(103,Tableau12[Donnée (Niveau 1)])</totalsRowFormula>
    </tableColumn>
    <tableColumn id="3" xr3:uid="{C51845AD-B914-429D-B634-E93F9EB2C6E2}" name="Donnée (Niveau 2)" totalsRowFunction="custom" dataDxfId="13">
      <totalsRowFormula>SUBTOTAL(103,Tableau12[Donnée (Niveau 2)])</totalsRowFormula>
    </tableColumn>
    <tableColumn id="4" xr3:uid="{708D3FF7-D497-49D4-A121-91CEB536EDC0}" name="Donnée (Niveau 3)" totalsRowFunction="custom" dataDxfId="12">
      <totalsRowFormula>SUBTOTAL(103,Tableau12[Donnée (Niveau 3)])</totalsRowFormula>
    </tableColumn>
    <tableColumn id="5" xr3:uid="{36BBF4F3-B871-4924-B1DF-09F52BEC9A84}" name="Donnée (Niveau 4)" totalsRowFunction="custom" dataDxfId="11">
      <totalsRowFormula>SUBTOTAL(103,Tableau12[Donnée (Niveau 4)])</totalsRowFormula>
    </tableColumn>
    <tableColumn id="6" xr3:uid="{912708D6-C037-4264-88D3-7DEB49F9D269}" name="Donnée (Niveau 5)" totalsRowFunction="custom" dataDxfId="10">
      <totalsRowFormula>SUBTOTAL(103,Tableau12[Donnée (Niveau 5)])</totalsRowFormula>
    </tableColumn>
    <tableColumn id="7" xr3:uid="{AEB42A44-4C97-42F7-968F-F3445075B977}" name="Donnée (Niveau 6)" totalsRowFunction="custom" dataDxfId="9">
      <totalsRowFormula>SUBTOTAL(103,Tableau12[Donnée (Niveau 6)])</totalsRowFormula>
    </tableColumn>
    <tableColumn id="8" xr3:uid="{05104B7E-48BC-48C5-B4C9-B0719BA33344}" name="Description" totalsRowFunction="custom" dataDxfId="8">
      <totalsRowFormula>SUBTOTAL(103,Tableau12[Description])</totalsRowFormula>
    </tableColumn>
    <tableColumn id="9" xr3:uid="{614AAED4-0FFF-4312-9849-5269BBACA5F4}" name="Exemples" totalsRowFunction="custom" dataDxfId="7">
      <totalsRowFormula>SUBTOTAL(103,Tableau12[Exemples])</totalsRowFormula>
    </tableColumn>
    <tableColumn id="24" xr3:uid="{E4AE869A-0CB6-491F-A644-3F5631849EE2}" name="Balise NexSIS" totalsRowFunction="custom" dataDxfId="6">
      <totalsRowFormula>SUBTOTAL(103,Tableau12[Balise NexSIS])</totalsRowFormula>
    </tableColumn>
    <tableColumn id="10" xr3:uid="{591036EA-D7D7-4CDB-9E72-F34570B08579}" name="Nouvelle balise" totalsRowFunction="custom" dataDxfId="5">
      <totalsRowFormula>SUBTOTAL(103,Tableau12[Nouvelle balise])</totalsRowFormula>
    </tableColumn>
    <tableColumn id="23" xr3:uid="{17E8B19F-5463-4A93-9375-F25F24920A06}" name="Nantes - balise" totalsRowFunction="custom" dataDxfId="4">
      <totalsRowFormula>SUBTOTAL(103,Tableau12[Nantes - balise])</totalsRowFormula>
    </tableColumn>
    <tableColumn id="22" xr3:uid="{752C5DB9-CA47-4947-BC51-EA0AB6CAF178}" name="Nantes - description" totalsRowFunction="custom" dataDxfId="3">
      <totalsRowFormula>SUBTOTAL(103,Tableau12[Nantes - description])</totalsRowFormula>
    </tableColumn>
    <tableColumn id="21" xr3:uid="{3086C8B1-9331-471D-85E4-DFE9ECD0778B}" name="GT399" totalsRowFunction="custom" dataDxfId="2">
      <totalsRowFormula>SUBTOTAL(103,Tableau12[GT399])</totalsRowFormula>
    </tableColumn>
    <tableColumn id="20" xr3:uid="{7161B64A-7444-47C0-A0EB-FBE31CB32883}" name="GT399 description" totalsRowFunction="custom" dataDxfId="1">
      <totalsRowFormula>SUBTOTAL(103,Tableau12[GT399 description])</totalsRowFormula>
    </tableColumn>
    <tableColumn id="19" xr3:uid="{7B7F428D-98DE-48C1-B4C7-1B8FEF343340}" name="Priorisation" totalsRowFunction="custom" dataDxfId="0">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U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6" dT="2024-02-13T08:52:55.35" personId="{15E60E5B-8F12-4B01-8E2A-D3C877CDBAC1}" id="{80848A42-0F14-B24F-8D04-3043FFD08495}">
    <text>Format : codeLabelComment
Détails : référence vers la nomenclature
Type Java : name</text>
  </threadedComment>
  <threadedComment ref="U17" dT="2023-12-20T16:35:01.71" personId="{9D129102-2382-4ACD-99FE-0A45F267AA1A}" id="{D4A6E809-E116-4F43-AB47-04D882212A95}">
    <text>NOMENCLATURE: CISU-Code_Nature_de_fait</text>
  </threadedComment>
  <threadedComment ref="U20" dT="2023-12-20T16:35:44.18" personId="{9D129102-2382-4ACD-99FE-0A45F267AA1A}" id="{309DA0AD-08A5-48B1-8181-1F2CF88AD9D6}">
    <text>Voir nomenclature CISU Type de Lieu</text>
  </threadedComment>
  <threadedComment ref="U21" dT="2023-12-20T16:36:14.68" personId="{9D129102-2382-4ACD-99FE-0A45F267AA1A}" id="{69DA961E-023F-4CCC-87B8-5E0165FCFF9B}">
    <text>Voir nomenclature CISU Risque, menace et sensibilité</text>
  </threadedComment>
  <threadedComment ref="C22" dT="2023-11-24T15:15:04.35" personId="{E9A6DF60-F9B3-4BD0-BB8A-DE1D37E26830}" id="{77ED2E6B-DD8D-4E8A-8AF3-5F8BE44D831E}">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2"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2" dT="2023-12-20T16:36:51.39" personId="{9D129102-2382-4ACD-99FE-0A45F267AA1A}" id="{1B18AEB3-0A07-4B62-BA73-C6715D37DD3F}" parentId="{5B87F3E0-42AE-40C0-BFFC-2EB08FD229EA}">
    <text>Voir nomenclature CISU Motif de recours médico-secouriste</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3" dT="2023-12-21T16:51:07.27" personId="{C9A89B3A-A5FD-6849-8E65-1CD4E6C7CFF2}" id="{21F0D62A-A239-794F-8300-5B191BC3F425}">
    <text>J’ai migré tous les champs dans case.details, ça te semble OK ?</text>
  </threadedComment>
  <threadedComment ref="U24" dT="2023-11-23T09:09:36.07" personId="{E9A6DF60-F9B3-4BD0-BB8A-DE1D37E26830}" id="{0CF29C07-A470-4C7E-BB1B-C82F21208545}">
    <text>Juste une énumération pour l'instant, pas de nomenclature dispo.</text>
  </threadedComment>
  <threadedComment ref="K26" dT="2023-12-21T16:52:13.97" personId="{C9A89B3A-A5FD-6849-8E65-1CD4E6C7CFF2}" id="{671673A3-61CA-394E-94B2-4C7157E8A6A7}">
    <text>J’ai du mal à voir si les LRM où ont vraiment cette info !</text>
  </threadedComment>
  <threadedComment ref="U26" dT="2024-01-23T14:26:41.32" personId="{E9A6DF60-F9B3-4BD0-BB8A-DE1D37E26830}" id="{3163C301-BF45-42AC-9B93-9FA29CCC4160}">
    <text>Nomenclature SI-SAMU DEVENIRD</text>
  </threadedComment>
  <threadedComment ref="D27" dT="2023-12-13T14:39:37.97" personId="{E9A6DF60-F9B3-4BD0-BB8A-DE1D37E26830}" id="{E4B924E1-C80E-F54A-9F2A-990A48DF3558}">
    <text>L'info est-elle obligatoire pou les échanges 15-15</text>
  </threadedComment>
  <threadedComment ref="K27"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7" dT="2024-01-23T14:29:06.44" personId="{E9A6DF60-F9B3-4BD0-BB8A-DE1D37E26830}" id="{F63CD7B6-7D33-47AE-8986-700F3EE32D5A}">
    <text>Nomenclature PRIORITE (fichier SI-SAMU envoyé par Philippe)</text>
  </threadedComment>
  <threadedComment ref="U29" dT="2023-11-30T14:37:38.83" personId="{C9A89B3A-A5FD-6849-8E65-1CD4E6C7CFF2}" id="{A2629A30-8579-B745-804F-8D68CAC27551}">
    <text>NexSIS propose de rajouter UNKNOWN</text>
  </threadedComment>
  <threadedComment ref="U29" dT="2023-11-30T14:37:52.27" personId="{C9A89B3A-A5FD-6849-8E65-1CD4E6C7CFF2}" id="{5DD83B62-DF3F-AC4A-9647-0171393F1683}" parentId="{A2629A30-8579-B745-804F-8D68CAC27551}">
    <text>&lt;xs:element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ext>
  </threadedComment>
  <threadedComment ref="U29" dT="2024-03-06T09:05:48.56" personId="{E9A6DF60-F9B3-4BD0-BB8A-DE1D37E26830}" id="{15526BA8-4C0D-4313-AA89-DB8DA96392BD}" parentId="{A2629A30-8579-B745-804F-8D68CAC27551}">
    <text>Implémenter la nomenclature CISU/SI SAMU prévue ?</text>
  </threadedComment>
  <threadedComment ref="X29" dT="2024-05-23T16:10:04.59" personId="{15E60E5B-8F12-4B01-8E2A-D3C877CDBAC1}" id="{FF1AF53E-AE58-E849-A74B-33EB38D418D2}">
    <text>Vu l’ENUM je ne pense pas que ça corresponde à ce que veut le métier donc je pense qu’il faut mieux l’enlever !</text>
  </threadedComment>
  <threadedComment ref="C34"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4" dT="2023-11-06T17:45:16.48" personId="{ABFB0C52-AC18-4406-B6D7-B9BCF5A2A0D7}" id="{CB35003D-B559-4C2C-B525-CBD55DFD6D30}" parentId="{85B1EF9F-47F0-CE46-887A-E909D7720A3B}">
    <text>fait</text>
  </threadedComment>
  <threadedComment ref="S34" dT="2023-10-06T15:52:24.74" personId="{6D908C62-98CE-5042-81E4-8ACAD1B880FE}" id="{3B2E0936-494B-B445-A636-D7FDBB9167D5}" done="1">
    <text>Nader veut passer le nombre max de caractères de 80 à 255</text>
  </threadedComment>
  <threadedComment ref="C35" dT="2023-10-31T09:38:04.74" personId="{ABFB0C52-AC18-4406-B6D7-B9BCF5A2A0D7}" id="{925BDB3E-FDC8-4AE9-BBEA-7ACEF4FDDB2C}">
    <text>Revu avec NexSIS =&gt; à passer en optionnel</text>
  </threadedComment>
  <threadedComment ref="C35" dT="2023-11-08T13:43:03.47" personId="{ABFB0C52-AC18-4406-B6D7-B9BCF5A2A0D7}" id="{D4536E1A-F569-483C-9E68-8149326DCE2D}" parentId="{925BDB3E-FDC8-4AE9-BBEA-7ACEF4FDDB2C}">
    <text>A voir avec NexSIS</text>
  </threadedComment>
  <threadedComment ref="C35"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5" dT="2023-11-06T12:45:17.60" personId="{E9A6DF60-F9B3-4BD0-BB8A-DE1D37E26830}" id="{8AEC1623-DDE1-47FA-B84D-C6A42BA263BB}" done="1">
    <text>Ici il faut mettre uniquement le nom du lieu. Lieu-dit / quartier et le reste vont dans compléments de commune</text>
  </threadedComment>
  <threadedComment ref="H35" dT="2023-11-06T12:54:13.77" personId="{E9A6DF60-F9B3-4BD0-BB8A-DE1D37E26830}" id="{BA23A14C-1B94-4147-B3A7-F4DE0375E586}" parentId="{8AEC1623-DDE1-47FA-B84D-C6A42BA263BB}">
    <text>Lac / foret sont plutôt des types de lieu ? Sauf si spécifique, par exemple Foret de Fontainebleau</text>
  </threadedComment>
  <threadedComment ref="U37" dT="2024-03-22T14:10:43.40" personId="{E9A6DF60-F9B3-4BD0-BB8A-DE1D37E26830}" id="{0CFF5582-9153-4C81-BF2B-0E3E475CB201}">
    <text>Voir pour compléter cette liste ?</text>
  </threadedComment>
  <threadedComment ref="D46"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46"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46"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46" dT="2023-06-15T08:20:05.47" personId="{C9A89B3A-A5FD-6849-8E65-1CD4E6C7CFF2}" id="{62D969EF-9883-4543-B543-50F15B16ED43}" parentId="{8DE310B9-0615-45CC-A644-35176EC52B6C}">
    <text>Rq : lieu-dits permettent aussi de séparer 2 rives</text>
  </threadedComment>
  <threadedComment ref="D46"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46" dT="2023-06-15T08:21:45.68" personId="{C9A89B3A-A5FD-6849-8E65-1CD4E6C7CFF2}" id="{29E0E845-8D17-4F32-BBCA-3117A62A82CF}" parentId="{8DE310B9-0615-45CC-A644-35176EC52B6C}">
    <text>Pas sûr qu'on puisse les exploiter...</text>
  </threadedComment>
  <threadedComment ref="D46" dT="2023-06-15T08:22:12.60" personId="{C9A89B3A-A5FD-6849-8E65-1CD4E6C7CFF2}" id="{E22B87A0-3BCA-4E15-AB4D-3E7D7E799EF9}" parentId="{8DE310B9-0615-45CC-A644-35176EC52B6C}">
    <text xml:space="preserve">Autoroute dans un sens = 1 commune et lieu-dits pour les tronçons </text>
  </threadedComment>
  <threadedComment ref="D46"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46" dT="2023-06-15T08:23:09.21" personId="{C9A89B3A-A5FD-6849-8E65-1CD4E6C7CFF2}" id="{3CC5A5F7-7E87-4EEE-8B8C-05E635D40FC7}" parentId="{8DE310B9-0615-45CC-A644-35176EC52B6C}">
    <text>Pas de dictionnaire opérationnel commun...</text>
  </threadedComment>
  <threadedComment ref="D46"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C50"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0" dT="2023-09-21T08:26:59.23" personId="{ABFB0C52-AC18-4406-B6D7-B9BCF5A2A0D7}" id="{DADC5CF8-F488-411A-AE3B-4C5106A577E2}" parentId="{49FC8FAC-1BAF-45B2-887C-3878DB0CEBFB}">
    <text>On peut limiter le nombre de détails à 20 par exemple</text>
  </threadedComment>
  <threadedComment ref="D59" dT="2023-11-28T09:23:33.55" personId="{E9A6DF60-F9B3-4BD0-BB8A-DE1D37E26830}" id="{8B068B41-6738-4D89-AE95-7DBE47687C8B}">
    <text xml:space="preserve">Faut-il utiliser un autre objet, déjà existant ? </text>
  </threadedComment>
  <threadedComment ref="Q62" dT="2023-10-26T21:36:55.27" personId="{C9A89B3A-A5FD-6849-8E65-1CD4E6C7CFF2}" id="{82E4F400-D3A9-2343-9417-D338A272253E}" done="1">
    <text>Nécessaire de le passer obligatoire pour NexSIS (retour Scriptal) ?</text>
  </threadedComment>
  <threadedComment ref="H70" dT="2023-06-15T08:29:05.80" personId="{C9A89B3A-A5FD-6849-8E65-1CD4E6C7CFF2}" id="{4ED4D63E-99DA-4C40-8B3F-74484A91486A}" done="1">
    <text>Pourquoi passer par EPSG-4326 et pas dire WGS-84 direct ?</text>
  </threadedComment>
  <threadedComment ref="H70" dT="2023-06-15T08:29:45.24" personId="{C9A89B3A-A5FD-6849-8E65-1CD4E6C7CFF2}" id="{7B030752-5833-4DC9-AD05-3BBB102E62CA}" parentId="{4ED4D63E-99DA-4C40-8B3F-74484A91486A}">
    <text>WGS système de projection et EPSG système de coordonnées ?</text>
  </threadedComment>
  <threadedComment ref="D71" dT="2023-09-21T18:09:18.83" personId="{ABFB0C52-AC18-4406-B6D7-B9BCF5A2A0D7}" id="{F2C29A76-9B08-4696-A7FF-552A24CA01B1}">
    <text xml:space="preserve">En attente précision NexSIS
</text>
  </threadedComment>
  <threadedComment ref="H71" dT="2023-11-06T15:00:23.61" personId="{ABFB0C52-AC18-4406-B6D7-B9BCF5A2A0D7}" id="{A443D7D1-FE76-42EE-B140-98BBD5AEDCB9}">
    <text>Attention, pas d'équivalent strict du GML en json</text>
  </threadedComment>
  <threadedComment ref="S71" dT="2023-09-15T20:46:47.38" personId="{C9A89B3A-A5FD-6849-8E65-1CD4E6C7CFF2}" id="{44161FD7-DA29-2241-8A73-168E646C6F3C}">
    <text>Pourquoi est-ce une string ?</text>
  </threadedComment>
  <threadedComment ref="S71" dT="2023-09-19T08:55:24.63" personId="{ABFB0C52-AC18-4406-B6D7-B9BCF5A2A0D7}" id="{C4FA73F1-A3E9-4362-B6DA-8609738BA1A7}" parentId="{44161FD7-DA29-2241-8A73-168E646C6F3C}">
    <text>À confirmer avec NexSIS, est-ce qu'on passe bien un fichier .sketch via une string ?</text>
  </threadedComment>
  <threadedComment ref="S71" dT="2023-10-11T16:20:12.31" personId="{ABFB0C52-AC18-4406-B6D7-B9BCF5A2A0D7}" id="{0ABDFDBF-CB19-4FD4-B295-E323559D0024}" parentId="{44161FD7-DA29-2241-8A73-168E646C6F3C}">
    <text>En attente exemple NexSIS</text>
  </threadedComment>
  <threadedComment ref="D72"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2"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2"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73" dT="2023-11-08T13:56:26.21" personId="{ABFB0C52-AC18-4406-B6D7-B9BCF5A2A0D7}" id="{82723964-123F-464F-AC6E-1559C240D31E}">
    <text>Vraiment une enum ?</text>
  </threadedComment>
  <threadedComment ref="C76" dT="2024-03-26T16:28:29.15" personId="{C9A89B3A-A5FD-6849-8E65-1CD4E6C7CFF2}" id="{7BED2FAB-053B-044B-A4B2-EA939D9441D5}">
    <text>A enlever car géré dans le code INSEE -&gt; le spécifier dans la description de la balise du code INSEE</text>
  </threadedComment>
  <threadedComment ref="C76"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76" dT="2023-09-21T10:47:24.82" personId="{ABFB0C52-AC18-4406-B6D7-B9BCF5A2A0D7}" id="{F6DBF483-4352-48F3-A605-280A47B8FAE1}" done="1">
    <text>Voir si il y'a une nomenclature NexSIS</text>
  </threadedComment>
  <threadedComment ref="H76" dT="2023-10-11T16:20:34.55" personId="{ABFB0C52-AC18-4406-B6D7-B9BCF5A2A0D7}" id="{3D1BFA56-129F-4F59-AEC8-B2129F29C6DE}" parentId="{F6DBF483-4352-48F3-A605-280A47B8FAE1}">
    <text>=&gt; se rapprocher d'ISO</text>
  </threadedComment>
  <threadedComment ref="X76" dT="2024-05-16T10:06:42.41" personId="{D6952652-30E5-479A-9FFE-AD0BC8CBB562}" id="{9EEEA36D-4CCB-4E28-A80B-46F1DF7D5A2C}">
    <text>Le RS-EDA-SMUR n'a pas le champ Pays comme il peut être déterminé via le code INSEE plus haut</text>
  </threadedComment>
  <threadedComment ref="X76" dT="2024-05-23T16:09:31.21" personId="{15E60E5B-8F12-4B01-8E2A-D3C877CDBAC1}" id="{ED118667-D91C-5D46-B3F3-5BA58786F3FA}" parentId="{9EEEA36D-4CCB-4E28-A80B-46F1DF7D5A2C}">
    <text>Ca serait plutôt à répercuter partout que faire des exceptions !</text>
  </threadedComment>
  <threadedComment ref="X77" dT="2024-05-23T16:10:29.53" personId="{15E60E5B-8F12-4B01-8E2A-D3C877CDBAC1}" id="{81700F22-8DFB-6A4A-BE92-3A0EE1C56D87}">
    <text>Pas nécessaire ???!!!</text>
  </threadedComment>
  <threadedComment ref="B78"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78"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78"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78"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78" dT="2023-09-22T09:00:11.92" personId="{C9A89B3A-A5FD-6849-8E65-1CD4E6C7CFF2}" id="{E4DBF580-F695-1240-B403-399ED7FC597D}" parentId="{36EBE513-9CB4-3348-B010-D39B51DF2455}">
    <text>-&gt; Dans tous les cas, les LRM doivent prendre la plus récente !</text>
  </threadedComment>
  <threadedComment ref="Q78"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78" dT="2023-09-22T09:03:47.31" personId="{C9A89B3A-A5FD-6849-8E65-1CD4E6C7CFF2}" id="{864DEDA1-82F2-BE42-883E-A0DE68C6DABF}" parentId="{36EBE513-9CB4-3348-B010-D39B51DF2455}">
    <text>Nader creuse le sujet côté NexSIS pour voir comment c’est fait / modifiable côté NexSIS</text>
  </threadedComment>
  <threadedComment ref="Q78"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79" dT="2023-09-21T09:46:56.60" personId="{ABFB0C52-AC18-4406-B6D7-B9BCF5A2A0D7}" id="{2185076E-A743-4FEC-950F-43630CD6417E}" done="1">
    <text>REGEX à définir</text>
  </threadedComment>
  <threadedComment ref="Q79" dT="2023-10-16T11:55:16.89" personId="{C9A89B3A-A5FD-6849-8E65-1CD4E6C7CFF2}" id="{2A6A195C-5D26-FA4B-91BD-34DAEC1D051C}" done="1">
    <text>Pas vraiment géré côté Santé, possible de passer la cardinalité à 0..1 ?</text>
  </threadedComment>
  <threadedComment ref="C80" dT="2023-09-22T09:00:43.88" personId="{ABFB0C52-AC18-4406-B6D7-B9BCF5A2A0D7}" id="{C5B6241A-BACF-47B3-9FCB-3D62B0208AEB}" done="1">
    <text>Pour savoir quelle alerte utiliser dans une affaire :
=&gt; Regarder cette date de réception</text>
  </threadedComment>
  <threadedComment ref="D82" dT="2023-07-03T14:32:04.26" personId="{6D908C62-98CE-5042-81E4-8ACAD1B880FE}" id="{849D9658-5404-49CC-A650-D8E23CF68C04}">
    <text>Comment on gère le fait que des informations médicales et personnelles peuvent être saisies dans ce champs par le SAMU</text>
  </threadedComment>
  <threadedComment ref="D82" dT="2023-09-25T11:53:05.92" personId="{C9A89B3A-A5FD-6849-8E65-1CD4E6C7CFF2}" id="{7E857887-808A-2345-B2BE-7D90DB86AB49}" parentId="{849D9658-5404-49CC-A650-D8E23CF68C04}">
    <text>Quelle politique HDS côté NexSIS ?</text>
  </threadedComment>
  <threadedComment ref="J82" dT="2023-09-21T09:49:59.10" personId="{ABFB0C52-AC18-4406-B6D7-B9BCF5A2A0D7}" id="{6A447ED8-B3D9-4E56-96E2-F03AE558F91D}" done="1">
    <text>Passer tous les champs dans un style freetext avec un label freetext</text>
  </threadedComment>
  <threadedComment ref="X82" dT="2024-05-23T16:11:09.54" personId="{15E60E5B-8F12-4B01-8E2A-D3C877CDBAC1}" id="{0E967918-B0FF-874A-A786-2C84A1372A97}">
    <text>Idem je pense que ça vaut le coup en 15-SMUR ! Par contre, je ne pense pas que ça doive être présent en 15-18 !</text>
  </threadedComment>
  <threadedComment ref="D84" dT="2024-05-22T08:34:11.46" personId="{E9A6DF60-F9B3-4BD0-BB8A-DE1D37E26830}" id="{9C971BC8-B630-4062-8B21-00AD945C0670}">
    <text xml:space="preserve">Permet de passer les informations spécifiques à l' ARM sur le dossier </text>
  </threadedComment>
  <threadedComment ref="H86" dT="2023-09-20T13:13:53.48" personId="{ABFB0C52-AC18-4406-B6D7-B9BCF5A2A0D7}" id="{1045B670-B272-44B0-BDBC-183806654ACA}" done="1">
    <text>Un peu flou sur les valeurs autorisées pour le type canal, prévoir quelques grands types ? (style "tel", "mail", "other" etc)</text>
  </threadedComment>
  <threadedComment ref="H86" dT="2023-09-26T16:55:36.18" personId="{ABFB0C52-AC18-4406-B6D7-B9BCF5A2A0D7}" id="{E209311C-A599-460D-B95A-FD0D555846ED}" parentId="{1045B670-B272-44B0-BDBC-183806654ACA}">
    <text>Reprendre la nomenclature CHANNEL d'EMSI ?</text>
  </threadedComment>
  <threadedComment ref="H86" dT="2023-09-26T17:04:41.07" personId="{ABFB0C52-AC18-4406-B6D7-B9BCF5A2A0D7}" id="{51201774-5B67-4D66-A841-88BC6298DFB4}" parentId="{1045B670-B272-44B0-BDBC-183806654ACA}">
    <text>Pour aller au bout de la logique, le passer en objet CONTACT</text>
  </threadedComment>
  <threadedComment ref="U88" dT="2024-01-08T13:02:05.69" personId="{C9A89B3A-A5FD-6849-8E65-1CD4E6C7CFF2}" id="{564332DB-ADA6-844E-907A-3843E012B57E}">
    <text>N’autoriser que les n° de tel (PHNADD) et mettre la regex du n° de tel de l’interface : REGEX: tel:([#\+\*]|37000|00+)?[0-9]{2,15} ?</text>
  </threadedComment>
  <threadedComment ref="U88"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88" dT="2024-01-24T17:33:12.16" personId="{C9A89B3A-A5FD-6849-8E65-1CD4E6C7CFF2}" id="{216B13EB-ECF4-43F3-81A9-C97B25053F33}" parentId="{564332DB-ADA6-844E-907A-3843E012B57E}">
    <text>OK pas de souci, qui peut le plus peut le moins</text>
  </threadedComment>
  <threadedComment ref="H90" dT="2023-09-26T17:04:43.98" personId="{ABFB0C52-AC18-4406-B6D7-B9BCF5A2A0D7}" id="{50663E24-E8B2-4610-BB55-CDEDCB0AEBE2}" done="1">
    <text>Pour aller au bout de la logique, le passer en objet CONTACT</text>
  </threadedComment>
  <threadedComment ref="Q90" dT="2023-09-18T14:50:47.97" personId="{ABFB0C52-AC18-4406-B6D7-B9BCF5A2A0D7}" id="{449D854F-D1BC-4874-A270-C7FBD5C53315}">
    <text>A priori un seul appelant à l'origine mais potentiellement plusieurs données de contact en retour ?</text>
  </threadedComment>
  <threadedComment ref="Q90" dT="2023-11-08T14:07:11.17" personId="{ABFB0C52-AC18-4406-B6D7-B9BCF5A2A0D7}" id="{4E0EDB80-0D0C-450A-A95B-31415A9B0896}" parentId="{449D854F-D1BC-4874-A270-C7FBD5C53315}">
    <text>Passer à 0..n</text>
  </threadedComment>
  <threadedComment ref="Q90"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90"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90"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90"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1" dT="2023-09-21T09:55:48.46" personId="{ABFB0C52-AC18-4406-B6D7-B9BCF5A2A0D7}" id="{D22EB006-FD31-4905-A0BA-E809AB322C44}" done="1">
    <text>Demander en annexe côté NexSIS si ils mettent une nomenclature</text>
  </threadedComment>
  <threadedComment ref="H91" dT="2023-09-25T11:54:42.17" personId="{ABFB0C52-AC18-4406-B6D7-B9BCF5A2A0D7}" id="{897F4059-91E9-4A21-9A63-505005BA3B7B}" parentId="{D22EB006-FD31-4905-A0BA-E809AB322C44}">
    <text>=&gt; Utiliser le référentiel SI-SAMU pour les langues</text>
  </threadedComment>
  <threadedComment ref="H91" dT="2023-10-11T16:22:12.70" personId="{ABFB0C52-AC18-4406-B6D7-B9BCF5A2A0D7}" id="{146C9C91-4F95-4CAD-B7CF-0D1625D0D9F0}" parentId="{D22EB006-FD31-4905-A0BA-E809AB322C44}">
    <text>=&gt; Plutôt ISO finalement</text>
  </threadedComment>
  <threadedComment ref="U92" dT="2024-01-23T14:38:54.44" personId="{E9A6DF60-F9B3-4BD0-BB8A-DE1D37E26830}" id="{EC4CA26B-FA56-44B7-9485-D7650DC1B372}">
    <text xml:space="preserve">NOMENCLATURE: 
fichier Nomenclatures EDA, 
onglet Type de requérant
Nom de la nomenclature : TYPAPPLT
Nomenclatures EDA.xlsx </text>
    <extLst>
      <x:ext xmlns:xltc2="http://schemas.microsoft.com/office/spreadsheetml/2020/threadedcomments2" uri="{F7C98A9C-CBB3-438F-8F68-D28B6AF4A901}">
        <xltc2:checksum>1538094397</xltc2:checksum>
        <xltc2:hyperlink startIndex="102" length="22" url="https://esantegouv.sharepoint.com/:x:/r/sites/GED-Calypso/espace-projets/Espace%20Programme%20SISAMU/01%20-%20Equipe%20projet/07%20-%20Innovation%20et%20prospectif/12%20-%20Hub%20Sant%C3%A9/17%20-%20MDD/Nomenclatures/01%20-%20Base%20interne/Nomenclatures%20EDA.xlsx?d=w039d53fd3150471687447ecde70ec132&amp;csf=1&amp;web=1&amp;e=31QlwB"/>
      </x:ext>
    </extLst>
  </threadedComment>
  <threadedComment ref="U93" dT="2024-01-23T14:40:43.03" personId="{E9A6DF60-F9B3-4BD0-BB8A-DE1D37E26830}" id="{0EC36618-96EE-478D-81B9-54F0CAEE9F88}">
    <text>NOMENCLATURE: PBAPL_v1r01a.csv</text>
  </threadedComment>
  <threadedComment ref="D94" dT="2023-10-17T14:05:10.67" personId="{C9A89B3A-A5FD-6849-8E65-1CD4E6C7CFF2}" id="{0700921D-3E22-E44A-B10A-66139D58EFD3}" done="1">
    <text>Inetum a une codification ! Pas possible de faire concordance sur du texte libre… Avoir une nomenclature + libre ?</text>
  </threadedComment>
  <threadedComment ref="D94"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94" dT="2023-06-15T07:45:15.69" personId="{C9A89B3A-A5FD-6849-8E65-1CD4E6C7CFF2}" id="{8B70DA13-018B-4BE7-9D85-CAD41DEDE16B}" done="1">
    <text>Avoir une nomenclature ?</text>
  </threadedComment>
  <threadedComment ref="E94" dT="2023-06-16T08:45:22.06" personId="{6D908C62-98CE-5042-81E4-8ACAD1B880FE}" id="{12BEE0B6-53B7-4B84-A323-4525B9F070DD}" parentId="{8B70DA13-018B-4BE7-9D85-CAD41DEDE16B}">
    <text>Champs libre côté NexSIS</text>
  </threadedComment>
  <threadedComment ref="E94"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94" dT="2023-06-22T17:50:55.63" personId="{C9A89B3A-A5FD-6849-8E65-1CD4E6C7CFF2}" id="{2D2C7BD2-8228-41A1-A494-53F903F3574F}" parentId="{8B70DA13-018B-4BE7-9D85-CAD41DEDE16B}">
    <text>https://ansforge.github.io/SAMU-interface-LRM/DST%20SI%20SAMU%20Interfa%C3%A7age%20LRM_V1.2.pdf</text>
  </threadedComment>
  <threadedComment ref="E94" dT="2023-06-23T08:39:19.32" personId="{C9A89B3A-A5FD-6849-8E65-1CD4E6C7CFF2}" id="{EC8F23F2-468E-44A3-AE50-6327E2B06555}" parentId="{8B70DA13-018B-4BE7-9D85-CAD41DEDE16B}">
    <text>=&gt; OK pour une approche “nomenclature libre”</text>
  </threadedComment>
  <threadedComment ref="J94" dT="2023-09-21T09:56:11.24" personId="{C9A89B3A-A5FD-6849-8E65-1CD4E6C7CFF2}" id="{3343E777-8CBA-824D-A290-B18AD61B9129}" done="1">
    <text>freetext ?</text>
  </threadedComment>
  <threadedComment ref="E95" dT="2023-06-16T08:45:57.42" personId="{6D908C62-98CE-5042-81E4-8ACAD1B880FE}" id="{456C6261-46FE-47A3-ABE3-21780523066A}" done="1">
    <text>Réfléchir à une structure récursive / détaillée également</text>
  </threadedComment>
  <threadedComment ref="E95" dT="2023-06-22T17:55:16.22" personId="{C9A89B3A-A5FD-6849-8E65-1CD4E6C7CFF2}" id="{E99CE092-3BC0-4BC8-B207-43E0B20784D0}" parentId="{456C6261-46FE-47A3-ABE3-21780523066A}">
    <text>callerName 
- complete (basé sur un template {firstName} {lastName})
- firstName
- lastName</text>
  </threadedComment>
  <threadedComment ref="E95" dT="2023-06-23T08:42:43.54" personId="{C9A89B3A-A5FD-6849-8E65-1CD4E6C7CFF2}" id="{FAA64B8B-3383-4504-879B-0CFB30392649}" parentId="{456C6261-46FE-47A3-ABE3-21780523066A}">
    <text>Complete ? Aggregated ? Full ? 
-&gt; Nader regarde si le SitRep propose des trucs comme ça</text>
  </threadedComment>
  <threadedComment ref="E95" dT="2023-06-30T08:32:08.88" personId="{C9A89B3A-A5FD-6849-8E65-1CD4E6C7CFF2}" id="{26DEA5A2-F472-42AB-8F87-859012FF50F6}" parentId="{456C6261-46FE-47A3-ABE3-21780523066A}">
    <text>Ok de le présenter comme ça sur le 4 juillet, on avisera ensuite en fonction du SItrep</text>
  </threadedComment>
  <threadedComment ref="E98" dT="2023-09-25T11:56:28.41" personId="{ABFB0C52-AC18-4406-B6D7-B9BCF5A2A0D7}" id="{F862C684-B65A-4FC1-AEC4-870221995080}" done="1">
    <text>Règle sur les prénoms pour les prénoms composés</text>
  </threadedComment>
  <threadedComment ref="E98" dT="2023-10-11T14:32:18.84" personId="{E9A6DF60-F9B3-4BD0-BB8A-DE1D37E26830}" id="{B9E4C68E-9524-4FA5-84AF-6EF596D19BF3}" parentId="{F862C684-B65A-4FC1-AEC4-870221995080}">
    <text>De quelle règle parle-t-on ? 
Et pour les noms composés pas de règle ?</text>
  </threadedComment>
  <threadedComment ref="E98" dT="2023-10-11T16:23:17.75" personId="{ABFB0C52-AC18-4406-B6D7-B9BCF5A2A0D7}" id="{01379FDB-1840-4004-B244-23F1BA83A282}" parentId="{F862C684-B65A-4FC1-AEC4-870221995080}">
    <text>Pas de règle a date justement pour les prénoms composés =&gt; libre</text>
  </threadedComment>
  <threadedComment ref="F98" dT="2023-05-12T08:44:54.69" personId="{15E60E5B-8F12-4B01-8E2A-D3C877CDBAC1}" id="{6EB96170-F11A-4E55-BFF9-911EA46C448F}" done="1">
    <text>Pas possible de séparer dans l'interface. 
NexSIS regarde si la PFLAU envoie les 2 ensemble</text>
  </threadedComment>
  <threadedComment ref="C99" dT="2023-10-17T13:57:39.74" personId="{C9A89B3A-A5FD-6849-8E65-1CD4E6C7CFF2}" id="{F9DFBDFD-1215-9341-9E1E-3024F293D141}">
    <text>Localisation de l’appelant ? Ou d’intervention ?</text>
  </threadedComment>
  <threadedComment ref="C99" dT="2023-11-08T14:14:06.57" personId="{ABFB0C52-AC18-4406-B6D7-B9BCF5A2A0D7}" id="{EA2DA816-C4B8-4227-A75C-1BF943FC0D33}" parentId="{F9DFBDFD-1215-9341-9E1E-3024F293D141}">
    <text>Plutôt lieu ou se trouve l'appelant car lieu d'affaire renseigné en haut</text>
  </threadedComment>
  <threadedComment ref="D99" dT="2023-07-04T13:01:55.92" personId="{C9A89B3A-A5FD-6849-8E65-1CD4E6C7CFF2}" id="{A3B7AE35-2849-4423-8AE8-6B9911E6561D}" done="1">
    <text>Vont vraiment être différentes de la localisation de l’affaire ?</text>
  </threadedComment>
  <threadedComment ref="Q99" dT="2023-09-28T16:19:13.29" personId="{ABFB0C52-AC18-4406-B6D7-B9BCF5A2A0D7}" id="{902D6982-CF5B-4CB7-B9F4-E53F0BDFA27A}" done="1">
    <text>Obligatoire du coup vu qu'on a une location dans l'affaire ?</text>
  </threadedComment>
  <threadedComment ref="Q100" dT="2024-03-18T12:42:32.39" personId="{E9A6DF60-F9B3-4BD0-BB8A-DE1D37E26830}" id="{CC5C1D76-D97F-4BE5-B966-DD495B85204C}">
    <text>Retour de Philippe : peut-on le passer en optionnel, ce qui n'oblige pas les SAMU à répéter la qualification à chaque fois ?</text>
  </threadedComment>
  <threadedComment ref="D102" dT="2023-09-21T16:30:38.12" personId="{ABFB0C52-AC18-4406-B6D7-B9BCF5A2A0D7}" id="{663EEC70-25D1-4531-8E3C-8B803A28B6D5}" done="1">
    <text>Un concept emprunté au ROR est intéressant et transposable ici, parler d'unité de service pour décrire la plus petite maille</text>
  </threadedComment>
  <threadedComment ref="E102" dT="2023-06-15T07:50:06.13" personId="{C9A89B3A-A5FD-6849-8E65-1CD4E6C7CFF2}" id="{3BA75720-6FD7-4770-B19D-58D93FFDC9E8}" done="1">
    <text>Nomenclature sur ça ?</text>
  </threadedComment>
  <threadedComment ref="E102" dT="2023-06-22T21:24:05.20" personId="{C9A89B3A-A5FD-6849-8E65-1CD4E6C7CFF2}" id="{876E9C94-2532-4344-A05A-9DF2692B0ECD}" parentId="{3BA75720-6FD7-4770-B19D-58D93FFDC9E8}">
    <text>Juste réfléchir aux valeurs possibles : SDIS, SAMU, ... ?
Et les départements FRXXX en centre ?</text>
  </threadedComment>
  <threadedComment ref="D104"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4" dT="2023-12-20T16:55:28.15" personId="{9D129102-2382-4ACD-99FE-0A45F267AA1A}" id="{32F7371F-532E-4483-BA02-85ED2898A502}">
    <text>je retire la croix tant que la nomenclature n'existe pas</text>
  </threadedComment>
  <threadedComment ref="U104" dT="2023-12-21T09:37:15.19" personId="{9D129102-2382-4ACD-99FE-0A45F267AA1A}" id="{17677DF8-67EB-4AE7-861C-BE96B97E6CBC}">
    <text>NOMENCLATURE: PERSO (nomenclature SI-SAMU)</text>
  </threadedComment>
  <threadedComment ref="U104"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05" dT="2023-09-21T10:18:27.87" personId="{ABFB0C52-AC18-4406-B6D7-B9BCF5A2A0D7}" id="{7A1ACB5D-9506-421C-B92B-1CBD98910C4E}" done="1">
    <text>Aligner en mode URI</text>
  </threadedComment>
  <threadedComment ref="H105" dT="2023-09-26T17:04:33.97" personId="{ABFB0C52-AC18-4406-B6D7-B9BCF5A2A0D7}" id="{5E5E6B8C-D443-4F6F-8E17-7C83800DF187}" parentId="{7A1ACB5D-9506-421C-B92B-1CBD98910C4E}">
    <text>Pour aller au bout de la logique, le passer en objet CONTACT</text>
  </threadedComment>
  <threadedComment ref="H105" dT="2023-09-28T12:51:10.37" personId="{ABFB0C52-AC18-4406-B6D7-B9BCF5A2A0D7}" id="{28964279-F625-4E18-9B3A-1F4416C1598C}" parentId="{7A1ACB5D-9506-421C-B92B-1CBD98910C4E}">
    <text>Mettre attachement</text>
  </threadedComment>
  <threadedComment ref="X107" dT="2024-05-23T16:12:48.80" personId="{15E60E5B-8F12-4B01-8E2A-D3C877CDBAC1}" id="{7364402D-5058-2242-A016-E8B1E4183D63}">
    <text>A priori, peut-être plutôt le mettre partout pour le moment !</text>
  </threadedComment>
  <threadedComment ref="T108" dT="2023-09-19T08:50:44.73" personId="{ABFB0C52-AC18-4406-B6D7-B9BCF5A2A0D7}" id="{07B5D5D0-B502-47B6-A891-DAEF39BCC4D8}" done="1">
    <text>Impose-t-on une liste de type de ressource ou est-ce laissé libre pour les éditeurs ?</text>
  </threadedComment>
  <threadedComment ref="U108" dT="2024-02-13T10:24:23.28" personId="{15E60E5B-8F12-4B01-8E2A-D3C877CDBAC1}" id="{8BCB09BF-A48C-8242-B3C8-18F71F97C7AD}">
    <text xml:space="preserve">Impose-t-on une liste de type de ressource ou est-ce laissé libre pour les éditeurs ?
</text>
  </threadedComment>
  <threadedComment ref="D113" dT="2023-09-21T10:23:46.33" personId="{ABFB0C52-AC18-4406-B6D7-B9BCF5A2A0D7}" id="{F7E40DD6-D14F-4AC4-95ED-C43838656AE4}">
    <text>Indiquer comment on fait le Hash =&gt; pas évident comme on fait le contrôle d'intégrité</text>
  </threadedComment>
  <threadedComment ref="D113" dT="2023-11-08T14:21:20.60" personId="{ABFB0C52-AC18-4406-B6D7-B9BCF5A2A0D7}" id="{1634B54C-DE58-48BE-B1A8-B8DC14E63DD3}" parentId="{F7E40DD6-D14F-4AC4-95ED-C43838656AE4}">
    <text>Sha-256</text>
  </threadedComment>
  <threadedComment ref="U114" dT="2024-01-24T10:54:29.36" personId="{E9A6DF60-F9B3-4BD0-BB8A-DE1D37E26830}" id="{3A4DE914-B324-41EC-B1CE-789615C59923}">
    <text>Implémenter ici la liste des valeurs fr.health.samu possible.</text>
  </threadedComment>
  <threadedComment ref="B115" dT="2023-11-14T15:29:39.07" personId="{E9A6DF60-F9B3-4BD0-BB8A-DE1D37E26830}" id="{A9F8EF48-108A-4EAB-A6C9-DAA6E6A1C56C}">
    <text>Objet Agent qui existe dans la qualification de l'affaire : à réutiliser ici ? Doit on ajouter nom prénom à l'objet ?</text>
  </threadedComment>
  <threadedComment ref="X115"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19" dT="2024-02-13T09:55:48.02" personId="{D6952652-30E5-479A-9FFE-AD0BC8CBB562}" id="{E40A2F45-E340-487F-9FD6-2404E4F5A700}">
    <text>A renvoyer dans le SGV</text>
  </threadedComment>
  <threadedComment ref="B119"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19" dT="2023-07-06T14:47:40.47" personId="{ABFB0C52-AC18-4406-B6D7-B9BCF5A2A0D7}" id="{9EEB9362-90F5-494F-BB71-06EF0D54376B}" done="1">
    <text>Est-ce qu'il faut un objet Bilan qui incorpore les patients/victime ?</text>
  </threadedComment>
  <threadedComment ref="C119" dT="2023-07-12T08:35:36.42" personId="{ABFB0C52-AC18-4406-B6D7-B9BCF5A2A0D7}" id="{1D9D9BCA-BCEF-469D-983A-D2536F65A96C}" parentId="{9EEB9362-90F5-494F-BB71-06EF0D54376B}">
    <text>Il faudra à terme pouvoir faire le lien avec SGV</text>
  </threadedComment>
  <threadedComment ref="C119" dT="2023-11-14T20:28:23.68" personId="{E9A6DF60-F9B3-4BD0-BB8A-DE1D37E26830}" id="{8E067E92-BFB2-4B46-8AA0-21A22F61C7CC}" parentId="{9EEB9362-90F5-494F-BB71-06EF0D54376B}">
    <text>Le bilan se fait-il pour chaque patient/victime ? Si oui, le bilan est lié au patient</text>
  </threadedComment>
  <threadedComment ref="U123" dT="2023-07-04T15:19:48.30" personId="{C9A89B3A-A5FD-6849-8E65-1CD4E6C7CFF2}" id="{CB950F1D-7F07-43E1-850B-913CBE20F585}">
    <text>ENUM ?</text>
  </threadedComment>
  <threadedComment ref="U123" dT="2024-04-22T23:32:17.70" personId="{C9A89B3A-A5FD-6849-8E65-1CD4E6C7CFF2}" id="{A4261AF7-8ACA-E745-BB51-E7635EA12077}" parentId="{CB950F1D-7F07-43E1-850B-913CBE20F585}">
    <text>C’est quoi DOSSARD et PLACE ?</text>
  </threadedComment>
  <threadedComment ref="H125" dT="2023-09-20T13:13:53.48" personId="{ABFB0C52-AC18-4406-B6D7-B9BCF5A2A0D7}" id="{258F99A5-CCAC-44B3-9CB2-E5E5FB7A031F}" done="1">
    <text>Un peu flou sur les valeurs autorisées pour le type canal, prévoir quelques grands types ? (style "tel", "mail", "other" etc)</text>
  </threadedComment>
  <threadedComment ref="H125" dT="2023-09-26T16:55:36.18" personId="{ABFB0C52-AC18-4406-B6D7-B9BCF5A2A0D7}" id="{2429CD2E-1350-4C77-B1E7-D9BF95D0DE0F}" parentId="{258F99A5-CCAC-44B3-9CB2-E5E5FB7A031F}">
    <text>Reprendre la nomenclature CHANNEL d'EMSI ?</text>
  </threadedComment>
  <threadedComment ref="H125" dT="2023-09-26T17:04:41.07" personId="{ABFB0C52-AC18-4406-B6D7-B9BCF5A2A0D7}" id="{1586761D-C2A8-459D-A734-E7C93943C0A9}" parentId="{258F99A5-CCAC-44B3-9CB2-E5E5FB7A031F}">
    <text>Pour aller au bout de la logique, le passer en objet CONTACT</text>
  </threadedComment>
  <threadedComment ref="Q125"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25" dT="2024-01-23T14:49:31.14" personId="{E9A6DF60-F9B3-4BD0-BB8A-DE1D37E26830}" id="{10CBED9B-33B3-4F2D-9D08-CE6F15806504}" done="1">
    <text>Remettre la nomenclature EMSI complète dans l'objet contact qu'on réutilise ici</text>
  </threadedComment>
  <threadedComment ref="U125" dT="2024-04-22T23:32:39.38" personId="{C9A89B3A-A5FD-6849-8E65-1CD4E6C7CFF2}" id="{4C76ACFD-70EB-6446-826C-8BE47A11E3CC}" parentId="{10CBED9B-33B3-4F2D-9D08-CE6F15806504}">
    <text>Je n’ai pas compris</text>
  </threadedComment>
  <threadedComment ref="U125" dT="2024-04-23T08:00:14.48" personId="{DF4F572D-2211-4D3A-83E1-5495966E637E}" id="{A737CC8E-2E06-4B4D-AD2E-F9EB8DC8DD21}" parentId="{10CBED9B-33B3-4F2D-9D08-CE6F15806504}">
    <text>c'est le même type que contact, on a bien les même valeurs EMSI que dans le type contact. Il n'y a rien ç faire, c'était une note en séance avec Philippe.</text>
  </threadedComment>
  <threadedComment ref="U131" dT="2024-01-23T15:00:16.04" personId="{E9A6DF60-F9B3-4BD0-BB8A-DE1D37E26830}" id="{47F99561-A768-4B9A-96FB-A8753B229875}">
    <text>vérifier le format du numéro RPPS seulement, ne pas implémenter la nomenclature complète</text>
  </threadedComment>
  <threadedComment ref="H133" dT="2023-09-20T13:13:53.48" personId="{ABFB0C52-AC18-4406-B6D7-B9BCF5A2A0D7}" id="{647A8527-7AF1-45AA-BB58-53C964C0E6F0}" done="1">
    <text>Un peu flou sur les valeurs autorisées pour le type canal, prévoir quelques grands types ? (style "tel", "mail", "other" etc)</text>
  </threadedComment>
  <threadedComment ref="H133" dT="2023-09-26T16:55:36.18" personId="{ABFB0C52-AC18-4406-B6D7-B9BCF5A2A0D7}" id="{FECFF266-C864-428C-9966-9B138242FB95}" parentId="{647A8527-7AF1-45AA-BB58-53C964C0E6F0}">
    <text>Reprendre la nomenclature CHANNEL d'EMSI ?</text>
  </threadedComment>
  <threadedComment ref="H133" dT="2023-09-26T17:04:41.07" personId="{ABFB0C52-AC18-4406-B6D7-B9BCF5A2A0D7}" id="{72BF1BA8-2AFF-404A-9193-020D6474E505}" parentId="{647A8527-7AF1-45AA-BB58-53C964C0E6F0}">
    <text>Pour aller au bout de la logique, le passer en objet CONTACT</text>
  </threadedComment>
  <threadedComment ref="Q133"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38"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9"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39" dT="2024-01-23T15:05:32.39" personId="{E9A6DF60-F9B3-4BD0-BB8A-DE1D37E26830}" id="{63885E42-5898-4ECF-8108-E0BD8B826BE8}">
    <text>Vérifier uniquement le format du matricule INS : 13 caractères alphanumériques + une clé sur 2 chiffres</text>
  </threadedComment>
  <threadedComment ref="U139" dT="2024-04-22T23:33:31.78" personId="{C9A89B3A-A5FD-6849-8E65-1CD4E6C7CFF2}" id="{9001430A-1290-E045-AD12-FF39FE1F78E9}" parentId="{63885E42-5898-4ECF-8108-E0BD8B826BE8}">
    <text>Donc 15 chiffres ? Si oui: “REGEX: \d{15}”</text>
  </threadedComment>
  <threadedComment ref="E140"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40" dT="2024-01-23T15:06:28.79" personId="{E9A6DF60-F9B3-4BD0-BB8A-DE1D37E26830}" id="{B64AB07A-CA5D-41C4-905E-0AFD3F67254F}">
    <text>Voir pour implémenter une énum, ou une simple vérification de format</text>
  </threadedComment>
  <threadedComment ref="U140" dT="2024-04-22T23:34:37.40" personId="{C9A89B3A-A5FD-6849-8E65-1CD4E6C7CFF2}" id="{50164C3D-687B-DA4C-850A-1713FF9F382C}" parentId="{B64AB07A-CA5D-41C4-905E-0AFD3F67254F}">
    <text>Ce sont que les 7 valeurs du PDF ? Si oui, directement une ENUM non ?</text>
  </threadedComment>
  <threadedComment ref="D141"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1"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V142" dT="2024-05-23T16:14:45.84" personId="{15E60E5B-8F12-4B01-8E2A-D3C877CDBAC1}" id="{D6A4834D-81B9-1044-9BF4-F87F74ACF5B3}">
    <text>Donc on passe pas les nom / prénom des victimes en 15-NexSIS ?</text>
  </threadedComment>
  <threadedComment ref="X143" dT="2024-05-23T16:15:41.60" personId="{15E60E5B-8F12-4B01-8E2A-D3C877CDBAC1}" id="{3D102970-2CAE-5747-9D73-A1FBE73590AC}">
    <text>Pas le prénom ??</text>
  </threadedComment>
  <threadedComment ref="U146" dT="2024-01-23T15:10:58.58" personId="{E9A6DF60-F9B3-4BD0-BB8A-DE1D37E26830}" id="{014DE198-64E2-4507-A3FC-DF421F511779}">
    <text>Implémenter la nomenclature CISU (cf. Fichier transmis par Philippe)</text>
  </threadedComment>
  <threadedComment ref="E147"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47" dT="2024-01-23T15:12:26.27" personId="{E9A6DF60-F9B3-4BD0-BB8A-DE1D37E26830}" id="{BA91A5D4-B745-43C1-AD05-F9E9B9B84277}">
    <text>Trouver le format du code INSEE, et mettre une simple vérification</text>
  </threadedComment>
  <threadedComment ref="U147" dT="2024-04-22T23:35:57.74" personId="{C9A89B3A-A5FD-6849-8E65-1CD4E6C7CFF2}" id="{F03009A8-691E-5741-9602-77D12352F43D}" parentId="{BA91A5D4-B745-43C1-AD05-F9E9B9B84277}">
    <text>Juste 5 chiffres ou lettres non ? Si oui, “REGEX: \w{5}”</text>
  </threadedComment>
  <threadedComment ref="C149"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49" dT="2024-01-24T10:30:46.17" personId="{E9A6DF60-F9B3-4BD0-BB8A-DE1D37E26830}" id="{FFA7F0E1-3845-469A-B7CF-A4621D3089F0}">
    <text>Idem nomenclature 15-18 car exactement le même objet</text>
  </threadedComment>
  <threadedComment ref="D151"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3"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3"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54" dT="2024-01-24T11:06:36.27" personId="{E9A6DF60-F9B3-4BD0-BB8A-DE1D37E26830}" id="{2D9ECE82-3D73-4587-8C50-69F305FE6D3A}">
    <text>NOMENCLATURE: GRAVITE_SF21.csv</text>
  </threadedComment>
  <threadedComment ref="U156" dT="2024-01-24T10:39:46.13" personId="{E9A6DF60-F9B3-4BD0-BB8A-DE1D37E26830}" id="{000D1EF5-EA8D-4028-887E-09B730402CB5}">
    <text>CIM11 : récupérer le format des codes, et ne vérifier que le format</text>
  </threadedComment>
  <threadedComment ref="U156" dT="2024-04-22T23:42:27.41" personId="{C9A89B3A-A5FD-6849-8E65-1CD4E6C7CFF2}" id="{EDF59458-8D7A-764E-B370-2D1C00EFD2AA}" parentId="{000D1EF5-EA8D-4028-887E-09B730402CB5}">
    <text>A confirmer mais j’ai l’impression que c’est XXXX.X =&gt; “REGEX: \w{4}(\.\w)?”</text>
  </threadedComment>
  <threadedComment ref="Q157" dT="2023-06-15T08:43:45.62" personId="{C9A89B3A-A5FD-6849-8E65-1CD4E6C7CFF2}" id="{B2A46742-7986-49EC-BFF2-E5B137820840}" done="1">
    <text>Vraiment 0..n ??? Plutôt 0..1 !</text>
  </threadedComment>
  <threadedComment ref="Q157" dT="2023-06-15T08:44:13.57" personId="{C9A89B3A-A5FD-6849-8E65-1CD4E6C7CFF2}" id="{0A6061F6-9572-4E76-8A7E-B49B7B3754F0}" parentId="{B2A46742-7986-49EC-BFF2-E5B137820840}">
    <text>Quid des autres alertes ultérieures ? -&gt; pas ici ! Pas 0..n</text>
  </threadedComment>
  <threadedComment ref="Q157" dT="2023-06-15T08:47:32.60" personId="{C9A89B3A-A5FD-6849-8E65-1CD4E6C7CFF2}" id="{B4482AEB-107B-477C-8801-43834D34BA26}" parentId="{B2A46742-7986-49EC-BFF2-E5B137820840}">
    <text>Pourquoi faire initiale et nouvelle alerte ??? Juste partager une liste de n alertes non ?</text>
  </threadedComment>
  <threadedComment ref="Q157"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57" dT="2024-01-24T10:39:49.44" personId="{E9A6DF60-F9B3-4BD0-BB8A-DE1D37E26830}" id="{55DD76D7-71AA-4415-B5EF-4C960C6C5F04}">
    <text>CIM11 : récupérer le format des codes, et ne vérifier que le format</text>
  </threadedComment>
  <threadedComment ref="C158" dT="2023-11-28T10:26:59.01" personId="{E9A6DF60-F9B3-4BD0-BB8A-DE1D37E26830}" id="{DC749AE9-4EDB-4A7F-8A7B-0D009E03AED0}">
    <text xml:space="preserve">Quelle nomenclature  + est-ce un objet code + libellé ? </text>
  </threadedComment>
  <threadedComment ref="U158" dT="2024-01-24T10:40:00.12" personId="{E9A6DF60-F9B3-4BD0-BB8A-DE1D37E26830}" id="{522C021E-FCFD-4A22-8243-F9B9E8F1567F}">
    <text>CIM11 : récupérer le format des codes, et ne vérifier que le format</text>
  </threadedComment>
  <threadedComment ref="D162" dT="2023-11-14T15:29:39.07" personId="{E9A6DF60-F9B3-4BD0-BB8A-DE1D37E26830}" id="{A01A1601-D876-42A1-B7E1-CAFC7CAE43BD}">
    <text>Objet Agent qui existe dans la qualification de l'affaire : à réutiliser ici ? Doit on ajouter nom prénom à l'objet ?</text>
  </threadedComment>
  <threadedComment ref="B171" dT="2024-02-13T09:57:22.61" personId="{D6952652-30E5-479A-9FFE-AD0BC8CBB562}" id="{6542F462-2A54-48A5-9A62-7E7CFBDF2B9A}">
    <text>A envoyer au SGV (qui fait le lien vers la tablette du SIS)</text>
  </threadedComment>
  <threadedComment ref="B171"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1" dT="2024-04-02T12:06:44.16" personId="{D6952652-30E5-479A-9FFE-AD0BC8CBB562}" id="{649483CA-BA3D-46C0-A6F1-F3ED50DEAA09}" parentId="{6542F462-2A54-48A5-9A62-7E7CFBDF2B9A}">
    <text>Faut-il un ID technique par décision prise?</text>
  </threadedComment>
  <threadedComment ref="U174" dT="2024-01-24T10:43:18.99" personId="{E9A6DF60-F9B3-4BD0-BB8A-DE1D37E26830}" id="{4DB9FC1B-FE92-4AA7-B2F3-BFF17D976413}">
    <text>Implémenter nomenclature SI-SAMU : type_dec</text>
  </threadedComment>
  <threadedComment ref="D181" dT="2023-09-20T15:45:30.85" personId="{ABFB0C52-AC18-4406-B6D7-B9BCF5A2A0D7}" id="{35BA8B78-AE32-4EC9-9879-40019918450A}" done="1">
    <text>Y'a-t-il une nomenclature derrière ? Sinon mettre plutôt du freetext</text>
  </threadedComment>
  <threadedComment ref="U181" dT="2024-01-24T10:43:34.09" personId="{E9A6DF60-F9B3-4BD0-BB8A-DE1D37E26830}" id="{04411F78-544D-4A29-9486-C852BE16B4A1}">
    <text>A revoir</text>
  </threadedComment>
  <threadedComment ref="K183" dT="2023-11-24T17:15:01.30" personId="{E9A6DF60-F9B3-4BD0-BB8A-DE1D37E26830}" id="{6729E6ED-B0CD-41F4-BDE9-63A71C3B0080}">
    <text>Il faut que ce soit idem EMSI ?</text>
  </threadedComment>
  <threadedComment ref="D184" dT="2023-09-21T08:23:36.30" personId="{ABFB0C52-AC18-4406-B6D7-B9BCF5A2A0D7}" id="{D0DA69C0-CE9E-4870-BE12-1DC6165B5C02}" done="1">
    <text>Définir la nomenclature</text>
  </threadedComment>
  <threadedComment ref="D184" dT="2023-11-27T12:34:46.55" personId="{E9A6DF60-F9B3-4BD0-BB8A-DE1D37E26830}" id="{89CA25E8-3394-4662-8D61-19395B72A46C}" parentId="{D0DA69C0-CE9E-4870-BE12-1DC6165B5C02}">
    <text xml:space="preserve">Pas la même signification, que le "niveau de soins" d'engagement du vecteur. </text>
  </threadedComment>
  <threadedComment ref="D184" dT="2023-11-27T12:36:58.47" personId="{E9A6DF60-F9B3-4BD0-BB8A-DE1D37E26830}" id="{1FC397B0-8EA1-45C9-8769-5023FD45C80B}" parentId="{D0DA69C0-CE9E-4870-BE12-1DC6165B5C02}">
    <text>Dans le vecteur de transport : niveau de médicalisation du transport</text>
  </threadedComment>
  <threadedComment ref="D184" dT="2023-11-27T12:38:39.20" personId="{E9A6DF60-F9B3-4BD0-BB8A-DE1D37E26830}" id="{7EE0A798-A6E7-45B3-87B0-D6E37C4FF429}" parentId="{D0DA69C0-CE9E-4870-BE12-1DC6165B5C02}">
    <text>Pas de nomenclature</text>
  </threadedComment>
  <threadedComment ref="D184" dT="2024-02-13T10:04:00.09" personId="{D6952652-30E5-479A-9FFE-AD0BC8CBB562}" id="{B6DADED7-EC3D-4D68-BCCE-0771FAED0BB9}" parentId="{D0DA69C0-CE9E-4870-BE12-1DC6165B5C02}">
    <text>Niveau de prise en charge au lieu de médicalisation (si médicalisation, on implique qu'un médecin est déjà engagé)</text>
  </threadedComment>
  <threadedComment ref="D184" dT="2024-02-14T15:11:40.85" personId="{E9A6DF60-F9B3-4BD0-BB8A-DE1D37E26830}" id="{605E48B3-D6A1-460A-9F37-7F8B313BD6B8}" parentId="{D0DA69C0-CE9E-4870-BE12-1DC6165B5C02}">
    <text xml:space="preserve">A revoir avec Philippe : on est dans la régulation médicale, donc il y a bien un médecin qui a pris une décision.
Le niveau médical de l'équipe engagée en revanche peut être différent
</text>
  </threadedComment>
  <threadedComment ref="D184" dT="2024-02-14T15:16:07.60" personId="{E9A6DF60-F9B3-4BD0-BB8A-DE1D37E26830}" id="{CFB72019-13DD-4FCE-B4A3-CBA537D3863C}" parentId="{D0DA69C0-CE9E-4870-BE12-1DC6165B5C02}">
    <text xml:space="preserve">+ il y a certains samu qui considère que le type de vecteur demandé = quel type d'équipe doit être dedans
</text>
  </threadedComment>
  <threadedComment ref="U184" dT="2024-04-30T13:20:21.50" personId="{E9A6DF60-F9B3-4BD0-BB8A-DE1D37E26830}" id="{964987F5-BD33-4AED-972B-3B2857629C23}">
    <text>Implémenter la nomenclature correspondante</text>
  </threadedComment>
  <threadedComment ref="D185" dT="2023-09-21T08:23:20.98" personId="{ABFB0C52-AC18-4406-B6D7-B9BCF5A2A0D7}" id="{56A2AD22-1E72-4495-AF2F-6EFF0E07EC59}">
    <text>Reprendre un objet position du modèle adresse EMSI ?</text>
  </threadedComment>
  <threadedComment ref="D185" dT="2024-02-13T10:05:46.40" personId="{D6952652-30E5-479A-9FFE-AD0BC8CBB562}" id="{FDF9D6E3-C330-4AB0-B88E-AFEBCFEC5D85}" parentId="{56A2AD22-1E72-4495-AF2F-6EFF0E07EC59}">
    <text>Typer la destination : domicile, hôpital, établissement X, etc.</text>
  </threadedComment>
  <threadedComment ref="D185" dT="2024-02-14T15:12:00.47" personId="{E9A6DF60-F9B3-4BD0-BB8A-DE1D37E26830}" id="{3AA43BD2-BE25-4382-A84A-269F7DE0C0F6}" parentId="{56A2AD22-1E72-4495-AF2F-6EFF0E07EC59}">
    <text>Idem, en cours avec Philippe</text>
  </threadedComment>
  <threadedComment ref="D185" dT="2024-03-18T12:59:52.07" personId="{E9A6DF60-F9B3-4BD0-BB8A-DE1D37E26830}" id="{3731EEE7-CDB1-422E-A709-6AA398E993DA}" parentId="{56A2AD22-1E72-4495-AF2F-6EFF0E07EC59}">
    <text>Mettre un objet identique à l'adresse de localisation. Pour pouvoir amener les personnes à n'importe quel endroit (y compris à domicile).
+ ajouter un champ FINESS ?</text>
  </threadedComment>
  <threadedComment ref="E186" dT="2024-03-11T08:28:41.81" personId="{D6952652-30E5-479A-9FFE-AD0BC8CBB562}" id="{C8748D8D-BB3A-4C14-BADE-D16F62306724}">
    <text>Ajouté suite au retour de Philippe</text>
  </threadedComment>
  <threadedComment ref="C188" dT="2023-07-04T13:01:55.92" personId="{C9A89B3A-A5FD-6849-8E65-1CD4E6C7CFF2}" id="{3E4494E4-4D0B-482E-8C44-6CA902FCAA01}" done="1">
    <text>Vont vraiment être différentes de la localisation de l’affaire ?</text>
  </threadedComment>
  <threadedComment ref="Q188" dT="2023-06-15T08:43:45.62" personId="{C9A89B3A-A5FD-6849-8E65-1CD4E6C7CFF2}" id="{12397E16-0DD2-4B81-8BEC-31510D881B5D}" done="1">
    <text>Vraiment 0..n ??? Plutôt 0..1 !</text>
  </threadedComment>
  <threadedComment ref="Q188" dT="2023-06-15T08:44:13.57" personId="{C9A89B3A-A5FD-6849-8E65-1CD4E6C7CFF2}" id="{874C3690-704A-4135-9A27-9126AC7954EF}" parentId="{12397E16-0DD2-4B81-8BEC-31510D881B5D}">
    <text>Quid des autres alertes ultérieures ? -&gt; pas ici ! Pas 0..n</text>
  </threadedComment>
  <threadedComment ref="Q188" dT="2023-06-15T08:47:32.60" personId="{C9A89B3A-A5FD-6849-8E65-1CD4E6C7CFF2}" id="{C595C92E-EE11-44EA-80CE-6225C1299968}" parentId="{12397E16-0DD2-4B81-8BEC-31510D881B5D}">
    <text>Pourquoi faire initiale et nouvelle alerte ??? Juste partager une liste de n alertes non ?</text>
  </threadedComment>
  <threadedComment ref="Q188"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W188" dT="2024-05-23T16:16:17.17" personId="{15E60E5B-8F12-4B01-8E2A-D3C877CDBAC1}" id="{EC03513B-C463-ED45-B66B-DD6C50DF2248}">
    <text>@Elodie FALCIONI (EXT) A enlever non ?</text>
    <mentions>
      <mention mentionpersonId="{10AA01AE-01D7-784E-A4FB-B6D4F18B5232}" mentionId="{0AC7986A-637B-844C-BF50-74B6CAA9B2C5}" startIndex="0" length="22"/>
    </mentions>
  </threadedComment>
  <threadedComment ref="W188" dT="2024-05-23T16:37:51.46" personId="{DF4F572D-2211-4D3A-83E1-5495966E637E}" id="{73927F90-3775-48AF-AD24-88941B6366DD}" parentId="{EC03513B-C463-ED45-B66B-DD6C50DF2248}">
    <text xml:space="preserve">non : si le LRM gère plusieurs appel, on peut le laisser. De toute façon j'enlève plus rien, on verra à la prochaine publication.
On ne sait pas comment on gère les mises à jour, tant que ce sujet n'est pas réglé je laisse. 
</text>
  </threadedComment>
  <threadedComment ref="Q190" dT="2024-03-26T09:12:42.22" personId="{C9A89B3A-A5FD-6849-8E65-1CD4E6C7CFF2}" id="{56075946-9C3F-8345-89AE-75C567E0E491}">
    <text>Bien 0..3</text>
  </threadedComment>
  <threadedComment ref="A195" dT="2023-11-10T16:14:36.81" personId="{74379435-529A-4754-96FF-EF4318F87F1A}" id="{D6BBFD18-B7C3-44E9-AAAF-C0520A0384D3}">
    <text>doublon avec l'ID 5. Pourquoi ne pas avoir une donnée (niveau 2) "Informations supplémentaires" en freetext ?</text>
  </threadedComment>
  <threadedComment ref="B195"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H9" dT="2023-09-07T08:01:23.57" personId="{C9A89B3A-A5FD-6849-8E65-1CD4E6C7CFF2}" id="{953CCFA9-18F1-49C4-ABCE-A8F9A60BE853}" done="1">
    <text>Bien clarifier comment on identifie le SAMU émetteur (SAMU76A ou SAMU761)</text>
  </threadedComment>
  <threadedComment ref="H9" dT="2023-09-07T09:36:20.81" personId="{ABFB0C52-AC18-4406-B6D7-B9BCF5A2A0D7}" id="{3D054C53-AFC2-40BC-BEC8-2764EABCBF59}" parentId="{953CCFA9-18F1-49C4-ABCE-A8F9A60BE853}">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83BBC93-D5DB-4E23-9BE9-E752EFD02831}" parentId="{953CCFA9-18F1-49C4-ABCE-A8F9A60BE853}">
    <text>2 remarques : quand est-ce qu'on utilise AL ou AF ?
Id sur 4 digits, a priori ok vu le volume mais pas mega large =&gt; cout de passer à 6 digits par exemple ?</text>
  </threadedComment>
  <threadedComment ref="H9" dT="2023-09-18T13:00:04.67" personId="{C9A89B3A-A5FD-6849-8E65-1CD4E6C7CFF2}" id="{4A2526C3-58A5-4086-A656-F25B14C66687}" parentId="{953CCFA9-18F1-49C4-ABCE-A8F9A60BE853}">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DE57C21-B891-4AF6-928B-C8B67775C761}" parentId="{953CCFA9-18F1-49C4-ABCE-A8F9A60BE853}">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5517E1F1-A129-4E40-86DE-CC457FE65853}" parentId="{953CCFA9-18F1-49C4-ABCE-A8F9A60BE853}">
    <text>Voir avec NexSIS si c’est vraiment nécessaire où si on peut juste faire idStructure_idLocale ?</text>
  </threadedComment>
  <threadedComment ref="H9" dT="2023-09-21T14:49:44.43" personId="{ABFB0C52-AC18-4406-B6D7-B9BCF5A2A0D7}" id="{668BA10D-27E0-4CBD-9924-9009790708D1}" parentId="{953CCFA9-18F1-49C4-ABCE-A8F9A60BE853}">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2F15002A-8A36-478E-8C1F-598AE161CA0D}" parentId="{953CCFA9-18F1-49C4-ABCE-A8F9A60BE853}">
    <text>Remarque Olivier : contrainte sur le français</text>
  </threadedComment>
  <threadedComment ref="H9" dT="2023-09-22T08:30:01.21" personId="{ABFB0C52-AC18-4406-B6D7-B9BCF5A2A0D7}" id="{2E7546D8-5D75-4A70-A779-B3F1B01DD558}" parentId="{953CCFA9-18F1-49C4-ABCE-A8F9A60BE853}">
    <text>Ajouter une explication sur l'utilité de la clé unique et pourquoi elle doit être intelligible</text>
  </threadedComment>
  <threadedComment ref="H9" dT="2023-09-22T08:31:56.77" personId="{ABFB0C52-AC18-4406-B6D7-B9BCF5A2A0D7}" id="{97D6AEE3-EC69-40B8-8929-44F00A8C0D9D}" parentId="{953CCFA9-18F1-49C4-ABCE-A8F9A60BE853}">
    <text>Définir le concept de clé conventionnelle</text>
  </threadedComment>
  <threadedComment ref="B11" dT="2024-04-22T12:25:51.13" personId="{15E60E5B-8F12-4B01-8E2A-D3C877CDBAC1}" id="{22BD1288-E0C6-964D-8449-E8031744940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1"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1"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O31" dT="2024-01-08T13:02:05.69" personId="{C9A89B3A-A5FD-6849-8E65-1CD4E6C7CFF2}" id="{E2DB24A4-1E97-4CF6-8E77-B121328CAC25}">
    <text>N’autoriser que les n° de tel (PHNADD) et mettre la regex du n° de tel de l’interface : REGEX: tel:([#\+\*]|37000|00+)?[0-9]{2,15} ?</text>
  </threadedComment>
  <threadedComment ref="O31"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O31" dT="2024-01-24T17:33:12.16" personId="{C9A89B3A-A5FD-6849-8E65-1CD4E6C7CFF2}" id="{7BD3D21C-E37E-4C72-8757-3A84AECF2C97}" parentId="{E2DB24A4-1E97-4CF6-8E77-B121328CAC25}">
    <text>OK pas de souci, qui peut le plus peut le moins</text>
  </threadedComment>
</ThreadedComments>
</file>

<file path=xl/threadedComments/threadedComment8.xml><?xml version="1.0" encoding="utf-8"?>
<ThreadedComments xmlns="http://schemas.microsoft.com/office/spreadsheetml/2018/threadedcomments" xmlns:x="http://schemas.openxmlformats.org/spreadsheetml/2006/main">
  <threadedComment ref="H1" dT="2023-09-21T15:05:23.74" personId="{C9A89B3A-A5FD-6849-8E65-1CD4E6C7CFF2}" id="{0CECF6C6-E21E-468B-93DD-2E230448855B}" done="1">
    <text>Valider avec NexSIS les noms des balises racines !! (message, createCase, emsi)</text>
  </threadedComment>
  <threadedComment ref="B8" dT="2023-10-17T14:10:14.10" personId="{C9A89B3A-A5FD-6849-8E65-1CD4E6C7CFF2}" id="{2A3E4B9B-5881-4B0A-8BC9-E70E8861F387}">
    <text xml:space="preserve">Le champs de ‘signalement’ a été supprimé finalement ? </text>
  </threadedComment>
  <threadedComment ref="B8" dT="2023-10-23T11:26:27.60" personId="{C9A89B3A-A5FD-6849-8E65-1CD4E6C7CFF2}" id="{33DFF6DA-9895-412B-916E-67AEA5C0797D}" parentId="{2A3E4B9B-5881-4B0A-8BC9-E70E8861F387}">
    <text>Ajouter un champs de statut local global du dossier ? Ou message de clôture ? Ou règle "après 24h clôt" ?</text>
  </threadedComment>
  <threadedComment ref="B8" dT="2023-11-08T13:34:34.60" personId="{ABFB0C52-AC18-4406-B6D7-B9BCF5A2A0D7}" id="{B3DC22AD-C07A-4DAA-AA5C-C0D6F3E37933}" parentId="{2A3E4B9B-5881-4B0A-8BC9-E70E8861F387}">
    <text>A traiter avec NexSIS. Pour l'instant obligé de passer par un RC-EDA pour la gestion du statut</text>
  </threadedComment>
  <threadedComment ref="B9" dT="2023-09-25T11:44:28.72" personId="{C9A89B3A-A5FD-6849-8E65-1CD4E6C7CFF2}" id="{0CF11431-BA27-4A08-A908-C5E8B2A17D25}">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FB8D0F-97AD-46BE-BD85-174D595A557C}" parentId="{0CF11431-BA27-4A08-A908-C5E8B2A17D25}">
    <text>=&gt; A traiter ultérieurement avec le sujet de rapprochement de dossier/affaire</text>
  </threadedComment>
  <threadedComment ref="H9" dT="2023-09-07T08:01:23.57" personId="{C9A89B3A-A5FD-6849-8E65-1CD4E6C7CFF2}" id="{3AC86E68-C403-492A-AB6E-E908ED6986BD}" done="1">
    <text>Bien clarifier comment on identifie le SAMU émetteur (SAMU76A ou SAMU761)</text>
  </threadedComment>
  <threadedComment ref="H9" dT="2023-09-07T09:36:20.81" personId="{ABFB0C52-AC18-4406-B6D7-B9BCF5A2A0D7}" id="{F1138CE8-2EC4-4A58-A32D-81C65952EF9E}" parentId="{3AC86E68-C403-492A-AB6E-E908ED6986BD}">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C6C8F452-E4E7-4DF6-B650-8BEFE0B8D0B5}" parentId="{3AC86E68-C403-492A-AB6E-E908ED6986BD}">
    <text>2 remarques : quand est-ce qu'on utilise AL ou AF ?
Id sur 4 digits, a priori ok vu le volume mais pas mega large =&gt; cout de passer à 6 digits par exemple ?</text>
  </threadedComment>
  <threadedComment ref="H9" dT="2023-09-18T13:00:04.67" personId="{C9A89B3A-A5FD-6849-8E65-1CD4E6C7CFF2}" id="{C2D06A64-5922-40F8-B5EC-590BD5B93B4B}" parentId="{3AC86E68-C403-492A-AB6E-E908ED6986BD}">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31E1F877-07CD-4E3D-86F6-E7BBFAE9F937}" parentId="{3AC86E68-C403-492A-AB6E-E908ED6986BD}">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45CE4552-00C0-48E3-8300-3AE0717E69A6}" parentId="{3AC86E68-C403-492A-AB6E-E908ED6986BD}">
    <text>Voir avec NexSIS si c’est vraiment nécessaire où si on peut juste faire idStructure_idLocale ?</text>
  </threadedComment>
  <threadedComment ref="H9" dT="2023-09-21T14:49:44.43" personId="{ABFB0C52-AC18-4406-B6D7-B9BCF5A2A0D7}" id="{9CA79B6C-C170-4F32-B116-C2E0F819D0B8}" parentId="{3AC86E68-C403-492A-AB6E-E908ED6986BD}">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913E1824-99F4-419C-873F-BFA03C1C2534}" parentId="{3AC86E68-C403-492A-AB6E-E908ED6986BD}">
    <text>Remarque Olivier : contrainte sur le français</text>
  </threadedComment>
  <threadedComment ref="H9" dT="2023-09-22T08:30:01.21" personId="{ABFB0C52-AC18-4406-B6D7-B9BCF5A2A0D7}" id="{8F14EE98-7D86-4D95-9690-A379795DA5F7}" parentId="{3AC86E68-C403-492A-AB6E-E908ED6986BD}">
    <text>Ajouter une explication sur l'utilité de la clé unique et pourquoi elle doit être intelligible</text>
  </threadedComment>
  <threadedComment ref="H9" dT="2023-09-22T08:31:56.77" personId="{ABFB0C52-AC18-4406-B6D7-B9BCF5A2A0D7}" id="{EC340C7F-AD47-4F25-A81B-F82E17CE8D49}" parentId="{3AC86E68-C403-492A-AB6E-E908ED6986BD}">
    <text>Définir le concept de clé conventionnelle</text>
  </threadedComment>
  <threadedComment ref="C15" dT="2024-04-22T12:20:53.01" personId="{15E60E5B-8F12-4B01-8E2A-D3C877CDBAC1}" id="{9CE8492B-B01D-47FB-81DF-787FD4635D2F}">
    <text>+ Cadre conventionnel aussi pour 15-15 ou ça s’appliquait pas trop c’est ça ?</text>
  </threadedComment>
  <threadedComment ref="C15" dT="2024-04-22T12:31:52.49" personId="{E9A6DF60-F9B3-4BD0-BB8A-DE1D37E26830}" id="{6F6A1A25-3BEC-492A-8B01-D3C63EAE8522}" parentId="{9CE8492B-B01D-47FB-81DF-787FD4635D2F}">
    <text>Ça s'applique pas, ils voient même pas ce que c'est mais c'est facile à ajouter.</text>
  </threadedComment>
</ThreadedComments>
</file>

<file path=xl/threadedComments/threadedComment9.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H9" dT="2023-09-07T08:01:23.57" personId="{C9A89B3A-A5FD-6849-8E65-1CD4E6C7CFF2}" id="{E47640B8-D45B-4859-9096-695AE3FC2B1E}" done="1">
    <text>Bien clarifier comment on identifie le SAMU émetteur (SAMU76A ou SAMU761)</text>
  </threadedComment>
  <threadedComment ref="H9" dT="2023-09-07T09:36:20.81" personId="{ABFB0C52-AC18-4406-B6D7-B9BCF5A2A0D7}" id="{5D44DE56-44FA-42C2-833B-6709EA37E16B}" parentId="{E47640B8-D45B-4859-9096-695AE3FC2B1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9265D3B6-14AA-4FFA-A91B-9F47972F5ECF}" parentId="{E47640B8-D45B-4859-9096-695AE3FC2B1E}">
    <text>2 remarques : quand est-ce qu'on utilise AL ou AF ?
Id sur 4 digits, a priori ok vu le volume mais pas mega large =&gt; cout de passer à 6 digits par exemple ?</text>
  </threadedComment>
  <threadedComment ref="H9" dT="2023-09-18T13:00:04.67" personId="{C9A89B3A-A5FD-6849-8E65-1CD4E6C7CFF2}" id="{1360A1C1-EF55-419C-8652-6D9FEE6C4069}" parentId="{E47640B8-D45B-4859-9096-695AE3FC2B1E}">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6ABD455C-A2C1-466D-92CD-5B688EE3022B}" parentId="{E47640B8-D45B-4859-9096-695AE3FC2B1E}">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9D9EF202-1655-4A12-8543-128BDBF0AF80}" parentId="{E47640B8-D45B-4859-9096-695AE3FC2B1E}">
    <text>Voir avec NexSIS si c’est vraiment nécessaire où si on peut juste faire idStructure_idLocale ?</text>
  </threadedComment>
  <threadedComment ref="H9" dT="2023-09-21T14:49:44.43" personId="{ABFB0C52-AC18-4406-B6D7-B9BCF5A2A0D7}" id="{1F0860A3-A471-486A-B4E6-4D05B2CF433D}" parentId="{E47640B8-D45B-4859-9096-695AE3FC2B1E}">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48D3389E-1607-4DF3-A1EB-EF5AF2825198}" parentId="{E47640B8-D45B-4859-9096-695AE3FC2B1E}">
    <text>Remarque Olivier : contrainte sur le français</text>
  </threadedComment>
  <threadedComment ref="H9" dT="2023-09-22T08:30:01.21" personId="{ABFB0C52-AC18-4406-B6D7-B9BCF5A2A0D7}" id="{913655B3-D9DA-4D5E-B843-A2AAC4F9A003}" parentId="{E47640B8-D45B-4859-9096-695AE3FC2B1E}">
    <text>Ajouter une explication sur l'utilité de la clé unique et pourquoi elle doit être intelligible</text>
  </threadedComment>
  <threadedComment ref="H9" dT="2023-09-22T08:31:56.77" personId="{ABFB0C52-AC18-4406-B6D7-B9BCF5A2A0D7}" id="{098AB903-9C3D-462D-8623-B74AE26FB474}" parentId="{E47640B8-D45B-4859-9096-695AE3FC2B1E}">
    <text>Définir le concept de clé conventionnelle</text>
  </threadedComment>
  <threadedComment ref="C14" dT="2024-04-22T12:21:21.53" personId="{15E60E5B-8F12-4B01-8E2A-D3C877CDBAC1}" id="{70976457-F334-49C3-A6B9-EF13E7BF90EC}">
    <text>Il devrait aussi être dans la demande non ?</text>
  </threadedComment>
  <threadedComment ref="C14" dT="2024-04-22T12:32:21.50" personId="{E9A6DF60-F9B3-4BD0-BB8A-DE1D37E26830}" id="{B088BBB8-C788-47DF-9D60-F2F26F7F439C}" parentId="{70976457-F334-49C3-A6B9-EF13E7BF90EC}">
    <text xml:space="preserve">En 15-18 oui, en 15-15 bof, mais on peut le mettre pour le TIH. </text>
  </threadedComment>
  <threadedComment ref="B16" dT="2024-04-22T12:25:51.13" personId="{15E60E5B-8F12-4B01-8E2A-D3C877CDBAC1}" id="{98E6A639-F684-44EA-891B-8547C207E3BF}">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6" dT="2024-04-22T12:33:09.63" personId="{E9A6DF60-F9B3-4BD0-BB8A-DE1D37E26830}" id="{79D266C9-1899-4C1F-9713-58B9D2951B30}" parentId="{98E6A639-F684-44EA-891B-8547C207E3BF}">
    <text xml:space="preserve">Oui mais là, je fais macro. Honnetement la marque, le modèle, etc ça interesse personne en 15-15. 
</text>
  </threadedComment>
  <threadedComment ref="B16" dT="2024-04-23T14:17:25.43" personId="{E9A6DF60-F9B3-4BD0-BB8A-DE1D37E26830}" id="{05506D19-D73A-4342-9E64-17414BAF5694}" parentId="{98E6A639-F684-44EA-891B-8547C207E3BF}">
    <text>J'ai ajouté la plupart des champs demandé par philippe. A part l'équipement supplémentaires, ou je pense que le commentaire freetext suffit</text>
  </threadedComment>
  <threadedComment ref="O36" dT="2024-01-08T13:02:05.69" personId="{C9A89B3A-A5FD-6849-8E65-1CD4E6C7CFF2}" id="{DF2AA6CA-FC70-4347-B614-9ADC9E1E6905}">
    <text>N’autoriser que les n° de tel (PHNADD) et mettre la regex du n° de tel de l’interface : REGEX: tel:([#\+\*]|37000|00+)?[0-9]{2,15} ?</text>
  </threadedComment>
  <threadedComment ref="O36"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O36" dT="2024-01-24T17:33:12.16" personId="{C9A89B3A-A5FD-6849-8E65-1CD4E6C7CFF2}" id="{4074043F-CF5E-4B2A-9BDC-B16900668588}" parentId="{DF2AA6CA-FC70-4347-B614-9ADC9E1E6905}">
    <text>OK pas de souci, qui peut le plus peut le moins</text>
  </threadedComment>
</ThreadedComments>
</file>

<file path=xl/threadedComments/threadedComment10.xml><?xml version="1.0" encoding="utf-8"?>
<ThreadedComments xmlns="http://schemas.microsoft.com/office/spreadsheetml/2018/threadedcomments" xmlns:x="http://schemas.openxmlformats.org/spreadsheetml/2006/main">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33" dT="2024-03-27T13:59:13.40" personId="{D6952652-30E5-479A-9FFE-AD0BC8CBB562}" id="{E217C0E1-E310-4516-9319-75E49215DCA3}">
    <text xml:space="preserve">Comment gérer le fait que la date de naissance n'est pas toujours connu, et que seul un âge est saisi ? </text>
  </threadedComment>
  <threadedComment ref="C62" dT="2024-03-25T16:05:53.08" personId="{D6952652-30E5-479A-9FFE-AD0BC8CBB562}" id="{CA9F7116-A69A-49A4-A9FD-112B11A9100E}">
    <text>Correspond également au motif de sans transport (soins sur place, refus de soins, refus de transport, décédé)</text>
  </threadedComment>
  <threadedComment ref="H65" dT="2024-03-27T14:38:41.61" personId="{D6952652-30E5-479A-9FFE-AD0BC8CBB562}" id="{91C7B266-0E0A-4462-A600-2FC08026D2AA}">
    <text>Pas de nomenclature dispo dans l'Excel partagé</text>
  </threadedComment>
  <threadedComment ref="D71"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5.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3.vml"/><Relationship Id="rId1" Type="http://schemas.openxmlformats.org/officeDocument/2006/relationships/printerSettings" Target="../printerSettings/printerSettings6.bin"/><Relationship Id="rId5" Type="http://schemas.microsoft.com/office/2017/10/relationships/threadedComment" Target="../threadedComments/threadedComment13.xml"/><Relationship Id="rId4" Type="http://schemas.openxmlformats.org/officeDocument/2006/relationships/comments" Target="../comments13.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4.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5.vml"/><Relationship Id="rId1" Type="http://schemas.openxmlformats.org/officeDocument/2006/relationships/printerSettings" Target="../printerSettings/printerSettings7.bin"/><Relationship Id="rId5" Type="http://schemas.microsoft.com/office/2017/10/relationships/threadedComment" Target="../threadedComments/threadedComment15.xml"/><Relationship Id="rId4" Type="http://schemas.openxmlformats.org/officeDocument/2006/relationships/comments" Target="../comments15.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713"/>
      <c r="K1" s="713"/>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713"/>
      <c r="L1" s="713"/>
      <c r="M1" s="713"/>
      <c r="N1" s="713"/>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defaultColWidth="9" defaultRowHeight="14.25"/>
  <cols>
    <col min="2" max="2" width="10.5" customWidth="1"/>
    <col min="1024" max="1024" width="9" customWidth="1"/>
  </cols>
  <sheetData>
    <row r="1" spans="1:14" ht="15.75">
      <c r="A1" s="8"/>
      <c r="B1" s="9" t="s">
        <v>648</v>
      </c>
      <c r="C1" s="10"/>
      <c r="D1" s="11"/>
      <c r="E1" s="10"/>
      <c r="F1" s="83"/>
      <c r="G1" s="11"/>
      <c r="H1" s="11"/>
      <c r="I1" s="84"/>
      <c r="J1" s="84"/>
      <c r="K1" s="713"/>
      <c r="L1" s="713"/>
      <c r="M1" s="713"/>
      <c r="N1" s="713"/>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713"/>
      <c r="L1" s="713"/>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defaultColWidth="8.5" defaultRowHeight="15"/>
  <cols>
    <col min="1" max="1" width="8.5" style="158"/>
    <col min="2" max="2" width="28.5" style="158" customWidth="1"/>
    <col min="3" max="3" width="25.5" style="158" customWidth="1"/>
    <col min="4" max="4" width="69" style="158" customWidth="1"/>
    <col min="5" max="16384" width="8.5" style="158"/>
  </cols>
  <sheetData>
    <row r="1" spans="2:4" ht="15.75" thickBot="1"/>
    <row r="2" spans="2:4" ht="18.75">
      <c r="B2" s="679" t="s">
        <v>726</v>
      </c>
      <c r="C2" s="680"/>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zoomScale="87" zoomScaleNormal="40" workbookViewId="0">
      <selection activeCell="F28" sqref="F28"/>
    </sheetView>
  </sheetViews>
  <sheetFormatPr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682" t="s">
        <v>742</v>
      </c>
      <c r="B1" s="683"/>
      <c r="C1" s="683"/>
      <c r="D1" s="683"/>
      <c r="E1" s="683"/>
      <c r="F1" s="683"/>
      <c r="G1" s="683"/>
      <c r="H1" s="684"/>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690" t="s">
        <v>753</v>
      </c>
      <c r="G12" s="690"/>
      <c r="H12" s="690"/>
      <c r="I12" s="203"/>
      <c r="J12" s="203"/>
      <c r="R12" s="196"/>
      <c r="S12" s="196"/>
      <c r="T12" s="196"/>
    </row>
    <row r="13" spans="1:20" ht="14.25" customHeight="1">
      <c r="B13" s="204" t="s">
        <v>754</v>
      </c>
      <c r="C13" s="204"/>
      <c r="D13" s="204"/>
      <c r="E13" s="204"/>
      <c r="F13" s="690" t="s">
        <v>755</v>
      </c>
      <c r="G13" s="690"/>
      <c r="H13" s="690"/>
      <c r="I13" s="204"/>
      <c r="J13" s="204"/>
      <c r="K13" s="204"/>
      <c r="L13" s="204"/>
      <c r="M13" s="204"/>
      <c r="N13" s="204"/>
      <c r="R13" s="196"/>
      <c r="S13" s="196"/>
      <c r="T13" s="196"/>
    </row>
    <row r="14" spans="1:20" ht="14.25" customHeight="1">
      <c r="B14" s="204" t="s">
        <v>756</v>
      </c>
      <c r="C14" s="204"/>
      <c r="D14" s="204"/>
      <c r="E14" s="204"/>
      <c r="F14" s="690" t="s">
        <v>755</v>
      </c>
      <c r="G14" s="690"/>
      <c r="H14" s="690"/>
      <c r="I14" s="204"/>
      <c r="J14" s="204"/>
      <c r="R14" s="196"/>
      <c r="S14" s="196"/>
      <c r="T14" s="196"/>
    </row>
    <row r="15" spans="1:20">
      <c r="B15" s="203" t="s">
        <v>757</v>
      </c>
      <c r="C15" s="203"/>
      <c r="D15" s="203"/>
      <c r="E15" s="203"/>
      <c r="F15" s="690" t="s">
        <v>755</v>
      </c>
      <c r="G15" s="690"/>
      <c r="H15" s="690"/>
      <c r="I15" s="203"/>
      <c r="J15" s="203"/>
      <c r="R15" s="196"/>
      <c r="S15" s="196"/>
      <c r="T15" s="196"/>
    </row>
    <row r="16" spans="1:20">
      <c r="B16" s="691"/>
      <c r="C16" s="691"/>
      <c r="D16" s="691"/>
      <c r="E16" s="691"/>
      <c r="F16" s="691"/>
      <c r="G16" s="691"/>
      <c r="H16" s="691"/>
      <c r="I16" s="691"/>
      <c r="J16" s="691"/>
      <c r="K16" s="691"/>
      <c r="L16" s="691"/>
      <c r="M16" s="691"/>
      <c r="N16" s="691"/>
      <c r="O16" s="691"/>
      <c r="P16" s="691"/>
      <c r="Q16" s="691"/>
    </row>
    <row r="17" spans="1:17" ht="15" thickBot="1">
      <c r="B17" s="691"/>
      <c r="C17" s="691"/>
      <c r="D17" s="691"/>
      <c r="E17" s="691"/>
      <c r="F17" s="691"/>
      <c r="G17" s="691"/>
      <c r="H17" s="691"/>
      <c r="I17" s="691"/>
      <c r="J17" s="691"/>
      <c r="K17" s="691"/>
      <c r="L17" s="691"/>
      <c r="M17" s="691"/>
      <c r="N17" s="691"/>
      <c r="O17" s="691"/>
      <c r="P17" s="691"/>
      <c r="Q17" s="691"/>
    </row>
    <row r="18" spans="1:17" ht="102.75" customHeight="1" thickBot="1">
      <c r="A18" s="685" t="s">
        <v>758</v>
      </c>
      <c r="B18" s="686"/>
      <c r="C18" s="686"/>
      <c r="D18" s="686"/>
      <c r="E18" s="686"/>
      <c r="F18" s="686"/>
      <c r="G18" s="686"/>
      <c r="H18" s="687"/>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691"/>
      <c r="C20" s="691"/>
      <c r="D20" s="691"/>
      <c r="E20" s="691"/>
      <c r="F20" s="691"/>
      <c r="G20" s="691"/>
      <c r="H20" s="691"/>
      <c r="I20" s="691"/>
      <c r="J20" s="691"/>
      <c r="K20" s="691"/>
      <c r="L20" s="691"/>
      <c r="M20" s="691"/>
      <c r="N20" s="691"/>
      <c r="O20" s="691"/>
      <c r="P20" s="691"/>
      <c r="Q20" s="691"/>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8"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689" t="s">
        <v>791</v>
      </c>
      <c r="B30" s="688" t="s">
        <v>792</v>
      </c>
      <c r="C30" s="688" t="s">
        <v>774</v>
      </c>
      <c r="D30" s="688" t="s">
        <v>774</v>
      </c>
      <c r="E30" s="688" t="s">
        <v>770</v>
      </c>
      <c r="F30" s="206" t="s">
        <v>793</v>
      </c>
      <c r="G30" s="681" t="s">
        <v>794</v>
      </c>
      <c r="H30" s="206" t="s">
        <v>795</v>
      </c>
    </row>
    <row r="31" spans="1:17" ht="114.75">
      <c r="A31" s="689"/>
      <c r="B31" s="688"/>
      <c r="C31" s="688"/>
      <c r="D31" s="688"/>
      <c r="E31" s="688"/>
      <c r="F31" s="209" t="s">
        <v>796</v>
      </c>
      <c r="G31" s="681"/>
      <c r="H31" s="206"/>
    </row>
    <row r="32" spans="1:17" ht="85.5">
      <c r="A32" s="208" t="s">
        <v>797</v>
      </c>
      <c r="B32" s="207" t="s">
        <v>798</v>
      </c>
      <c r="C32" s="207" t="s">
        <v>774</v>
      </c>
      <c r="D32" s="207" t="s">
        <v>774</v>
      </c>
      <c r="E32" s="207" t="s">
        <v>770</v>
      </c>
      <c r="F32" s="209" t="s">
        <v>799</v>
      </c>
      <c r="G32" s="209" t="s">
        <v>783</v>
      </c>
      <c r="H32" s="206" t="s">
        <v>800</v>
      </c>
    </row>
    <row r="33" spans="1:8" ht="29.25">
      <c r="A33" s="689" t="s">
        <v>801</v>
      </c>
      <c r="B33" s="688" t="s">
        <v>802</v>
      </c>
      <c r="C33" s="688" t="s">
        <v>774</v>
      </c>
      <c r="D33" s="688" t="s">
        <v>774</v>
      </c>
      <c r="E33" s="688" t="s">
        <v>770</v>
      </c>
      <c r="F33" s="209" t="s">
        <v>803</v>
      </c>
      <c r="G33" s="681" t="s">
        <v>783</v>
      </c>
      <c r="H33" s="206" t="s">
        <v>804</v>
      </c>
    </row>
    <row r="34" spans="1:8" ht="228.75">
      <c r="A34" s="689"/>
      <c r="B34" s="688"/>
      <c r="C34" s="688"/>
      <c r="D34" s="688"/>
      <c r="E34" s="688"/>
      <c r="F34" s="209" t="s">
        <v>805</v>
      </c>
      <c r="G34" s="681"/>
      <c r="H34" s="206" t="s">
        <v>806</v>
      </c>
    </row>
    <row r="35" spans="1:8" ht="57">
      <c r="A35" s="293" t="s">
        <v>807</v>
      </c>
      <c r="B35" s="207" t="s">
        <v>808</v>
      </c>
      <c r="C35" s="207" t="s">
        <v>774</v>
      </c>
      <c r="D35" s="207" t="s">
        <v>770</v>
      </c>
      <c r="E35" s="207" t="s">
        <v>770</v>
      </c>
      <c r="F35" s="209" t="s">
        <v>809</v>
      </c>
      <c r="G35" s="292"/>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H26" activePane="bottomRight" state="frozen"/>
      <selection pane="bottomRight" activeCell="C26" sqref="C26"/>
      <selection pane="bottomLeft" activeCell="A9" sqref="A9"/>
      <selection pane="topRight" activeCell="G1" sqref="G1"/>
    </sheetView>
  </sheetViews>
  <sheetFormatPr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692" t="s">
        <v>815</v>
      </c>
      <c r="J1" s="692"/>
      <c r="K1" s="692"/>
      <c r="L1" s="692"/>
      <c r="Q1" s="693" t="s">
        <v>816</v>
      </c>
      <c r="R1" s="693"/>
      <c r="S1" s="96" t="s">
        <v>817</v>
      </c>
      <c r="AC1" s="96"/>
      <c r="AE1" s="128"/>
      <c r="ALY1"/>
    </row>
    <row r="2" spans="1:1016" ht="15.95" customHeight="1">
      <c r="C2" s="141" t="s">
        <v>818</v>
      </c>
      <c r="D2" s="152" t="s">
        <v>819</v>
      </c>
      <c r="E2" s="157">
        <f>createCase8[[#Totals],[NexSIS]] / createCase8[[#Totals],[ID]]</f>
        <v>0.83333333333333337</v>
      </c>
      <c r="G2" s="128"/>
      <c r="H2" s="227"/>
      <c r="I2" s="692"/>
      <c r="J2" s="692"/>
      <c r="K2" s="692"/>
      <c r="L2" s="692"/>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694" t="s">
        <v>828</v>
      </c>
      <c r="O7" s="694"/>
      <c r="P7" s="694"/>
      <c r="Q7" s="694"/>
      <c r="W7" s="695" t="s">
        <v>829</v>
      </c>
      <c r="X7" s="695"/>
      <c r="AC7" s="694" t="s">
        <v>830</v>
      </c>
      <c r="AD7" s="694"/>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90"/>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90"/>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90"/>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90"/>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90"/>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90"/>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90"/>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90"/>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90"/>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90"/>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89"/>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89"/>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78" type="noConversion"/>
  <conditionalFormatting sqref="A22:F23 A43:F883">
    <cfRule type="expression" dxfId="1765" priority="37">
      <formula>OR($AD22="X",$AB22="X")</formula>
    </cfRule>
    <cfRule type="expression" dxfId="1764" priority="38">
      <formula>AND($AD22=1,$AB22=1)</formula>
    </cfRule>
    <cfRule type="expression" dxfId="1763" priority="39">
      <formula>$AD22=1</formula>
    </cfRule>
    <cfRule type="expression" dxfId="1762" priority="40">
      <formula>$AB22=1</formula>
    </cfRule>
  </conditionalFormatting>
  <conditionalFormatting sqref="A9:G20">
    <cfRule type="expression" dxfId="1761" priority="641">
      <formula>OR(#REF!="X",$AD9="X")</formula>
    </cfRule>
    <cfRule type="expression" dxfId="1760" priority="642">
      <formula>AND(#REF!=1,$AD9=1)</formula>
    </cfRule>
    <cfRule type="expression" dxfId="1759" priority="643">
      <formula>#REF!=1</formula>
    </cfRule>
    <cfRule type="expression" dxfId="1758" priority="644">
      <formula>$AD9=1</formula>
    </cfRule>
  </conditionalFormatting>
  <conditionalFormatting sqref="C9:C20">
    <cfRule type="expression" dxfId="1757" priority="1">
      <formula>AND($T9="X",$B9&lt;&gt;"")</formula>
    </cfRule>
  </conditionalFormatting>
  <conditionalFormatting sqref="C17:C19">
    <cfRule type="expression" dxfId="1756" priority="2">
      <formula>AND($T17="X",OR($B17&lt;&gt;"",$C17&lt;&gt;""))</formula>
    </cfRule>
  </conditionalFormatting>
  <conditionalFormatting sqref="D9:D20">
    <cfRule type="expression" dxfId="1755" priority="11">
      <formula>AND($T9="X",OR($B9&lt;&gt;"",$C9&lt;&gt;""))</formula>
    </cfRule>
  </conditionalFormatting>
  <conditionalFormatting sqref="D18:D19">
    <cfRule type="expression" dxfId="1754"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1753" priority="12">
      <formula>AND($T9="X",OR($B9&lt;&gt;"",$C9&lt;&gt;"",$D9&lt;&gt;""))</formula>
    </cfRule>
  </conditionalFormatting>
  <conditionalFormatting sqref="F9:F20">
    <cfRule type="expression" dxfId="1752" priority="13">
      <formula>AND($T9="X",OR($B9&lt;&gt;"",$C9&lt;&gt;"",$D9&lt;&gt;"",$E9&lt;&gt;""))</formula>
    </cfRule>
  </conditionalFormatting>
  <conditionalFormatting sqref="G9:G20">
    <cfRule type="expression" dxfId="1751" priority="14">
      <formula>AND($T9="X",OR($B9&lt;&gt;"",$C9&lt;&gt;"",$D9&lt;&gt;"",$E9&lt;&gt;"",$F9&lt;&gt;""))</formula>
    </cfRule>
  </conditionalFormatting>
  <conditionalFormatting sqref="H22:H23 H43:H883">
    <cfRule type="expression" dxfId="1750" priority="36">
      <formula>$S22="X"</formula>
    </cfRule>
  </conditionalFormatting>
  <conditionalFormatting sqref="I9:I20">
    <cfRule type="expression" dxfId="1749" priority="16">
      <formula>$T9="X"</formula>
    </cfRule>
  </conditionalFormatting>
  <conditionalFormatting sqref="S9:S20">
    <cfRule type="cellIs" dxfId="1748" priority="7" operator="equal">
      <formula>"1..1"</formula>
    </cfRule>
    <cfRule type="cellIs" dxfId="1747" priority="8" operator="equal">
      <formula>"0..n"</formula>
    </cfRule>
    <cfRule type="cellIs" dxfId="1746"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9" activePane="bottomRight" state="frozen"/>
      <selection pane="bottomRight" activeCell="E21" sqref="E21"/>
      <selection pane="bottomLeft" activeCell="A9" sqref="A9"/>
      <selection pane="topRight" activeCell="H1" sqref="H1"/>
    </sheetView>
  </sheetViews>
  <sheetFormatPr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8"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692" t="s">
        <v>911</v>
      </c>
      <c r="I1" s="692"/>
      <c r="J1" s="692"/>
      <c r="O1" s="693" t="s">
        <v>816</v>
      </c>
      <c r="P1" s="693"/>
      <c r="AC1" s="96"/>
      <c r="AE1"/>
      <c r="AF1" s="128"/>
      <c r="ALZ1"/>
    </row>
    <row r="2" spans="1:1017" ht="13.5" customHeight="1">
      <c r="C2" s="141" t="s">
        <v>818</v>
      </c>
      <c r="D2" s="285"/>
      <c r="E2" s="152" t="s">
        <v>819</v>
      </c>
      <c r="F2" s="157">
        <f>createCase3[[#Totals],[NexSIS]] / createCase3[[#Totals],[ID]]</f>
        <v>0.83333333333333337</v>
      </c>
      <c r="G2" s="128"/>
      <c r="H2" s="692"/>
      <c r="I2" s="692"/>
      <c r="J2" s="692"/>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694" t="s">
        <v>828</v>
      </c>
      <c r="M7" s="694"/>
      <c r="N7" s="694"/>
      <c r="O7" s="694"/>
      <c r="V7" s="695" t="s">
        <v>829</v>
      </c>
      <c r="W7" s="695"/>
      <c r="AC7" s="694" t="s">
        <v>830</v>
      </c>
      <c r="AD7" s="694"/>
      <c r="AE7"/>
      <c r="AF7" s="128"/>
      <c r="ALZ7"/>
    </row>
    <row r="8" spans="1:1017" s="238" customFormat="1" ht="27.95" customHeight="1">
      <c r="A8" s="233" t="s">
        <v>831</v>
      </c>
      <c r="B8" s="279"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678"/>
      <c r="E9" s="678"/>
      <c r="F9" s="678"/>
      <c r="G9" s="678"/>
      <c r="H9" s="714" t="s">
        <v>917</v>
      </c>
      <c r="I9" s="715" t="s">
        <v>918</v>
      </c>
      <c r="J9" s="714"/>
      <c r="K9" s="715" t="s">
        <v>919</v>
      </c>
      <c r="L9" s="714"/>
      <c r="M9" s="714"/>
      <c r="N9" s="714"/>
      <c r="O9" s="714"/>
      <c r="P9" s="716"/>
      <c r="Q9" s="714" t="s">
        <v>820</v>
      </c>
      <c r="R9" s="714"/>
      <c r="S9" s="714" t="s">
        <v>863</v>
      </c>
      <c r="T9" s="717"/>
      <c r="U9" s="714"/>
      <c r="V9" s="718" t="s">
        <v>864</v>
      </c>
      <c r="W9" s="718" t="s">
        <v>864</v>
      </c>
      <c r="X9" s="232"/>
      <c r="Y9" s="719"/>
      <c r="Z9" s="714" t="s">
        <v>920</v>
      </c>
      <c r="AA9" s="720" t="s">
        <v>921</v>
      </c>
      <c r="AB9" s="714"/>
      <c r="AC9" s="717">
        <v>1</v>
      </c>
      <c r="AD9" s="717"/>
    </row>
    <row r="10" spans="1:1017" s="224" customFormat="1" ht="13.5" customHeight="1">
      <c r="A10" s="225">
        <v>2</v>
      </c>
      <c r="B10" s="239" t="s">
        <v>922</v>
      </c>
      <c r="C10" s="221"/>
      <c r="D10" s="221"/>
      <c r="E10" s="221"/>
      <c r="F10" s="221"/>
      <c r="G10" s="221"/>
      <c r="H10" s="714" t="s">
        <v>923</v>
      </c>
      <c r="I10" s="715" t="s">
        <v>924</v>
      </c>
      <c r="J10" s="714"/>
      <c r="K10" s="715" t="s">
        <v>925</v>
      </c>
      <c r="L10" s="714" t="s">
        <v>926</v>
      </c>
      <c r="M10" s="714" t="s">
        <v>927</v>
      </c>
      <c r="N10" s="714"/>
      <c r="O10" s="714"/>
      <c r="P10" s="716"/>
      <c r="Q10" s="714" t="s">
        <v>817</v>
      </c>
      <c r="R10" s="714"/>
      <c r="S10" s="714" t="s">
        <v>863</v>
      </c>
      <c r="T10" s="717"/>
      <c r="U10" s="714"/>
      <c r="V10" s="718" t="s">
        <v>864</v>
      </c>
      <c r="W10" s="718" t="s">
        <v>864</v>
      </c>
      <c r="X10" s="232"/>
      <c r="Y10" s="719"/>
      <c r="Z10" s="714"/>
      <c r="AA10" s="720"/>
      <c r="AB10" s="714"/>
      <c r="AC10" s="717"/>
      <c r="AD10" s="717"/>
    </row>
    <row r="11" spans="1:1017" s="224" customFormat="1" ht="13.5" customHeight="1">
      <c r="A11" s="225">
        <v>3</v>
      </c>
      <c r="B11" s="239" t="s">
        <v>928</v>
      </c>
      <c r="C11" s="240"/>
      <c r="D11" s="241"/>
      <c r="E11" s="241"/>
      <c r="F11" s="241"/>
      <c r="G11" s="241"/>
      <c r="H11" s="714" t="s">
        <v>929</v>
      </c>
      <c r="I11" s="715" t="s">
        <v>930</v>
      </c>
      <c r="J11" s="714"/>
      <c r="K11" s="715" t="s">
        <v>931</v>
      </c>
      <c r="L11" s="714"/>
      <c r="M11" s="714"/>
      <c r="N11" s="714"/>
      <c r="O11" s="714"/>
      <c r="P11" s="716"/>
      <c r="Q11" s="714" t="s">
        <v>820</v>
      </c>
      <c r="R11" s="714"/>
      <c r="S11" s="714" t="s">
        <v>879</v>
      </c>
      <c r="T11" s="717"/>
      <c r="U11" s="714" t="s">
        <v>932</v>
      </c>
      <c r="V11" s="718" t="s">
        <v>864</v>
      </c>
      <c r="W11" s="718" t="s">
        <v>864</v>
      </c>
      <c r="X11" s="232"/>
      <c r="Y11" s="719"/>
      <c r="Z11" s="714"/>
      <c r="AA11" s="720"/>
      <c r="AB11" s="714"/>
      <c r="AC11" s="717">
        <v>1</v>
      </c>
      <c r="AD11" s="717"/>
    </row>
    <row r="12" spans="1:1017" s="224" customFormat="1" ht="13.5" customHeight="1">
      <c r="A12" s="225">
        <v>4</v>
      </c>
      <c r="B12" s="239" t="s">
        <v>933</v>
      </c>
      <c r="C12" s="240"/>
      <c r="D12" s="241"/>
      <c r="E12" s="241"/>
      <c r="F12" s="241"/>
      <c r="G12" s="241"/>
      <c r="H12" s="714" t="s">
        <v>934</v>
      </c>
      <c r="I12" s="715" t="s">
        <v>935</v>
      </c>
      <c r="J12" s="714"/>
      <c r="K12" s="715" t="s">
        <v>936</v>
      </c>
      <c r="L12" s="714"/>
      <c r="M12" s="714"/>
      <c r="N12" s="714"/>
      <c r="O12" s="714"/>
      <c r="P12" s="716"/>
      <c r="Q12" s="714" t="s">
        <v>820</v>
      </c>
      <c r="R12" s="714"/>
      <c r="S12" s="714" t="s">
        <v>863</v>
      </c>
      <c r="T12" s="717"/>
      <c r="U12" s="714"/>
      <c r="V12" s="718" t="s">
        <v>864</v>
      </c>
      <c r="W12" s="718" t="s">
        <v>864</v>
      </c>
      <c r="X12" s="232"/>
      <c r="Y12" s="719"/>
      <c r="Z12" s="714"/>
      <c r="AA12" s="720"/>
      <c r="AB12" s="714"/>
      <c r="AC12" s="717">
        <v>1</v>
      </c>
      <c r="AD12" s="717"/>
    </row>
    <row r="13" spans="1:1017" s="224" customFormat="1" ht="13.5" customHeight="1">
      <c r="A13" s="225">
        <v>5</v>
      </c>
      <c r="B13" s="239" t="s">
        <v>937</v>
      </c>
      <c r="C13" s="240"/>
      <c r="D13" s="241"/>
      <c r="E13" s="241"/>
      <c r="F13" s="241"/>
      <c r="G13" s="241"/>
      <c r="H13" s="714" t="s">
        <v>938</v>
      </c>
      <c r="I13" s="715"/>
      <c r="J13" s="714"/>
      <c r="K13" s="715" t="s">
        <v>939</v>
      </c>
      <c r="L13" s="714"/>
      <c r="M13" s="714"/>
      <c r="N13" s="714"/>
      <c r="O13" s="714"/>
      <c r="P13" s="716"/>
      <c r="Q13" s="714" t="s">
        <v>820</v>
      </c>
      <c r="R13" s="714"/>
      <c r="S13" s="714" t="s">
        <v>863</v>
      </c>
      <c r="T13" s="717"/>
      <c r="U13" s="714"/>
      <c r="V13" s="718" t="s">
        <v>864</v>
      </c>
      <c r="W13" s="718" t="s">
        <v>864</v>
      </c>
      <c r="X13" s="232"/>
      <c r="Y13" s="719"/>
      <c r="Z13" s="714"/>
      <c r="AA13" s="720"/>
      <c r="AB13" s="714"/>
      <c r="AC13" s="717">
        <v>1</v>
      </c>
      <c r="AD13" s="717"/>
    </row>
    <row r="14" spans="1:1017" s="224" customFormat="1" ht="13.5" customHeight="1">
      <c r="A14" s="225">
        <v>6</v>
      </c>
      <c r="B14" s="239" t="s">
        <v>940</v>
      </c>
      <c r="C14" s="678"/>
      <c r="D14" s="241"/>
      <c r="E14" s="241"/>
      <c r="F14" s="241"/>
      <c r="G14" s="241"/>
      <c r="H14" s="714" t="s">
        <v>941</v>
      </c>
      <c r="I14" s="715"/>
      <c r="J14" s="714"/>
      <c r="K14" s="715" t="s">
        <v>942</v>
      </c>
      <c r="L14" s="714"/>
      <c r="M14" s="714"/>
      <c r="N14" s="714"/>
      <c r="O14" s="714"/>
      <c r="P14" s="716"/>
      <c r="Q14" s="714" t="s">
        <v>817</v>
      </c>
      <c r="R14" s="714"/>
      <c r="S14" s="714" t="s">
        <v>875</v>
      </c>
      <c r="T14" s="717"/>
      <c r="U14" s="714"/>
      <c r="V14" s="718" t="s">
        <v>864</v>
      </c>
      <c r="W14" s="718" t="s">
        <v>864</v>
      </c>
      <c r="X14" s="232"/>
      <c r="Y14" s="719"/>
      <c r="Z14" s="714"/>
      <c r="AA14" s="720"/>
      <c r="AB14" s="714"/>
      <c r="AC14" s="717">
        <v>1</v>
      </c>
      <c r="AD14" s="717"/>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8"/>
      <c r="U17" s="96"/>
      <c r="V17" s="96"/>
      <c r="W17" s="96"/>
      <c r="X17"/>
      <c r="Y17" s="179"/>
      <c r="Z17" s="96"/>
      <c r="AA17" s="159"/>
      <c r="AB17" s="96"/>
      <c r="AD17" s="96"/>
      <c r="AMA17"/>
      <c r="AMB17"/>
      <c r="AMC17"/>
    </row>
    <row r="18" spans="1:1017" s="128" customFormat="1" ht="12" customHeight="1">
      <c r="I18" s="224"/>
      <c r="P18" s="174"/>
      <c r="R18" s="96"/>
      <c r="S18" s="96"/>
      <c r="T18" s="278"/>
      <c r="U18" s="96"/>
      <c r="V18" s="96"/>
      <c r="W18" s="96"/>
      <c r="X18"/>
      <c r="Y18" s="179"/>
      <c r="Z18" s="96"/>
      <c r="AA18" s="159"/>
      <c r="AB18" s="96"/>
      <c r="AD18" s="96"/>
      <c r="AMA18"/>
      <c r="AMB18"/>
      <c r="AMC18"/>
    </row>
    <row r="19" spans="1:1017" s="128" customFormat="1" ht="12" customHeight="1">
      <c r="I19" s="224"/>
      <c r="P19" s="174"/>
      <c r="R19" s="96"/>
      <c r="S19" s="96"/>
      <c r="T19" s="278"/>
      <c r="U19" s="96"/>
      <c r="V19" s="96"/>
      <c r="W19" s="96"/>
      <c r="X19"/>
      <c r="Y19" s="179"/>
      <c r="Z19" s="96"/>
      <c r="AA19" s="159"/>
      <c r="AB19" s="96"/>
      <c r="AD19" s="96"/>
      <c r="AMA19"/>
      <c r="AMB19"/>
      <c r="AMC19"/>
    </row>
    <row r="20" spans="1:1017" s="128" customFormat="1" ht="12" customHeight="1">
      <c r="I20" s="224"/>
      <c r="P20" s="174"/>
      <c r="R20" s="96"/>
      <c r="S20" s="96"/>
      <c r="T20" s="278"/>
      <c r="U20" s="96"/>
      <c r="V20" s="96"/>
      <c r="W20" s="96"/>
      <c r="X20"/>
      <c r="Y20" s="179"/>
      <c r="Z20" s="96"/>
      <c r="AA20" s="159"/>
      <c r="AB20" s="96"/>
      <c r="AD20" s="96"/>
      <c r="AMA20"/>
      <c r="AMB20"/>
      <c r="AMC20"/>
    </row>
    <row r="21" spans="1:1017" s="128" customFormat="1" ht="12" customHeight="1">
      <c r="I21" s="224"/>
      <c r="P21" s="174"/>
      <c r="R21" s="96"/>
      <c r="S21" s="96"/>
      <c r="T21" s="278"/>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8"/>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8"/>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8"/>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8"/>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8"/>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8"/>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8"/>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8"/>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8"/>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8"/>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8"/>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8"/>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8"/>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8"/>
      <c r="U53" s="96"/>
      <c r="V53" s="96"/>
      <c r="W53" s="96"/>
      <c r="X53"/>
      <c r="Y53" s="179"/>
      <c r="Z53" s="96"/>
      <c r="AA53" s="161"/>
      <c r="AB53" s="96"/>
      <c r="AD53" s="96"/>
      <c r="AMB53"/>
    </row>
    <row r="54" spans="1:1018" s="117" customFormat="1" ht="12" customHeight="1">
      <c r="A54" s="123"/>
      <c r="B54" s="123"/>
      <c r="C54" s="123"/>
      <c r="D54" s="123"/>
      <c r="E54" s="123"/>
      <c r="F54" s="123"/>
      <c r="G54" s="112"/>
      <c r="H54" s="112"/>
      <c r="I54" s="277"/>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7"/>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7"/>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7"/>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8"/>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8"/>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1683" priority="78">
      <formula>OR($AD16="X",$AB16="X")</formula>
    </cfRule>
    <cfRule type="expression" dxfId="1682" priority="79">
      <formula>AND($AD16=1,$AB16=1)</formula>
    </cfRule>
    <cfRule type="expression" dxfId="1681" priority="80">
      <formula>$AD16=1</formula>
    </cfRule>
    <cfRule type="expression" dxfId="1680" priority="81">
      <formula>$AB16=1</formula>
    </cfRule>
  </conditionalFormatting>
  <conditionalFormatting sqref="A9:G14">
    <cfRule type="expression" dxfId="1679" priority="23">
      <formula>OR($AD9="X",$AC9="X")</formula>
    </cfRule>
    <cfRule type="expression" dxfId="1678" priority="25">
      <formula>AND($AD9=1,$AC9=1)</formula>
    </cfRule>
    <cfRule type="expression" dxfId="1677" priority="26">
      <formula>$AD9=1</formula>
    </cfRule>
    <cfRule type="expression" dxfId="1676" priority="27">
      <formula>$AC9=1</formula>
    </cfRule>
    <cfRule type="expression" dxfId="1675" priority="28">
      <formula>AND(NOT(ISBLANK($W9)),ISBLANK($AC9),ISBLANK($AD9))</formula>
    </cfRule>
  </conditionalFormatting>
  <conditionalFormatting sqref="C9:C14">
    <cfRule type="expression" dxfId="1674" priority="22">
      <formula>AND($R9="X",$B9&lt;&gt;"")</formula>
    </cfRule>
  </conditionalFormatting>
  <conditionalFormatting sqref="D9:D14">
    <cfRule type="expression" dxfId="1673" priority="24">
      <formula>AND($R9="X",OR($B9&lt;&gt;"",$C9&lt;&gt;""))</formula>
    </cfRule>
  </conditionalFormatting>
  <conditionalFormatting sqref="E9:E14">
    <cfRule type="expression" dxfId="1672"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1671" priority="20">
      <formula>AND($R9="X",OR($B9&lt;&gt;"",$C9&lt;&gt;"",$D9&lt;&gt;"",$E9&lt;&gt;""))</formula>
    </cfRule>
  </conditionalFormatting>
  <conditionalFormatting sqref="G9:G14">
    <cfRule type="expression" dxfId="1670" priority="21">
      <formula>AND($R9="X",OR($B9&lt;&gt;"",$C9&lt;&gt;"",$D9&lt;&gt;"",$E9&lt;&gt;"",$F9&lt;&gt;""))</formula>
    </cfRule>
  </conditionalFormatting>
  <conditionalFormatting sqref="H16:H17 H37:H877">
    <cfRule type="expression" dxfId="1669" priority="77">
      <formula>$Q16="X"</formula>
    </cfRule>
  </conditionalFormatting>
  <conditionalFormatting sqref="I9:I14">
    <cfRule type="expression" dxfId="1668" priority="18">
      <formula>$R9="X"</formula>
    </cfRule>
  </conditionalFormatting>
  <conditionalFormatting sqref="Q9:Q14">
    <cfRule type="cellIs" dxfId="1667" priority="2" operator="equal">
      <formula>"1..1"</formula>
    </cfRule>
    <cfRule type="cellIs" dxfId="1666" priority="3" operator="equal">
      <formula>"0..n"</formula>
    </cfRule>
    <cfRule type="cellIs" dxfId="1665"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25" activePane="bottomRight" state="frozen"/>
      <selection pane="bottomRight" activeCell="D24" sqref="D24"/>
      <selection pane="bottomLeft" activeCell="A9" sqref="A9"/>
      <selection pane="topRight" activeCell="H1" sqref="H1"/>
    </sheetView>
  </sheetViews>
  <sheetFormatPr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8"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628" t="s">
        <v>943</v>
      </c>
      <c r="E1" s="150"/>
      <c r="F1" s="157">
        <f>createCase142[[#Totals],[Métier]] / createCase142[[#Totals],[ID]]</f>
        <v>0.96022727272727271</v>
      </c>
      <c r="G1" s="128"/>
      <c r="H1" s="692" t="s">
        <v>911</v>
      </c>
      <c r="I1" s="692"/>
      <c r="J1" s="692"/>
      <c r="O1" s="693" t="s">
        <v>816</v>
      </c>
      <c r="P1" s="693"/>
      <c r="AC1" s="96"/>
      <c r="AE1"/>
      <c r="AF1" s="128"/>
      <c r="ALZ1"/>
    </row>
    <row r="2" spans="1:1014" ht="13.5" customHeight="1">
      <c r="C2" s="574" t="s">
        <v>944</v>
      </c>
      <c r="D2" s="285"/>
      <c r="E2" s="152"/>
      <c r="F2" s="157">
        <f>createCase142[[#Totals],[NexSIS]] / createCase142[[#Totals],[ID]]</f>
        <v>0.47727272727272729</v>
      </c>
      <c r="G2" s="128"/>
      <c r="H2" s="692"/>
      <c r="I2" s="692"/>
      <c r="J2" s="692"/>
      <c r="AC2" s="96"/>
      <c r="AE2"/>
      <c r="AF2" s="128"/>
      <c r="ALZ2"/>
    </row>
    <row r="3" spans="1:1014" ht="13.5" customHeight="1">
      <c r="C3" s="611" t="s">
        <v>945</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1"/>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8"/>
      <c r="E7" s="138"/>
      <c r="F7" s="138"/>
      <c r="L7" s="694" t="s">
        <v>828</v>
      </c>
      <c r="M7" s="694"/>
      <c r="N7" s="694"/>
      <c r="O7" s="694"/>
      <c r="AC7" s="694" t="s">
        <v>830</v>
      </c>
      <c r="AD7" s="694"/>
      <c r="AE7"/>
      <c r="AF7" s="128"/>
      <c r="ALZ7"/>
    </row>
    <row r="8" spans="1:1014" ht="13.5" customHeight="1">
      <c r="A8"/>
      <c r="B8" s="551" t="s">
        <v>946</v>
      </c>
      <c r="C8" s="272"/>
      <c r="D8" s="550"/>
      <c r="E8" s="272"/>
      <c r="F8" s="272"/>
      <c r="L8" s="538"/>
      <c r="M8" s="538"/>
      <c r="N8" s="538"/>
      <c r="O8" s="538"/>
      <c r="AC8" s="538"/>
      <c r="AD8" s="538"/>
      <c r="AE8"/>
      <c r="AF8" s="128"/>
      <c r="ALZ8"/>
    </row>
    <row r="9" spans="1:1014" s="552" customFormat="1" ht="13.5" customHeight="1">
      <c r="B9" s="553" t="s">
        <v>947</v>
      </c>
      <c r="C9" s="554"/>
      <c r="D9" s="555"/>
      <c r="E9" s="554"/>
      <c r="F9" s="554"/>
      <c r="G9" s="556"/>
      <c r="H9" s="556"/>
      <c r="I9" s="557"/>
      <c r="J9" s="556"/>
      <c r="K9" s="558"/>
      <c r="L9" s="559"/>
      <c r="M9" s="559"/>
      <c r="N9" s="559"/>
      <c r="O9" s="559"/>
      <c r="P9" s="560"/>
      <c r="Q9" s="556"/>
      <c r="R9" s="556"/>
      <c r="S9" s="556"/>
      <c r="T9" s="561"/>
      <c r="U9" s="556"/>
      <c r="V9" s="696" t="s">
        <v>829</v>
      </c>
      <c r="W9" s="696"/>
      <c r="Y9" s="562"/>
      <c r="Z9" s="556"/>
      <c r="AA9" s="558"/>
      <c r="AB9" s="556"/>
      <c r="AC9" s="559"/>
      <c r="AD9" s="559"/>
      <c r="AF9" s="555"/>
      <c r="AG9" s="555"/>
      <c r="AH9" s="555"/>
      <c r="AI9" s="555"/>
      <c r="AJ9" s="555"/>
      <c r="AK9" s="555"/>
      <c r="AL9" s="555"/>
      <c r="AM9" s="555"/>
      <c r="AN9" s="555"/>
      <c r="AO9" s="555"/>
      <c r="AP9" s="555"/>
      <c r="AQ9" s="555"/>
      <c r="AR9" s="555"/>
      <c r="AS9" s="555"/>
      <c r="AT9" s="555"/>
      <c r="AU9" s="555"/>
      <c r="AV9" s="555"/>
      <c r="AW9" s="555"/>
      <c r="AX9" s="555"/>
      <c r="AY9" s="555"/>
      <c r="AZ9" s="555"/>
      <c r="BA9" s="555"/>
      <c r="BB9" s="555"/>
      <c r="BC9" s="555"/>
      <c r="BD9" s="555"/>
      <c r="BE9" s="555"/>
      <c r="BF9" s="555"/>
      <c r="BG9" s="555"/>
      <c r="BH9" s="555"/>
      <c r="BI9" s="555"/>
      <c r="BJ9" s="555"/>
      <c r="BK9" s="555"/>
      <c r="BL9" s="555"/>
      <c r="BM9" s="555"/>
      <c r="BN9" s="555"/>
      <c r="BO9" s="555"/>
      <c r="BP9" s="555"/>
      <c r="BQ9" s="555"/>
      <c r="BR9" s="555"/>
      <c r="BS9" s="555"/>
      <c r="BT9" s="555"/>
      <c r="BU9" s="555"/>
      <c r="BV9" s="555"/>
      <c r="BW9" s="555"/>
      <c r="BX9" s="555"/>
      <c r="BY9" s="555"/>
      <c r="BZ9" s="555"/>
      <c r="CA9" s="555"/>
      <c r="CB9" s="555"/>
      <c r="CC9" s="555"/>
      <c r="CD9" s="555"/>
      <c r="CE9" s="555"/>
      <c r="CF9" s="555"/>
      <c r="CG9" s="555"/>
      <c r="CH9" s="555"/>
      <c r="CI9" s="555"/>
      <c r="CJ9" s="555"/>
      <c r="CK9" s="555"/>
      <c r="CL9" s="555"/>
      <c r="CM9" s="555"/>
      <c r="CN9" s="555"/>
      <c r="CO9" s="555"/>
      <c r="CP9" s="555"/>
      <c r="CQ9" s="555"/>
      <c r="CR9" s="555"/>
      <c r="CS9" s="555"/>
      <c r="CT9" s="555"/>
      <c r="CU9" s="555"/>
      <c r="CV9" s="555"/>
      <c r="CW9" s="555"/>
      <c r="CX9" s="555"/>
      <c r="CY9" s="555"/>
      <c r="CZ9" s="555"/>
      <c r="DA9" s="555"/>
      <c r="DB9" s="555"/>
      <c r="DC9" s="555"/>
      <c r="DD9" s="555"/>
      <c r="DE9" s="555"/>
      <c r="DF9" s="555"/>
      <c r="DG9" s="555"/>
      <c r="DH9" s="555"/>
      <c r="DI9" s="555"/>
      <c r="DJ9" s="555"/>
      <c r="DK9" s="555"/>
      <c r="DL9" s="555"/>
      <c r="DM9" s="555"/>
      <c r="DN9" s="555"/>
      <c r="DO9" s="555"/>
      <c r="DP9" s="555"/>
      <c r="DQ9" s="555"/>
      <c r="DR9" s="555"/>
      <c r="DS9" s="555"/>
      <c r="DT9" s="555"/>
      <c r="DU9" s="555"/>
      <c r="DV9" s="555"/>
      <c r="DW9" s="555"/>
      <c r="DX9" s="555"/>
      <c r="DY9" s="555"/>
      <c r="DZ9" s="555"/>
      <c r="EA9" s="555"/>
      <c r="EB9" s="555"/>
      <c r="EC9" s="555"/>
      <c r="ED9" s="555"/>
      <c r="EE9" s="555"/>
      <c r="EF9" s="555"/>
      <c r="EG9" s="555"/>
      <c r="EH9" s="555"/>
      <c r="EI9" s="555"/>
      <c r="EJ9" s="555"/>
      <c r="EK9" s="555"/>
      <c r="EL9" s="555"/>
      <c r="EM9" s="555"/>
      <c r="EN9" s="555"/>
      <c r="EO9" s="555"/>
      <c r="EP9" s="555"/>
      <c r="EQ9" s="555"/>
      <c r="ER9" s="555"/>
      <c r="ES9" s="555"/>
      <c r="ET9" s="555"/>
      <c r="EU9" s="555"/>
      <c r="EV9" s="555"/>
      <c r="EW9" s="555"/>
      <c r="EX9" s="555"/>
      <c r="EY9" s="555"/>
      <c r="EZ9" s="555"/>
      <c r="FA9" s="555"/>
      <c r="FB9" s="555"/>
      <c r="FC9" s="555"/>
      <c r="FD9" s="555"/>
      <c r="FE9" s="555"/>
      <c r="FF9" s="555"/>
      <c r="FG9" s="555"/>
      <c r="FH9" s="555"/>
      <c r="FI9" s="555"/>
      <c r="FJ9" s="555"/>
      <c r="FK9" s="555"/>
      <c r="FL9" s="555"/>
      <c r="FM9" s="555"/>
      <c r="FN9" s="555"/>
      <c r="FO9" s="555"/>
      <c r="FP9" s="555"/>
      <c r="FQ9" s="555"/>
      <c r="FR9" s="555"/>
      <c r="FS9" s="555"/>
      <c r="FT9" s="555"/>
      <c r="FU9" s="555"/>
      <c r="FV9" s="555"/>
      <c r="FW9" s="555"/>
      <c r="FX9" s="555"/>
      <c r="FY9" s="555"/>
      <c r="FZ9" s="555"/>
      <c r="GA9" s="555"/>
      <c r="GB9" s="555"/>
      <c r="GC9" s="555"/>
      <c r="GD9" s="555"/>
      <c r="GE9" s="555"/>
      <c r="GF9" s="555"/>
      <c r="GG9" s="555"/>
      <c r="GH9" s="555"/>
      <c r="GI9" s="555"/>
      <c r="GJ9" s="555"/>
      <c r="GK9" s="555"/>
      <c r="GL9" s="555"/>
      <c r="GM9" s="555"/>
      <c r="GN9" s="555"/>
      <c r="GO9" s="555"/>
      <c r="GP9" s="555"/>
      <c r="GQ9" s="555"/>
      <c r="GR9" s="555"/>
      <c r="GS9" s="555"/>
      <c r="GT9" s="555"/>
      <c r="GU9" s="555"/>
      <c r="GV9" s="555"/>
      <c r="GW9" s="555"/>
      <c r="GX9" s="555"/>
      <c r="GY9" s="555"/>
      <c r="GZ9" s="555"/>
      <c r="HA9" s="555"/>
      <c r="HB9" s="555"/>
      <c r="HC9" s="555"/>
      <c r="HD9" s="555"/>
      <c r="HE9" s="555"/>
      <c r="HF9" s="555"/>
      <c r="HG9" s="555"/>
      <c r="HH9" s="555"/>
      <c r="HI9" s="555"/>
      <c r="HJ9" s="555"/>
      <c r="HK9" s="555"/>
      <c r="HL9" s="555"/>
      <c r="HM9" s="555"/>
      <c r="HN9" s="555"/>
      <c r="HO9" s="555"/>
      <c r="HP9" s="555"/>
      <c r="HQ9" s="555"/>
      <c r="HR9" s="555"/>
      <c r="HS9" s="555"/>
      <c r="HT9" s="555"/>
      <c r="HU9" s="555"/>
      <c r="HV9" s="555"/>
      <c r="HW9" s="555"/>
      <c r="HX9" s="555"/>
      <c r="HY9" s="555"/>
      <c r="HZ9" s="555"/>
      <c r="IA9" s="555"/>
      <c r="IB9" s="555"/>
      <c r="IC9" s="555"/>
      <c r="ID9" s="555"/>
      <c r="IE9" s="555"/>
      <c r="IF9" s="555"/>
      <c r="IG9" s="555"/>
      <c r="IH9" s="555"/>
      <c r="II9" s="555"/>
      <c r="IJ9" s="555"/>
      <c r="IK9" s="555"/>
      <c r="IL9" s="555"/>
      <c r="IM9" s="555"/>
      <c r="IN9" s="555"/>
      <c r="IO9" s="555"/>
      <c r="IP9" s="555"/>
      <c r="IQ9" s="555"/>
      <c r="IR9" s="555"/>
      <c r="IS9" s="555"/>
      <c r="IT9" s="555"/>
      <c r="IU9" s="555"/>
      <c r="IV9" s="555"/>
      <c r="IW9" s="555"/>
      <c r="IX9" s="555"/>
      <c r="IY9" s="555"/>
      <c r="IZ9" s="555"/>
      <c r="JA9" s="555"/>
      <c r="JB9" s="555"/>
      <c r="JC9" s="555"/>
      <c r="JD9" s="555"/>
      <c r="JE9" s="555"/>
      <c r="JF9" s="555"/>
      <c r="JG9" s="555"/>
      <c r="JH9" s="555"/>
      <c r="JI9" s="555"/>
      <c r="JJ9" s="555"/>
      <c r="JK9" s="555"/>
      <c r="JL9" s="555"/>
      <c r="JM9" s="555"/>
      <c r="JN9" s="555"/>
      <c r="JO9" s="555"/>
      <c r="JP9" s="555"/>
      <c r="JQ9" s="555"/>
      <c r="JR9" s="555"/>
      <c r="JS9" s="555"/>
      <c r="JT9" s="555"/>
      <c r="JU9" s="555"/>
      <c r="JV9" s="555"/>
      <c r="JW9" s="555"/>
      <c r="JX9" s="555"/>
      <c r="JY9" s="555"/>
      <c r="JZ9" s="555"/>
      <c r="KA9" s="555"/>
      <c r="KB9" s="555"/>
      <c r="KC9" s="555"/>
      <c r="KD9" s="555"/>
      <c r="KE9" s="555"/>
      <c r="KF9" s="555"/>
      <c r="KG9" s="555"/>
      <c r="KH9" s="555"/>
      <c r="KI9" s="555"/>
      <c r="KJ9" s="555"/>
      <c r="KK9" s="555"/>
      <c r="KL9" s="555"/>
      <c r="KM9" s="555"/>
      <c r="KN9" s="555"/>
      <c r="KO9" s="555"/>
      <c r="KP9" s="555"/>
      <c r="KQ9" s="555"/>
      <c r="KR9" s="555"/>
      <c r="KS9" s="555"/>
      <c r="KT9" s="555"/>
      <c r="KU9" s="555"/>
      <c r="KV9" s="555"/>
      <c r="KW9" s="555"/>
      <c r="KX9" s="555"/>
      <c r="KY9" s="555"/>
      <c r="KZ9" s="555"/>
      <c r="LA9" s="555"/>
      <c r="LB9" s="555"/>
      <c r="LC9" s="555"/>
      <c r="LD9" s="555"/>
      <c r="LE9" s="555"/>
      <c r="LF9" s="555"/>
      <c r="LG9" s="555"/>
      <c r="LH9" s="555"/>
      <c r="LI9" s="555"/>
      <c r="LJ9" s="555"/>
      <c r="LK9" s="555"/>
      <c r="LL9" s="555"/>
      <c r="LM9" s="555"/>
      <c r="LN9" s="555"/>
      <c r="LO9" s="555"/>
      <c r="LP9" s="555"/>
      <c r="LQ9" s="555"/>
      <c r="LR9" s="555"/>
      <c r="LS9" s="555"/>
      <c r="LT9" s="555"/>
      <c r="LU9" s="555"/>
      <c r="LV9" s="555"/>
      <c r="LW9" s="555"/>
      <c r="LX9" s="555"/>
      <c r="LY9" s="555"/>
      <c r="LZ9" s="555"/>
      <c r="MA9" s="555"/>
      <c r="MB9" s="555"/>
      <c r="MC9" s="555"/>
      <c r="MD9" s="555"/>
      <c r="ME9" s="555"/>
      <c r="MF9" s="555"/>
      <c r="MG9" s="555"/>
      <c r="MH9" s="555"/>
      <c r="MI9" s="555"/>
      <c r="MJ9" s="555"/>
      <c r="MK9" s="555"/>
      <c r="ML9" s="555"/>
      <c r="MM9" s="555"/>
      <c r="MN9" s="555"/>
      <c r="MO9" s="555"/>
      <c r="MP9" s="555"/>
      <c r="MQ9" s="555"/>
      <c r="MR9" s="555"/>
      <c r="MS9" s="555"/>
      <c r="MT9" s="555"/>
      <c r="MU9" s="555"/>
      <c r="MV9" s="555"/>
      <c r="MW9" s="555"/>
      <c r="MX9" s="555"/>
      <c r="MY9" s="555"/>
      <c r="MZ9" s="555"/>
      <c r="NA9" s="555"/>
      <c r="NB9" s="555"/>
      <c r="NC9" s="555"/>
      <c r="ND9" s="555"/>
      <c r="NE9" s="555"/>
      <c r="NF9" s="555"/>
      <c r="NG9" s="555"/>
      <c r="NH9" s="555"/>
      <c r="NI9" s="555"/>
      <c r="NJ9" s="555"/>
      <c r="NK9" s="555"/>
      <c r="NL9" s="555"/>
      <c r="NM9" s="555"/>
      <c r="NN9" s="555"/>
      <c r="NO9" s="555"/>
      <c r="NP9" s="555"/>
      <c r="NQ9" s="555"/>
      <c r="NR9" s="555"/>
      <c r="NS9" s="555"/>
      <c r="NT9" s="555"/>
      <c r="NU9" s="555"/>
      <c r="NV9" s="555"/>
      <c r="NW9" s="555"/>
      <c r="NX9" s="555"/>
      <c r="NY9" s="555"/>
      <c r="NZ9" s="555"/>
      <c r="OA9" s="555"/>
      <c r="OB9" s="555"/>
      <c r="OC9" s="555"/>
      <c r="OD9" s="555"/>
      <c r="OE9" s="555"/>
      <c r="OF9" s="555"/>
      <c r="OG9" s="555"/>
      <c r="OH9" s="555"/>
      <c r="OI9" s="555"/>
      <c r="OJ9" s="555"/>
      <c r="OK9" s="555"/>
      <c r="OL9" s="555"/>
      <c r="OM9" s="555"/>
      <c r="ON9" s="555"/>
      <c r="OO9" s="555"/>
      <c r="OP9" s="555"/>
      <c r="OQ9" s="555"/>
      <c r="OR9" s="555"/>
      <c r="OS9" s="555"/>
      <c r="OT9" s="555"/>
      <c r="OU9" s="555"/>
      <c r="OV9" s="555"/>
      <c r="OW9" s="555"/>
      <c r="OX9" s="555"/>
      <c r="OY9" s="555"/>
      <c r="OZ9" s="555"/>
      <c r="PA9" s="555"/>
      <c r="PB9" s="555"/>
      <c r="PC9" s="555"/>
      <c r="PD9" s="555"/>
      <c r="PE9" s="555"/>
      <c r="PF9" s="555"/>
      <c r="PG9" s="555"/>
      <c r="PH9" s="555"/>
      <c r="PI9" s="555"/>
      <c r="PJ9" s="555"/>
      <c r="PK9" s="555"/>
      <c r="PL9" s="555"/>
      <c r="PM9" s="555"/>
      <c r="PN9" s="555"/>
      <c r="PO9" s="555"/>
      <c r="PP9" s="555"/>
      <c r="PQ9" s="555"/>
      <c r="PR9" s="555"/>
      <c r="PS9" s="555"/>
      <c r="PT9" s="555"/>
      <c r="PU9" s="555"/>
      <c r="PV9" s="555"/>
      <c r="PW9" s="555"/>
      <c r="PX9" s="555"/>
      <c r="PY9" s="555"/>
      <c r="PZ9" s="555"/>
      <c r="QA9" s="555"/>
      <c r="QB9" s="555"/>
      <c r="QC9" s="555"/>
      <c r="QD9" s="555"/>
      <c r="QE9" s="555"/>
      <c r="QF9" s="555"/>
      <c r="QG9" s="555"/>
      <c r="QH9" s="555"/>
      <c r="QI9" s="555"/>
      <c r="QJ9" s="555"/>
      <c r="QK9" s="555"/>
      <c r="QL9" s="555"/>
      <c r="QM9" s="555"/>
      <c r="QN9" s="555"/>
      <c r="QO9" s="555"/>
      <c r="QP9" s="555"/>
      <c r="QQ9" s="555"/>
      <c r="QR9" s="555"/>
      <c r="QS9" s="555"/>
      <c r="QT9" s="555"/>
      <c r="QU9" s="555"/>
      <c r="QV9" s="555"/>
      <c r="QW9" s="555"/>
      <c r="QX9" s="555"/>
      <c r="QY9" s="555"/>
      <c r="QZ9" s="555"/>
      <c r="RA9" s="555"/>
      <c r="RB9" s="555"/>
      <c r="RC9" s="555"/>
      <c r="RD9" s="555"/>
      <c r="RE9" s="555"/>
      <c r="RF9" s="555"/>
      <c r="RG9" s="555"/>
      <c r="RH9" s="555"/>
      <c r="RI9" s="555"/>
      <c r="RJ9" s="555"/>
      <c r="RK9" s="555"/>
      <c r="RL9" s="555"/>
      <c r="RM9" s="555"/>
      <c r="RN9" s="555"/>
      <c r="RO9" s="555"/>
      <c r="RP9" s="555"/>
      <c r="RQ9" s="555"/>
      <c r="RR9" s="555"/>
      <c r="RS9" s="555"/>
      <c r="RT9" s="555"/>
      <c r="RU9" s="555"/>
      <c r="RV9" s="555"/>
      <c r="RW9" s="555"/>
      <c r="RX9" s="555"/>
      <c r="RY9" s="555"/>
      <c r="RZ9" s="555"/>
      <c r="SA9" s="555"/>
      <c r="SB9" s="555"/>
      <c r="SC9" s="555"/>
      <c r="SD9" s="555"/>
      <c r="SE9" s="555"/>
      <c r="SF9" s="555"/>
      <c r="SG9" s="555"/>
      <c r="SH9" s="555"/>
      <c r="SI9" s="555"/>
      <c r="SJ9" s="555"/>
      <c r="SK9" s="555"/>
      <c r="SL9" s="555"/>
      <c r="SM9" s="555"/>
      <c r="SN9" s="555"/>
      <c r="SO9" s="555"/>
      <c r="SP9" s="555"/>
      <c r="SQ9" s="555"/>
      <c r="SR9" s="555"/>
      <c r="SS9" s="555"/>
      <c r="ST9" s="555"/>
      <c r="SU9" s="555"/>
      <c r="SV9" s="555"/>
      <c r="SW9" s="555"/>
      <c r="SX9" s="555"/>
      <c r="SY9" s="555"/>
      <c r="SZ9" s="555"/>
      <c r="TA9" s="555"/>
      <c r="TB9" s="555"/>
      <c r="TC9" s="555"/>
      <c r="TD9" s="555"/>
      <c r="TE9" s="555"/>
      <c r="TF9" s="555"/>
      <c r="TG9" s="555"/>
      <c r="TH9" s="555"/>
      <c r="TI9" s="555"/>
      <c r="TJ9" s="555"/>
      <c r="TK9" s="555"/>
      <c r="TL9" s="555"/>
      <c r="TM9" s="555"/>
      <c r="TN9" s="555"/>
      <c r="TO9" s="555"/>
      <c r="TP9" s="555"/>
      <c r="TQ9" s="555"/>
      <c r="TR9" s="555"/>
      <c r="TS9" s="555"/>
      <c r="TT9" s="555"/>
      <c r="TU9" s="555"/>
      <c r="TV9" s="555"/>
      <c r="TW9" s="555"/>
      <c r="TX9" s="555"/>
      <c r="TY9" s="555"/>
      <c r="TZ9" s="555"/>
      <c r="UA9" s="555"/>
      <c r="UB9" s="555"/>
      <c r="UC9" s="555"/>
      <c r="UD9" s="555"/>
      <c r="UE9" s="555"/>
      <c r="UF9" s="555"/>
      <c r="UG9" s="555"/>
      <c r="UH9" s="555"/>
      <c r="UI9" s="555"/>
      <c r="UJ9" s="555"/>
      <c r="UK9" s="555"/>
      <c r="UL9" s="555"/>
      <c r="UM9" s="555"/>
      <c r="UN9" s="555"/>
      <c r="UO9" s="555"/>
      <c r="UP9" s="555"/>
      <c r="UQ9" s="555"/>
      <c r="UR9" s="555"/>
      <c r="US9" s="555"/>
      <c r="UT9" s="555"/>
      <c r="UU9" s="555"/>
      <c r="UV9" s="555"/>
      <c r="UW9" s="555"/>
      <c r="UX9" s="555"/>
      <c r="UY9" s="555"/>
      <c r="UZ9" s="555"/>
      <c r="VA9" s="555"/>
      <c r="VB9" s="555"/>
      <c r="VC9" s="555"/>
      <c r="VD9" s="555"/>
      <c r="VE9" s="555"/>
      <c r="VF9" s="555"/>
      <c r="VG9" s="555"/>
      <c r="VH9" s="555"/>
      <c r="VI9" s="555"/>
      <c r="VJ9" s="555"/>
      <c r="VK9" s="555"/>
      <c r="VL9" s="555"/>
      <c r="VM9" s="555"/>
      <c r="VN9" s="555"/>
      <c r="VO9" s="555"/>
      <c r="VP9" s="555"/>
      <c r="VQ9" s="555"/>
      <c r="VR9" s="555"/>
      <c r="VS9" s="555"/>
      <c r="VT9" s="555"/>
      <c r="VU9" s="555"/>
      <c r="VV9" s="555"/>
      <c r="VW9" s="555"/>
      <c r="VX9" s="555"/>
      <c r="VY9" s="555"/>
      <c r="VZ9" s="555"/>
      <c r="WA9" s="555"/>
      <c r="WB9" s="555"/>
      <c r="WC9" s="555"/>
      <c r="WD9" s="555"/>
      <c r="WE9" s="555"/>
      <c r="WF9" s="555"/>
      <c r="WG9" s="555"/>
      <c r="WH9" s="555"/>
      <c r="WI9" s="555"/>
      <c r="WJ9" s="555"/>
      <c r="WK9" s="555"/>
      <c r="WL9" s="555"/>
      <c r="WM9" s="555"/>
      <c r="WN9" s="555"/>
      <c r="WO9" s="555"/>
      <c r="WP9" s="555"/>
      <c r="WQ9" s="555"/>
      <c r="WR9" s="555"/>
      <c r="WS9" s="555"/>
      <c r="WT9" s="555"/>
      <c r="WU9" s="555"/>
      <c r="WV9" s="555"/>
      <c r="WW9" s="555"/>
      <c r="WX9" s="555"/>
      <c r="WY9" s="555"/>
      <c r="WZ9" s="555"/>
      <c r="XA9" s="555"/>
      <c r="XB9" s="555"/>
      <c r="XC9" s="555"/>
      <c r="XD9" s="555"/>
      <c r="XE9" s="555"/>
      <c r="XF9" s="555"/>
      <c r="XG9" s="555"/>
      <c r="XH9" s="555"/>
      <c r="XI9" s="555"/>
      <c r="XJ9" s="555"/>
      <c r="XK9" s="555"/>
      <c r="XL9" s="555"/>
      <c r="XM9" s="555"/>
      <c r="XN9" s="555"/>
      <c r="XO9" s="555"/>
      <c r="XP9" s="555"/>
      <c r="XQ9" s="555"/>
      <c r="XR9" s="555"/>
      <c r="XS9" s="555"/>
      <c r="XT9" s="555"/>
      <c r="XU9" s="555"/>
      <c r="XV9" s="555"/>
      <c r="XW9" s="555"/>
      <c r="XX9" s="555"/>
      <c r="XY9" s="555"/>
      <c r="XZ9" s="555"/>
      <c r="YA9" s="555"/>
      <c r="YB9" s="555"/>
      <c r="YC9" s="555"/>
      <c r="YD9" s="555"/>
      <c r="YE9" s="555"/>
      <c r="YF9" s="555"/>
      <c r="YG9" s="555"/>
      <c r="YH9" s="555"/>
      <c r="YI9" s="555"/>
      <c r="YJ9" s="555"/>
      <c r="YK9" s="555"/>
      <c r="YL9" s="555"/>
      <c r="YM9" s="555"/>
      <c r="YN9" s="555"/>
      <c r="YO9" s="555"/>
      <c r="YP9" s="555"/>
      <c r="YQ9" s="555"/>
      <c r="YR9" s="555"/>
      <c r="YS9" s="555"/>
      <c r="YT9" s="555"/>
      <c r="YU9" s="555"/>
      <c r="YV9" s="555"/>
      <c r="YW9" s="555"/>
      <c r="YX9" s="555"/>
      <c r="YY9" s="555"/>
      <c r="YZ9" s="555"/>
      <c r="ZA9" s="555"/>
      <c r="ZB9" s="555"/>
      <c r="ZC9" s="555"/>
      <c r="ZD9" s="555"/>
      <c r="ZE9" s="555"/>
      <c r="ZF9" s="555"/>
      <c r="ZG9" s="555"/>
      <c r="ZH9" s="555"/>
      <c r="ZI9" s="555"/>
      <c r="ZJ9" s="555"/>
      <c r="ZK9" s="555"/>
      <c r="ZL9" s="555"/>
      <c r="ZM9" s="555"/>
      <c r="ZN9" s="555"/>
      <c r="ZO9" s="555"/>
      <c r="ZP9" s="555"/>
      <c r="ZQ9" s="555"/>
      <c r="ZR9" s="555"/>
      <c r="ZS9" s="555"/>
      <c r="ZT9" s="555"/>
      <c r="ZU9" s="555"/>
      <c r="ZV9" s="555"/>
      <c r="ZW9" s="555"/>
      <c r="ZX9" s="555"/>
      <c r="ZY9" s="555"/>
      <c r="ZZ9" s="555"/>
      <c r="AAA9" s="555"/>
      <c r="AAB9" s="555"/>
      <c r="AAC9" s="555"/>
      <c r="AAD9" s="555"/>
      <c r="AAE9" s="555"/>
      <c r="AAF9" s="555"/>
      <c r="AAG9" s="555"/>
      <c r="AAH9" s="555"/>
      <c r="AAI9" s="555"/>
      <c r="AAJ9" s="555"/>
      <c r="AAK9" s="555"/>
      <c r="AAL9" s="555"/>
      <c r="AAM9" s="555"/>
      <c r="AAN9" s="555"/>
      <c r="AAO9" s="555"/>
      <c r="AAP9" s="555"/>
      <c r="AAQ9" s="555"/>
      <c r="AAR9" s="555"/>
      <c r="AAS9" s="555"/>
      <c r="AAT9" s="555"/>
      <c r="AAU9" s="555"/>
      <c r="AAV9" s="555"/>
      <c r="AAW9" s="555"/>
      <c r="AAX9" s="555"/>
      <c r="AAY9" s="555"/>
      <c r="AAZ9" s="555"/>
      <c r="ABA9" s="555"/>
      <c r="ABB9" s="555"/>
      <c r="ABC9" s="555"/>
      <c r="ABD9" s="555"/>
      <c r="ABE9" s="555"/>
      <c r="ABF9" s="555"/>
      <c r="ABG9" s="555"/>
      <c r="ABH9" s="555"/>
      <c r="ABI9" s="555"/>
      <c r="ABJ9" s="555"/>
      <c r="ABK9" s="555"/>
      <c r="ABL9" s="555"/>
      <c r="ABM9" s="555"/>
      <c r="ABN9" s="555"/>
      <c r="ABO9" s="555"/>
      <c r="ABP9" s="555"/>
      <c r="ABQ9" s="555"/>
      <c r="ABR9" s="555"/>
      <c r="ABS9" s="555"/>
      <c r="ABT9" s="555"/>
      <c r="ABU9" s="555"/>
      <c r="ABV9" s="555"/>
      <c r="ABW9" s="555"/>
      <c r="ABX9" s="555"/>
      <c r="ABY9" s="555"/>
      <c r="ABZ9" s="555"/>
      <c r="ACA9" s="555"/>
      <c r="ACB9" s="555"/>
      <c r="ACC9" s="555"/>
      <c r="ACD9" s="555"/>
      <c r="ACE9" s="555"/>
      <c r="ACF9" s="555"/>
      <c r="ACG9" s="555"/>
      <c r="ACH9" s="555"/>
      <c r="ACI9" s="555"/>
      <c r="ACJ9" s="555"/>
      <c r="ACK9" s="555"/>
      <c r="ACL9" s="555"/>
      <c r="ACM9" s="555"/>
      <c r="ACN9" s="555"/>
      <c r="ACO9" s="555"/>
      <c r="ACP9" s="555"/>
      <c r="ACQ9" s="555"/>
      <c r="ACR9" s="555"/>
      <c r="ACS9" s="555"/>
      <c r="ACT9" s="555"/>
      <c r="ACU9" s="555"/>
      <c r="ACV9" s="555"/>
      <c r="ACW9" s="555"/>
      <c r="ACX9" s="555"/>
      <c r="ACY9" s="555"/>
      <c r="ACZ9" s="555"/>
      <c r="ADA9" s="555"/>
      <c r="ADB9" s="555"/>
      <c r="ADC9" s="555"/>
      <c r="ADD9" s="555"/>
      <c r="ADE9" s="555"/>
      <c r="ADF9" s="555"/>
      <c r="ADG9" s="555"/>
      <c r="ADH9" s="555"/>
      <c r="ADI9" s="555"/>
      <c r="ADJ9" s="555"/>
      <c r="ADK9" s="555"/>
      <c r="ADL9" s="555"/>
      <c r="ADM9" s="555"/>
      <c r="ADN9" s="555"/>
      <c r="ADO9" s="555"/>
      <c r="ADP9" s="555"/>
      <c r="ADQ9" s="555"/>
      <c r="ADR9" s="555"/>
      <c r="ADS9" s="555"/>
      <c r="ADT9" s="555"/>
      <c r="ADU9" s="555"/>
      <c r="ADV9" s="555"/>
      <c r="ADW9" s="555"/>
      <c r="ADX9" s="555"/>
      <c r="ADY9" s="555"/>
      <c r="ADZ9" s="555"/>
      <c r="AEA9" s="555"/>
      <c r="AEB9" s="555"/>
      <c r="AEC9" s="555"/>
      <c r="AED9" s="555"/>
      <c r="AEE9" s="555"/>
      <c r="AEF9" s="555"/>
      <c r="AEG9" s="555"/>
      <c r="AEH9" s="555"/>
      <c r="AEI9" s="555"/>
      <c r="AEJ9" s="555"/>
      <c r="AEK9" s="555"/>
      <c r="AEL9" s="555"/>
      <c r="AEM9" s="555"/>
      <c r="AEN9" s="555"/>
      <c r="AEO9" s="555"/>
      <c r="AEP9" s="555"/>
      <c r="AEQ9" s="555"/>
      <c r="AER9" s="555"/>
      <c r="AES9" s="555"/>
      <c r="AET9" s="555"/>
      <c r="AEU9" s="555"/>
      <c r="AEV9" s="555"/>
      <c r="AEW9" s="555"/>
      <c r="AEX9" s="555"/>
      <c r="AEY9" s="555"/>
      <c r="AEZ9" s="555"/>
      <c r="AFA9" s="555"/>
      <c r="AFB9" s="555"/>
      <c r="AFC9" s="555"/>
      <c r="AFD9" s="555"/>
      <c r="AFE9" s="555"/>
      <c r="AFF9" s="555"/>
      <c r="AFG9" s="555"/>
      <c r="AFH9" s="555"/>
      <c r="AFI9" s="555"/>
      <c r="AFJ9" s="555"/>
      <c r="AFK9" s="555"/>
      <c r="AFL9" s="555"/>
      <c r="AFM9" s="555"/>
      <c r="AFN9" s="555"/>
      <c r="AFO9" s="555"/>
      <c r="AFP9" s="555"/>
      <c r="AFQ9" s="555"/>
      <c r="AFR9" s="555"/>
      <c r="AFS9" s="555"/>
      <c r="AFT9" s="555"/>
      <c r="AFU9" s="555"/>
      <c r="AFV9" s="555"/>
      <c r="AFW9" s="555"/>
      <c r="AFX9" s="555"/>
      <c r="AFY9" s="555"/>
      <c r="AFZ9" s="555"/>
      <c r="AGA9" s="555"/>
      <c r="AGB9" s="555"/>
      <c r="AGC9" s="555"/>
      <c r="AGD9" s="555"/>
      <c r="AGE9" s="555"/>
      <c r="AGF9" s="555"/>
      <c r="AGG9" s="555"/>
      <c r="AGH9" s="555"/>
      <c r="AGI9" s="555"/>
      <c r="AGJ9" s="555"/>
      <c r="AGK9" s="555"/>
      <c r="AGL9" s="555"/>
      <c r="AGM9" s="555"/>
      <c r="AGN9" s="555"/>
      <c r="AGO9" s="555"/>
      <c r="AGP9" s="555"/>
      <c r="AGQ9" s="555"/>
      <c r="AGR9" s="555"/>
      <c r="AGS9" s="555"/>
      <c r="AGT9" s="555"/>
      <c r="AGU9" s="555"/>
      <c r="AGV9" s="555"/>
      <c r="AGW9" s="555"/>
      <c r="AGX9" s="555"/>
      <c r="AGY9" s="555"/>
      <c r="AGZ9" s="555"/>
      <c r="AHA9" s="555"/>
      <c r="AHB9" s="555"/>
      <c r="AHC9" s="555"/>
      <c r="AHD9" s="555"/>
      <c r="AHE9" s="555"/>
      <c r="AHF9" s="555"/>
      <c r="AHG9" s="555"/>
      <c r="AHH9" s="555"/>
      <c r="AHI9" s="555"/>
      <c r="AHJ9" s="555"/>
      <c r="AHK9" s="555"/>
      <c r="AHL9" s="555"/>
      <c r="AHM9" s="555"/>
      <c r="AHN9" s="555"/>
      <c r="AHO9" s="555"/>
      <c r="AHP9" s="555"/>
      <c r="AHQ9" s="555"/>
      <c r="AHR9" s="555"/>
      <c r="AHS9" s="555"/>
      <c r="AHT9" s="555"/>
      <c r="AHU9" s="555"/>
      <c r="AHV9" s="555"/>
      <c r="AHW9" s="555"/>
      <c r="AHX9" s="555"/>
      <c r="AHY9" s="555"/>
      <c r="AHZ9" s="555"/>
      <c r="AIA9" s="555"/>
      <c r="AIB9" s="555"/>
      <c r="AIC9" s="555"/>
      <c r="AID9" s="555"/>
      <c r="AIE9" s="555"/>
      <c r="AIF9" s="555"/>
      <c r="AIG9" s="555"/>
      <c r="AIH9" s="555"/>
      <c r="AII9" s="555"/>
      <c r="AIJ9" s="555"/>
      <c r="AIK9" s="555"/>
      <c r="AIL9" s="555"/>
      <c r="AIM9" s="555"/>
      <c r="AIN9" s="555"/>
      <c r="AIO9" s="555"/>
      <c r="AIP9" s="555"/>
      <c r="AIQ9" s="555"/>
      <c r="AIR9" s="555"/>
      <c r="AIS9" s="555"/>
      <c r="AIT9" s="555"/>
      <c r="AIU9" s="555"/>
      <c r="AIV9" s="555"/>
      <c r="AIW9" s="555"/>
      <c r="AIX9" s="555"/>
      <c r="AIY9" s="555"/>
      <c r="AIZ9" s="555"/>
      <c r="AJA9" s="555"/>
      <c r="AJB9" s="555"/>
      <c r="AJC9" s="555"/>
      <c r="AJD9" s="555"/>
      <c r="AJE9" s="555"/>
      <c r="AJF9" s="555"/>
      <c r="AJG9" s="555"/>
      <c r="AJH9" s="555"/>
      <c r="AJI9" s="555"/>
      <c r="AJJ9" s="555"/>
      <c r="AJK9" s="555"/>
      <c r="AJL9" s="555"/>
      <c r="AJM9" s="555"/>
      <c r="AJN9" s="555"/>
      <c r="AJO9" s="555"/>
      <c r="AJP9" s="555"/>
      <c r="AJQ9" s="555"/>
      <c r="AJR9" s="555"/>
      <c r="AJS9" s="555"/>
      <c r="AJT9" s="555"/>
      <c r="AJU9" s="555"/>
      <c r="AJV9" s="555"/>
      <c r="AJW9" s="555"/>
      <c r="AJX9" s="555"/>
      <c r="AJY9" s="555"/>
      <c r="AJZ9" s="555"/>
      <c r="AKA9" s="555"/>
      <c r="AKB9" s="555"/>
      <c r="AKC9" s="555"/>
      <c r="AKD9" s="555"/>
      <c r="AKE9" s="555"/>
      <c r="AKF9" s="555"/>
      <c r="AKG9" s="555"/>
      <c r="AKH9" s="555"/>
      <c r="AKI9" s="555"/>
      <c r="AKJ9" s="555"/>
      <c r="AKK9" s="555"/>
      <c r="AKL9" s="555"/>
      <c r="AKM9" s="555"/>
      <c r="AKN9" s="555"/>
      <c r="AKO9" s="555"/>
      <c r="AKP9" s="555"/>
      <c r="AKQ9" s="555"/>
      <c r="AKR9" s="555"/>
      <c r="AKS9" s="555"/>
      <c r="AKT9" s="555"/>
      <c r="AKU9" s="555"/>
      <c r="AKV9" s="555"/>
      <c r="AKW9" s="555"/>
      <c r="AKX9" s="555"/>
      <c r="AKY9" s="555"/>
      <c r="AKZ9" s="555"/>
      <c r="ALA9" s="555"/>
      <c r="ALB9" s="555"/>
      <c r="ALC9" s="555"/>
      <c r="ALD9" s="555"/>
      <c r="ALE9" s="555"/>
      <c r="ALF9" s="555"/>
      <c r="ALG9" s="555"/>
      <c r="ALH9" s="555"/>
      <c r="ALI9" s="555"/>
      <c r="ALJ9" s="555"/>
      <c r="ALK9" s="555"/>
      <c r="ALL9" s="555"/>
      <c r="ALM9" s="555"/>
      <c r="ALN9" s="555"/>
      <c r="ALO9" s="555"/>
      <c r="ALP9" s="555"/>
      <c r="ALQ9" s="555"/>
      <c r="ALR9" s="555"/>
      <c r="ALS9" s="555"/>
      <c r="ALT9" s="555"/>
      <c r="ALU9" s="555"/>
      <c r="ALV9" s="555"/>
      <c r="ALW9" s="555"/>
      <c r="ALX9" s="555"/>
      <c r="ALY9" s="555"/>
    </row>
    <row r="10" spans="1:1014" s="552" customFormat="1" ht="13.5" customHeight="1">
      <c r="B10" s="553" t="s">
        <v>948</v>
      </c>
      <c r="C10" s="554"/>
      <c r="D10" s="555"/>
      <c r="E10" s="554"/>
      <c r="F10" s="554"/>
      <c r="G10" s="556"/>
      <c r="H10" s="556"/>
      <c r="I10" s="557"/>
      <c r="J10" s="556"/>
      <c r="K10" s="558"/>
      <c r="L10" s="559"/>
      <c r="M10" s="559"/>
      <c r="N10" s="559"/>
      <c r="O10" s="559"/>
      <c r="P10" s="560"/>
      <c r="Q10" s="556"/>
      <c r="R10" s="556"/>
      <c r="S10" s="556"/>
      <c r="T10" s="561"/>
      <c r="U10" s="556"/>
      <c r="V10" s="696"/>
      <c r="W10" s="696"/>
      <c r="Y10" s="562"/>
      <c r="Z10" s="556"/>
      <c r="AA10" s="558"/>
      <c r="AB10" s="556"/>
      <c r="AC10" s="559"/>
      <c r="AD10" s="559"/>
      <c r="AF10" s="555"/>
      <c r="AG10" s="555"/>
      <c r="AH10" s="555"/>
      <c r="AI10" s="555"/>
      <c r="AJ10" s="555"/>
      <c r="AK10" s="555"/>
      <c r="AL10" s="555"/>
      <c r="AM10" s="555"/>
      <c r="AN10" s="555"/>
      <c r="AO10" s="555"/>
      <c r="AP10" s="555"/>
      <c r="AQ10" s="555"/>
      <c r="AR10" s="555"/>
      <c r="AS10" s="555"/>
      <c r="AT10" s="555"/>
      <c r="AU10" s="555"/>
      <c r="AV10" s="555"/>
      <c r="AW10" s="555"/>
      <c r="AX10" s="555"/>
      <c r="AY10" s="555"/>
      <c r="AZ10" s="555"/>
      <c r="BA10" s="555"/>
      <c r="BB10" s="555"/>
      <c r="BC10" s="555"/>
      <c r="BD10" s="555"/>
      <c r="BE10" s="555"/>
      <c r="BF10" s="555"/>
      <c r="BG10" s="555"/>
      <c r="BH10" s="555"/>
      <c r="BI10" s="555"/>
      <c r="BJ10" s="555"/>
      <c r="BK10" s="555"/>
      <c r="BL10" s="555"/>
      <c r="BM10" s="555"/>
      <c r="BN10" s="555"/>
      <c r="BO10" s="555"/>
      <c r="BP10" s="555"/>
      <c r="BQ10" s="555"/>
      <c r="BR10" s="555"/>
      <c r="BS10" s="555"/>
      <c r="BT10" s="555"/>
      <c r="BU10" s="555"/>
      <c r="BV10" s="555"/>
      <c r="BW10" s="555"/>
      <c r="BX10" s="555"/>
      <c r="BY10" s="555"/>
      <c r="BZ10" s="555"/>
      <c r="CA10" s="555"/>
      <c r="CB10" s="555"/>
      <c r="CC10" s="555"/>
      <c r="CD10" s="555"/>
      <c r="CE10" s="555"/>
      <c r="CF10" s="555"/>
      <c r="CG10" s="555"/>
      <c r="CH10" s="555"/>
      <c r="CI10" s="555"/>
      <c r="CJ10" s="555"/>
      <c r="CK10" s="555"/>
      <c r="CL10" s="555"/>
      <c r="CM10" s="555"/>
      <c r="CN10" s="555"/>
      <c r="CO10" s="555"/>
      <c r="CP10" s="555"/>
      <c r="CQ10" s="555"/>
      <c r="CR10" s="555"/>
      <c r="CS10" s="555"/>
      <c r="CT10" s="555"/>
      <c r="CU10" s="555"/>
      <c r="CV10" s="555"/>
      <c r="CW10" s="555"/>
      <c r="CX10" s="555"/>
      <c r="CY10" s="555"/>
      <c r="CZ10" s="555"/>
      <c r="DA10" s="555"/>
      <c r="DB10" s="555"/>
      <c r="DC10" s="555"/>
      <c r="DD10" s="555"/>
      <c r="DE10" s="555"/>
      <c r="DF10" s="555"/>
      <c r="DG10" s="555"/>
      <c r="DH10" s="555"/>
      <c r="DI10" s="555"/>
      <c r="DJ10" s="555"/>
      <c r="DK10" s="555"/>
      <c r="DL10" s="555"/>
      <c r="DM10" s="555"/>
      <c r="DN10" s="555"/>
      <c r="DO10" s="555"/>
      <c r="DP10" s="555"/>
      <c r="DQ10" s="555"/>
      <c r="DR10" s="555"/>
      <c r="DS10" s="555"/>
      <c r="DT10" s="555"/>
      <c r="DU10" s="555"/>
      <c r="DV10" s="555"/>
      <c r="DW10" s="555"/>
      <c r="DX10" s="555"/>
      <c r="DY10" s="555"/>
      <c r="DZ10" s="555"/>
      <c r="EA10" s="555"/>
      <c r="EB10" s="555"/>
      <c r="EC10" s="555"/>
      <c r="ED10" s="555"/>
      <c r="EE10" s="555"/>
      <c r="EF10" s="555"/>
      <c r="EG10" s="555"/>
      <c r="EH10" s="555"/>
      <c r="EI10" s="555"/>
      <c r="EJ10" s="555"/>
      <c r="EK10" s="555"/>
      <c r="EL10" s="555"/>
      <c r="EM10" s="555"/>
      <c r="EN10" s="555"/>
      <c r="EO10" s="555"/>
      <c r="EP10" s="555"/>
      <c r="EQ10" s="555"/>
      <c r="ER10" s="555"/>
      <c r="ES10" s="555"/>
      <c r="ET10" s="555"/>
      <c r="EU10" s="555"/>
      <c r="EV10" s="555"/>
      <c r="EW10" s="555"/>
      <c r="EX10" s="555"/>
      <c r="EY10" s="555"/>
      <c r="EZ10" s="555"/>
      <c r="FA10" s="555"/>
      <c r="FB10" s="555"/>
      <c r="FC10" s="555"/>
      <c r="FD10" s="555"/>
      <c r="FE10" s="555"/>
      <c r="FF10" s="555"/>
      <c r="FG10" s="555"/>
      <c r="FH10" s="555"/>
      <c r="FI10" s="555"/>
      <c r="FJ10" s="555"/>
      <c r="FK10" s="555"/>
      <c r="FL10" s="555"/>
      <c r="FM10" s="555"/>
      <c r="FN10" s="555"/>
      <c r="FO10" s="555"/>
      <c r="FP10" s="555"/>
      <c r="FQ10" s="555"/>
      <c r="FR10" s="555"/>
      <c r="FS10" s="555"/>
      <c r="FT10" s="555"/>
      <c r="FU10" s="555"/>
      <c r="FV10" s="555"/>
      <c r="FW10" s="555"/>
      <c r="FX10" s="555"/>
      <c r="FY10" s="555"/>
      <c r="FZ10" s="555"/>
      <c r="GA10" s="555"/>
      <c r="GB10" s="555"/>
      <c r="GC10" s="555"/>
      <c r="GD10" s="555"/>
      <c r="GE10" s="555"/>
      <c r="GF10" s="555"/>
      <c r="GG10" s="555"/>
      <c r="GH10" s="555"/>
      <c r="GI10" s="555"/>
      <c r="GJ10" s="555"/>
      <c r="GK10" s="555"/>
      <c r="GL10" s="555"/>
      <c r="GM10" s="555"/>
      <c r="GN10" s="555"/>
      <c r="GO10" s="555"/>
      <c r="GP10" s="555"/>
      <c r="GQ10" s="555"/>
      <c r="GR10" s="555"/>
      <c r="GS10" s="555"/>
      <c r="GT10" s="555"/>
      <c r="GU10" s="555"/>
      <c r="GV10" s="555"/>
      <c r="GW10" s="555"/>
      <c r="GX10" s="555"/>
      <c r="GY10" s="555"/>
      <c r="GZ10" s="555"/>
      <c r="HA10" s="555"/>
      <c r="HB10" s="555"/>
      <c r="HC10" s="555"/>
      <c r="HD10" s="555"/>
      <c r="HE10" s="555"/>
      <c r="HF10" s="555"/>
      <c r="HG10" s="555"/>
      <c r="HH10" s="555"/>
      <c r="HI10" s="555"/>
      <c r="HJ10" s="555"/>
      <c r="HK10" s="555"/>
      <c r="HL10" s="555"/>
      <c r="HM10" s="555"/>
      <c r="HN10" s="555"/>
      <c r="HO10" s="555"/>
      <c r="HP10" s="555"/>
      <c r="HQ10" s="555"/>
      <c r="HR10" s="555"/>
      <c r="HS10" s="555"/>
      <c r="HT10" s="555"/>
      <c r="HU10" s="555"/>
      <c r="HV10" s="555"/>
      <c r="HW10" s="555"/>
      <c r="HX10" s="555"/>
      <c r="HY10" s="555"/>
      <c r="HZ10" s="555"/>
      <c r="IA10" s="555"/>
      <c r="IB10" s="555"/>
      <c r="IC10" s="555"/>
      <c r="ID10" s="555"/>
      <c r="IE10" s="555"/>
      <c r="IF10" s="555"/>
      <c r="IG10" s="555"/>
      <c r="IH10" s="555"/>
      <c r="II10" s="555"/>
      <c r="IJ10" s="555"/>
      <c r="IK10" s="555"/>
      <c r="IL10" s="555"/>
      <c r="IM10" s="555"/>
      <c r="IN10" s="555"/>
      <c r="IO10" s="555"/>
      <c r="IP10" s="555"/>
      <c r="IQ10" s="555"/>
      <c r="IR10" s="555"/>
      <c r="IS10" s="555"/>
      <c r="IT10" s="555"/>
      <c r="IU10" s="555"/>
      <c r="IV10" s="555"/>
      <c r="IW10" s="555"/>
      <c r="IX10" s="555"/>
      <c r="IY10" s="555"/>
      <c r="IZ10" s="555"/>
      <c r="JA10" s="555"/>
      <c r="JB10" s="555"/>
      <c r="JC10" s="555"/>
      <c r="JD10" s="555"/>
      <c r="JE10" s="555"/>
      <c r="JF10" s="555"/>
      <c r="JG10" s="555"/>
      <c r="JH10" s="555"/>
      <c r="JI10" s="555"/>
      <c r="JJ10" s="555"/>
      <c r="JK10" s="555"/>
      <c r="JL10" s="555"/>
      <c r="JM10" s="555"/>
      <c r="JN10" s="555"/>
      <c r="JO10" s="555"/>
      <c r="JP10" s="555"/>
      <c r="JQ10" s="555"/>
      <c r="JR10" s="555"/>
      <c r="JS10" s="555"/>
      <c r="JT10" s="555"/>
      <c r="JU10" s="555"/>
      <c r="JV10" s="555"/>
      <c r="JW10" s="555"/>
      <c r="JX10" s="555"/>
      <c r="JY10" s="555"/>
      <c r="JZ10" s="555"/>
      <c r="KA10" s="555"/>
      <c r="KB10" s="555"/>
      <c r="KC10" s="555"/>
      <c r="KD10" s="555"/>
      <c r="KE10" s="555"/>
      <c r="KF10" s="555"/>
      <c r="KG10" s="555"/>
      <c r="KH10" s="555"/>
      <c r="KI10" s="555"/>
      <c r="KJ10" s="555"/>
      <c r="KK10" s="555"/>
      <c r="KL10" s="555"/>
      <c r="KM10" s="555"/>
      <c r="KN10" s="555"/>
      <c r="KO10" s="555"/>
      <c r="KP10" s="555"/>
      <c r="KQ10" s="555"/>
      <c r="KR10" s="555"/>
      <c r="KS10" s="555"/>
      <c r="KT10" s="555"/>
      <c r="KU10" s="555"/>
      <c r="KV10" s="555"/>
      <c r="KW10" s="555"/>
      <c r="KX10" s="555"/>
      <c r="KY10" s="555"/>
      <c r="KZ10" s="555"/>
      <c r="LA10" s="555"/>
      <c r="LB10" s="555"/>
      <c r="LC10" s="555"/>
      <c r="LD10" s="555"/>
      <c r="LE10" s="555"/>
      <c r="LF10" s="555"/>
      <c r="LG10" s="555"/>
      <c r="LH10" s="555"/>
      <c r="LI10" s="555"/>
      <c r="LJ10" s="555"/>
      <c r="LK10" s="555"/>
      <c r="LL10" s="555"/>
      <c r="LM10" s="555"/>
      <c r="LN10" s="555"/>
      <c r="LO10" s="555"/>
      <c r="LP10" s="555"/>
      <c r="LQ10" s="555"/>
      <c r="LR10" s="555"/>
      <c r="LS10" s="555"/>
      <c r="LT10" s="555"/>
      <c r="LU10" s="555"/>
      <c r="LV10" s="555"/>
      <c r="LW10" s="555"/>
      <c r="LX10" s="555"/>
      <c r="LY10" s="555"/>
      <c r="LZ10" s="555"/>
      <c r="MA10" s="555"/>
      <c r="MB10" s="555"/>
      <c r="MC10" s="555"/>
      <c r="MD10" s="555"/>
      <c r="ME10" s="555"/>
      <c r="MF10" s="555"/>
      <c r="MG10" s="555"/>
      <c r="MH10" s="555"/>
      <c r="MI10" s="555"/>
      <c r="MJ10" s="555"/>
      <c r="MK10" s="555"/>
      <c r="ML10" s="555"/>
      <c r="MM10" s="555"/>
      <c r="MN10" s="555"/>
      <c r="MO10" s="555"/>
      <c r="MP10" s="555"/>
      <c r="MQ10" s="555"/>
      <c r="MR10" s="555"/>
      <c r="MS10" s="555"/>
      <c r="MT10" s="555"/>
      <c r="MU10" s="555"/>
      <c r="MV10" s="555"/>
      <c r="MW10" s="555"/>
      <c r="MX10" s="555"/>
      <c r="MY10" s="555"/>
      <c r="MZ10" s="555"/>
      <c r="NA10" s="555"/>
      <c r="NB10" s="555"/>
      <c r="NC10" s="555"/>
      <c r="ND10" s="555"/>
      <c r="NE10" s="555"/>
      <c r="NF10" s="555"/>
      <c r="NG10" s="555"/>
      <c r="NH10" s="555"/>
      <c r="NI10" s="555"/>
      <c r="NJ10" s="555"/>
      <c r="NK10" s="555"/>
      <c r="NL10" s="555"/>
      <c r="NM10" s="555"/>
      <c r="NN10" s="555"/>
      <c r="NO10" s="555"/>
      <c r="NP10" s="555"/>
      <c r="NQ10" s="555"/>
      <c r="NR10" s="555"/>
      <c r="NS10" s="555"/>
      <c r="NT10" s="555"/>
      <c r="NU10" s="555"/>
      <c r="NV10" s="555"/>
      <c r="NW10" s="555"/>
      <c r="NX10" s="555"/>
      <c r="NY10" s="555"/>
      <c r="NZ10" s="555"/>
      <c r="OA10" s="555"/>
      <c r="OB10" s="555"/>
      <c r="OC10" s="555"/>
      <c r="OD10" s="555"/>
      <c r="OE10" s="555"/>
      <c r="OF10" s="555"/>
      <c r="OG10" s="555"/>
      <c r="OH10" s="555"/>
      <c r="OI10" s="555"/>
      <c r="OJ10" s="555"/>
      <c r="OK10" s="555"/>
      <c r="OL10" s="555"/>
      <c r="OM10" s="555"/>
      <c r="ON10" s="555"/>
      <c r="OO10" s="555"/>
      <c r="OP10" s="555"/>
      <c r="OQ10" s="555"/>
      <c r="OR10" s="555"/>
      <c r="OS10" s="555"/>
      <c r="OT10" s="555"/>
      <c r="OU10" s="555"/>
      <c r="OV10" s="555"/>
      <c r="OW10" s="555"/>
      <c r="OX10" s="555"/>
      <c r="OY10" s="555"/>
      <c r="OZ10" s="555"/>
      <c r="PA10" s="555"/>
      <c r="PB10" s="555"/>
      <c r="PC10" s="555"/>
      <c r="PD10" s="555"/>
      <c r="PE10" s="555"/>
      <c r="PF10" s="555"/>
      <c r="PG10" s="555"/>
      <c r="PH10" s="555"/>
      <c r="PI10" s="555"/>
      <c r="PJ10" s="555"/>
      <c r="PK10" s="555"/>
      <c r="PL10" s="555"/>
      <c r="PM10" s="555"/>
      <c r="PN10" s="555"/>
      <c r="PO10" s="555"/>
      <c r="PP10" s="555"/>
      <c r="PQ10" s="555"/>
      <c r="PR10" s="555"/>
      <c r="PS10" s="555"/>
      <c r="PT10" s="555"/>
      <c r="PU10" s="555"/>
      <c r="PV10" s="555"/>
      <c r="PW10" s="555"/>
      <c r="PX10" s="555"/>
      <c r="PY10" s="555"/>
      <c r="PZ10" s="555"/>
      <c r="QA10" s="555"/>
      <c r="QB10" s="555"/>
      <c r="QC10" s="555"/>
      <c r="QD10" s="555"/>
      <c r="QE10" s="555"/>
      <c r="QF10" s="555"/>
      <c r="QG10" s="555"/>
      <c r="QH10" s="555"/>
      <c r="QI10" s="555"/>
      <c r="QJ10" s="555"/>
      <c r="QK10" s="555"/>
      <c r="QL10" s="555"/>
      <c r="QM10" s="555"/>
      <c r="QN10" s="555"/>
      <c r="QO10" s="555"/>
      <c r="QP10" s="555"/>
      <c r="QQ10" s="555"/>
      <c r="QR10" s="555"/>
      <c r="QS10" s="555"/>
      <c r="QT10" s="555"/>
      <c r="QU10" s="555"/>
      <c r="QV10" s="555"/>
      <c r="QW10" s="555"/>
      <c r="QX10" s="555"/>
      <c r="QY10" s="555"/>
      <c r="QZ10" s="555"/>
      <c r="RA10" s="555"/>
      <c r="RB10" s="555"/>
      <c r="RC10" s="555"/>
      <c r="RD10" s="555"/>
      <c r="RE10" s="555"/>
      <c r="RF10" s="555"/>
      <c r="RG10" s="555"/>
      <c r="RH10" s="555"/>
      <c r="RI10" s="555"/>
      <c r="RJ10" s="555"/>
      <c r="RK10" s="555"/>
      <c r="RL10" s="555"/>
      <c r="RM10" s="555"/>
      <c r="RN10" s="555"/>
      <c r="RO10" s="555"/>
      <c r="RP10" s="555"/>
      <c r="RQ10" s="555"/>
      <c r="RR10" s="555"/>
      <c r="RS10" s="555"/>
      <c r="RT10" s="555"/>
      <c r="RU10" s="555"/>
      <c r="RV10" s="555"/>
      <c r="RW10" s="555"/>
      <c r="RX10" s="555"/>
      <c r="RY10" s="555"/>
      <c r="RZ10" s="555"/>
      <c r="SA10" s="555"/>
      <c r="SB10" s="555"/>
      <c r="SC10" s="555"/>
      <c r="SD10" s="555"/>
      <c r="SE10" s="555"/>
      <c r="SF10" s="555"/>
      <c r="SG10" s="555"/>
      <c r="SH10" s="555"/>
      <c r="SI10" s="555"/>
      <c r="SJ10" s="555"/>
      <c r="SK10" s="555"/>
      <c r="SL10" s="555"/>
      <c r="SM10" s="555"/>
      <c r="SN10" s="555"/>
      <c r="SO10" s="555"/>
      <c r="SP10" s="555"/>
      <c r="SQ10" s="555"/>
      <c r="SR10" s="555"/>
      <c r="SS10" s="555"/>
      <c r="ST10" s="555"/>
      <c r="SU10" s="555"/>
      <c r="SV10" s="555"/>
      <c r="SW10" s="555"/>
      <c r="SX10" s="555"/>
      <c r="SY10" s="555"/>
      <c r="SZ10" s="555"/>
      <c r="TA10" s="555"/>
      <c r="TB10" s="555"/>
      <c r="TC10" s="555"/>
      <c r="TD10" s="555"/>
      <c r="TE10" s="555"/>
      <c r="TF10" s="555"/>
      <c r="TG10" s="555"/>
      <c r="TH10" s="555"/>
      <c r="TI10" s="555"/>
      <c r="TJ10" s="555"/>
      <c r="TK10" s="555"/>
      <c r="TL10" s="555"/>
      <c r="TM10" s="555"/>
      <c r="TN10" s="555"/>
      <c r="TO10" s="555"/>
      <c r="TP10" s="555"/>
      <c r="TQ10" s="555"/>
      <c r="TR10" s="555"/>
      <c r="TS10" s="555"/>
      <c r="TT10" s="555"/>
      <c r="TU10" s="555"/>
      <c r="TV10" s="555"/>
      <c r="TW10" s="555"/>
      <c r="TX10" s="555"/>
      <c r="TY10" s="555"/>
      <c r="TZ10" s="555"/>
      <c r="UA10" s="555"/>
      <c r="UB10" s="555"/>
      <c r="UC10" s="555"/>
      <c r="UD10" s="555"/>
      <c r="UE10" s="555"/>
      <c r="UF10" s="555"/>
      <c r="UG10" s="555"/>
      <c r="UH10" s="555"/>
      <c r="UI10" s="555"/>
      <c r="UJ10" s="555"/>
      <c r="UK10" s="555"/>
      <c r="UL10" s="555"/>
      <c r="UM10" s="555"/>
      <c r="UN10" s="555"/>
      <c r="UO10" s="555"/>
      <c r="UP10" s="555"/>
      <c r="UQ10" s="555"/>
      <c r="UR10" s="555"/>
      <c r="US10" s="555"/>
      <c r="UT10" s="555"/>
      <c r="UU10" s="555"/>
      <c r="UV10" s="555"/>
      <c r="UW10" s="555"/>
      <c r="UX10" s="555"/>
      <c r="UY10" s="555"/>
      <c r="UZ10" s="555"/>
      <c r="VA10" s="555"/>
      <c r="VB10" s="555"/>
      <c r="VC10" s="555"/>
      <c r="VD10" s="555"/>
      <c r="VE10" s="555"/>
      <c r="VF10" s="555"/>
      <c r="VG10" s="555"/>
      <c r="VH10" s="555"/>
      <c r="VI10" s="555"/>
      <c r="VJ10" s="555"/>
      <c r="VK10" s="555"/>
      <c r="VL10" s="555"/>
      <c r="VM10" s="555"/>
      <c r="VN10" s="555"/>
      <c r="VO10" s="555"/>
      <c r="VP10" s="555"/>
      <c r="VQ10" s="555"/>
      <c r="VR10" s="555"/>
      <c r="VS10" s="555"/>
      <c r="VT10" s="555"/>
      <c r="VU10" s="555"/>
      <c r="VV10" s="555"/>
      <c r="VW10" s="555"/>
      <c r="VX10" s="555"/>
      <c r="VY10" s="555"/>
      <c r="VZ10" s="555"/>
      <c r="WA10" s="555"/>
      <c r="WB10" s="555"/>
      <c r="WC10" s="555"/>
      <c r="WD10" s="555"/>
      <c r="WE10" s="555"/>
      <c r="WF10" s="555"/>
      <c r="WG10" s="555"/>
      <c r="WH10" s="555"/>
      <c r="WI10" s="555"/>
      <c r="WJ10" s="555"/>
      <c r="WK10" s="555"/>
      <c r="WL10" s="555"/>
      <c r="WM10" s="555"/>
      <c r="WN10" s="555"/>
      <c r="WO10" s="555"/>
      <c r="WP10" s="555"/>
      <c r="WQ10" s="555"/>
      <c r="WR10" s="555"/>
      <c r="WS10" s="555"/>
      <c r="WT10" s="555"/>
      <c r="WU10" s="555"/>
      <c r="WV10" s="555"/>
      <c r="WW10" s="555"/>
      <c r="WX10" s="555"/>
      <c r="WY10" s="555"/>
      <c r="WZ10" s="555"/>
      <c r="XA10" s="555"/>
      <c r="XB10" s="555"/>
      <c r="XC10" s="555"/>
      <c r="XD10" s="555"/>
      <c r="XE10" s="555"/>
      <c r="XF10" s="555"/>
      <c r="XG10" s="555"/>
      <c r="XH10" s="555"/>
      <c r="XI10" s="555"/>
      <c r="XJ10" s="555"/>
      <c r="XK10" s="555"/>
      <c r="XL10" s="555"/>
      <c r="XM10" s="555"/>
      <c r="XN10" s="555"/>
      <c r="XO10" s="555"/>
      <c r="XP10" s="555"/>
      <c r="XQ10" s="555"/>
      <c r="XR10" s="555"/>
      <c r="XS10" s="555"/>
      <c r="XT10" s="555"/>
      <c r="XU10" s="555"/>
      <c r="XV10" s="555"/>
      <c r="XW10" s="555"/>
      <c r="XX10" s="555"/>
      <c r="XY10" s="555"/>
      <c r="XZ10" s="555"/>
      <c r="YA10" s="555"/>
      <c r="YB10" s="555"/>
      <c r="YC10" s="555"/>
      <c r="YD10" s="555"/>
      <c r="YE10" s="555"/>
      <c r="YF10" s="555"/>
      <c r="YG10" s="555"/>
      <c r="YH10" s="555"/>
      <c r="YI10" s="555"/>
      <c r="YJ10" s="555"/>
      <c r="YK10" s="555"/>
      <c r="YL10" s="555"/>
      <c r="YM10" s="555"/>
      <c r="YN10" s="555"/>
      <c r="YO10" s="555"/>
      <c r="YP10" s="555"/>
      <c r="YQ10" s="555"/>
      <c r="YR10" s="555"/>
      <c r="YS10" s="555"/>
      <c r="YT10" s="555"/>
      <c r="YU10" s="555"/>
      <c r="YV10" s="555"/>
      <c r="YW10" s="555"/>
      <c r="YX10" s="555"/>
      <c r="YY10" s="555"/>
      <c r="YZ10" s="555"/>
      <c r="ZA10" s="555"/>
      <c r="ZB10" s="555"/>
      <c r="ZC10" s="555"/>
      <c r="ZD10" s="555"/>
      <c r="ZE10" s="555"/>
      <c r="ZF10" s="555"/>
      <c r="ZG10" s="555"/>
      <c r="ZH10" s="555"/>
      <c r="ZI10" s="555"/>
      <c r="ZJ10" s="555"/>
      <c r="ZK10" s="555"/>
      <c r="ZL10" s="555"/>
      <c r="ZM10" s="555"/>
      <c r="ZN10" s="555"/>
      <c r="ZO10" s="555"/>
      <c r="ZP10" s="555"/>
      <c r="ZQ10" s="555"/>
      <c r="ZR10" s="555"/>
      <c r="ZS10" s="555"/>
      <c r="ZT10" s="555"/>
      <c r="ZU10" s="555"/>
      <c r="ZV10" s="555"/>
      <c r="ZW10" s="555"/>
      <c r="ZX10" s="555"/>
      <c r="ZY10" s="555"/>
      <c r="ZZ10" s="555"/>
      <c r="AAA10" s="555"/>
      <c r="AAB10" s="555"/>
      <c r="AAC10" s="555"/>
      <c r="AAD10" s="555"/>
      <c r="AAE10" s="555"/>
      <c r="AAF10" s="555"/>
      <c r="AAG10" s="555"/>
      <c r="AAH10" s="555"/>
      <c r="AAI10" s="555"/>
      <c r="AAJ10" s="555"/>
      <c r="AAK10" s="555"/>
      <c r="AAL10" s="555"/>
      <c r="AAM10" s="555"/>
      <c r="AAN10" s="555"/>
      <c r="AAO10" s="555"/>
      <c r="AAP10" s="555"/>
      <c r="AAQ10" s="555"/>
      <c r="AAR10" s="555"/>
      <c r="AAS10" s="555"/>
      <c r="AAT10" s="555"/>
      <c r="AAU10" s="555"/>
      <c r="AAV10" s="555"/>
      <c r="AAW10" s="555"/>
      <c r="AAX10" s="555"/>
      <c r="AAY10" s="555"/>
      <c r="AAZ10" s="555"/>
      <c r="ABA10" s="555"/>
      <c r="ABB10" s="555"/>
      <c r="ABC10" s="555"/>
      <c r="ABD10" s="555"/>
      <c r="ABE10" s="555"/>
      <c r="ABF10" s="555"/>
      <c r="ABG10" s="555"/>
      <c r="ABH10" s="555"/>
      <c r="ABI10" s="555"/>
      <c r="ABJ10" s="555"/>
      <c r="ABK10" s="555"/>
      <c r="ABL10" s="555"/>
      <c r="ABM10" s="555"/>
      <c r="ABN10" s="555"/>
      <c r="ABO10" s="555"/>
      <c r="ABP10" s="555"/>
      <c r="ABQ10" s="555"/>
      <c r="ABR10" s="555"/>
      <c r="ABS10" s="555"/>
      <c r="ABT10" s="555"/>
      <c r="ABU10" s="555"/>
      <c r="ABV10" s="555"/>
      <c r="ABW10" s="555"/>
      <c r="ABX10" s="555"/>
      <c r="ABY10" s="555"/>
      <c r="ABZ10" s="555"/>
      <c r="ACA10" s="555"/>
      <c r="ACB10" s="555"/>
      <c r="ACC10" s="555"/>
      <c r="ACD10" s="555"/>
      <c r="ACE10" s="555"/>
      <c r="ACF10" s="555"/>
      <c r="ACG10" s="555"/>
      <c r="ACH10" s="555"/>
      <c r="ACI10" s="555"/>
      <c r="ACJ10" s="555"/>
      <c r="ACK10" s="555"/>
      <c r="ACL10" s="555"/>
      <c r="ACM10" s="555"/>
      <c r="ACN10" s="555"/>
      <c r="ACO10" s="555"/>
      <c r="ACP10" s="555"/>
      <c r="ACQ10" s="555"/>
      <c r="ACR10" s="555"/>
      <c r="ACS10" s="555"/>
      <c r="ACT10" s="555"/>
      <c r="ACU10" s="555"/>
      <c r="ACV10" s="555"/>
      <c r="ACW10" s="555"/>
      <c r="ACX10" s="555"/>
      <c r="ACY10" s="555"/>
      <c r="ACZ10" s="555"/>
      <c r="ADA10" s="555"/>
      <c r="ADB10" s="555"/>
      <c r="ADC10" s="555"/>
      <c r="ADD10" s="555"/>
      <c r="ADE10" s="555"/>
      <c r="ADF10" s="555"/>
      <c r="ADG10" s="555"/>
      <c r="ADH10" s="555"/>
      <c r="ADI10" s="555"/>
      <c r="ADJ10" s="555"/>
      <c r="ADK10" s="555"/>
      <c r="ADL10" s="555"/>
      <c r="ADM10" s="555"/>
      <c r="ADN10" s="555"/>
      <c r="ADO10" s="555"/>
      <c r="ADP10" s="555"/>
      <c r="ADQ10" s="555"/>
      <c r="ADR10" s="555"/>
      <c r="ADS10" s="555"/>
      <c r="ADT10" s="555"/>
      <c r="ADU10" s="555"/>
      <c r="ADV10" s="555"/>
      <c r="ADW10" s="555"/>
      <c r="ADX10" s="555"/>
      <c r="ADY10" s="555"/>
      <c r="ADZ10" s="555"/>
      <c r="AEA10" s="555"/>
      <c r="AEB10" s="555"/>
      <c r="AEC10" s="555"/>
      <c r="AED10" s="555"/>
      <c r="AEE10" s="555"/>
      <c r="AEF10" s="555"/>
      <c r="AEG10" s="555"/>
      <c r="AEH10" s="555"/>
      <c r="AEI10" s="555"/>
      <c r="AEJ10" s="555"/>
      <c r="AEK10" s="555"/>
      <c r="AEL10" s="555"/>
      <c r="AEM10" s="555"/>
      <c r="AEN10" s="555"/>
      <c r="AEO10" s="555"/>
      <c r="AEP10" s="555"/>
      <c r="AEQ10" s="555"/>
      <c r="AER10" s="555"/>
      <c r="AES10" s="555"/>
      <c r="AET10" s="555"/>
      <c r="AEU10" s="555"/>
      <c r="AEV10" s="555"/>
      <c r="AEW10" s="555"/>
      <c r="AEX10" s="555"/>
      <c r="AEY10" s="555"/>
      <c r="AEZ10" s="555"/>
      <c r="AFA10" s="555"/>
      <c r="AFB10" s="555"/>
      <c r="AFC10" s="555"/>
      <c r="AFD10" s="555"/>
      <c r="AFE10" s="555"/>
      <c r="AFF10" s="555"/>
      <c r="AFG10" s="555"/>
      <c r="AFH10" s="555"/>
      <c r="AFI10" s="555"/>
      <c r="AFJ10" s="555"/>
      <c r="AFK10" s="555"/>
      <c r="AFL10" s="555"/>
      <c r="AFM10" s="555"/>
      <c r="AFN10" s="555"/>
      <c r="AFO10" s="555"/>
      <c r="AFP10" s="555"/>
      <c r="AFQ10" s="555"/>
      <c r="AFR10" s="555"/>
      <c r="AFS10" s="555"/>
      <c r="AFT10" s="555"/>
      <c r="AFU10" s="555"/>
      <c r="AFV10" s="555"/>
      <c r="AFW10" s="555"/>
      <c r="AFX10" s="555"/>
      <c r="AFY10" s="555"/>
      <c r="AFZ10" s="555"/>
      <c r="AGA10" s="555"/>
      <c r="AGB10" s="555"/>
      <c r="AGC10" s="555"/>
      <c r="AGD10" s="555"/>
      <c r="AGE10" s="555"/>
      <c r="AGF10" s="555"/>
      <c r="AGG10" s="555"/>
      <c r="AGH10" s="555"/>
      <c r="AGI10" s="555"/>
      <c r="AGJ10" s="555"/>
      <c r="AGK10" s="555"/>
      <c r="AGL10" s="555"/>
      <c r="AGM10" s="555"/>
      <c r="AGN10" s="555"/>
      <c r="AGO10" s="555"/>
      <c r="AGP10" s="555"/>
      <c r="AGQ10" s="555"/>
      <c r="AGR10" s="555"/>
      <c r="AGS10" s="555"/>
      <c r="AGT10" s="555"/>
      <c r="AGU10" s="555"/>
      <c r="AGV10" s="555"/>
      <c r="AGW10" s="555"/>
      <c r="AGX10" s="555"/>
      <c r="AGY10" s="555"/>
      <c r="AGZ10" s="555"/>
      <c r="AHA10" s="555"/>
      <c r="AHB10" s="555"/>
      <c r="AHC10" s="555"/>
      <c r="AHD10" s="555"/>
      <c r="AHE10" s="555"/>
      <c r="AHF10" s="555"/>
      <c r="AHG10" s="555"/>
      <c r="AHH10" s="555"/>
      <c r="AHI10" s="555"/>
      <c r="AHJ10" s="555"/>
      <c r="AHK10" s="555"/>
      <c r="AHL10" s="555"/>
      <c r="AHM10" s="555"/>
      <c r="AHN10" s="555"/>
      <c r="AHO10" s="555"/>
      <c r="AHP10" s="555"/>
      <c r="AHQ10" s="555"/>
      <c r="AHR10" s="555"/>
      <c r="AHS10" s="555"/>
      <c r="AHT10" s="555"/>
      <c r="AHU10" s="555"/>
      <c r="AHV10" s="555"/>
      <c r="AHW10" s="555"/>
      <c r="AHX10" s="555"/>
      <c r="AHY10" s="555"/>
      <c r="AHZ10" s="555"/>
      <c r="AIA10" s="555"/>
      <c r="AIB10" s="555"/>
      <c r="AIC10" s="555"/>
      <c r="AID10" s="555"/>
      <c r="AIE10" s="555"/>
      <c r="AIF10" s="555"/>
      <c r="AIG10" s="555"/>
      <c r="AIH10" s="555"/>
      <c r="AII10" s="555"/>
      <c r="AIJ10" s="555"/>
      <c r="AIK10" s="555"/>
      <c r="AIL10" s="555"/>
      <c r="AIM10" s="555"/>
      <c r="AIN10" s="555"/>
      <c r="AIO10" s="555"/>
      <c r="AIP10" s="555"/>
      <c r="AIQ10" s="555"/>
      <c r="AIR10" s="555"/>
      <c r="AIS10" s="555"/>
      <c r="AIT10" s="555"/>
      <c r="AIU10" s="555"/>
      <c r="AIV10" s="555"/>
      <c r="AIW10" s="555"/>
      <c r="AIX10" s="555"/>
      <c r="AIY10" s="555"/>
      <c r="AIZ10" s="555"/>
      <c r="AJA10" s="555"/>
      <c r="AJB10" s="555"/>
      <c r="AJC10" s="555"/>
      <c r="AJD10" s="555"/>
      <c r="AJE10" s="555"/>
      <c r="AJF10" s="555"/>
      <c r="AJG10" s="555"/>
      <c r="AJH10" s="555"/>
      <c r="AJI10" s="555"/>
      <c r="AJJ10" s="555"/>
      <c r="AJK10" s="555"/>
      <c r="AJL10" s="555"/>
      <c r="AJM10" s="555"/>
      <c r="AJN10" s="555"/>
      <c r="AJO10" s="555"/>
      <c r="AJP10" s="555"/>
      <c r="AJQ10" s="555"/>
      <c r="AJR10" s="555"/>
      <c r="AJS10" s="555"/>
      <c r="AJT10" s="555"/>
      <c r="AJU10" s="555"/>
      <c r="AJV10" s="555"/>
      <c r="AJW10" s="555"/>
      <c r="AJX10" s="555"/>
      <c r="AJY10" s="555"/>
      <c r="AJZ10" s="555"/>
      <c r="AKA10" s="555"/>
      <c r="AKB10" s="555"/>
      <c r="AKC10" s="555"/>
      <c r="AKD10" s="555"/>
      <c r="AKE10" s="555"/>
      <c r="AKF10" s="555"/>
      <c r="AKG10" s="555"/>
      <c r="AKH10" s="555"/>
      <c r="AKI10" s="555"/>
      <c r="AKJ10" s="555"/>
      <c r="AKK10" s="555"/>
      <c r="AKL10" s="555"/>
      <c r="AKM10" s="555"/>
      <c r="AKN10" s="555"/>
      <c r="AKO10" s="555"/>
      <c r="AKP10" s="555"/>
      <c r="AKQ10" s="555"/>
      <c r="AKR10" s="555"/>
      <c r="AKS10" s="555"/>
      <c r="AKT10" s="555"/>
      <c r="AKU10" s="555"/>
      <c r="AKV10" s="555"/>
      <c r="AKW10" s="555"/>
      <c r="AKX10" s="555"/>
      <c r="AKY10" s="555"/>
      <c r="AKZ10" s="555"/>
      <c r="ALA10" s="555"/>
      <c r="ALB10" s="555"/>
      <c r="ALC10" s="555"/>
      <c r="ALD10" s="555"/>
      <c r="ALE10" s="555"/>
      <c r="ALF10" s="555"/>
      <c r="ALG10" s="555"/>
      <c r="ALH10" s="555"/>
      <c r="ALI10" s="555"/>
      <c r="ALJ10" s="555"/>
      <c r="ALK10" s="555"/>
      <c r="ALL10" s="555"/>
      <c r="ALM10" s="555"/>
      <c r="ALN10" s="555"/>
      <c r="ALO10" s="555"/>
      <c r="ALP10" s="555"/>
      <c r="ALQ10" s="555"/>
      <c r="ALR10" s="555"/>
      <c r="ALS10" s="555"/>
      <c r="ALT10" s="555"/>
      <c r="ALU10" s="555"/>
      <c r="ALV10" s="555"/>
      <c r="ALW10" s="555"/>
      <c r="ALX10" s="555"/>
      <c r="ALY10" s="555"/>
    </row>
    <row r="11" spans="1:1014" s="238" customFormat="1" ht="55.5" customHeight="1">
      <c r="A11" s="233" t="s">
        <v>831</v>
      </c>
      <c r="B11" s="382" t="s">
        <v>832</v>
      </c>
      <c r="C11" s="279" t="s">
        <v>833</v>
      </c>
      <c r="D11" s="279" t="s">
        <v>834</v>
      </c>
      <c r="E11" s="279" t="s">
        <v>835</v>
      </c>
      <c r="F11" s="279" t="s">
        <v>836</v>
      </c>
      <c r="G11" s="279" t="s">
        <v>837</v>
      </c>
      <c r="H11" s="234" t="s">
        <v>9</v>
      </c>
      <c r="I11" s="234" t="s">
        <v>838</v>
      </c>
      <c r="J11" s="234" t="s">
        <v>841</v>
      </c>
      <c r="K11" s="234" t="s">
        <v>842</v>
      </c>
      <c r="L11" s="235" t="s">
        <v>843</v>
      </c>
      <c r="M11" s="235" t="s">
        <v>844</v>
      </c>
      <c r="N11" s="235" t="s">
        <v>845</v>
      </c>
      <c r="O11" s="235" t="s">
        <v>846</v>
      </c>
      <c r="P11" s="235" t="s">
        <v>847</v>
      </c>
      <c r="Q11" s="234" t="s">
        <v>677</v>
      </c>
      <c r="R11" s="234" t="s">
        <v>3</v>
      </c>
      <c r="S11" s="234" t="s">
        <v>913</v>
      </c>
      <c r="T11" s="284" t="s">
        <v>914</v>
      </c>
      <c r="U11" s="234" t="s">
        <v>849</v>
      </c>
      <c r="V11" s="229" t="s">
        <v>949</v>
      </c>
      <c r="W11" s="229" t="s">
        <v>851</v>
      </c>
      <c r="X11" s="230" t="s">
        <v>852</v>
      </c>
      <c r="Y11" s="235" t="s">
        <v>853</v>
      </c>
      <c r="Z11" s="235" t="s">
        <v>854</v>
      </c>
      <c r="AA11" s="236" t="s">
        <v>855</v>
      </c>
      <c r="AB11" s="235" t="s">
        <v>856</v>
      </c>
      <c r="AC11" s="235" t="s">
        <v>857</v>
      </c>
      <c r="AD11" s="237" t="s">
        <v>915</v>
      </c>
    </row>
    <row r="12" spans="1:1014" s="597" customFormat="1" ht="13.5" customHeight="1">
      <c r="A12" s="586">
        <v>1</v>
      </c>
      <c r="B12" s="587" t="s">
        <v>916</v>
      </c>
      <c r="C12" s="588"/>
      <c r="D12" s="587"/>
      <c r="E12" s="587"/>
      <c r="F12" s="587"/>
      <c r="G12" s="587"/>
      <c r="H12" s="586" t="s">
        <v>950</v>
      </c>
      <c r="I12" s="589" t="s">
        <v>951</v>
      </c>
      <c r="J12" s="586" t="s">
        <v>952</v>
      </c>
      <c r="K12" s="590" t="s">
        <v>919</v>
      </c>
      <c r="L12" s="586" t="s">
        <v>953</v>
      </c>
      <c r="M12" s="586" t="s">
        <v>954</v>
      </c>
      <c r="N12" s="586"/>
      <c r="O12" s="586"/>
      <c r="P12" s="591">
        <v>1</v>
      </c>
      <c r="Q12" s="586" t="s">
        <v>820</v>
      </c>
      <c r="R12" s="586"/>
      <c r="S12" s="586" t="s">
        <v>863</v>
      </c>
      <c r="T12" s="592"/>
      <c r="U12" s="586"/>
      <c r="V12" s="593"/>
      <c r="W12" s="593" t="s">
        <v>864</v>
      </c>
      <c r="X12" s="594"/>
      <c r="Y12" s="595"/>
      <c r="Z12" s="586" t="s">
        <v>920</v>
      </c>
      <c r="AA12" s="596" t="s">
        <v>921</v>
      </c>
      <c r="AB12" s="586"/>
      <c r="AC12" s="592">
        <v>1</v>
      </c>
      <c r="AD12" s="592">
        <v>1</v>
      </c>
      <c r="AE12" s="593" t="s">
        <v>864</v>
      </c>
    </row>
    <row r="13" spans="1:1014" s="224" customFormat="1" ht="13.5" customHeight="1">
      <c r="A13" s="225">
        <v>2</v>
      </c>
      <c r="B13" s="253" t="s">
        <v>955</v>
      </c>
      <c r="C13" s="221"/>
      <c r="D13" s="221"/>
      <c r="E13" s="221"/>
      <c r="F13" s="221"/>
      <c r="G13" s="221"/>
      <c r="H13" s="714" t="s">
        <v>956</v>
      </c>
      <c r="I13" s="131" t="s">
        <v>957</v>
      </c>
      <c r="J13" s="714"/>
      <c r="K13" s="715" t="s">
        <v>925</v>
      </c>
      <c r="L13" s="714" t="s">
        <v>926</v>
      </c>
      <c r="M13" s="714" t="s">
        <v>927</v>
      </c>
      <c r="N13" s="714"/>
      <c r="O13" s="714"/>
      <c r="P13" s="716"/>
      <c r="Q13" s="714" t="s">
        <v>817</v>
      </c>
      <c r="R13" s="714"/>
      <c r="S13" s="714" t="s">
        <v>863</v>
      </c>
      <c r="T13" s="717"/>
      <c r="U13" s="714"/>
      <c r="V13" s="718" t="s">
        <v>864</v>
      </c>
      <c r="W13" s="718" t="s">
        <v>864</v>
      </c>
      <c r="X13" s="232"/>
      <c r="Y13" s="719"/>
      <c r="Z13" s="714"/>
      <c r="AA13" s="720"/>
      <c r="AB13" s="714"/>
      <c r="AC13" s="717">
        <v>1</v>
      </c>
      <c r="AD13" s="717">
        <v>1</v>
      </c>
    </row>
    <row r="14" spans="1:1014" s="549" customFormat="1" ht="13.5" customHeight="1">
      <c r="A14" s="539">
        <v>3</v>
      </c>
      <c r="B14" s="540" t="s">
        <v>958</v>
      </c>
      <c r="C14" s="541"/>
      <c r="D14" s="540"/>
      <c r="E14" s="540"/>
      <c r="F14" s="540"/>
      <c r="G14" s="540"/>
      <c r="H14" s="539" t="s">
        <v>959</v>
      </c>
      <c r="I14" s="542" t="s">
        <v>930</v>
      </c>
      <c r="J14" s="539" t="s">
        <v>960</v>
      </c>
      <c r="K14" s="542" t="s">
        <v>931</v>
      </c>
      <c r="L14" s="539"/>
      <c r="M14" s="539"/>
      <c r="N14" s="539"/>
      <c r="O14" s="539"/>
      <c r="P14" s="543">
        <v>1</v>
      </c>
      <c r="Q14" s="539" t="s">
        <v>817</v>
      </c>
      <c r="R14" s="539"/>
      <c r="S14" s="539" t="s">
        <v>879</v>
      </c>
      <c r="T14" s="544"/>
      <c r="U14" s="539"/>
      <c r="V14" s="545"/>
      <c r="W14" s="545" t="s">
        <v>864</v>
      </c>
      <c r="X14" s="546"/>
      <c r="Y14" s="547"/>
      <c r="Z14" s="539"/>
      <c r="AA14" s="548"/>
      <c r="AB14" s="539"/>
      <c r="AC14" s="544">
        <v>1</v>
      </c>
      <c r="AD14" s="544">
        <v>1</v>
      </c>
    </row>
    <row r="15" spans="1:1014" s="572" customFormat="1" ht="13.5" customHeight="1">
      <c r="A15" s="564">
        <v>4</v>
      </c>
      <c r="B15" s="563" t="s">
        <v>961</v>
      </c>
      <c r="C15" s="563"/>
      <c r="D15" s="563"/>
      <c r="E15" s="563"/>
      <c r="F15" s="563"/>
      <c r="G15" s="563"/>
      <c r="H15" s="564" t="s">
        <v>962</v>
      </c>
      <c r="I15" s="565" t="s">
        <v>963</v>
      </c>
      <c r="J15" s="564"/>
      <c r="K15" s="565" t="s">
        <v>964</v>
      </c>
      <c r="L15" s="564"/>
      <c r="M15" s="564"/>
      <c r="N15" s="564"/>
      <c r="O15" s="564"/>
      <c r="P15" s="566"/>
      <c r="Q15" s="564" t="s">
        <v>817</v>
      </c>
      <c r="R15" s="564"/>
      <c r="S15" s="564" t="s">
        <v>863</v>
      </c>
      <c r="T15" s="567"/>
      <c r="U15" s="564" t="s">
        <v>965</v>
      </c>
      <c r="V15" s="568" t="s">
        <v>864</v>
      </c>
      <c r="W15" s="568"/>
      <c r="X15" s="569"/>
      <c r="Y15" s="573" t="s">
        <v>966</v>
      </c>
      <c r="Z15" s="564"/>
      <c r="AA15" s="571"/>
      <c r="AB15" s="564"/>
      <c r="AC15" s="567">
        <v>1</v>
      </c>
      <c r="AD15" s="567">
        <v>1</v>
      </c>
    </row>
    <row r="16" spans="1:1014" s="572" customFormat="1" ht="13.5" customHeight="1">
      <c r="A16" s="564"/>
      <c r="B16" s="563" t="s">
        <v>967</v>
      </c>
      <c r="C16" s="563"/>
      <c r="D16" s="563"/>
      <c r="E16" s="563"/>
      <c r="F16" s="563"/>
      <c r="G16" s="563"/>
      <c r="H16" s="564" t="s">
        <v>968</v>
      </c>
      <c r="I16" s="565" t="s">
        <v>969</v>
      </c>
      <c r="J16" s="564"/>
      <c r="K16" s="565" t="s">
        <v>970</v>
      </c>
      <c r="L16" s="564"/>
      <c r="M16" s="564"/>
      <c r="N16" s="564"/>
      <c r="O16" s="564"/>
      <c r="P16" s="566"/>
      <c r="Q16" s="564" t="s">
        <v>817</v>
      </c>
      <c r="R16" s="564"/>
      <c r="S16" s="564" t="s">
        <v>863</v>
      </c>
      <c r="T16" s="567"/>
      <c r="U16" s="564" t="s">
        <v>971</v>
      </c>
      <c r="V16" s="568" t="s">
        <v>864</v>
      </c>
      <c r="W16" s="568"/>
      <c r="X16" s="569"/>
      <c r="Y16" s="570"/>
      <c r="Z16" s="564"/>
      <c r="AA16" s="571"/>
      <c r="AB16" s="564"/>
      <c r="AC16" s="567"/>
      <c r="AD16" s="567"/>
    </row>
    <row r="17" spans="1:30" s="224" customFormat="1" ht="13.5" customHeight="1">
      <c r="A17" s="225">
        <v>5</v>
      </c>
      <c r="B17" s="610" t="s">
        <v>972</v>
      </c>
      <c r="C17" s="678"/>
      <c r="D17" s="241"/>
      <c r="E17" s="241"/>
      <c r="F17" s="241"/>
      <c r="G17" s="241"/>
      <c r="H17" s="714" t="s">
        <v>973</v>
      </c>
      <c r="I17" s="715"/>
      <c r="J17" s="714" t="s">
        <v>974</v>
      </c>
      <c r="K17" s="715" t="s">
        <v>975</v>
      </c>
      <c r="L17" s="714"/>
      <c r="M17" s="714"/>
      <c r="N17" s="714"/>
      <c r="O17" s="714"/>
      <c r="P17" s="716"/>
      <c r="Q17" s="714" t="s">
        <v>820</v>
      </c>
      <c r="R17" s="714"/>
      <c r="S17" s="243" t="s">
        <v>975</v>
      </c>
      <c r="T17" s="717"/>
      <c r="U17" s="714"/>
      <c r="V17" s="718" t="s">
        <v>864</v>
      </c>
      <c r="W17" s="718" t="s">
        <v>864</v>
      </c>
      <c r="X17" s="232"/>
      <c r="Y17" s="719"/>
      <c r="Z17" s="714"/>
      <c r="AA17" s="720"/>
      <c r="AB17" s="714"/>
      <c r="AC17" s="717">
        <v>1</v>
      </c>
      <c r="AD17" s="717">
        <v>1</v>
      </c>
    </row>
    <row r="18" spans="1:30" s="572" customFormat="1" ht="13.5" customHeight="1">
      <c r="A18" s="564"/>
      <c r="B18" s="563"/>
      <c r="C18" s="563" t="s">
        <v>976</v>
      </c>
      <c r="D18" s="563"/>
      <c r="E18" s="563"/>
      <c r="F18" s="563"/>
      <c r="G18" s="563"/>
      <c r="H18" s="564" t="s">
        <v>977</v>
      </c>
      <c r="I18" s="565"/>
      <c r="J18" s="564"/>
      <c r="K18" s="565" t="s">
        <v>939</v>
      </c>
      <c r="L18" s="564"/>
      <c r="M18" s="564"/>
      <c r="N18" s="564"/>
      <c r="O18" s="564"/>
      <c r="P18" s="566"/>
      <c r="Q18" s="564" t="s">
        <v>823</v>
      </c>
      <c r="R18" s="564"/>
      <c r="S18" s="564" t="s">
        <v>863</v>
      </c>
      <c r="T18" s="567"/>
      <c r="U18" s="564"/>
      <c r="V18" s="568" t="s">
        <v>864</v>
      </c>
      <c r="W18" s="568"/>
      <c r="X18" s="569"/>
      <c r="Y18" s="570" t="s">
        <v>978</v>
      </c>
      <c r="Z18" s="564"/>
      <c r="AA18" s="571"/>
      <c r="AB18" s="564"/>
      <c r="AC18" s="567"/>
      <c r="AD18" s="567"/>
    </row>
    <row r="19" spans="1:30" s="585" customFormat="1" ht="13.5" customHeight="1">
      <c r="A19" s="575">
        <v>17</v>
      </c>
      <c r="B19" s="576"/>
      <c r="C19" s="577" t="s">
        <v>979</v>
      </c>
      <c r="D19" s="576"/>
      <c r="E19" s="576"/>
      <c r="F19" s="576"/>
      <c r="G19" s="576"/>
      <c r="H19" s="575" t="s">
        <v>980</v>
      </c>
      <c r="I19" s="578" t="s">
        <v>981</v>
      </c>
      <c r="J19" s="575"/>
      <c r="K19" s="578" t="s">
        <v>982</v>
      </c>
      <c r="L19" s="575"/>
      <c r="M19" s="575"/>
      <c r="N19" s="575"/>
      <c r="O19" s="575"/>
      <c r="P19" s="579"/>
      <c r="Q19" s="575" t="s">
        <v>817</v>
      </c>
      <c r="R19" s="575"/>
      <c r="S19" s="575" t="s">
        <v>863</v>
      </c>
      <c r="T19" s="580"/>
      <c r="U19" s="575"/>
      <c r="V19" s="581" t="s">
        <v>864</v>
      </c>
      <c r="W19" s="581"/>
      <c r="X19" s="582"/>
      <c r="Y19" s="583" t="s">
        <v>983</v>
      </c>
      <c r="Z19" s="575" t="s">
        <v>984</v>
      </c>
      <c r="AA19" s="584"/>
      <c r="AB19" s="575"/>
      <c r="AC19" s="580"/>
      <c r="AD19" s="580">
        <v>1</v>
      </c>
    </row>
    <row r="20" spans="1:30" s="549" customFormat="1" ht="13.5" customHeight="1">
      <c r="A20" s="539">
        <v>10</v>
      </c>
      <c r="B20" s="540"/>
      <c r="C20" s="540" t="s">
        <v>985</v>
      </c>
      <c r="D20" s="540" t="s">
        <v>986</v>
      </c>
      <c r="E20" s="540"/>
      <c r="F20" s="540"/>
      <c r="G20" s="540"/>
      <c r="H20" s="539" t="s">
        <v>987</v>
      </c>
      <c r="I20" s="542"/>
      <c r="J20" s="539" t="s">
        <v>988</v>
      </c>
      <c r="K20" s="542"/>
      <c r="L20" s="539" t="s">
        <v>989</v>
      </c>
      <c r="M20" s="539" t="s">
        <v>990</v>
      </c>
      <c r="N20" s="539"/>
      <c r="O20" s="539"/>
      <c r="P20" s="543">
        <v>1</v>
      </c>
      <c r="Q20" s="539" t="s">
        <v>817</v>
      </c>
      <c r="R20" s="539" t="s">
        <v>864</v>
      </c>
      <c r="S20" s="539" t="s">
        <v>991</v>
      </c>
      <c r="T20" s="544"/>
      <c r="U20" s="539"/>
      <c r="V20" s="545"/>
      <c r="W20" s="545" t="s">
        <v>864</v>
      </c>
      <c r="X20" s="546"/>
      <c r="Y20" s="547"/>
      <c r="Z20" s="539" t="s">
        <v>992</v>
      </c>
      <c r="AA20" s="548"/>
      <c r="AB20" s="539"/>
      <c r="AC20" s="544">
        <v>1</v>
      </c>
      <c r="AD20" s="544">
        <v>1</v>
      </c>
    </row>
    <row r="21" spans="1:30" s="224" customFormat="1" ht="13.5" customHeight="1">
      <c r="A21" s="225">
        <v>6</v>
      </c>
      <c r="B21" s="217"/>
      <c r="C21" s="678" t="s">
        <v>993</v>
      </c>
      <c r="D21" s="241"/>
      <c r="E21" s="241"/>
      <c r="F21" s="241"/>
      <c r="G21" s="241"/>
      <c r="H21" s="714" t="s">
        <v>994</v>
      </c>
      <c r="I21" s="715"/>
      <c r="J21" s="714" t="s">
        <v>995</v>
      </c>
      <c r="K21" s="715"/>
      <c r="L21" s="714" t="s">
        <v>996</v>
      </c>
      <c r="M21" s="714" t="s">
        <v>997</v>
      </c>
      <c r="N21" s="714"/>
      <c r="O21" s="714"/>
      <c r="P21" s="716">
        <v>1</v>
      </c>
      <c r="Q21" s="714" t="s">
        <v>820</v>
      </c>
      <c r="R21" s="714" t="s">
        <v>864</v>
      </c>
      <c r="S21" s="714" t="s">
        <v>991</v>
      </c>
      <c r="T21" s="717"/>
      <c r="U21" s="714"/>
      <c r="V21" s="718" t="s">
        <v>864</v>
      </c>
      <c r="W21" s="718" t="s">
        <v>864</v>
      </c>
      <c r="X21" s="232"/>
      <c r="Y21" s="719"/>
      <c r="Z21" s="714" t="s">
        <v>992</v>
      </c>
      <c r="AA21" s="720"/>
      <c r="AB21" s="714"/>
      <c r="AC21" s="717">
        <v>1</v>
      </c>
      <c r="AD21" s="717">
        <v>1</v>
      </c>
    </row>
    <row r="22" spans="1:30" s="224" customFormat="1" ht="13.5" customHeight="1">
      <c r="A22" s="225">
        <v>7</v>
      </c>
      <c r="B22" s="217"/>
      <c r="C22" s="678"/>
      <c r="D22" s="241" t="s">
        <v>667</v>
      </c>
      <c r="E22" s="241"/>
      <c r="F22" s="241"/>
      <c r="G22" s="241"/>
      <c r="H22" s="714" t="s">
        <v>998</v>
      </c>
      <c r="I22" s="715" t="s">
        <v>999</v>
      </c>
      <c r="J22" s="714" t="s">
        <v>1000</v>
      </c>
      <c r="K22" s="715"/>
      <c r="L22" s="714"/>
      <c r="M22" s="714"/>
      <c r="N22" s="714"/>
      <c r="O22" s="714"/>
      <c r="P22" s="716">
        <v>1</v>
      </c>
      <c r="Q22" s="714" t="s">
        <v>820</v>
      </c>
      <c r="R22" s="714"/>
      <c r="S22" s="714" t="s">
        <v>863</v>
      </c>
      <c r="T22" s="717"/>
      <c r="U22" s="714"/>
      <c r="V22" s="718" t="s">
        <v>864</v>
      </c>
      <c r="W22" s="718" t="s">
        <v>864</v>
      </c>
      <c r="X22" s="232"/>
      <c r="Y22" s="719"/>
      <c r="Z22" s="714" t="s">
        <v>992</v>
      </c>
      <c r="AA22" s="720"/>
      <c r="AB22" s="714"/>
      <c r="AC22" s="717">
        <v>1</v>
      </c>
      <c r="AD22" s="717">
        <v>1</v>
      </c>
    </row>
    <row r="23" spans="1:30" s="224" customFormat="1" ht="13.5" customHeight="1">
      <c r="A23" s="225">
        <v>8</v>
      </c>
      <c r="B23" s="217"/>
      <c r="C23" s="678"/>
      <c r="D23" s="241" t="s">
        <v>1001</v>
      </c>
      <c r="E23" s="241"/>
      <c r="F23" s="241"/>
      <c r="G23" s="241"/>
      <c r="H23" s="714" t="s">
        <v>1002</v>
      </c>
      <c r="I23" s="715" t="s">
        <v>1003</v>
      </c>
      <c r="J23" s="714" t="s">
        <v>1004</v>
      </c>
      <c r="K23" s="715"/>
      <c r="L23" s="714"/>
      <c r="M23" s="714"/>
      <c r="N23" s="714"/>
      <c r="O23" s="714"/>
      <c r="P23" s="716">
        <v>1</v>
      </c>
      <c r="Q23" s="714" t="s">
        <v>820</v>
      </c>
      <c r="R23" s="714"/>
      <c r="S23" s="714" t="s">
        <v>863</v>
      </c>
      <c r="T23" s="717"/>
      <c r="U23" s="714"/>
      <c r="V23" s="718" t="s">
        <v>864</v>
      </c>
      <c r="W23" s="718" t="s">
        <v>864</v>
      </c>
      <c r="X23" s="232"/>
      <c r="Y23" s="719"/>
      <c r="Z23" s="714" t="s">
        <v>992</v>
      </c>
      <c r="AA23" s="720"/>
      <c r="AB23" s="714"/>
      <c r="AC23" s="717">
        <v>1</v>
      </c>
      <c r="AD23" s="717">
        <v>1</v>
      </c>
    </row>
    <row r="24" spans="1:30" s="224" customFormat="1" ht="13.5" customHeight="1">
      <c r="A24" s="225">
        <v>9</v>
      </c>
      <c r="B24" s="217"/>
      <c r="C24" s="678"/>
      <c r="D24" s="241" t="s">
        <v>767</v>
      </c>
      <c r="E24" s="241"/>
      <c r="F24" s="241"/>
      <c r="G24" s="241"/>
      <c r="H24" s="714" t="s">
        <v>1005</v>
      </c>
      <c r="I24" s="715"/>
      <c r="J24" s="714" t="s">
        <v>939</v>
      </c>
      <c r="K24" s="715"/>
      <c r="L24" s="714"/>
      <c r="M24" s="714"/>
      <c r="N24" s="714"/>
      <c r="O24" s="714"/>
      <c r="P24" s="716"/>
      <c r="Q24" s="714" t="s">
        <v>817</v>
      </c>
      <c r="R24" s="714"/>
      <c r="S24" s="714" t="s">
        <v>863</v>
      </c>
      <c r="T24" s="717"/>
      <c r="U24" s="714"/>
      <c r="V24" s="718" t="s">
        <v>864</v>
      </c>
      <c r="W24" s="718" t="s">
        <v>864</v>
      </c>
      <c r="X24" s="232"/>
      <c r="Y24" s="719"/>
      <c r="Z24" s="714" t="s">
        <v>992</v>
      </c>
      <c r="AA24" s="720"/>
      <c r="AB24" s="714"/>
      <c r="AC24" s="717">
        <v>1</v>
      </c>
      <c r="AD24" s="717">
        <v>1</v>
      </c>
    </row>
    <row r="25" spans="1:30" s="549" customFormat="1" ht="13.5" customHeight="1">
      <c r="A25" s="539">
        <v>11</v>
      </c>
      <c r="B25" s="540"/>
      <c r="C25" s="540" t="s">
        <v>1006</v>
      </c>
      <c r="D25" s="540" t="s">
        <v>986</v>
      </c>
      <c r="E25" s="540"/>
      <c r="F25" s="540"/>
      <c r="G25" s="540"/>
      <c r="H25" s="539" t="s">
        <v>1007</v>
      </c>
      <c r="I25" s="542"/>
      <c r="J25" s="539" t="s">
        <v>1008</v>
      </c>
      <c r="K25" s="542"/>
      <c r="L25" s="539"/>
      <c r="M25" s="539"/>
      <c r="N25" s="539"/>
      <c r="O25" s="539"/>
      <c r="P25" s="543">
        <v>1</v>
      </c>
      <c r="Q25" s="539" t="s">
        <v>823</v>
      </c>
      <c r="R25" s="539" t="s">
        <v>864</v>
      </c>
      <c r="S25" s="539" t="s">
        <v>991</v>
      </c>
      <c r="T25" s="544"/>
      <c r="U25" s="539"/>
      <c r="V25" s="545"/>
      <c r="W25" s="545" t="s">
        <v>864</v>
      </c>
      <c r="X25" s="546"/>
      <c r="Y25" s="547"/>
      <c r="Z25" s="539" t="s">
        <v>992</v>
      </c>
      <c r="AA25" s="548"/>
      <c r="AB25" s="539"/>
      <c r="AC25" s="544">
        <v>1</v>
      </c>
      <c r="AD25" s="544">
        <v>1</v>
      </c>
    </row>
    <row r="26" spans="1:30" s="549" customFormat="1" ht="13.5" customHeight="1">
      <c r="A26" s="539">
        <v>12</v>
      </c>
      <c r="B26" s="540"/>
      <c r="C26" s="540" t="s">
        <v>1009</v>
      </c>
      <c r="D26" s="540" t="s">
        <v>986</v>
      </c>
      <c r="E26" s="540"/>
      <c r="F26" s="540"/>
      <c r="G26" s="540"/>
      <c r="H26" s="539" t="s">
        <v>1010</v>
      </c>
      <c r="I26" s="542"/>
      <c r="J26" s="539" t="s">
        <v>1011</v>
      </c>
      <c r="K26" s="542"/>
      <c r="L26" s="539"/>
      <c r="M26" s="539"/>
      <c r="N26" s="539"/>
      <c r="O26" s="539"/>
      <c r="P26" s="543">
        <v>1</v>
      </c>
      <c r="Q26" s="539" t="s">
        <v>817</v>
      </c>
      <c r="R26" s="539" t="s">
        <v>864</v>
      </c>
      <c r="S26" s="539" t="s">
        <v>991</v>
      </c>
      <c r="T26" s="544"/>
      <c r="U26" s="539"/>
      <c r="V26" s="545"/>
      <c r="W26" s="545" t="s">
        <v>864</v>
      </c>
      <c r="X26" s="546"/>
      <c r="Y26" s="547"/>
      <c r="Z26" s="539" t="s">
        <v>992</v>
      </c>
      <c r="AA26" s="548"/>
      <c r="AB26" s="539"/>
      <c r="AC26" s="544">
        <v>1</v>
      </c>
      <c r="AD26" s="544"/>
    </row>
    <row r="27" spans="1:30" s="597" customFormat="1" ht="13.5" customHeight="1">
      <c r="A27" s="586">
        <v>13</v>
      </c>
      <c r="B27" s="587"/>
      <c r="C27" s="587" t="s">
        <v>1012</v>
      </c>
      <c r="D27" s="587"/>
      <c r="E27" s="587"/>
      <c r="F27" s="587"/>
      <c r="G27" s="587"/>
      <c r="H27" s="586"/>
      <c r="I27" s="590"/>
      <c r="J27" s="586"/>
      <c r="K27" s="586" t="s">
        <v>1013</v>
      </c>
      <c r="L27" s="586"/>
      <c r="M27" s="586"/>
      <c r="N27" s="586"/>
      <c r="O27" s="586"/>
      <c r="P27" s="591"/>
      <c r="Q27" s="586" t="s">
        <v>817</v>
      </c>
      <c r="R27" s="586" t="s">
        <v>864</v>
      </c>
      <c r="S27" s="598" t="s">
        <v>1014</v>
      </c>
      <c r="T27" s="592"/>
      <c r="U27" s="586"/>
      <c r="V27" s="593"/>
      <c r="W27" s="593" t="s">
        <v>864</v>
      </c>
      <c r="X27" s="594"/>
      <c r="Y27" s="595"/>
      <c r="Z27" s="586" t="s">
        <v>1015</v>
      </c>
      <c r="AA27" s="596"/>
      <c r="AB27" s="586"/>
      <c r="AC27" s="592"/>
      <c r="AD27" s="592">
        <v>1</v>
      </c>
    </row>
    <row r="28" spans="1:30" s="597" customFormat="1" ht="13.5" customHeight="1">
      <c r="A28" s="586">
        <v>14</v>
      </c>
      <c r="B28" s="587"/>
      <c r="C28" s="587"/>
      <c r="D28" s="587" t="s">
        <v>495</v>
      </c>
      <c r="E28" s="587"/>
      <c r="F28" s="587"/>
      <c r="G28" s="587"/>
      <c r="H28" s="586" t="s">
        <v>1016</v>
      </c>
      <c r="I28" s="590"/>
      <c r="J28" s="586"/>
      <c r="K28" s="586" t="s">
        <v>888</v>
      </c>
      <c r="L28" s="586"/>
      <c r="M28" s="586"/>
      <c r="N28" s="586"/>
      <c r="O28" s="586"/>
      <c r="P28" s="591"/>
      <c r="Q28" s="586" t="s">
        <v>817</v>
      </c>
      <c r="R28" s="586"/>
      <c r="S28" s="586" t="s">
        <v>863</v>
      </c>
      <c r="T28" s="592"/>
      <c r="U28" s="586" t="s">
        <v>1017</v>
      </c>
      <c r="V28" s="593"/>
      <c r="W28" s="593" t="s">
        <v>864</v>
      </c>
      <c r="X28" s="594"/>
      <c r="Y28" s="595"/>
      <c r="Z28" s="595" t="s">
        <v>1018</v>
      </c>
      <c r="AA28" s="596"/>
      <c r="AB28" s="586"/>
      <c r="AC28" s="592"/>
      <c r="AD28" s="592">
        <v>1</v>
      </c>
    </row>
    <row r="29" spans="1:30" s="597" customFormat="1" ht="13.5" customHeight="1">
      <c r="A29" s="586">
        <v>15</v>
      </c>
      <c r="B29" s="587"/>
      <c r="C29" s="587"/>
      <c r="D29" s="587" t="s">
        <v>967</v>
      </c>
      <c r="E29" s="587"/>
      <c r="F29" s="587"/>
      <c r="G29" s="587"/>
      <c r="H29" s="586" t="s">
        <v>1019</v>
      </c>
      <c r="I29" s="590" t="s">
        <v>1020</v>
      </c>
      <c r="J29" s="586"/>
      <c r="K29" s="586" t="s">
        <v>970</v>
      </c>
      <c r="L29" s="586"/>
      <c r="M29" s="586"/>
      <c r="N29" s="586"/>
      <c r="O29" s="586"/>
      <c r="P29" s="591"/>
      <c r="Q29" s="586" t="s">
        <v>817</v>
      </c>
      <c r="R29" s="586"/>
      <c r="S29" s="586" t="s">
        <v>863</v>
      </c>
      <c r="T29" s="592"/>
      <c r="U29" s="586" t="s">
        <v>1021</v>
      </c>
      <c r="V29" s="593"/>
      <c r="W29" s="593" t="s">
        <v>864</v>
      </c>
      <c r="X29" s="594"/>
      <c r="Y29" s="595"/>
      <c r="Z29" s="595" t="s">
        <v>1022</v>
      </c>
      <c r="AA29" s="596"/>
      <c r="AB29" s="586"/>
      <c r="AC29" s="592"/>
      <c r="AD29" s="592">
        <v>1</v>
      </c>
    </row>
    <row r="30" spans="1:30" s="601" customFormat="1" ht="13.5" customHeight="1">
      <c r="A30" s="599">
        <v>16</v>
      </c>
      <c r="B30" s="600"/>
      <c r="C30" s="600"/>
      <c r="D30" s="600" t="s">
        <v>1023</v>
      </c>
      <c r="E30" s="600"/>
      <c r="F30" s="600"/>
      <c r="G30" s="600"/>
      <c r="H30" s="599" t="s">
        <v>1024</v>
      </c>
      <c r="I30" s="601" t="s">
        <v>1025</v>
      </c>
      <c r="J30" s="599"/>
      <c r="K30" s="602" t="s">
        <v>1026</v>
      </c>
      <c r="L30" s="599"/>
      <c r="M30" s="599"/>
      <c r="N30" s="599"/>
      <c r="O30" s="599"/>
      <c r="P30" s="603"/>
      <c r="Q30" s="599" t="s">
        <v>817</v>
      </c>
      <c r="R30" s="599"/>
      <c r="S30" s="599" t="s">
        <v>863</v>
      </c>
      <c r="T30" s="604"/>
      <c r="U30" s="604"/>
      <c r="V30" s="605"/>
      <c r="W30" s="605" t="s">
        <v>864</v>
      </c>
      <c r="X30" s="606"/>
      <c r="Y30" s="607" t="s">
        <v>1027</v>
      </c>
      <c r="Z30" s="599" t="s">
        <v>1028</v>
      </c>
      <c r="AA30" s="608"/>
      <c r="AB30" s="599"/>
      <c r="AC30" s="604"/>
      <c r="AD30" s="604">
        <v>1</v>
      </c>
    </row>
    <row r="31" spans="1:30" s="597" customFormat="1" ht="13.5" customHeight="1">
      <c r="A31" s="586">
        <v>17</v>
      </c>
      <c r="B31" s="587"/>
      <c r="C31" s="587"/>
      <c r="D31" s="587" t="s">
        <v>1029</v>
      </c>
      <c r="E31" s="587"/>
      <c r="F31" s="587"/>
      <c r="G31" s="587"/>
      <c r="H31" s="586" t="s">
        <v>980</v>
      </c>
      <c r="I31" s="590" t="s">
        <v>981</v>
      </c>
      <c r="J31" s="586"/>
      <c r="K31" s="590" t="s">
        <v>982</v>
      </c>
      <c r="L31" s="586"/>
      <c r="M31" s="586"/>
      <c r="N31" s="586"/>
      <c r="O31" s="586"/>
      <c r="P31" s="591"/>
      <c r="Q31" s="586" t="s">
        <v>817</v>
      </c>
      <c r="R31" s="586"/>
      <c r="S31" s="586" t="s">
        <v>863</v>
      </c>
      <c r="T31" s="592"/>
      <c r="U31" s="586"/>
      <c r="V31" s="593"/>
      <c r="W31" s="593" t="s">
        <v>864</v>
      </c>
      <c r="X31" s="594"/>
      <c r="Y31" s="609" t="s">
        <v>983</v>
      </c>
      <c r="Z31" s="586" t="s">
        <v>984</v>
      </c>
      <c r="AA31" s="596"/>
      <c r="AB31" s="586"/>
      <c r="AC31" s="592"/>
      <c r="AD31" s="592">
        <v>1</v>
      </c>
    </row>
    <row r="32" spans="1:30" s="597" customFormat="1" ht="13.5" customHeight="1">
      <c r="A32" s="586">
        <v>18</v>
      </c>
      <c r="B32" s="587"/>
      <c r="C32" s="587" t="s">
        <v>1030</v>
      </c>
      <c r="D32" s="587"/>
      <c r="E32" s="587"/>
      <c r="F32" s="587"/>
      <c r="G32" s="587"/>
      <c r="H32" s="586"/>
      <c r="I32" s="590"/>
      <c r="J32" s="586" t="s">
        <v>1031</v>
      </c>
      <c r="K32" s="590"/>
      <c r="L32" s="586"/>
      <c r="M32" s="586"/>
      <c r="N32" s="586"/>
      <c r="O32" s="586"/>
      <c r="P32" s="591"/>
      <c r="Q32" s="586" t="s">
        <v>817</v>
      </c>
      <c r="R32" s="586" t="s">
        <v>864</v>
      </c>
      <c r="S32" s="598" t="s">
        <v>1031</v>
      </c>
      <c r="T32" s="592"/>
      <c r="U32" s="586"/>
      <c r="V32" s="593"/>
      <c r="W32" s="593" t="s">
        <v>864</v>
      </c>
      <c r="X32" s="594"/>
      <c r="Y32" s="595"/>
      <c r="Z32" s="586"/>
      <c r="AA32" s="596"/>
      <c r="AB32" s="586"/>
      <c r="AC32" s="592">
        <v>1</v>
      </c>
      <c r="AD32" s="592">
        <v>1</v>
      </c>
    </row>
    <row r="33" spans="1:30" s="597" customFormat="1" ht="13.5" customHeight="1">
      <c r="A33" s="586">
        <v>19</v>
      </c>
      <c r="B33" s="587"/>
      <c r="C33" s="587"/>
      <c r="D33" s="587" t="s">
        <v>1032</v>
      </c>
      <c r="E33" s="587"/>
      <c r="F33" s="587"/>
      <c r="G33" s="587"/>
      <c r="H33" s="586" t="s">
        <v>1033</v>
      </c>
      <c r="I33" s="590" t="s">
        <v>1034</v>
      </c>
      <c r="J33" s="586" t="s">
        <v>1035</v>
      </c>
      <c r="K33" s="590"/>
      <c r="L33" s="586" t="s">
        <v>1036</v>
      </c>
      <c r="M33" s="586" t="s">
        <v>1037</v>
      </c>
      <c r="N33" s="586"/>
      <c r="O33" s="586"/>
      <c r="P33" s="591"/>
      <c r="Q33" s="586" t="s">
        <v>817</v>
      </c>
      <c r="R33" s="586"/>
      <c r="S33" s="586" t="s">
        <v>863</v>
      </c>
      <c r="T33" s="592"/>
      <c r="U33" s="586" t="s">
        <v>1038</v>
      </c>
      <c r="V33" s="593"/>
      <c r="W33" s="593" t="s">
        <v>864</v>
      </c>
      <c r="X33" s="594"/>
      <c r="Y33" s="595"/>
      <c r="Z33" s="586"/>
      <c r="AA33" s="596"/>
      <c r="AB33" s="586"/>
      <c r="AC33" s="592">
        <v>1</v>
      </c>
      <c r="AD33" s="592">
        <v>1</v>
      </c>
    </row>
    <row r="34" spans="1:30" s="597" customFormat="1" ht="13.5" customHeight="1">
      <c r="A34" s="586">
        <v>20</v>
      </c>
      <c r="B34" s="587"/>
      <c r="C34" s="587"/>
      <c r="D34" s="587" t="s">
        <v>1039</v>
      </c>
      <c r="E34" s="587"/>
      <c r="F34" s="587"/>
      <c r="G34" s="587"/>
      <c r="H34" s="586" t="s">
        <v>1040</v>
      </c>
      <c r="I34" s="590" t="s">
        <v>1041</v>
      </c>
      <c r="J34" s="586" t="s">
        <v>1042</v>
      </c>
      <c r="K34" s="590"/>
      <c r="L34" s="586"/>
      <c r="M34" s="586"/>
      <c r="N34" s="586"/>
      <c r="O34" s="586"/>
      <c r="P34" s="591"/>
      <c r="Q34" s="586" t="s">
        <v>817</v>
      </c>
      <c r="R34" s="586"/>
      <c r="S34" s="586" t="s">
        <v>863</v>
      </c>
      <c r="T34" s="592"/>
      <c r="U34" s="586" t="s">
        <v>1043</v>
      </c>
      <c r="V34" s="593"/>
      <c r="W34" s="593" t="s">
        <v>864</v>
      </c>
      <c r="X34" s="594"/>
      <c r="Y34" s="595"/>
      <c r="Z34" s="586"/>
      <c r="AA34" s="596" t="s">
        <v>1044</v>
      </c>
      <c r="AB34" s="586"/>
      <c r="AC34" s="592">
        <v>1</v>
      </c>
      <c r="AD34" s="592">
        <v>1</v>
      </c>
    </row>
    <row r="35" spans="1:30" s="597" customFormat="1" ht="13.5" customHeight="1">
      <c r="A35" s="586">
        <v>21</v>
      </c>
      <c r="B35" s="587"/>
      <c r="C35" s="587"/>
      <c r="D35" s="587" t="s">
        <v>1045</v>
      </c>
      <c r="E35" s="587"/>
      <c r="F35" s="587"/>
      <c r="G35" s="587"/>
      <c r="H35" s="586" t="s">
        <v>1046</v>
      </c>
      <c r="I35" s="590" t="s">
        <v>1047</v>
      </c>
      <c r="J35" s="586" t="s">
        <v>939</v>
      </c>
      <c r="K35" s="590"/>
      <c r="L35" s="586"/>
      <c r="M35" s="586"/>
      <c r="N35" s="586"/>
      <c r="O35" s="586"/>
      <c r="P35" s="591"/>
      <c r="Q35" s="586" t="s">
        <v>817</v>
      </c>
      <c r="R35" s="586"/>
      <c r="S35" s="586" t="s">
        <v>863</v>
      </c>
      <c r="T35" s="592"/>
      <c r="U35" s="586"/>
      <c r="V35" s="593"/>
      <c r="W35" s="593" t="s">
        <v>864</v>
      </c>
      <c r="X35" s="594"/>
      <c r="Y35" s="595"/>
      <c r="Z35" s="586"/>
      <c r="AA35" s="596"/>
      <c r="AB35" s="586"/>
      <c r="AC35" s="592">
        <v>1</v>
      </c>
      <c r="AD35" s="592">
        <v>1</v>
      </c>
    </row>
    <row r="36" spans="1:30" s="572" customFormat="1" ht="13.5" customHeight="1">
      <c r="A36" s="564"/>
      <c r="B36" s="563"/>
      <c r="C36" s="563" t="s">
        <v>1048</v>
      </c>
      <c r="D36" s="563"/>
      <c r="E36" s="563"/>
      <c r="F36" s="563"/>
      <c r="G36" s="563"/>
      <c r="H36" s="390" t="s">
        <v>1049</v>
      </c>
      <c r="I36" s="565"/>
      <c r="J36" s="564"/>
      <c r="K36" s="565" t="s">
        <v>908</v>
      </c>
      <c r="L36" s="564"/>
      <c r="M36" s="564"/>
      <c r="N36" s="564"/>
      <c r="O36" s="564"/>
      <c r="P36" s="566"/>
      <c r="Q36" s="564" t="s">
        <v>817</v>
      </c>
      <c r="R36" s="564"/>
      <c r="S36" s="564" t="s">
        <v>863</v>
      </c>
      <c r="T36" s="567"/>
      <c r="U36" s="564" t="s">
        <v>1050</v>
      </c>
      <c r="V36" s="568" t="s">
        <v>864</v>
      </c>
      <c r="W36" s="568"/>
      <c r="X36" s="569"/>
      <c r="Y36" s="570"/>
      <c r="Z36" s="564"/>
      <c r="AA36" s="571"/>
      <c r="AB36" s="564"/>
      <c r="AC36" s="567"/>
      <c r="AD36" s="567"/>
    </row>
    <row r="37" spans="1:30" s="224" customFormat="1" ht="13.5" customHeight="1">
      <c r="A37" s="225">
        <v>22</v>
      </c>
      <c r="B37" s="610" t="s">
        <v>1051</v>
      </c>
      <c r="C37" s="216"/>
      <c r="D37" s="217"/>
      <c r="E37" s="217"/>
      <c r="F37" s="217"/>
      <c r="G37" s="217"/>
      <c r="H37" s="714" t="s">
        <v>1052</v>
      </c>
      <c r="I37" s="715"/>
      <c r="J37" s="714" t="s">
        <v>1053</v>
      </c>
      <c r="K37" s="715" t="s">
        <v>1054</v>
      </c>
      <c r="L37" s="714"/>
      <c r="M37" s="714"/>
      <c r="N37" s="714"/>
      <c r="O37" s="714"/>
      <c r="P37" s="716"/>
      <c r="Q37" s="714" t="s">
        <v>820</v>
      </c>
      <c r="R37" s="714" t="s">
        <v>864</v>
      </c>
      <c r="S37" s="243" t="s">
        <v>1054</v>
      </c>
      <c r="T37" s="281"/>
      <c r="U37" s="714"/>
      <c r="V37" s="718"/>
      <c r="W37" s="718" t="s">
        <v>864</v>
      </c>
      <c r="X37" s="232"/>
      <c r="Y37" s="719"/>
      <c r="Z37" s="714"/>
      <c r="AA37" s="720"/>
      <c r="AB37" s="714"/>
      <c r="AC37" s="717">
        <v>1</v>
      </c>
      <c r="AD37" s="717">
        <v>1</v>
      </c>
    </row>
    <row r="38" spans="1:30" s="597" customFormat="1" ht="13.5" customHeight="1">
      <c r="A38" s="586">
        <v>23</v>
      </c>
      <c r="B38" s="587"/>
      <c r="C38" s="587" t="s">
        <v>1055</v>
      </c>
      <c r="D38" s="587"/>
      <c r="E38" s="587"/>
      <c r="F38" s="587"/>
      <c r="G38" s="587"/>
      <c r="H38" s="586" t="s">
        <v>1056</v>
      </c>
      <c r="I38" s="590" t="s">
        <v>1057</v>
      </c>
      <c r="J38" s="586" t="s">
        <v>1058</v>
      </c>
      <c r="K38" s="590"/>
      <c r="L38" s="586"/>
      <c r="M38" s="586"/>
      <c r="N38" s="586"/>
      <c r="O38" s="586"/>
      <c r="P38" s="591"/>
      <c r="Q38" s="586" t="s">
        <v>820</v>
      </c>
      <c r="R38" s="586"/>
      <c r="S38" s="586" t="s">
        <v>863</v>
      </c>
      <c r="T38" s="592"/>
      <c r="U38" s="586"/>
      <c r="V38" s="593"/>
      <c r="W38" s="593" t="s">
        <v>864</v>
      </c>
      <c r="X38" s="594"/>
      <c r="Y38" s="595"/>
      <c r="Z38" s="586"/>
      <c r="AA38" s="596"/>
      <c r="AB38" s="586"/>
      <c r="AC38" s="592">
        <v>1</v>
      </c>
      <c r="AD38" s="592">
        <v>1</v>
      </c>
    </row>
    <row r="39" spans="1:30" s="597" customFormat="1" ht="13.5" customHeight="1">
      <c r="A39" s="586">
        <v>24</v>
      </c>
      <c r="B39" s="587"/>
      <c r="C39" s="587" t="s">
        <v>1059</v>
      </c>
      <c r="D39" s="587"/>
      <c r="E39" s="588"/>
      <c r="F39" s="588"/>
      <c r="G39" s="588"/>
      <c r="H39" s="586" t="s">
        <v>1060</v>
      </c>
      <c r="I39" s="590" t="s">
        <v>1061</v>
      </c>
      <c r="J39" s="586" t="s">
        <v>1062</v>
      </c>
      <c r="K39" s="590"/>
      <c r="L39" s="586"/>
      <c r="M39" s="586"/>
      <c r="N39" s="586"/>
      <c r="O39" s="586"/>
      <c r="P39" s="612"/>
      <c r="Q39" s="586" t="s">
        <v>817</v>
      </c>
      <c r="R39" s="586"/>
      <c r="S39" s="586" t="s">
        <v>863</v>
      </c>
      <c r="T39" s="592"/>
      <c r="U39" s="586"/>
      <c r="V39" s="593"/>
      <c r="W39" s="593" t="s">
        <v>864</v>
      </c>
      <c r="X39" s="594"/>
      <c r="Y39" s="595"/>
      <c r="Z39" s="586"/>
      <c r="AA39" s="596"/>
      <c r="AB39" s="586"/>
      <c r="AC39" s="592">
        <v>1</v>
      </c>
      <c r="AD39" s="592"/>
    </row>
    <row r="40" spans="1:30" s="224" customFormat="1" ht="13.5" customHeight="1">
      <c r="A40" s="225">
        <v>25</v>
      </c>
      <c r="B40" s="217"/>
      <c r="C40" s="217" t="s">
        <v>1063</v>
      </c>
      <c r="D40" s="217"/>
      <c r="E40" s="217"/>
      <c r="F40" s="217"/>
      <c r="G40" s="217"/>
      <c r="H40" s="263" t="s">
        <v>1064</v>
      </c>
      <c r="I40" s="715" t="s">
        <v>1065</v>
      </c>
      <c r="J40" s="714" t="s">
        <v>871</v>
      </c>
      <c r="K40" s="715"/>
      <c r="L40" s="714" t="s">
        <v>1066</v>
      </c>
      <c r="M40" s="714" t="s">
        <v>1067</v>
      </c>
      <c r="N40" s="714"/>
      <c r="O40" s="714"/>
      <c r="P40" s="252"/>
      <c r="Q40" s="714" t="s">
        <v>817</v>
      </c>
      <c r="R40" s="714"/>
      <c r="S40" s="714" t="s">
        <v>863</v>
      </c>
      <c r="T40" s="717"/>
      <c r="U40" s="714"/>
      <c r="V40" s="718" t="s">
        <v>864</v>
      </c>
      <c r="W40" s="718" t="s">
        <v>864</v>
      </c>
      <c r="X40" s="232"/>
      <c r="Y40" s="719"/>
      <c r="Z40" s="714"/>
      <c r="AA40" s="720"/>
      <c r="AB40" s="714"/>
      <c r="AC40" s="717">
        <v>1</v>
      </c>
      <c r="AD40" s="717">
        <v>1</v>
      </c>
    </row>
    <row r="41" spans="1:30" s="597" customFormat="1" ht="13.5" customHeight="1">
      <c r="A41" s="586">
        <v>110</v>
      </c>
      <c r="B41" s="587"/>
      <c r="C41" s="587" t="s">
        <v>1068</v>
      </c>
      <c r="D41" s="588"/>
      <c r="E41" s="588"/>
      <c r="F41" s="588"/>
      <c r="G41" s="588"/>
      <c r="H41" s="586" t="s">
        <v>1069</v>
      </c>
      <c r="I41" s="613"/>
      <c r="J41" s="586"/>
      <c r="K41" s="590" t="s">
        <v>1070</v>
      </c>
      <c r="L41" s="586"/>
      <c r="M41" s="586"/>
      <c r="N41" s="586"/>
      <c r="O41" s="586"/>
      <c r="P41" s="591"/>
      <c r="Q41" s="586" t="s">
        <v>823</v>
      </c>
      <c r="R41" s="586" t="s">
        <v>864</v>
      </c>
      <c r="S41" s="614" t="s">
        <v>1070</v>
      </c>
      <c r="T41" s="592"/>
      <c r="U41" s="592"/>
      <c r="V41" s="593"/>
      <c r="W41" s="593" t="s">
        <v>864</v>
      </c>
      <c r="X41" s="594"/>
      <c r="Y41" s="595"/>
      <c r="Z41" s="586"/>
      <c r="AA41" s="596"/>
      <c r="AB41" s="586"/>
      <c r="AC41" s="592"/>
      <c r="AD41" s="592">
        <v>1</v>
      </c>
    </row>
    <row r="42" spans="1:30" s="597" customFormat="1" ht="13.5" customHeight="1">
      <c r="A42" s="586">
        <v>111</v>
      </c>
      <c r="B42" s="587"/>
      <c r="C42" s="587"/>
      <c r="D42" s="587" t="s">
        <v>1071</v>
      </c>
      <c r="E42" s="587"/>
      <c r="F42" s="587"/>
      <c r="G42" s="587"/>
      <c r="H42" s="586" t="s">
        <v>1072</v>
      </c>
      <c r="I42" s="613" t="s">
        <v>1073</v>
      </c>
      <c r="J42" s="586"/>
      <c r="K42" s="590" t="s">
        <v>908</v>
      </c>
      <c r="L42" s="586"/>
      <c r="M42" s="586"/>
      <c r="N42" s="586"/>
      <c r="O42" s="586"/>
      <c r="P42" s="591"/>
      <c r="Q42" s="586" t="s">
        <v>820</v>
      </c>
      <c r="R42" s="586"/>
      <c r="S42" s="586" t="s">
        <v>863</v>
      </c>
      <c r="T42" s="592"/>
      <c r="U42" s="590" t="s">
        <v>1074</v>
      </c>
      <c r="V42" s="593"/>
      <c r="W42" s="593" t="s">
        <v>864</v>
      </c>
      <c r="X42" s="594"/>
      <c r="Y42" s="595" t="s">
        <v>1075</v>
      </c>
      <c r="Z42" s="586" t="s">
        <v>1076</v>
      </c>
      <c r="AA42" s="596"/>
      <c r="AB42" s="586"/>
      <c r="AC42" s="592"/>
      <c r="AD42" s="592">
        <v>1</v>
      </c>
    </row>
    <row r="43" spans="1:30" s="597" customFormat="1" ht="13.5" customHeight="1">
      <c r="A43" s="586">
        <v>112</v>
      </c>
      <c r="B43" s="587"/>
      <c r="C43" s="587"/>
      <c r="D43" s="587" t="s">
        <v>1077</v>
      </c>
      <c r="E43" s="587"/>
      <c r="F43" s="587"/>
      <c r="G43" s="587"/>
      <c r="H43" s="586" t="s">
        <v>1078</v>
      </c>
      <c r="I43" s="613" t="s">
        <v>1079</v>
      </c>
      <c r="J43" s="586"/>
      <c r="K43" s="590" t="s">
        <v>1080</v>
      </c>
      <c r="L43" s="586"/>
      <c r="M43" s="586"/>
      <c r="N43" s="586"/>
      <c r="O43" s="586"/>
      <c r="P43" s="591"/>
      <c r="Q43" s="586" t="s">
        <v>820</v>
      </c>
      <c r="R43" s="586"/>
      <c r="S43" s="586" t="s">
        <v>863</v>
      </c>
      <c r="T43" s="592"/>
      <c r="U43" s="592"/>
      <c r="V43" s="593"/>
      <c r="W43" s="593" t="s">
        <v>864</v>
      </c>
      <c r="X43" s="594"/>
      <c r="Y43" s="595"/>
      <c r="Z43" s="586"/>
      <c r="AA43" s="596"/>
      <c r="AB43" s="586"/>
      <c r="AC43" s="592"/>
      <c r="AD43" s="592">
        <v>1</v>
      </c>
    </row>
    <row r="44" spans="1:30" s="597" customFormat="1" ht="13.5" customHeight="1">
      <c r="A44" s="586">
        <v>26</v>
      </c>
      <c r="B44" s="587"/>
      <c r="C44" s="587" t="s">
        <v>1081</v>
      </c>
      <c r="D44" s="588"/>
      <c r="E44" s="588"/>
      <c r="F44" s="588"/>
      <c r="G44" s="588"/>
      <c r="H44" s="586"/>
      <c r="I44" s="590"/>
      <c r="J44" s="586"/>
      <c r="K44" s="590" t="s">
        <v>1082</v>
      </c>
      <c r="L44" s="586"/>
      <c r="M44" s="586"/>
      <c r="N44" s="586"/>
      <c r="O44" s="586"/>
      <c r="P44" s="591"/>
      <c r="Q44" s="586" t="s">
        <v>817</v>
      </c>
      <c r="R44" s="586" t="s">
        <v>864</v>
      </c>
      <c r="S44" s="598" t="s">
        <v>1082</v>
      </c>
      <c r="T44" s="592"/>
      <c r="U44" s="586"/>
      <c r="V44" s="593"/>
      <c r="W44" s="593" t="s">
        <v>864</v>
      </c>
      <c r="X44" s="594"/>
      <c r="Y44" s="595"/>
      <c r="Z44" s="586"/>
      <c r="AA44" s="596"/>
      <c r="AB44" s="586"/>
      <c r="AC44" s="592">
        <v>1</v>
      </c>
      <c r="AD44" s="592">
        <v>1</v>
      </c>
    </row>
    <row r="45" spans="1:30" s="585" customFormat="1" ht="13.5" customHeight="1">
      <c r="A45" s="575">
        <v>27</v>
      </c>
      <c r="B45" s="576"/>
      <c r="C45" s="577" t="s">
        <v>1083</v>
      </c>
      <c r="D45" s="576"/>
      <c r="E45" s="615"/>
      <c r="F45" s="578"/>
      <c r="G45" s="578"/>
      <c r="H45" s="575" t="s">
        <v>1084</v>
      </c>
      <c r="I45" s="578" t="s">
        <v>1085</v>
      </c>
      <c r="J45" s="575" t="s">
        <v>1086</v>
      </c>
      <c r="K45" s="578" t="s">
        <v>1087</v>
      </c>
      <c r="L45" s="575"/>
      <c r="M45" s="575"/>
      <c r="N45" s="575"/>
      <c r="O45" s="575"/>
      <c r="P45" s="579"/>
      <c r="Q45" s="575" t="s">
        <v>820</v>
      </c>
      <c r="R45" s="575"/>
      <c r="S45" s="575" t="s">
        <v>863</v>
      </c>
      <c r="T45" s="580"/>
      <c r="U45" s="575" t="s">
        <v>1088</v>
      </c>
      <c r="V45" s="581" t="s">
        <v>864</v>
      </c>
      <c r="W45" s="581" t="s">
        <v>864</v>
      </c>
      <c r="X45" s="582"/>
      <c r="Y45" s="616"/>
      <c r="Z45" s="575"/>
      <c r="AA45" s="584"/>
      <c r="AB45" s="575"/>
      <c r="AC45" s="580">
        <v>1</v>
      </c>
      <c r="AD45" s="580">
        <v>1</v>
      </c>
    </row>
    <row r="46" spans="1:30" s="597" customFormat="1" ht="13.5" customHeight="1">
      <c r="A46" s="586">
        <v>28</v>
      </c>
      <c r="B46" s="587"/>
      <c r="C46" s="587"/>
      <c r="D46" s="587" t="s">
        <v>1089</v>
      </c>
      <c r="E46" s="588"/>
      <c r="F46" s="588"/>
      <c r="G46" s="588"/>
      <c r="H46" s="586" t="s">
        <v>1090</v>
      </c>
      <c r="I46" s="590" t="s">
        <v>1091</v>
      </c>
      <c r="J46" s="586"/>
      <c r="K46" s="590" t="s">
        <v>1092</v>
      </c>
      <c r="L46" s="586" t="s">
        <v>1093</v>
      </c>
      <c r="M46" s="586" t="s">
        <v>254</v>
      </c>
      <c r="N46" s="586"/>
      <c r="O46" s="586"/>
      <c r="P46" s="591"/>
      <c r="Q46" s="586" t="s">
        <v>817</v>
      </c>
      <c r="R46" s="586"/>
      <c r="S46" s="586" t="s">
        <v>863</v>
      </c>
      <c r="T46" s="592"/>
      <c r="U46" s="586"/>
      <c r="V46" s="593"/>
      <c r="W46" s="593" t="s">
        <v>864</v>
      </c>
      <c r="X46" s="594"/>
      <c r="Y46" s="595"/>
      <c r="Z46" s="586"/>
      <c r="AA46" s="596"/>
      <c r="AB46" s="586"/>
      <c r="AC46" s="592">
        <v>1</v>
      </c>
      <c r="AD46" s="592">
        <v>1</v>
      </c>
    </row>
    <row r="47" spans="1:30" s="597" customFormat="1" ht="13.5" customHeight="1">
      <c r="A47" s="586">
        <v>29</v>
      </c>
      <c r="B47" s="587"/>
      <c r="C47" s="587"/>
      <c r="D47" s="587" t="s">
        <v>1094</v>
      </c>
      <c r="E47" s="588"/>
      <c r="F47" s="588"/>
      <c r="G47" s="588"/>
      <c r="H47" s="586"/>
      <c r="I47" s="590"/>
      <c r="J47" s="586"/>
      <c r="K47" s="590" t="s">
        <v>1095</v>
      </c>
      <c r="L47" s="586" t="s">
        <v>1096</v>
      </c>
      <c r="M47" s="586" t="s">
        <v>1097</v>
      </c>
      <c r="N47" s="586"/>
      <c r="O47" s="586"/>
      <c r="P47" s="591"/>
      <c r="Q47" s="586" t="s">
        <v>817</v>
      </c>
      <c r="R47" s="586" t="s">
        <v>864</v>
      </c>
      <c r="S47" s="598" t="s">
        <v>1095</v>
      </c>
      <c r="T47" s="592"/>
      <c r="U47" s="586"/>
      <c r="V47" s="593"/>
      <c r="W47" s="593" t="s">
        <v>864</v>
      </c>
      <c r="X47" s="594"/>
      <c r="Y47" s="595"/>
      <c r="Z47" s="586"/>
      <c r="AA47" s="596"/>
      <c r="AB47" s="586"/>
      <c r="AC47" s="592">
        <v>1</v>
      </c>
      <c r="AD47" s="592">
        <v>1</v>
      </c>
    </row>
    <row r="48" spans="1:30" s="597" customFormat="1" ht="13.5" customHeight="1">
      <c r="A48" s="586">
        <v>30</v>
      </c>
      <c r="B48" s="587"/>
      <c r="C48" s="587"/>
      <c r="D48" s="587"/>
      <c r="E48" s="587" t="s">
        <v>1098</v>
      </c>
      <c r="F48" s="587"/>
      <c r="G48" s="587"/>
      <c r="H48" s="586" t="s">
        <v>1099</v>
      </c>
      <c r="I48" s="590" t="s">
        <v>1100</v>
      </c>
      <c r="J48" s="586"/>
      <c r="K48" s="590" t="s">
        <v>1087</v>
      </c>
      <c r="L48" s="586"/>
      <c r="M48" s="586"/>
      <c r="N48" s="586"/>
      <c r="O48" s="586"/>
      <c r="P48" s="591"/>
      <c r="Q48" s="586" t="s">
        <v>820</v>
      </c>
      <c r="R48" s="586"/>
      <c r="S48" s="586" t="s">
        <v>863</v>
      </c>
      <c r="T48" s="592"/>
      <c r="U48" s="586" t="s">
        <v>1101</v>
      </c>
      <c r="V48" s="593"/>
      <c r="W48" s="593" t="s">
        <v>864</v>
      </c>
      <c r="X48" s="594"/>
      <c r="Y48" s="595"/>
      <c r="Z48" s="586"/>
      <c r="AA48" s="596"/>
      <c r="AB48" s="586"/>
      <c r="AC48" s="592">
        <v>1</v>
      </c>
      <c r="AD48" s="592">
        <v>1</v>
      </c>
    </row>
    <row r="49" spans="1:30" s="597" customFormat="1" ht="13.5" customHeight="1">
      <c r="A49" s="586">
        <v>31</v>
      </c>
      <c r="B49" s="587"/>
      <c r="C49" s="587"/>
      <c r="D49" s="587"/>
      <c r="E49" s="587" t="s">
        <v>1102</v>
      </c>
      <c r="F49" s="587"/>
      <c r="G49" s="587"/>
      <c r="H49" s="586"/>
      <c r="I49" s="590" t="s">
        <v>1103</v>
      </c>
      <c r="J49" s="586"/>
      <c r="K49" s="590" t="s">
        <v>970</v>
      </c>
      <c r="L49" s="586"/>
      <c r="M49" s="586"/>
      <c r="N49" s="586"/>
      <c r="O49" s="586"/>
      <c r="P49" s="591"/>
      <c r="Q49" s="586" t="s">
        <v>817</v>
      </c>
      <c r="R49" s="586"/>
      <c r="S49" s="586" t="s">
        <v>863</v>
      </c>
      <c r="T49" s="592"/>
      <c r="U49" s="586"/>
      <c r="V49" s="593"/>
      <c r="W49" s="593" t="s">
        <v>864</v>
      </c>
      <c r="X49" s="594"/>
      <c r="Y49" s="595"/>
      <c r="Z49" s="586"/>
      <c r="AA49" s="596"/>
      <c r="AB49" s="586"/>
      <c r="AC49" s="592">
        <v>1</v>
      </c>
      <c r="AD49" s="592">
        <v>1</v>
      </c>
    </row>
    <row r="50" spans="1:30" s="597" customFormat="1" ht="13.5" customHeight="1">
      <c r="A50" s="586">
        <v>32</v>
      </c>
      <c r="B50" s="587"/>
      <c r="C50" s="587"/>
      <c r="D50" s="587"/>
      <c r="E50" s="587" t="s">
        <v>1104</v>
      </c>
      <c r="F50" s="587"/>
      <c r="G50" s="587"/>
      <c r="H50" s="586"/>
      <c r="I50" s="590" t="s">
        <v>1105</v>
      </c>
      <c r="J50" s="586"/>
      <c r="K50" s="590" t="s">
        <v>871</v>
      </c>
      <c r="L50" s="586"/>
      <c r="M50" s="586"/>
      <c r="N50" s="586"/>
      <c r="O50" s="586"/>
      <c r="P50" s="591"/>
      <c r="Q50" s="586" t="s">
        <v>817</v>
      </c>
      <c r="R50" s="586"/>
      <c r="S50" s="586" t="s">
        <v>863</v>
      </c>
      <c r="T50" s="592"/>
      <c r="U50" s="586"/>
      <c r="V50" s="593"/>
      <c r="W50" s="593" t="s">
        <v>864</v>
      </c>
      <c r="X50" s="594"/>
      <c r="Y50" s="595"/>
      <c r="Z50" s="586"/>
      <c r="AA50" s="596"/>
      <c r="AB50" s="586"/>
      <c r="AC50" s="592">
        <v>1</v>
      </c>
      <c r="AD50" s="592">
        <v>1</v>
      </c>
    </row>
    <row r="51" spans="1:30" s="597" customFormat="1" ht="13.5" customHeight="1">
      <c r="A51" s="586">
        <v>33</v>
      </c>
      <c r="B51" s="587"/>
      <c r="C51" s="587" t="s">
        <v>1106</v>
      </c>
      <c r="D51" s="588"/>
      <c r="E51" s="588"/>
      <c r="F51" s="588"/>
      <c r="G51" s="588"/>
      <c r="H51" s="586"/>
      <c r="I51" s="590"/>
      <c r="J51" s="586"/>
      <c r="K51" s="590" t="s">
        <v>1107</v>
      </c>
      <c r="L51" s="586"/>
      <c r="M51" s="586"/>
      <c r="N51" s="586"/>
      <c r="O51" s="586"/>
      <c r="P51" s="591"/>
      <c r="Q51" s="586" t="s">
        <v>817</v>
      </c>
      <c r="R51" s="586" t="s">
        <v>864</v>
      </c>
      <c r="S51" s="598" t="s">
        <v>1107</v>
      </c>
      <c r="T51" s="592"/>
      <c r="U51" s="586"/>
      <c r="V51" s="593"/>
      <c r="W51" s="593" t="s">
        <v>864</v>
      </c>
      <c r="X51" s="594"/>
      <c r="Y51" s="595"/>
      <c r="Z51" s="586"/>
      <c r="AA51" s="596"/>
      <c r="AB51" s="586"/>
      <c r="AC51" s="592"/>
      <c r="AD51" s="592">
        <v>1</v>
      </c>
    </row>
    <row r="52" spans="1:30" s="626" customFormat="1" ht="13.5" customHeight="1">
      <c r="A52" s="618">
        <v>34</v>
      </c>
      <c r="B52" s="577"/>
      <c r="C52" s="577" t="s">
        <v>388</v>
      </c>
      <c r="D52" s="577"/>
      <c r="E52" s="577"/>
      <c r="F52" s="577"/>
      <c r="G52" s="577"/>
      <c r="H52" s="618" t="s">
        <v>1108</v>
      </c>
      <c r="I52" s="619" t="s">
        <v>1109</v>
      </c>
      <c r="J52" s="618" t="s">
        <v>1107</v>
      </c>
      <c r="K52" s="619" t="s">
        <v>871</v>
      </c>
      <c r="L52" s="618" t="s">
        <v>1110</v>
      </c>
      <c r="M52" s="618" t="s">
        <v>388</v>
      </c>
      <c r="N52" s="618"/>
      <c r="O52" s="618"/>
      <c r="P52" s="620"/>
      <c r="Q52" s="618" t="s">
        <v>817</v>
      </c>
      <c r="R52" s="618"/>
      <c r="S52" s="618" t="s">
        <v>863</v>
      </c>
      <c r="T52" s="621"/>
      <c r="U52" s="618"/>
      <c r="V52" s="622" t="s">
        <v>864</v>
      </c>
      <c r="W52" s="622" t="s">
        <v>864</v>
      </c>
      <c r="X52" s="623"/>
      <c r="Y52" s="624"/>
      <c r="Z52" s="618"/>
      <c r="AA52" s="625" t="s">
        <v>1111</v>
      </c>
      <c r="AB52" s="618"/>
      <c r="AC52" s="621">
        <v>1</v>
      </c>
      <c r="AD52" s="621">
        <v>1</v>
      </c>
    </row>
    <row r="53" spans="1:30" s="626" customFormat="1" ht="13.5" customHeight="1">
      <c r="A53" s="618">
        <v>35</v>
      </c>
      <c r="B53" s="577"/>
      <c r="C53" s="577" t="s">
        <v>392</v>
      </c>
      <c r="D53" s="577"/>
      <c r="E53" s="577"/>
      <c r="F53" s="577"/>
      <c r="G53" s="577"/>
      <c r="H53" s="618" t="s">
        <v>1112</v>
      </c>
      <c r="I53" s="619">
        <v>59350</v>
      </c>
      <c r="J53" s="618" t="s">
        <v>1113</v>
      </c>
      <c r="K53" s="619" t="s">
        <v>1114</v>
      </c>
      <c r="L53" s="618" t="s">
        <v>1115</v>
      </c>
      <c r="M53" s="618" t="s">
        <v>392</v>
      </c>
      <c r="N53" s="618"/>
      <c r="O53" s="618"/>
      <c r="P53" s="620"/>
      <c r="Q53" s="618" t="s">
        <v>817</v>
      </c>
      <c r="R53" s="618"/>
      <c r="S53" s="618" t="s">
        <v>863</v>
      </c>
      <c r="T53" s="621"/>
      <c r="U53" s="618" t="s">
        <v>1116</v>
      </c>
      <c r="V53" s="622" t="s">
        <v>864</v>
      </c>
      <c r="W53" s="622" t="s">
        <v>864</v>
      </c>
      <c r="X53" s="623"/>
      <c r="Y53" s="624"/>
      <c r="Z53" s="618"/>
      <c r="AA53" s="625"/>
      <c r="AB53" s="618"/>
      <c r="AC53" s="621">
        <v>1</v>
      </c>
      <c r="AD53" s="621">
        <v>1</v>
      </c>
    </row>
    <row r="54" spans="1:30" s="597" customFormat="1" ht="13.5" customHeight="1">
      <c r="A54" s="586">
        <v>36</v>
      </c>
      <c r="B54" s="587"/>
      <c r="C54" s="587"/>
      <c r="D54" s="587" t="s">
        <v>1117</v>
      </c>
      <c r="E54" s="587"/>
      <c r="F54" s="587"/>
      <c r="G54" s="587"/>
      <c r="H54" s="586" t="s">
        <v>1118</v>
      </c>
      <c r="I54" s="590" t="s">
        <v>1119</v>
      </c>
      <c r="J54" s="586"/>
      <c r="K54" s="590" t="s">
        <v>1120</v>
      </c>
      <c r="L54" s="586"/>
      <c r="M54" s="586"/>
      <c r="N54" s="586"/>
      <c r="O54" s="586"/>
      <c r="P54" s="591"/>
      <c r="Q54" s="586" t="s">
        <v>817</v>
      </c>
      <c r="R54" s="586"/>
      <c r="S54" s="617" t="s">
        <v>863</v>
      </c>
      <c r="T54" s="592"/>
      <c r="U54" s="586"/>
      <c r="V54" s="593"/>
      <c r="W54" s="593" t="s">
        <v>864</v>
      </c>
      <c r="X54" s="594"/>
      <c r="Y54" s="595"/>
      <c r="Z54" s="586"/>
      <c r="AA54" s="596"/>
      <c r="AB54" s="586"/>
      <c r="AC54" s="592"/>
      <c r="AD54" s="592">
        <v>1</v>
      </c>
    </row>
    <row r="55" spans="1:30" s="256" customFormat="1" ht="12.75" customHeight="1">
      <c r="A55" s="225">
        <v>37</v>
      </c>
      <c r="B55" s="217"/>
      <c r="C55" s="217" t="s">
        <v>1121</v>
      </c>
      <c r="D55" s="221"/>
      <c r="E55" s="221"/>
      <c r="F55" s="221"/>
      <c r="G55" s="221"/>
      <c r="H55" s="714" t="s">
        <v>1122</v>
      </c>
      <c r="I55" s="715"/>
      <c r="J55" s="714"/>
      <c r="K55" s="715" t="s">
        <v>1123</v>
      </c>
      <c r="L55" s="714"/>
      <c r="M55" s="714"/>
      <c r="N55" s="714"/>
      <c r="O55" s="714"/>
      <c r="P55" s="716"/>
      <c r="Q55" s="714" t="s">
        <v>817</v>
      </c>
      <c r="R55" s="714" t="s">
        <v>864</v>
      </c>
      <c r="S55" s="243" t="s">
        <v>1123</v>
      </c>
      <c r="T55" s="717"/>
      <c r="U55" s="714"/>
      <c r="V55" s="718" t="s">
        <v>864</v>
      </c>
      <c r="W55" s="718" t="s">
        <v>864</v>
      </c>
      <c r="X55" s="232"/>
      <c r="Y55" s="719"/>
      <c r="Z55" s="714"/>
      <c r="AA55" s="720"/>
      <c r="AB55" s="714"/>
      <c r="AC55" s="717">
        <v>1</v>
      </c>
      <c r="AD55" s="717">
        <v>1</v>
      </c>
    </row>
    <row r="56" spans="1:30" s="256" customFormat="1" ht="12.75" customHeight="1">
      <c r="A56" s="225">
        <v>38</v>
      </c>
      <c r="B56" s="217"/>
      <c r="C56" s="217"/>
      <c r="D56" s="678" t="s">
        <v>415</v>
      </c>
      <c r="E56" s="221"/>
      <c r="F56" s="221"/>
      <c r="G56" s="221"/>
      <c r="H56" s="714" t="s">
        <v>1124</v>
      </c>
      <c r="I56" s="715" t="s">
        <v>1125</v>
      </c>
      <c r="J56" s="714"/>
      <c r="K56" s="715" t="s">
        <v>1126</v>
      </c>
      <c r="L56" s="714" t="s">
        <v>1127</v>
      </c>
      <c r="M56" s="714" t="s">
        <v>415</v>
      </c>
      <c r="N56" s="714"/>
      <c r="O56" s="714"/>
      <c r="P56" s="716"/>
      <c r="Q56" s="714" t="s">
        <v>817</v>
      </c>
      <c r="R56" s="714"/>
      <c r="S56" s="721" t="s">
        <v>863</v>
      </c>
      <c r="T56" s="282"/>
      <c r="U56" s="714"/>
      <c r="V56" s="718" t="s">
        <v>864</v>
      </c>
      <c r="W56" s="718" t="s">
        <v>864</v>
      </c>
      <c r="X56" s="232"/>
      <c r="Y56" s="719"/>
      <c r="Z56" s="714"/>
      <c r="AA56" s="720"/>
      <c r="AB56" s="714"/>
      <c r="AC56" s="717">
        <v>1</v>
      </c>
      <c r="AD56" s="717">
        <v>1</v>
      </c>
    </row>
    <row r="57" spans="1:30" s="256" customFormat="1" ht="12.75" customHeight="1">
      <c r="A57" s="225">
        <v>39</v>
      </c>
      <c r="B57" s="217"/>
      <c r="C57" s="217"/>
      <c r="D57" s="678" t="s">
        <v>1128</v>
      </c>
      <c r="E57" s="221"/>
      <c r="F57" s="221"/>
      <c r="G57" s="221"/>
      <c r="H57" s="714" t="s">
        <v>1129</v>
      </c>
      <c r="I57" s="715" t="s">
        <v>1130</v>
      </c>
      <c r="J57" s="714"/>
      <c r="K57" s="715" t="s">
        <v>1131</v>
      </c>
      <c r="L57" s="714" t="s">
        <v>1132</v>
      </c>
      <c r="M57" s="714" t="s">
        <v>424</v>
      </c>
      <c r="N57" s="714"/>
      <c r="O57" s="714"/>
      <c r="P57" s="716"/>
      <c r="Q57" s="714" t="s">
        <v>817</v>
      </c>
      <c r="R57" s="714"/>
      <c r="S57" s="721" t="s">
        <v>863</v>
      </c>
      <c r="T57" s="282"/>
      <c r="U57" s="714"/>
      <c r="V57" s="718" t="s">
        <v>864</v>
      </c>
      <c r="W57" s="718" t="s">
        <v>864</v>
      </c>
      <c r="X57" s="232"/>
      <c r="Y57" s="719"/>
      <c r="Z57" s="714"/>
      <c r="AA57" s="720"/>
      <c r="AB57" s="714"/>
      <c r="AC57" s="717">
        <v>1</v>
      </c>
      <c r="AD57" s="717">
        <v>1</v>
      </c>
    </row>
    <row r="58" spans="1:30" s="244" customFormat="1" ht="12.75" customHeight="1">
      <c r="A58" s="225">
        <v>40</v>
      </c>
      <c r="B58" s="217"/>
      <c r="C58" s="222"/>
      <c r="D58" s="678" t="s">
        <v>429</v>
      </c>
      <c r="E58" s="221"/>
      <c r="F58" s="221"/>
      <c r="G58" s="221"/>
      <c r="H58" s="714" t="s">
        <v>1133</v>
      </c>
      <c r="I58" s="715" t="s">
        <v>1134</v>
      </c>
      <c r="J58" s="714"/>
      <c r="K58" s="715" t="s">
        <v>1135</v>
      </c>
      <c r="L58" s="714"/>
      <c r="M58" s="714"/>
      <c r="N58" s="714"/>
      <c r="O58" s="714"/>
      <c r="P58" s="716"/>
      <c r="Q58" s="714" t="s">
        <v>817</v>
      </c>
      <c r="R58" s="714"/>
      <c r="S58" s="721" t="s">
        <v>863</v>
      </c>
      <c r="T58" s="282"/>
      <c r="U58" s="714"/>
      <c r="V58" s="718" t="s">
        <v>864</v>
      </c>
      <c r="W58" s="718" t="s">
        <v>864</v>
      </c>
      <c r="X58" s="232"/>
      <c r="Y58" s="719"/>
      <c r="Z58" s="714"/>
      <c r="AA58" s="720"/>
      <c r="AB58" s="714"/>
      <c r="AC58" s="717">
        <v>1</v>
      </c>
      <c r="AD58" s="717">
        <v>1</v>
      </c>
    </row>
    <row r="59" spans="1:30" s="244" customFormat="1" ht="12.75" customHeight="1">
      <c r="A59" s="225">
        <v>41</v>
      </c>
      <c r="B59" s="217"/>
      <c r="C59" s="222"/>
      <c r="D59" s="678" t="s">
        <v>426</v>
      </c>
      <c r="E59" s="221"/>
      <c r="F59" s="221"/>
      <c r="G59" s="221"/>
      <c r="H59" s="714" t="s">
        <v>1136</v>
      </c>
      <c r="I59" s="715" t="s">
        <v>1137</v>
      </c>
      <c r="J59" s="714"/>
      <c r="K59" s="715" t="s">
        <v>1138</v>
      </c>
      <c r="L59" s="714" t="s">
        <v>1139</v>
      </c>
      <c r="M59" s="714" t="s">
        <v>426</v>
      </c>
      <c r="N59" s="714"/>
      <c r="O59" s="714"/>
      <c r="P59" s="716"/>
      <c r="Q59" s="714" t="s">
        <v>823</v>
      </c>
      <c r="R59" s="714"/>
      <c r="S59" s="721" t="s">
        <v>863</v>
      </c>
      <c r="T59" s="282"/>
      <c r="U59" s="714"/>
      <c r="V59" s="718" t="s">
        <v>864</v>
      </c>
      <c r="W59" s="718" t="s">
        <v>864</v>
      </c>
      <c r="X59" s="232"/>
      <c r="Y59" s="719"/>
      <c r="Z59" s="714"/>
      <c r="AA59" s="720"/>
      <c r="AB59" s="714"/>
      <c r="AC59" s="717">
        <v>1</v>
      </c>
      <c r="AD59" s="717">
        <v>1</v>
      </c>
    </row>
    <row r="60" spans="1:30" s="244" customFormat="1" ht="12.75" customHeight="1">
      <c r="A60" s="225">
        <v>42</v>
      </c>
      <c r="B60" s="217"/>
      <c r="C60" s="222"/>
      <c r="D60" s="678" t="s">
        <v>1140</v>
      </c>
      <c r="E60" s="221"/>
      <c r="F60" s="221"/>
      <c r="G60" s="221"/>
      <c r="H60" s="714" t="s">
        <v>1141</v>
      </c>
      <c r="I60" s="715" t="s">
        <v>1142</v>
      </c>
      <c r="J60" s="714"/>
      <c r="K60" s="715" t="s">
        <v>1143</v>
      </c>
      <c r="L60" s="714"/>
      <c r="M60" s="714"/>
      <c r="N60" s="714"/>
      <c r="O60" s="714"/>
      <c r="P60" s="716"/>
      <c r="Q60" s="714" t="s">
        <v>817</v>
      </c>
      <c r="R60" s="714"/>
      <c r="S60" s="721" t="s">
        <v>863</v>
      </c>
      <c r="T60" s="282"/>
      <c r="U60" s="714"/>
      <c r="V60" s="718" t="s">
        <v>864</v>
      </c>
      <c r="W60" s="718" t="s">
        <v>864</v>
      </c>
      <c r="X60" s="232"/>
      <c r="Y60" s="719"/>
      <c r="Z60" s="714"/>
      <c r="AA60" s="720"/>
      <c r="AB60" s="714"/>
      <c r="AC60" s="717">
        <v>1</v>
      </c>
      <c r="AD60" s="717">
        <v>1</v>
      </c>
    </row>
    <row r="61" spans="1:30" s="257" customFormat="1" ht="12.75" customHeight="1">
      <c r="A61" s="225">
        <v>43</v>
      </c>
      <c r="B61" s="217"/>
      <c r="C61" s="222"/>
      <c r="D61" s="678" t="s">
        <v>1144</v>
      </c>
      <c r="E61" s="221"/>
      <c r="F61" s="221"/>
      <c r="G61" s="221"/>
      <c r="H61" s="714" t="s">
        <v>410</v>
      </c>
      <c r="I61" s="715" t="s">
        <v>1145</v>
      </c>
      <c r="J61" s="714"/>
      <c r="K61" s="715" t="s">
        <v>1146</v>
      </c>
      <c r="L61" s="714"/>
      <c r="M61" s="714"/>
      <c r="N61" s="714"/>
      <c r="O61" s="714"/>
      <c r="P61" s="716"/>
      <c r="Q61" s="714" t="s">
        <v>817</v>
      </c>
      <c r="R61" s="714"/>
      <c r="S61" s="721" t="s">
        <v>863</v>
      </c>
      <c r="T61" s="282"/>
      <c r="U61" s="714"/>
      <c r="V61" s="718" t="s">
        <v>864</v>
      </c>
      <c r="W61" s="718" t="s">
        <v>864</v>
      </c>
      <c r="X61" s="232"/>
      <c r="Y61" s="719"/>
      <c r="Z61" s="714"/>
      <c r="AA61" s="720"/>
      <c r="AB61" s="714"/>
      <c r="AC61" s="717">
        <v>1</v>
      </c>
      <c r="AD61" s="717">
        <v>1</v>
      </c>
    </row>
    <row r="62" spans="1:30" s="258" customFormat="1" ht="12.75" customHeight="1">
      <c r="A62" s="225">
        <v>44</v>
      </c>
      <c r="B62" s="217"/>
      <c r="C62" s="218"/>
      <c r="D62" s="678" t="s">
        <v>1147</v>
      </c>
      <c r="E62" s="221"/>
      <c r="F62" s="221"/>
      <c r="G62" s="221"/>
      <c r="H62" s="714"/>
      <c r="I62" s="715" t="s">
        <v>1148</v>
      </c>
      <c r="J62" s="714"/>
      <c r="K62" s="715" t="s">
        <v>1149</v>
      </c>
      <c r="L62" s="714"/>
      <c r="M62" s="714"/>
      <c r="N62" s="714"/>
      <c r="O62" s="714"/>
      <c r="P62" s="716"/>
      <c r="Q62" s="714" t="s">
        <v>817</v>
      </c>
      <c r="R62" s="714"/>
      <c r="S62" s="721" t="s">
        <v>863</v>
      </c>
      <c r="T62" s="282"/>
      <c r="U62" s="714"/>
      <c r="V62" s="718" t="s">
        <v>864</v>
      </c>
      <c r="W62" s="718" t="s">
        <v>864</v>
      </c>
      <c r="X62" s="232"/>
      <c r="Y62" s="719"/>
      <c r="Z62" s="714"/>
      <c r="AA62" s="720"/>
      <c r="AB62" s="714"/>
      <c r="AC62" s="717">
        <v>1</v>
      </c>
      <c r="AD62" s="717">
        <v>1</v>
      </c>
    </row>
    <row r="63" spans="1:30" s="256" customFormat="1" ht="12.95" customHeight="1">
      <c r="A63" s="225">
        <v>45</v>
      </c>
      <c r="B63" s="217"/>
      <c r="C63" s="218"/>
      <c r="D63" s="678" t="s">
        <v>178</v>
      </c>
      <c r="E63" s="221"/>
      <c r="F63" s="221"/>
      <c r="G63" s="221"/>
      <c r="H63" s="714" t="s">
        <v>1150</v>
      </c>
      <c r="I63" s="715" t="s">
        <v>1151</v>
      </c>
      <c r="J63" s="714"/>
      <c r="K63" s="715" t="s">
        <v>1152</v>
      </c>
      <c r="L63" s="714"/>
      <c r="M63" s="714"/>
      <c r="N63" s="714"/>
      <c r="O63" s="714"/>
      <c r="P63" s="716"/>
      <c r="Q63" s="714" t="s">
        <v>817</v>
      </c>
      <c r="R63" s="714"/>
      <c r="S63" s="721" t="s">
        <v>863</v>
      </c>
      <c r="T63" s="282"/>
      <c r="U63" s="714"/>
      <c r="V63" s="718" t="s">
        <v>864</v>
      </c>
      <c r="W63" s="718" t="s">
        <v>864</v>
      </c>
      <c r="X63" s="232"/>
      <c r="Y63" s="719"/>
      <c r="Z63" s="714"/>
      <c r="AA63" s="720"/>
      <c r="AB63" s="714"/>
      <c r="AC63" s="717">
        <v>1</v>
      </c>
      <c r="AD63" s="717">
        <v>1</v>
      </c>
    </row>
    <row r="64" spans="1:30" s="256" customFormat="1" ht="12.95" customHeight="1">
      <c r="A64" s="225">
        <v>46</v>
      </c>
      <c r="B64" s="217"/>
      <c r="C64" s="218"/>
      <c r="D64" s="241" t="s">
        <v>1153</v>
      </c>
      <c r="E64" s="241"/>
      <c r="F64" s="241"/>
      <c r="G64" s="241"/>
      <c r="H64" s="714" t="s">
        <v>1154</v>
      </c>
      <c r="I64" s="715">
        <v>33123452323</v>
      </c>
      <c r="J64" s="714"/>
      <c r="K64" s="715" t="s">
        <v>1155</v>
      </c>
      <c r="L64" s="714"/>
      <c r="M64" s="714"/>
      <c r="N64" s="714"/>
      <c r="O64" s="714"/>
      <c r="P64" s="716"/>
      <c r="Q64" s="714" t="s">
        <v>817</v>
      </c>
      <c r="R64" s="714"/>
      <c r="S64" s="714" t="s">
        <v>1092</v>
      </c>
      <c r="T64" s="717"/>
      <c r="U64" s="714"/>
      <c r="V64" s="718" t="s">
        <v>864</v>
      </c>
      <c r="W64" s="718" t="s">
        <v>864</v>
      </c>
      <c r="X64" s="232"/>
      <c r="Y64" s="719"/>
      <c r="Z64" s="714" t="s">
        <v>1156</v>
      </c>
      <c r="AA64" s="720"/>
      <c r="AB64" s="714"/>
      <c r="AC64" s="717"/>
      <c r="AD64" s="717">
        <v>1</v>
      </c>
    </row>
    <row r="65" spans="1:30" s="597" customFormat="1" ht="13.5" customHeight="1">
      <c r="A65" s="586">
        <v>47</v>
      </c>
      <c r="B65" s="587"/>
      <c r="C65" s="587" t="s">
        <v>1157</v>
      </c>
      <c r="D65" s="587"/>
      <c r="E65" s="587"/>
      <c r="F65" s="587"/>
      <c r="G65" s="587"/>
      <c r="H65" s="586"/>
      <c r="I65" s="590"/>
      <c r="J65" s="586" t="s">
        <v>1158</v>
      </c>
      <c r="K65" s="590" t="s">
        <v>1159</v>
      </c>
      <c r="L65" s="586"/>
      <c r="M65" s="586"/>
      <c r="N65" s="586"/>
      <c r="O65" s="586"/>
      <c r="P65" s="612"/>
      <c r="Q65" s="586" t="s">
        <v>817</v>
      </c>
      <c r="R65" s="586" t="s">
        <v>864</v>
      </c>
      <c r="S65" s="598" t="s">
        <v>1159</v>
      </c>
      <c r="T65" s="592"/>
      <c r="U65" s="586"/>
      <c r="V65" s="593"/>
      <c r="W65" s="593" t="s">
        <v>864</v>
      </c>
      <c r="X65" s="594"/>
      <c r="Y65" s="595"/>
      <c r="Z65" s="586"/>
      <c r="AA65" s="596"/>
      <c r="AB65" s="586"/>
      <c r="AC65" s="592">
        <v>1</v>
      </c>
      <c r="AD65" s="592"/>
    </row>
    <row r="66" spans="1:30" s="597" customFormat="1" ht="13.5" customHeight="1">
      <c r="A66" s="586">
        <v>48</v>
      </c>
      <c r="B66" s="587"/>
      <c r="C66" s="587"/>
      <c r="D66" s="587" t="s">
        <v>1160</v>
      </c>
      <c r="E66" s="587"/>
      <c r="F66" s="587"/>
      <c r="G66" s="587"/>
      <c r="H66" s="586" t="s">
        <v>1161</v>
      </c>
      <c r="I66" s="590" t="s">
        <v>930</v>
      </c>
      <c r="J66" s="586"/>
      <c r="K66" s="590" t="s">
        <v>1162</v>
      </c>
      <c r="L66" s="586"/>
      <c r="M66" s="586"/>
      <c r="N66" s="586"/>
      <c r="O66" s="586"/>
      <c r="P66" s="591"/>
      <c r="Q66" s="586" t="s">
        <v>820</v>
      </c>
      <c r="R66" s="586"/>
      <c r="S66" s="586" t="s">
        <v>879</v>
      </c>
      <c r="T66" s="592"/>
      <c r="U66" s="586"/>
      <c r="V66" s="593"/>
      <c r="W66" s="593" t="s">
        <v>864</v>
      </c>
      <c r="X66" s="594"/>
      <c r="Y66" s="595"/>
      <c r="Z66" s="586" t="s">
        <v>1163</v>
      </c>
      <c r="AA66" s="596"/>
      <c r="AB66" s="586"/>
      <c r="AC66" s="592"/>
      <c r="AD66" s="592">
        <v>1</v>
      </c>
    </row>
    <row r="67" spans="1:30" s="597" customFormat="1" ht="13.5" customHeight="1">
      <c r="A67" s="586">
        <v>49</v>
      </c>
      <c r="B67" s="587"/>
      <c r="C67" s="587"/>
      <c r="D67" s="587" t="s">
        <v>1164</v>
      </c>
      <c r="E67" s="587"/>
      <c r="F67" s="587"/>
      <c r="G67" s="587"/>
      <c r="H67" s="586" t="s">
        <v>1165</v>
      </c>
      <c r="I67" s="590"/>
      <c r="J67" s="586" t="s">
        <v>1166</v>
      </c>
      <c r="K67" s="590" t="s">
        <v>1166</v>
      </c>
      <c r="L67" s="586"/>
      <c r="M67" s="586"/>
      <c r="N67" s="586"/>
      <c r="O67" s="586"/>
      <c r="P67" s="612"/>
      <c r="Q67" s="586" t="s">
        <v>817</v>
      </c>
      <c r="R67" s="586" t="s">
        <v>864</v>
      </c>
      <c r="S67" s="598" t="s">
        <v>1166</v>
      </c>
      <c r="T67" s="592"/>
      <c r="U67" s="586"/>
      <c r="V67" s="593"/>
      <c r="W67" s="593" t="s">
        <v>864</v>
      </c>
      <c r="X67" s="594"/>
      <c r="Y67" s="595"/>
      <c r="Z67" s="586"/>
      <c r="AA67" s="596"/>
      <c r="AB67" s="586"/>
      <c r="AC67" s="592">
        <v>1</v>
      </c>
      <c r="AD67" s="592">
        <v>1</v>
      </c>
    </row>
    <row r="68" spans="1:30" s="626" customFormat="1" ht="13.5" customHeight="1">
      <c r="A68" s="618">
        <v>50</v>
      </c>
      <c r="B68" s="577"/>
      <c r="C68" s="217" t="s">
        <v>1167</v>
      </c>
      <c r="D68" s="577"/>
      <c r="E68" s="577"/>
      <c r="F68" s="577"/>
      <c r="G68" s="577"/>
      <c r="H68" s="618" t="s">
        <v>1168</v>
      </c>
      <c r="I68" s="619"/>
      <c r="J68" s="618" t="s">
        <v>1169</v>
      </c>
      <c r="K68" s="619" t="s">
        <v>1169</v>
      </c>
      <c r="L68" s="618"/>
      <c r="M68" s="618"/>
      <c r="N68" s="618"/>
      <c r="O68" s="618"/>
      <c r="P68" s="620"/>
      <c r="Q68" s="618" t="s">
        <v>820</v>
      </c>
      <c r="R68" s="618" t="s">
        <v>864</v>
      </c>
      <c r="S68" s="629" t="s">
        <v>1169</v>
      </c>
      <c r="T68" s="621"/>
      <c r="U68" s="618"/>
      <c r="V68" s="622" t="s">
        <v>864</v>
      </c>
      <c r="W68" s="622" t="s">
        <v>864</v>
      </c>
      <c r="X68" s="623"/>
      <c r="Y68" s="624"/>
      <c r="Z68" s="618"/>
      <c r="AA68" s="625"/>
      <c r="AB68" s="618"/>
      <c r="AC68" s="621">
        <v>1</v>
      </c>
      <c r="AD68" s="621">
        <v>1</v>
      </c>
    </row>
    <row r="69" spans="1:30" s="626" customFormat="1" ht="13.5" customHeight="1">
      <c r="A69" s="618">
        <v>51</v>
      </c>
      <c r="B69" s="577"/>
      <c r="C69" s="577"/>
      <c r="D69" s="577" t="s">
        <v>1170</v>
      </c>
      <c r="E69" s="577"/>
      <c r="F69" s="577"/>
      <c r="G69" s="577"/>
      <c r="H69" s="618" t="s">
        <v>1171</v>
      </c>
      <c r="I69" s="619" t="s">
        <v>1172</v>
      </c>
      <c r="J69" s="618" t="s">
        <v>1173</v>
      </c>
      <c r="K69" s="619" t="s">
        <v>1173</v>
      </c>
      <c r="L69" s="618"/>
      <c r="M69" s="618"/>
      <c r="N69" s="618"/>
      <c r="O69" s="618"/>
      <c r="P69" s="620"/>
      <c r="Q69" s="618" t="s">
        <v>820</v>
      </c>
      <c r="R69" s="618"/>
      <c r="S69" s="618" t="s">
        <v>1092</v>
      </c>
      <c r="T69" s="621"/>
      <c r="U69" s="618"/>
      <c r="V69" s="622" t="s">
        <v>864</v>
      </c>
      <c r="W69" s="622" t="s">
        <v>864</v>
      </c>
      <c r="X69" s="623"/>
      <c r="Y69" s="618" t="s">
        <v>1174</v>
      </c>
      <c r="Z69" s="618"/>
      <c r="AA69" s="625" t="s">
        <v>1175</v>
      </c>
      <c r="AB69" s="618"/>
      <c r="AC69" s="621">
        <v>1</v>
      </c>
      <c r="AD69" s="621">
        <v>1</v>
      </c>
    </row>
    <row r="70" spans="1:30" s="626" customFormat="1" ht="13.5" customHeight="1">
      <c r="A70" s="618">
        <v>52</v>
      </c>
      <c r="B70" s="577"/>
      <c r="C70" s="577"/>
      <c r="D70" s="577" t="s">
        <v>1176</v>
      </c>
      <c r="E70" s="577"/>
      <c r="F70" s="577"/>
      <c r="G70" s="577"/>
      <c r="H70" s="618" t="s">
        <v>1177</v>
      </c>
      <c r="I70" s="619" t="s">
        <v>1178</v>
      </c>
      <c r="J70" s="618" t="s">
        <v>1179</v>
      </c>
      <c r="K70" s="619" t="s">
        <v>1179</v>
      </c>
      <c r="L70" s="618"/>
      <c r="M70" s="618"/>
      <c r="N70" s="618"/>
      <c r="O70" s="618"/>
      <c r="P70" s="620"/>
      <c r="Q70" s="618" t="s">
        <v>820</v>
      </c>
      <c r="R70" s="618"/>
      <c r="S70" s="618" t="s">
        <v>1092</v>
      </c>
      <c r="T70" s="621"/>
      <c r="U70" s="618"/>
      <c r="V70" s="622" t="s">
        <v>864</v>
      </c>
      <c r="W70" s="622" t="s">
        <v>864</v>
      </c>
      <c r="X70" s="623"/>
      <c r="Y70" s="618" t="s">
        <v>1174</v>
      </c>
      <c r="Z70" s="618"/>
      <c r="AA70" s="625" t="s">
        <v>1175</v>
      </c>
      <c r="AB70" s="618"/>
      <c r="AC70" s="621">
        <v>1</v>
      </c>
      <c r="AD70" s="621">
        <v>1</v>
      </c>
    </row>
    <row r="71" spans="1:30" s="627" customFormat="1" ht="13.5" customHeight="1">
      <c r="A71" s="586">
        <v>53</v>
      </c>
      <c r="B71" s="587"/>
      <c r="C71" s="587"/>
      <c r="D71" s="587"/>
      <c r="E71" s="587"/>
      <c r="F71" s="587" t="s">
        <v>1180</v>
      </c>
      <c r="G71" s="588"/>
      <c r="H71" s="586" t="s">
        <v>1181</v>
      </c>
      <c r="I71" s="590">
        <v>120</v>
      </c>
      <c r="J71" s="586"/>
      <c r="K71" s="586" t="s">
        <v>1182</v>
      </c>
      <c r="L71" s="586"/>
      <c r="M71" s="586"/>
      <c r="N71" s="586"/>
      <c r="O71" s="586"/>
      <c r="P71" s="591"/>
      <c r="Q71" s="586" t="s">
        <v>817</v>
      </c>
      <c r="R71" s="586"/>
      <c r="S71" s="586" t="s">
        <v>1092</v>
      </c>
      <c r="T71" s="592"/>
      <c r="U71" s="586"/>
      <c r="V71" s="593"/>
      <c r="W71" s="593" t="s">
        <v>864</v>
      </c>
      <c r="X71" s="594"/>
      <c r="Y71" s="586" t="s">
        <v>1183</v>
      </c>
      <c r="Z71" s="586"/>
      <c r="AA71" s="596"/>
      <c r="AB71" s="586"/>
      <c r="AC71" s="592">
        <v>1</v>
      </c>
      <c r="AD71" s="592">
        <v>1</v>
      </c>
    </row>
    <row r="72" spans="1:30" s="627" customFormat="1" ht="13.5" customHeight="1">
      <c r="A72" s="586">
        <v>54</v>
      </c>
      <c r="B72" s="587"/>
      <c r="C72" s="587"/>
      <c r="D72" s="587"/>
      <c r="E72" s="587"/>
      <c r="F72" s="587" t="s">
        <v>1184</v>
      </c>
      <c r="G72" s="588"/>
      <c r="H72" s="586" t="s">
        <v>1185</v>
      </c>
      <c r="I72" s="590">
        <v>96</v>
      </c>
      <c r="J72" s="586"/>
      <c r="K72" s="586" t="s">
        <v>1186</v>
      </c>
      <c r="L72" s="586"/>
      <c r="M72" s="586"/>
      <c r="N72" s="586"/>
      <c r="O72" s="586"/>
      <c r="P72" s="591"/>
      <c r="Q72" s="586" t="s">
        <v>817</v>
      </c>
      <c r="R72" s="586"/>
      <c r="S72" s="586" t="s">
        <v>1092</v>
      </c>
      <c r="T72" s="592"/>
      <c r="U72" s="586"/>
      <c r="V72" s="593"/>
      <c r="W72" s="593" t="s">
        <v>864</v>
      </c>
      <c r="X72" s="594"/>
      <c r="Y72" s="586" t="s">
        <v>1187</v>
      </c>
      <c r="Z72" s="586"/>
      <c r="AA72" s="596"/>
      <c r="AB72" s="586"/>
      <c r="AC72" s="592">
        <v>1</v>
      </c>
      <c r="AD72" s="592">
        <v>1</v>
      </c>
    </row>
    <row r="73" spans="1:30" s="627" customFormat="1" ht="13.5" customHeight="1">
      <c r="A73" s="586">
        <v>55</v>
      </c>
      <c r="B73" s="587"/>
      <c r="C73" s="587"/>
      <c r="D73" s="587"/>
      <c r="E73" s="587"/>
      <c r="F73" s="587" t="s">
        <v>1188</v>
      </c>
      <c r="G73" s="588"/>
      <c r="H73" s="586" t="s">
        <v>1189</v>
      </c>
      <c r="I73" s="590">
        <v>34</v>
      </c>
      <c r="J73" s="586"/>
      <c r="K73" s="586" t="s">
        <v>1190</v>
      </c>
      <c r="L73" s="586"/>
      <c r="M73" s="586"/>
      <c r="N73" s="586"/>
      <c r="O73" s="586"/>
      <c r="P73" s="591"/>
      <c r="Q73" s="586" t="s">
        <v>817</v>
      </c>
      <c r="R73" s="586"/>
      <c r="S73" s="586" t="s">
        <v>1092</v>
      </c>
      <c r="T73" s="592"/>
      <c r="U73" s="586"/>
      <c r="V73" s="593"/>
      <c r="W73" s="593" t="s">
        <v>864</v>
      </c>
      <c r="X73" s="594"/>
      <c r="Y73" s="586" t="s">
        <v>1191</v>
      </c>
      <c r="Z73" s="586"/>
      <c r="AA73" s="596"/>
      <c r="AB73" s="586"/>
      <c r="AC73" s="592">
        <v>1</v>
      </c>
      <c r="AD73" s="592">
        <v>1</v>
      </c>
    </row>
    <row r="74" spans="1:30" s="627" customFormat="1" ht="13.5" customHeight="1">
      <c r="A74" s="586">
        <v>56</v>
      </c>
      <c r="B74" s="587"/>
      <c r="C74" s="587"/>
      <c r="D74" s="587"/>
      <c r="E74" s="587"/>
      <c r="F74" s="587" t="s">
        <v>1192</v>
      </c>
      <c r="G74" s="587"/>
      <c r="H74" s="586" t="s">
        <v>1193</v>
      </c>
      <c r="I74" s="590" t="s">
        <v>1194</v>
      </c>
      <c r="J74" s="586"/>
      <c r="K74" s="590" t="s">
        <v>1195</v>
      </c>
      <c r="L74" s="586"/>
      <c r="M74" s="586"/>
      <c r="N74" s="586"/>
      <c r="O74" s="586"/>
      <c r="P74" s="591"/>
      <c r="Q74" s="586" t="s">
        <v>820</v>
      </c>
      <c r="R74" s="586"/>
      <c r="S74" s="586" t="s">
        <v>863</v>
      </c>
      <c r="T74" s="592"/>
      <c r="U74" s="586" t="s">
        <v>1196</v>
      </c>
      <c r="V74" s="593"/>
      <c r="W74" s="593" t="s">
        <v>864</v>
      </c>
      <c r="X74" s="594"/>
      <c r="Y74" s="595"/>
      <c r="Z74" s="586"/>
      <c r="AA74" s="596"/>
      <c r="AB74" s="586"/>
      <c r="AC74" s="592"/>
      <c r="AD74" s="592">
        <v>1</v>
      </c>
    </row>
    <row r="75" spans="1:30" s="627" customFormat="1" ht="13.5" customHeight="1">
      <c r="A75" s="586">
        <v>57</v>
      </c>
      <c r="B75" s="587"/>
      <c r="C75" s="587"/>
      <c r="D75" s="587"/>
      <c r="E75" s="587" t="s">
        <v>1197</v>
      </c>
      <c r="F75" s="587"/>
      <c r="G75" s="587"/>
      <c r="H75" s="586" t="s">
        <v>1198</v>
      </c>
      <c r="I75" s="590" t="s">
        <v>1199</v>
      </c>
      <c r="J75" s="586" t="s">
        <v>1200</v>
      </c>
      <c r="K75" s="590" t="s">
        <v>1201</v>
      </c>
      <c r="L75" s="586"/>
      <c r="M75" s="586"/>
      <c r="N75" s="586"/>
      <c r="O75" s="586"/>
      <c r="P75" s="591">
        <v>1</v>
      </c>
      <c r="Q75" s="586" t="s">
        <v>817</v>
      </c>
      <c r="R75" s="586"/>
      <c r="S75" s="586" t="s">
        <v>863</v>
      </c>
      <c r="T75" s="592"/>
      <c r="U75" s="586"/>
      <c r="V75" s="593"/>
      <c r="W75" s="593" t="s">
        <v>864</v>
      </c>
      <c r="X75" s="594"/>
      <c r="Y75" s="595"/>
      <c r="Z75" s="586"/>
      <c r="AA75" s="596"/>
      <c r="AB75" s="586"/>
      <c r="AC75" s="592">
        <v>1</v>
      </c>
      <c r="AD75" s="592">
        <v>1</v>
      </c>
    </row>
    <row r="76" spans="1:30" s="627" customFormat="1" ht="12.95" customHeight="1">
      <c r="A76" s="586">
        <v>58</v>
      </c>
      <c r="B76" s="587"/>
      <c r="C76" s="587"/>
      <c r="D76" s="587" t="s">
        <v>1202</v>
      </c>
      <c r="E76" s="587"/>
      <c r="F76" s="587"/>
      <c r="G76" s="587"/>
      <c r="H76" s="586" t="s">
        <v>1203</v>
      </c>
      <c r="I76" s="590"/>
      <c r="J76" s="586" t="s">
        <v>1204</v>
      </c>
      <c r="K76" s="590" t="s">
        <v>1204</v>
      </c>
      <c r="L76" s="586"/>
      <c r="M76" s="586"/>
      <c r="N76" s="586"/>
      <c r="O76" s="586"/>
      <c r="P76" s="612"/>
      <c r="Q76" s="586" t="s">
        <v>817</v>
      </c>
      <c r="R76" s="586"/>
      <c r="S76" s="586" t="s">
        <v>863</v>
      </c>
      <c r="T76" s="592"/>
      <c r="U76" s="586"/>
      <c r="V76" s="593"/>
      <c r="W76" s="593" t="s">
        <v>864</v>
      </c>
      <c r="X76" s="594"/>
      <c r="Y76" s="595"/>
      <c r="Z76" s="586"/>
      <c r="AA76" s="596"/>
      <c r="AB76" s="586"/>
      <c r="AC76" s="592">
        <v>1</v>
      </c>
      <c r="AD76" s="592"/>
    </row>
    <row r="77" spans="1:30" s="597" customFormat="1" ht="13.5" customHeight="1">
      <c r="A77" s="586">
        <v>59</v>
      </c>
      <c r="B77" s="587"/>
      <c r="C77" s="587" t="s">
        <v>1205</v>
      </c>
      <c r="D77" s="587"/>
      <c r="E77" s="587"/>
      <c r="F77" s="587"/>
      <c r="G77" s="587"/>
      <c r="H77" s="586" t="s">
        <v>1206</v>
      </c>
      <c r="I77" s="590"/>
      <c r="J77" s="586" t="s">
        <v>942</v>
      </c>
      <c r="K77" s="590" t="s">
        <v>1207</v>
      </c>
      <c r="L77" s="586"/>
      <c r="M77" s="586"/>
      <c r="N77" s="586"/>
      <c r="O77" s="586"/>
      <c r="P77" s="612"/>
      <c r="Q77" s="586" t="s">
        <v>823</v>
      </c>
      <c r="R77" s="586" t="s">
        <v>864</v>
      </c>
      <c r="S77" s="598" t="s">
        <v>1207</v>
      </c>
      <c r="T77" s="592"/>
      <c r="U77" s="586"/>
      <c r="V77" s="593"/>
      <c r="W77" s="593" t="s">
        <v>864</v>
      </c>
      <c r="X77" s="594"/>
      <c r="Y77" s="595"/>
      <c r="Z77" s="586"/>
      <c r="AA77" s="596"/>
      <c r="AB77" s="586"/>
      <c r="AC77" s="592">
        <v>1</v>
      </c>
      <c r="AD77" s="592">
        <v>1</v>
      </c>
    </row>
    <row r="78" spans="1:30" s="597" customFormat="1" ht="13.5" customHeight="1">
      <c r="A78" s="586">
        <v>60</v>
      </c>
      <c r="B78" s="587"/>
      <c r="C78" s="587"/>
      <c r="D78" s="587" t="s">
        <v>1208</v>
      </c>
      <c r="E78" s="587"/>
      <c r="F78" s="587"/>
      <c r="G78" s="587"/>
      <c r="H78" s="586" t="s">
        <v>1209</v>
      </c>
      <c r="I78" s="590" t="s">
        <v>1210</v>
      </c>
      <c r="J78" s="586" t="s">
        <v>908</v>
      </c>
      <c r="K78" s="590" t="s">
        <v>939</v>
      </c>
      <c r="L78" s="586"/>
      <c r="M78" s="586"/>
      <c r="N78" s="586"/>
      <c r="O78" s="586"/>
      <c r="P78" s="612"/>
      <c r="Q78" s="586" t="s">
        <v>820</v>
      </c>
      <c r="R78" s="586"/>
      <c r="S78" s="586" t="s">
        <v>863</v>
      </c>
      <c r="T78" s="592"/>
      <c r="U78" s="586" t="s">
        <v>1211</v>
      </c>
      <c r="V78" s="593"/>
      <c r="W78" s="593" t="s">
        <v>864</v>
      </c>
      <c r="X78" s="594"/>
      <c r="Y78" s="595"/>
      <c r="Z78" s="586"/>
      <c r="AA78" s="596"/>
      <c r="AB78" s="586"/>
      <c r="AC78" s="592">
        <v>1</v>
      </c>
      <c r="AD78" s="592">
        <v>1</v>
      </c>
    </row>
    <row r="79" spans="1:30" s="597" customFormat="1" ht="13.5" customHeight="1">
      <c r="A79" s="586">
        <v>61</v>
      </c>
      <c r="B79" s="587"/>
      <c r="C79" s="587"/>
      <c r="D79" s="587" t="s">
        <v>1212</v>
      </c>
      <c r="E79" s="587"/>
      <c r="F79" s="587"/>
      <c r="G79" s="587"/>
      <c r="H79" s="586" t="s">
        <v>1213</v>
      </c>
      <c r="I79" s="590" t="s">
        <v>1214</v>
      </c>
      <c r="J79" s="586" t="s">
        <v>970</v>
      </c>
      <c r="K79" s="590" t="s">
        <v>970</v>
      </c>
      <c r="L79" s="586"/>
      <c r="M79" s="586"/>
      <c r="N79" s="586"/>
      <c r="O79" s="586"/>
      <c r="P79" s="612"/>
      <c r="Q79" s="586" t="s">
        <v>820</v>
      </c>
      <c r="R79" s="586"/>
      <c r="S79" s="586" t="s">
        <v>863</v>
      </c>
      <c r="T79" s="592"/>
      <c r="U79" s="586" t="s">
        <v>1215</v>
      </c>
      <c r="V79" s="593"/>
      <c r="W79" s="593" t="s">
        <v>864</v>
      </c>
      <c r="X79" s="594"/>
      <c r="Y79" s="595"/>
      <c r="Z79" s="586"/>
      <c r="AA79" s="596"/>
      <c r="AB79" s="586"/>
      <c r="AC79" s="592">
        <v>1</v>
      </c>
      <c r="AD79" s="592">
        <v>1</v>
      </c>
    </row>
    <row r="80" spans="1:30" s="597" customFormat="1" ht="12.95" customHeight="1">
      <c r="A80" s="586">
        <v>62</v>
      </c>
      <c r="B80" s="587"/>
      <c r="C80" s="587"/>
      <c r="D80" s="587" t="s">
        <v>1077</v>
      </c>
      <c r="E80" s="587"/>
      <c r="F80" s="587"/>
      <c r="G80" s="587"/>
      <c r="H80" s="586" t="s">
        <v>1216</v>
      </c>
      <c r="I80" s="590" t="s">
        <v>1217</v>
      </c>
      <c r="J80" s="586" t="s">
        <v>1218</v>
      </c>
      <c r="K80" s="590" t="s">
        <v>1219</v>
      </c>
      <c r="L80" s="586"/>
      <c r="M80" s="586"/>
      <c r="N80" s="586"/>
      <c r="O80" s="586"/>
      <c r="P80" s="612"/>
      <c r="Q80" s="586" t="s">
        <v>820</v>
      </c>
      <c r="R80" s="586"/>
      <c r="S80" s="617" t="s">
        <v>863</v>
      </c>
      <c r="T80" s="592"/>
      <c r="U80" s="586"/>
      <c r="V80" s="593"/>
      <c r="W80" s="593" t="s">
        <v>864</v>
      </c>
      <c r="X80" s="594"/>
      <c r="Y80" s="595"/>
      <c r="Z80" s="586"/>
      <c r="AA80" s="596"/>
      <c r="AB80" s="586"/>
      <c r="AC80" s="592">
        <v>1</v>
      </c>
      <c r="AD80" s="592">
        <v>1</v>
      </c>
    </row>
    <row r="81" spans="1:1018" s="224" customFormat="1" ht="13.5" customHeight="1">
      <c r="A81" s="225">
        <v>63</v>
      </c>
      <c r="B81" s="217"/>
      <c r="C81" s="217" t="s">
        <v>264</v>
      </c>
      <c r="D81" s="217"/>
      <c r="E81" s="217"/>
      <c r="F81" s="217"/>
      <c r="G81" s="217"/>
      <c r="H81" s="714"/>
      <c r="I81" s="715" t="s">
        <v>1220</v>
      </c>
      <c r="J81" s="714" t="s">
        <v>1221</v>
      </c>
      <c r="K81" s="715"/>
      <c r="L81" s="714"/>
      <c r="M81" s="714"/>
      <c r="N81" s="714"/>
      <c r="O81" s="714"/>
      <c r="P81" s="252"/>
      <c r="Q81" s="714" t="s">
        <v>820</v>
      </c>
      <c r="R81" s="714"/>
      <c r="S81" s="721" t="s">
        <v>863</v>
      </c>
      <c r="T81" s="282"/>
      <c r="U81" s="714" t="s">
        <v>1222</v>
      </c>
      <c r="V81" s="718" t="s">
        <v>864</v>
      </c>
      <c r="W81" s="718" t="s">
        <v>864</v>
      </c>
      <c r="X81" s="232"/>
      <c r="Y81" s="719"/>
      <c r="Z81" s="714" t="s">
        <v>1223</v>
      </c>
      <c r="AA81" s="245" t="s">
        <v>1224</v>
      </c>
      <c r="AB81" s="714"/>
      <c r="AC81" s="717"/>
      <c r="AD81" s="717">
        <v>1</v>
      </c>
    </row>
    <row r="82" spans="1:1018" s="224" customFormat="1" ht="13.5" customHeight="1">
      <c r="A82" s="225">
        <v>64</v>
      </c>
      <c r="B82" s="217"/>
      <c r="C82" s="217" t="s">
        <v>767</v>
      </c>
      <c r="D82" s="217"/>
      <c r="E82" s="217"/>
      <c r="F82" s="217"/>
      <c r="G82" s="217"/>
      <c r="H82" s="714" t="s">
        <v>1225</v>
      </c>
      <c r="I82" s="715" t="s">
        <v>1226</v>
      </c>
      <c r="J82" s="714" t="s">
        <v>1227</v>
      </c>
      <c r="K82" s="715" t="s">
        <v>939</v>
      </c>
      <c r="L82" s="714" t="s">
        <v>1228</v>
      </c>
      <c r="M82" s="714" t="s">
        <v>1229</v>
      </c>
      <c r="N82" s="714"/>
      <c r="O82" s="714"/>
      <c r="P82" s="252"/>
      <c r="Q82" s="714" t="s">
        <v>817</v>
      </c>
      <c r="R82" s="714"/>
      <c r="S82" s="714" t="s">
        <v>863</v>
      </c>
      <c r="T82" s="717"/>
      <c r="U82" s="714"/>
      <c r="V82" s="718" t="s">
        <v>864</v>
      </c>
      <c r="W82" s="718" t="s">
        <v>864</v>
      </c>
      <c r="X82" s="232"/>
      <c r="Y82" s="719"/>
      <c r="Z82" s="714"/>
      <c r="AA82" s="720"/>
      <c r="AB82" s="714"/>
      <c r="AC82" s="717">
        <v>1</v>
      </c>
      <c r="AD82" s="717">
        <v>1</v>
      </c>
    </row>
    <row r="83" spans="1:1018" s="224" customFormat="1" ht="13.5" customHeight="1">
      <c r="A83" s="225">
        <v>65</v>
      </c>
      <c r="B83" s="217" t="s">
        <v>1230</v>
      </c>
      <c r="C83" s="242"/>
      <c r="D83" s="241"/>
      <c r="E83" s="241"/>
      <c r="F83" s="241"/>
      <c r="G83" s="241"/>
      <c r="H83" s="714" t="s">
        <v>1231</v>
      </c>
      <c r="I83" s="715"/>
      <c r="J83" s="714" t="s">
        <v>1232</v>
      </c>
      <c r="K83" s="715" t="s">
        <v>1233</v>
      </c>
      <c r="L83" s="714"/>
      <c r="M83" s="714"/>
      <c r="N83" s="714"/>
      <c r="O83" s="714"/>
      <c r="P83" s="716"/>
      <c r="Q83" s="714" t="s">
        <v>817</v>
      </c>
      <c r="R83" s="714" t="s">
        <v>864</v>
      </c>
      <c r="S83" s="243" t="s">
        <v>1234</v>
      </c>
      <c r="T83" s="283"/>
      <c r="U83" s="714"/>
      <c r="V83" s="718"/>
      <c r="W83" s="718" t="s">
        <v>864</v>
      </c>
      <c r="X83" s="232"/>
      <c r="Y83" s="719"/>
      <c r="Z83" s="714"/>
      <c r="AA83" s="720"/>
      <c r="AB83" s="714"/>
      <c r="AC83" s="717">
        <v>1</v>
      </c>
      <c r="AD83" s="717">
        <v>1</v>
      </c>
    </row>
    <row r="84" spans="1:1018" s="597" customFormat="1" ht="13.5" customHeight="1">
      <c r="A84" s="586">
        <v>66</v>
      </c>
      <c r="B84" s="587"/>
      <c r="C84" s="587" t="s">
        <v>1235</v>
      </c>
      <c r="D84" s="587"/>
      <c r="E84" s="587"/>
      <c r="F84" s="587"/>
      <c r="G84" s="587"/>
      <c r="H84" s="586" t="s">
        <v>1236</v>
      </c>
      <c r="I84" s="590" t="s">
        <v>1237</v>
      </c>
      <c r="J84" s="586" t="s">
        <v>1238</v>
      </c>
      <c r="K84" s="590" t="s">
        <v>1218</v>
      </c>
      <c r="L84" s="586"/>
      <c r="M84" s="586"/>
      <c r="N84" s="586"/>
      <c r="O84" s="586"/>
      <c r="P84" s="591">
        <v>1</v>
      </c>
      <c r="Q84" s="586" t="s">
        <v>820</v>
      </c>
      <c r="R84" s="586"/>
      <c r="S84" s="586" t="s">
        <v>863</v>
      </c>
      <c r="T84" s="592"/>
      <c r="U84" s="586"/>
      <c r="V84" s="593"/>
      <c r="W84" s="593" t="s">
        <v>864</v>
      </c>
      <c r="X84" s="594"/>
      <c r="Y84" s="595"/>
      <c r="Z84" s="586"/>
      <c r="AA84" s="596"/>
      <c r="AB84" s="586"/>
      <c r="AC84" s="592">
        <v>1</v>
      </c>
      <c r="AD84" s="592">
        <v>1</v>
      </c>
    </row>
    <row r="85" spans="1:1018" s="597" customFormat="1" ht="13.5" customHeight="1">
      <c r="A85" s="586">
        <v>67</v>
      </c>
      <c r="B85" s="587"/>
      <c r="C85" s="587" t="s">
        <v>1239</v>
      </c>
      <c r="D85" s="587"/>
      <c r="E85" s="587"/>
      <c r="F85" s="587"/>
      <c r="G85" s="587"/>
      <c r="H85" s="586" t="s">
        <v>1240</v>
      </c>
      <c r="I85" s="590" t="s">
        <v>1241</v>
      </c>
      <c r="J85" s="586" t="s">
        <v>1242</v>
      </c>
      <c r="K85" s="590" t="s">
        <v>1243</v>
      </c>
      <c r="L85" s="586" t="s">
        <v>1244</v>
      </c>
      <c r="M85" s="630" t="s">
        <v>1245</v>
      </c>
      <c r="N85" s="630"/>
      <c r="O85" s="586"/>
      <c r="P85" s="591"/>
      <c r="Q85" s="586" t="s">
        <v>820</v>
      </c>
      <c r="R85" s="586"/>
      <c r="S85" s="586" t="s">
        <v>879</v>
      </c>
      <c r="T85" s="592"/>
      <c r="U85" s="586" t="s">
        <v>932</v>
      </c>
      <c r="V85" s="593"/>
      <c r="W85" s="593" t="s">
        <v>864</v>
      </c>
      <c r="X85" s="594"/>
      <c r="Y85" s="595"/>
      <c r="Z85" s="586" t="s">
        <v>1163</v>
      </c>
      <c r="AA85" s="596"/>
      <c r="AB85" s="586"/>
      <c r="AC85" s="592">
        <v>1</v>
      </c>
      <c r="AD85" s="592">
        <v>1</v>
      </c>
    </row>
    <row r="86" spans="1:1018" s="627" customFormat="1" ht="13.5" customHeight="1">
      <c r="A86" s="586">
        <v>68</v>
      </c>
      <c r="B86" s="587"/>
      <c r="C86" s="587" t="s">
        <v>1246</v>
      </c>
      <c r="D86" s="587"/>
      <c r="E86" s="588"/>
      <c r="F86" s="587"/>
      <c r="G86" s="587"/>
      <c r="H86" s="586" t="s">
        <v>1247</v>
      </c>
      <c r="I86" s="590" t="s">
        <v>1248</v>
      </c>
      <c r="J86" s="586"/>
      <c r="K86" s="590" t="s">
        <v>1249</v>
      </c>
      <c r="L86" s="586"/>
      <c r="M86" s="586"/>
      <c r="N86" s="586"/>
      <c r="O86" s="586"/>
      <c r="P86" s="591">
        <v>1</v>
      </c>
      <c r="Q86" s="586" t="s">
        <v>820</v>
      </c>
      <c r="R86" s="586"/>
      <c r="S86" s="586" t="s">
        <v>863</v>
      </c>
      <c r="T86" s="592"/>
      <c r="U86" s="586" t="s">
        <v>1250</v>
      </c>
      <c r="V86" s="593"/>
      <c r="W86" s="593" t="s">
        <v>864</v>
      </c>
      <c r="X86" s="594"/>
      <c r="Y86" s="595"/>
      <c r="Z86" s="586" t="s">
        <v>992</v>
      </c>
      <c r="AA86" s="596"/>
      <c r="AB86" s="586"/>
      <c r="AC86" s="592">
        <v>1</v>
      </c>
      <c r="AD86" s="592">
        <v>1</v>
      </c>
    </row>
    <row r="87" spans="1:1018" s="597" customFormat="1" ht="13.5" customHeight="1">
      <c r="A87" s="586">
        <v>69</v>
      </c>
      <c r="B87" s="587"/>
      <c r="C87" s="587" t="s">
        <v>1251</v>
      </c>
      <c r="D87" s="587"/>
      <c r="E87" s="587"/>
      <c r="F87" s="587"/>
      <c r="G87" s="587"/>
      <c r="H87" s="586" t="s">
        <v>1252</v>
      </c>
      <c r="I87" s="590" t="s">
        <v>1253</v>
      </c>
      <c r="J87" s="586" t="s">
        <v>1227</v>
      </c>
      <c r="K87" s="590" t="s">
        <v>939</v>
      </c>
      <c r="L87" s="586" t="s">
        <v>1254</v>
      </c>
      <c r="M87" s="586" t="s">
        <v>1255</v>
      </c>
      <c r="N87" s="586"/>
      <c r="O87" s="586"/>
      <c r="P87" s="591">
        <v>1</v>
      </c>
      <c r="Q87" s="586" t="s">
        <v>817</v>
      </c>
      <c r="R87" s="586"/>
      <c r="S87" s="586" t="s">
        <v>863</v>
      </c>
      <c r="T87" s="592"/>
      <c r="U87" s="586"/>
      <c r="V87" s="593"/>
      <c r="W87" s="593" t="s">
        <v>864</v>
      </c>
      <c r="X87" s="594"/>
      <c r="Y87" s="595"/>
      <c r="Z87" s="586"/>
      <c r="AA87" s="596"/>
      <c r="AB87" s="586"/>
      <c r="AC87" s="592">
        <v>1</v>
      </c>
      <c r="AD87" s="592">
        <v>1</v>
      </c>
    </row>
    <row r="88" spans="1:1018" s="224" customFormat="1" ht="13.5" customHeight="1">
      <c r="A88" s="225">
        <v>70</v>
      </c>
      <c r="B88" s="217"/>
      <c r="C88" s="610" t="s">
        <v>1256</v>
      </c>
      <c r="D88" s="217"/>
      <c r="E88" s="217"/>
      <c r="F88" s="217"/>
      <c r="G88" s="217"/>
      <c r="H88" s="714" t="s">
        <v>1257</v>
      </c>
      <c r="I88" s="715"/>
      <c r="J88" s="714" t="s">
        <v>1258</v>
      </c>
      <c r="K88" s="715"/>
      <c r="L88" s="714"/>
      <c r="M88" s="714"/>
      <c r="N88" s="714"/>
      <c r="O88" s="714"/>
      <c r="P88" s="716"/>
      <c r="Q88" s="714" t="s">
        <v>820</v>
      </c>
      <c r="R88" s="714" t="s">
        <v>864</v>
      </c>
      <c r="S88" s="243" t="s">
        <v>1258</v>
      </c>
      <c r="T88" s="717"/>
      <c r="U88" s="714"/>
      <c r="V88" s="718" t="s">
        <v>864</v>
      </c>
      <c r="W88" s="718" t="s">
        <v>864</v>
      </c>
      <c r="X88" s="232"/>
      <c r="Y88" s="719"/>
      <c r="Z88" s="714"/>
      <c r="AA88" s="720"/>
      <c r="AB88" s="714"/>
      <c r="AC88" s="717"/>
      <c r="AD88" s="717">
        <v>1</v>
      </c>
    </row>
    <row r="89" spans="1:1018" s="597" customFormat="1" ht="13.5" customHeight="1">
      <c r="A89" s="586">
        <v>71</v>
      </c>
      <c r="B89" s="587"/>
      <c r="C89" s="587"/>
      <c r="D89" s="587" t="s">
        <v>1259</v>
      </c>
      <c r="E89" s="587"/>
      <c r="F89" s="587"/>
      <c r="G89" s="587"/>
      <c r="H89" s="586" t="s">
        <v>1260</v>
      </c>
      <c r="I89" s="590"/>
      <c r="J89" s="586" t="s">
        <v>1261</v>
      </c>
      <c r="K89" s="590" t="s">
        <v>1262</v>
      </c>
      <c r="L89" s="586" t="s">
        <v>1263</v>
      </c>
      <c r="M89" s="586" t="s">
        <v>262</v>
      </c>
      <c r="N89" s="586"/>
      <c r="O89" s="586"/>
      <c r="P89" s="591">
        <v>1</v>
      </c>
      <c r="Q89" s="586" t="s">
        <v>817</v>
      </c>
      <c r="R89" s="586" t="s">
        <v>864</v>
      </c>
      <c r="S89" s="598" t="s">
        <v>1264</v>
      </c>
      <c r="T89" s="592"/>
      <c r="U89" s="586"/>
      <c r="V89" s="593"/>
      <c r="W89" s="593" t="s">
        <v>864</v>
      </c>
      <c r="X89" s="594"/>
      <c r="Y89" s="595"/>
      <c r="Z89" s="586"/>
      <c r="AA89" s="596" t="s">
        <v>1265</v>
      </c>
      <c r="AB89" s="586"/>
      <c r="AC89" s="592"/>
      <c r="AD89" s="592">
        <v>1</v>
      </c>
    </row>
    <row r="90" spans="1:1018" s="597" customFormat="1" ht="13.5" customHeight="1">
      <c r="A90" s="586">
        <v>72</v>
      </c>
      <c r="B90" s="587"/>
      <c r="C90" s="587"/>
      <c r="D90" s="587"/>
      <c r="E90" s="587" t="s">
        <v>1266</v>
      </c>
      <c r="F90" s="587"/>
      <c r="G90" s="587"/>
      <c r="H90" s="586" t="s">
        <v>1267</v>
      </c>
      <c r="I90" s="590" t="s">
        <v>1268</v>
      </c>
      <c r="J90" s="586"/>
      <c r="K90" s="590" t="s">
        <v>970</v>
      </c>
      <c r="L90" s="586"/>
      <c r="M90" s="586"/>
      <c r="N90" s="586"/>
      <c r="O90" s="586"/>
      <c r="P90" s="591"/>
      <c r="Q90" s="586" t="s">
        <v>820</v>
      </c>
      <c r="R90" s="586"/>
      <c r="S90" s="586" t="s">
        <v>863</v>
      </c>
      <c r="T90" s="592"/>
      <c r="U90" s="586" t="s">
        <v>1269</v>
      </c>
      <c r="V90" s="593"/>
      <c r="W90" s="593" t="s">
        <v>864</v>
      </c>
      <c r="X90" s="594"/>
      <c r="Y90" s="595"/>
      <c r="Z90" s="642" t="s">
        <v>1270</v>
      </c>
      <c r="AA90" s="596"/>
      <c r="AB90" s="586"/>
      <c r="AC90" s="592"/>
      <c r="AD90" s="592">
        <v>1</v>
      </c>
    </row>
    <row r="91" spans="1:1018" s="643" customFormat="1" ht="12" customHeight="1">
      <c r="A91" s="586">
        <v>73</v>
      </c>
      <c r="C91" s="597"/>
      <c r="D91" s="597"/>
      <c r="E91" s="597" t="s">
        <v>1271</v>
      </c>
      <c r="F91" s="597"/>
      <c r="G91" s="586"/>
      <c r="H91" s="586" t="s">
        <v>1272</v>
      </c>
      <c r="I91" s="644" t="s">
        <v>1273</v>
      </c>
      <c r="J91" s="586"/>
      <c r="K91" s="590" t="s">
        <v>1120</v>
      </c>
      <c r="L91" s="586"/>
      <c r="M91" s="586"/>
      <c r="N91" s="586"/>
      <c r="O91" s="586"/>
      <c r="P91" s="591"/>
      <c r="Q91" s="586" t="s">
        <v>820</v>
      </c>
      <c r="R91" s="586"/>
      <c r="S91" s="586" t="s">
        <v>863</v>
      </c>
      <c r="T91" s="645"/>
      <c r="U91" s="586"/>
      <c r="V91" s="592"/>
      <c r="W91" s="592" t="s">
        <v>864</v>
      </c>
      <c r="X91" s="594"/>
      <c r="Y91" s="646"/>
      <c r="Z91" s="647"/>
      <c r="AA91" s="648"/>
      <c r="AB91" s="647"/>
      <c r="AC91" s="649"/>
      <c r="AD91" s="592">
        <v>1</v>
      </c>
      <c r="AF91" s="649"/>
      <c r="AMA91" s="649"/>
      <c r="AMB91" s="649"/>
      <c r="AMC91" s="649"/>
      <c r="AMD91" s="649"/>
    </row>
    <row r="92" spans="1:1018" s="224" customFormat="1" ht="13.5" customHeight="1">
      <c r="A92" s="225">
        <v>74</v>
      </c>
      <c r="B92" s="217"/>
      <c r="C92" s="678"/>
      <c r="D92" s="678" t="s">
        <v>1274</v>
      </c>
      <c r="E92" s="219" t="s">
        <v>1275</v>
      </c>
      <c r="F92" s="678"/>
      <c r="G92" s="678"/>
      <c r="H92" s="714" t="s">
        <v>1276</v>
      </c>
      <c r="I92" s="715"/>
      <c r="J92" s="714"/>
      <c r="K92" s="715" t="s">
        <v>1277</v>
      </c>
      <c r="L92" s="714" t="s">
        <v>1278</v>
      </c>
      <c r="M92" s="714" t="s">
        <v>1279</v>
      </c>
      <c r="N92" s="714"/>
      <c r="O92" s="714"/>
      <c r="P92" s="716">
        <v>1</v>
      </c>
      <c r="Q92" s="714" t="s">
        <v>817</v>
      </c>
      <c r="R92" s="714" t="s">
        <v>864</v>
      </c>
      <c r="S92" s="243" t="s">
        <v>1264</v>
      </c>
      <c r="T92" s="717"/>
      <c r="U92" s="714"/>
      <c r="V92" s="718" t="s">
        <v>864</v>
      </c>
      <c r="W92" s="718" t="s">
        <v>864</v>
      </c>
      <c r="X92" s="232"/>
      <c r="Y92" s="719"/>
      <c r="Z92" s="714"/>
      <c r="AA92" s="245" t="s">
        <v>1265</v>
      </c>
      <c r="AB92" s="714"/>
      <c r="AC92" s="717"/>
      <c r="AD92" s="717">
        <v>1</v>
      </c>
    </row>
    <row r="93" spans="1:1018" s="597" customFormat="1" ht="13.5" customHeight="1">
      <c r="A93" s="586">
        <v>75</v>
      </c>
      <c r="B93" s="587"/>
      <c r="C93" s="587"/>
      <c r="D93" s="587" t="s">
        <v>1280</v>
      </c>
      <c r="E93" s="587"/>
      <c r="F93" s="587"/>
      <c r="G93" s="587"/>
      <c r="H93" s="586" t="s">
        <v>1281</v>
      </c>
      <c r="I93" s="590" t="s">
        <v>1282</v>
      </c>
      <c r="J93" s="586" t="s">
        <v>1283</v>
      </c>
      <c r="K93" s="590" t="s">
        <v>1284</v>
      </c>
      <c r="L93" s="586"/>
      <c r="M93" s="586"/>
      <c r="N93" s="586"/>
      <c r="O93" s="586"/>
      <c r="P93" s="591"/>
      <c r="Q93" s="586" t="s">
        <v>817</v>
      </c>
      <c r="R93" s="586"/>
      <c r="S93" s="586" t="s">
        <v>863</v>
      </c>
      <c r="T93" s="592"/>
      <c r="U93" s="586" t="s">
        <v>1222</v>
      </c>
      <c r="V93" s="593"/>
      <c r="W93" s="593" t="s">
        <v>864</v>
      </c>
      <c r="X93" s="594"/>
      <c r="Y93" s="595"/>
      <c r="Z93" s="586"/>
      <c r="AA93" s="596" t="s">
        <v>1285</v>
      </c>
      <c r="AB93" s="586"/>
      <c r="AC93" s="592"/>
      <c r="AD93" s="592">
        <v>1</v>
      </c>
      <c r="AF93" s="641"/>
    </row>
    <row r="94" spans="1:1018" s="639" customFormat="1" ht="13.5" customHeight="1">
      <c r="A94" s="631">
        <v>76</v>
      </c>
      <c r="B94" s="610"/>
      <c r="C94" s="610"/>
      <c r="D94" s="610" t="s">
        <v>1286</v>
      </c>
      <c r="E94" s="610"/>
      <c r="F94" s="610"/>
      <c r="G94" s="610"/>
      <c r="H94" s="631" t="s">
        <v>1287</v>
      </c>
      <c r="I94" s="632" t="s">
        <v>1288</v>
      </c>
      <c r="J94" s="631"/>
      <c r="K94" s="632" t="s">
        <v>970</v>
      </c>
      <c r="L94" s="631"/>
      <c r="M94" s="631"/>
      <c r="N94" s="631"/>
      <c r="O94" s="631"/>
      <c r="P94" s="633"/>
      <c r="Q94" s="631" t="s">
        <v>817</v>
      </c>
      <c r="R94" s="631"/>
      <c r="S94" s="631" t="s">
        <v>863</v>
      </c>
      <c r="T94" s="634"/>
      <c r="U94" s="631"/>
      <c r="V94" s="635" t="s">
        <v>864</v>
      </c>
      <c r="W94" s="635" t="s">
        <v>864</v>
      </c>
      <c r="X94" s="636"/>
      <c r="Y94" s="637" t="s">
        <v>1289</v>
      </c>
      <c r="Z94" s="631" t="s">
        <v>1290</v>
      </c>
      <c r="AA94" s="638" t="s">
        <v>1291</v>
      </c>
      <c r="AB94" s="631"/>
      <c r="AC94" s="634"/>
      <c r="AD94" s="634">
        <v>1</v>
      </c>
      <c r="AF94" s="640"/>
    </row>
    <row r="95" spans="1:1018" s="597" customFormat="1" ht="13.5" customHeight="1">
      <c r="A95" s="586">
        <v>77</v>
      </c>
      <c r="B95" s="587"/>
      <c r="C95" s="587"/>
      <c r="D95" s="587" t="s">
        <v>1292</v>
      </c>
      <c r="E95" s="587"/>
      <c r="F95" s="587"/>
      <c r="G95" s="587"/>
      <c r="H95" s="586" t="s">
        <v>1293</v>
      </c>
      <c r="I95" s="590" t="s">
        <v>1294</v>
      </c>
      <c r="J95" s="586"/>
      <c r="K95" s="590" t="s">
        <v>910</v>
      </c>
      <c r="L95" s="586"/>
      <c r="M95" s="586"/>
      <c r="N95" s="586"/>
      <c r="O95" s="586"/>
      <c r="P95" s="591"/>
      <c r="Q95" s="586" t="s">
        <v>817</v>
      </c>
      <c r="R95" s="586"/>
      <c r="S95" s="586" t="s">
        <v>863</v>
      </c>
      <c r="T95" s="592"/>
      <c r="U95" s="586"/>
      <c r="V95" s="593"/>
      <c r="W95" s="593" t="s">
        <v>864</v>
      </c>
      <c r="X95" s="594"/>
      <c r="Y95" s="595" t="s">
        <v>1295</v>
      </c>
      <c r="Z95" s="586" t="s">
        <v>1290</v>
      </c>
      <c r="AA95" s="596"/>
      <c r="AB95" s="586"/>
      <c r="AC95" s="592"/>
      <c r="AD95" s="592">
        <v>1</v>
      </c>
      <c r="AF95" s="641"/>
    </row>
    <row r="96" spans="1:1018" s="597" customFormat="1" ht="13.5" customHeight="1">
      <c r="A96" s="586">
        <v>78</v>
      </c>
      <c r="B96" s="587"/>
      <c r="C96" s="587"/>
      <c r="D96" s="587" t="s">
        <v>1296</v>
      </c>
      <c r="E96" s="587"/>
      <c r="F96" s="587"/>
      <c r="G96" s="587"/>
      <c r="H96" s="586" t="s">
        <v>1297</v>
      </c>
      <c r="I96" s="590" t="s">
        <v>1298</v>
      </c>
      <c r="J96" s="586" t="s">
        <v>939</v>
      </c>
      <c r="K96" s="590" t="s">
        <v>939</v>
      </c>
      <c r="L96" s="586" t="s">
        <v>1299</v>
      </c>
      <c r="M96" s="586" t="s">
        <v>1300</v>
      </c>
      <c r="N96" s="586"/>
      <c r="O96" s="586"/>
      <c r="P96" s="591">
        <v>1</v>
      </c>
      <c r="Q96" s="586" t="s">
        <v>817</v>
      </c>
      <c r="R96" s="586"/>
      <c r="S96" s="586" t="s">
        <v>863</v>
      </c>
      <c r="T96" s="592"/>
      <c r="U96" s="586"/>
      <c r="V96" s="593"/>
      <c r="W96" s="593" t="s">
        <v>864</v>
      </c>
      <c r="X96" s="594"/>
      <c r="Y96" s="595"/>
      <c r="Z96" s="586"/>
      <c r="AA96" s="596"/>
      <c r="AB96" s="586"/>
      <c r="AC96" s="592"/>
      <c r="AD96" s="592">
        <v>1</v>
      </c>
    </row>
    <row r="97" spans="1:1014" s="224" customFormat="1" ht="13.5" customHeight="1">
      <c r="A97" s="225">
        <v>79</v>
      </c>
      <c r="B97" s="217"/>
      <c r="C97" s="678"/>
      <c r="D97" s="241" t="s">
        <v>1301</v>
      </c>
      <c r="E97" s="678"/>
      <c r="F97" s="241"/>
      <c r="G97" s="241"/>
      <c r="H97" s="714"/>
      <c r="I97" s="715"/>
      <c r="J97" s="714" t="s">
        <v>1302</v>
      </c>
      <c r="K97" s="715" t="s">
        <v>1303</v>
      </c>
      <c r="L97" s="714"/>
      <c r="M97" s="714"/>
      <c r="N97" s="714"/>
      <c r="O97" s="714"/>
      <c r="P97" s="716"/>
      <c r="Q97" s="714" t="s">
        <v>817</v>
      </c>
      <c r="R97" s="714" t="s">
        <v>864</v>
      </c>
      <c r="S97" s="714" t="s">
        <v>1303</v>
      </c>
      <c r="T97" s="717"/>
      <c r="U97" s="714"/>
      <c r="V97" s="718" t="s">
        <v>864</v>
      </c>
      <c r="W97" s="718" t="s">
        <v>864</v>
      </c>
      <c r="X97" s="232"/>
      <c r="Y97" s="719"/>
      <c r="Z97" s="714"/>
      <c r="AA97" s="720"/>
      <c r="AB97" s="714"/>
      <c r="AC97" s="717">
        <v>1</v>
      </c>
      <c r="AD97" s="717">
        <v>1</v>
      </c>
    </row>
    <row r="98" spans="1:1014" s="224" customFormat="1" ht="13.5" customHeight="1">
      <c r="A98" s="225">
        <v>80</v>
      </c>
      <c r="B98" s="217"/>
      <c r="C98" s="678"/>
      <c r="D98" s="678"/>
      <c r="E98" s="678" t="s">
        <v>1304</v>
      </c>
      <c r="F98" s="678"/>
      <c r="G98" s="678"/>
      <c r="H98" s="714" t="s">
        <v>1305</v>
      </c>
      <c r="I98" s="715" t="s">
        <v>1306</v>
      </c>
      <c r="J98" s="714"/>
      <c r="K98" s="715" t="s">
        <v>1087</v>
      </c>
      <c r="L98" s="714" t="s">
        <v>1307</v>
      </c>
      <c r="M98" s="714" t="s">
        <v>1308</v>
      </c>
      <c r="N98" s="714"/>
      <c r="O98" s="714"/>
      <c r="P98" s="716"/>
      <c r="Q98" s="714" t="s">
        <v>820</v>
      </c>
      <c r="R98" s="714"/>
      <c r="S98" s="714" t="s">
        <v>863</v>
      </c>
      <c r="T98" s="717"/>
      <c r="U98" s="714" t="s">
        <v>1309</v>
      </c>
      <c r="V98" s="718" t="s">
        <v>864</v>
      </c>
      <c r="W98" s="718" t="s">
        <v>864</v>
      </c>
      <c r="X98" s="232"/>
      <c r="Y98" s="719"/>
      <c r="Z98" s="714"/>
      <c r="AA98" s="720"/>
      <c r="AB98" s="714"/>
      <c r="AC98" s="717">
        <v>1</v>
      </c>
      <c r="AD98" s="717">
        <v>1</v>
      </c>
    </row>
    <row r="99" spans="1:1014" s="224" customFormat="1" ht="13.5" customHeight="1">
      <c r="A99" s="225">
        <v>81</v>
      </c>
      <c r="B99" s="217"/>
      <c r="C99" s="678"/>
      <c r="D99" s="241"/>
      <c r="E99" s="678" t="s">
        <v>1104</v>
      </c>
      <c r="F99" s="221"/>
      <c r="G99" s="221"/>
      <c r="H99" s="714" t="s">
        <v>1310</v>
      </c>
      <c r="I99" s="714" t="s">
        <v>1134</v>
      </c>
      <c r="J99" s="714"/>
      <c r="K99" s="715" t="s">
        <v>1311</v>
      </c>
      <c r="L99" s="714"/>
      <c r="M99" s="714"/>
      <c r="N99" s="714"/>
      <c r="O99" s="714"/>
      <c r="P99" s="716"/>
      <c r="Q99" s="714" t="s">
        <v>817</v>
      </c>
      <c r="R99" s="714"/>
      <c r="S99" s="714" t="s">
        <v>863</v>
      </c>
      <c r="T99" s="717"/>
      <c r="U99" s="714"/>
      <c r="V99" s="718" t="s">
        <v>864</v>
      </c>
      <c r="W99" s="718" t="s">
        <v>864</v>
      </c>
      <c r="X99" s="232"/>
      <c r="Y99" s="719"/>
      <c r="Z99" s="714"/>
      <c r="AA99" s="720"/>
      <c r="AB99" s="714"/>
      <c r="AC99" s="717">
        <v>1</v>
      </c>
      <c r="AD99" s="717">
        <v>1</v>
      </c>
    </row>
    <row r="100" spans="1:1014" s="244" customFormat="1" ht="14.25" customHeight="1">
      <c r="A100" s="225">
        <v>82</v>
      </c>
      <c r="B100" s="217"/>
      <c r="C100" s="221"/>
      <c r="D100" s="221"/>
      <c r="E100" s="678" t="s">
        <v>1312</v>
      </c>
      <c r="F100" s="221"/>
      <c r="G100" s="221"/>
      <c r="H100" s="714" t="s">
        <v>1313</v>
      </c>
      <c r="I100" s="715" t="s">
        <v>1314</v>
      </c>
      <c r="J100" s="714"/>
      <c r="K100" s="715" t="s">
        <v>1315</v>
      </c>
      <c r="L100" s="714"/>
      <c r="M100" s="714"/>
      <c r="N100" s="714"/>
      <c r="O100" s="714"/>
      <c r="P100" s="716"/>
      <c r="Q100" s="714" t="s">
        <v>817</v>
      </c>
      <c r="R100" s="714"/>
      <c r="S100" s="714" t="s">
        <v>863</v>
      </c>
      <c r="T100" s="717"/>
      <c r="U100" s="714"/>
      <c r="V100" s="718" t="s">
        <v>864</v>
      </c>
      <c r="W100" s="718" t="s">
        <v>864</v>
      </c>
      <c r="X100" s="232"/>
      <c r="Y100" s="719"/>
      <c r="Z100" s="714"/>
      <c r="AA100" s="720"/>
      <c r="AB100" s="714"/>
      <c r="AC100" s="717">
        <v>1</v>
      </c>
      <c r="AD100" s="717">
        <v>1</v>
      </c>
    </row>
    <row r="101" spans="1:1014" s="597" customFormat="1" ht="13.5" customHeight="1">
      <c r="A101" s="586">
        <v>83</v>
      </c>
      <c r="B101" s="587"/>
      <c r="C101" s="587" t="s">
        <v>1316</v>
      </c>
      <c r="D101" s="587"/>
      <c r="E101" s="587"/>
      <c r="F101" s="587"/>
      <c r="G101" s="587"/>
      <c r="H101" s="586" t="s">
        <v>1317</v>
      </c>
      <c r="I101" s="590"/>
      <c r="J101" s="586" t="s">
        <v>908</v>
      </c>
      <c r="K101" s="590" t="s">
        <v>1318</v>
      </c>
      <c r="L101" s="586"/>
      <c r="M101" s="586"/>
      <c r="N101" s="586"/>
      <c r="O101" s="586"/>
      <c r="P101" s="591"/>
      <c r="Q101" s="586" t="s">
        <v>820</v>
      </c>
      <c r="R101" s="586" t="s">
        <v>864</v>
      </c>
      <c r="S101" s="598" t="s">
        <v>1319</v>
      </c>
      <c r="T101" s="592"/>
      <c r="U101" s="586"/>
      <c r="V101" s="593"/>
      <c r="W101" s="593" t="s">
        <v>864</v>
      </c>
      <c r="X101" s="594"/>
      <c r="Y101" s="595"/>
      <c r="Z101" s="586"/>
      <c r="AA101" s="596"/>
      <c r="AB101" s="586"/>
      <c r="AC101" s="592">
        <v>1</v>
      </c>
      <c r="AD101" s="592"/>
    </row>
    <row r="102" spans="1:1014" s="597" customFormat="1" ht="13.5" customHeight="1">
      <c r="A102" s="586">
        <v>84</v>
      </c>
      <c r="B102" s="587"/>
      <c r="C102" s="587"/>
      <c r="D102" s="587" t="s">
        <v>1320</v>
      </c>
      <c r="E102" s="587"/>
      <c r="F102" s="587"/>
      <c r="G102" s="587"/>
      <c r="H102" s="586" t="s">
        <v>1321</v>
      </c>
      <c r="I102" s="590" t="s">
        <v>1322</v>
      </c>
      <c r="J102" s="586"/>
      <c r="K102" s="590" t="s">
        <v>1323</v>
      </c>
      <c r="L102" s="586"/>
      <c r="M102" s="586"/>
      <c r="N102" s="586"/>
      <c r="O102" s="586"/>
      <c r="P102" s="591"/>
      <c r="Q102" s="586" t="s">
        <v>820</v>
      </c>
      <c r="R102" s="586"/>
      <c r="S102" s="586" t="s">
        <v>863</v>
      </c>
      <c r="T102" s="592"/>
      <c r="U102" s="586"/>
      <c r="V102" s="593"/>
      <c r="W102" s="593" t="s">
        <v>864</v>
      </c>
      <c r="X102" s="594"/>
      <c r="Y102" s="595"/>
      <c r="Z102" s="586" t="s">
        <v>1076</v>
      </c>
      <c r="AA102" s="596"/>
      <c r="AB102" s="586"/>
      <c r="AC102" s="592">
        <v>1</v>
      </c>
      <c r="AD102" s="592"/>
    </row>
    <row r="103" spans="1:1014" s="597" customFormat="1" ht="13.5" customHeight="1">
      <c r="A103" s="586">
        <v>85</v>
      </c>
      <c r="B103" s="587"/>
      <c r="C103" s="587"/>
      <c r="D103" s="587" t="s">
        <v>1324</v>
      </c>
      <c r="E103" s="587"/>
      <c r="F103" s="587"/>
      <c r="G103" s="587"/>
      <c r="H103" s="586" t="s">
        <v>1325</v>
      </c>
      <c r="I103" s="590" t="s">
        <v>1268</v>
      </c>
      <c r="J103" s="586"/>
      <c r="K103" s="590" t="s">
        <v>970</v>
      </c>
      <c r="L103" s="586"/>
      <c r="M103" s="586"/>
      <c r="N103" s="586"/>
      <c r="O103" s="586"/>
      <c r="P103" s="591"/>
      <c r="Q103" s="586" t="s">
        <v>820</v>
      </c>
      <c r="R103" s="586"/>
      <c r="S103" s="586" t="s">
        <v>863</v>
      </c>
      <c r="T103" s="592"/>
      <c r="U103" s="586" t="s">
        <v>1269</v>
      </c>
      <c r="V103" s="593"/>
      <c r="W103" s="593" t="s">
        <v>864</v>
      </c>
      <c r="X103" s="594"/>
      <c r="Y103" s="595"/>
      <c r="Z103" s="586"/>
      <c r="AA103" s="596"/>
      <c r="AB103" s="586"/>
      <c r="AC103" s="592">
        <v>1</v>
      </c>
      <c r="AD103" s="592"/>
    </row>
    <row r="104" spans="1:1014" s="649" customFormat="1" ht="17.25" customHeight="1">
      <c r="A104" s="586">
        <v>86</v>
      </c>
      <c r="B104" s="643"/>
      <c r="C104" s="597"/>
      <c r="D104" s="597" t="s">
        <v>1326</v>
      </c>
      <c r="E104" s="597"/>
      <c r="F104" s="597"/>
      <c r="G104" s="586"/>
      <c r="H104" s="586" t="s">
        <v>1327</v>
      </c>
      <c r="I104" s="644" t="s">
        <v>1273</v>
      </c>
      <c r="J104" s="586"/>
      <c r="K104" s="590" t="s">
        <v>1120</v>
      </c>
      <c r="L104" s="586"/>
      <c r="M104" s="586"/>
      <c r="N104" s="586"/>
      <c r="O104" s="586"/>
      <c r="P104" s="591"/>
      <c r="Q104" s="586" t="s">
        <v>820</v>
      </c>
      <c r="R104" s="586"/>
      <c r="S104" s="586" t="s">
        <v>863</v>
      </c>
      <c r="T104" s="645"/>
      <c r="U104" s="647"/>
      <c r="V104" s="592"/>
      <c r="W104" s="592" t="s">
        <v>864</v>
      </c>
      <c r="X104" s="594"/>
      <c r="Y104" s="646"/>
      <c r="Z104" s="647"/>
      <c r="AA104" s="648"/>
      <c r="AB104" s="647"/>
      <c r="AC104" s="650">
        <v>1</v>
      </c>
      <c r="AD104" s="592">
        <v>1</v>
      </c>
      <c r="AE104" s="643"/>
      <c r="AG104" s="643"/>
      <c r="AH104" s="643"/>
      <c r="AI104" s="643"/>
      <c r="AJ104" s="643"/>
      <c r="AK104" s="643"/>
      <c r="AL104" s="643"/>
      <c r="AM104" s="643"/>
      <c r="AN104" s="643"/>
      <c r="AO104" s="643"/>
      <c r="AP104" s="643"/>
      <c r="AQ104" s="643"/>
      <c r="AR104" s="643"/>
      <c r="AS104" s="643"/>
      <c r="AT104" s="643"/>
      <c r="AU104" s="643"/>
      <c r="AV104" s="643"/>
      <c r="AW104" s="643"/>
      <c r="AX104" s="643"/>
      <c r="AY104" s="643"/>
      <c r="AZ104" s="643"/>
      <c r="BA104" s="643"/>
      <c r="BB104" s="643"/>
      <c r="BC104" s="643"/>
      <c r="BD104" s="643"/>
      <c r="BE104" s="643"/>
      <c r="BF104" s="643"/>
      <c r="BG104" s="643"/>
      <c r="BH104" s="643"/>
      <c r="BI104" s="643"/>
      <c r="BJ104" s="643"/>
      <c r="BK104" s="643"/>
      <c r="BL104" s="643"/>
      <c r="BM104" s="643"/>
      <c r="BN104" s="643"/>
      <c r="BO104" s="643"/>
      <c r="BP104" s="643"/>
      <c r="BQ104" s="643"/>
      <c r="BR104" s="643"/>
      <c r="BS104" s="643"/>
      <c r="BT104" s="643"/>
      <c r="BU104" s="643"/>
      <c r="BV104" s="643"/>
      <c r="BW104" s="643"/>
      <c r="BX104" s="643"/>
      <c r="BY104" s="643"/>
      <c r="BZ104" s="643"/>
      <c r="CA104" s="643"/>
      <c r="CB104" s="643"/>
      <c r="CC104" s="643"/>
      <c r="CD104" s="643"/>
      <c r="CE104" s="643"/>
      <c r="CF104" s="643"/>
      <c r="CG104" s="643"/>
      <c r="CH104" s="643"/>
      <c r="CI104" s="643"/>
      <c r="CJ104" s="643"/>
      <c r="CK104" s="643"/>
      <c r="CL104" s="643"/>
      <c r="CM104" s="643"/>
      <c r="CN104" s="643"/>
      <c r="CO104" s="643"/>
      <c r="CP104" s="643"/>
      <c r="CQ104" s="643"/>
      <c r="CR104" s="643"/>
      <c r="CS104" s="643"/>
      <c r="CT104" s="643"/>
      <c r="CU104" s="643"/>
      <c r="CV104" s="643"/>
      <c r="CW104" s="643"/>
      <c r="CX104" s="643"/>
      <c r="CY104" s="643"/>
      <c r="CZ104" s="643"/>
      <c r="DA104" s="643"/>
      <c r="DB104" s="643"/>
      <c r="DC104" s="643"/>
      <c r="DD104" s="643"/>
      <c r="DE104" s="643"/>
      <c r="DF104" s="643"/>
      <c r="DG104" s="643"/>
      <c r="DH104" s="643"/>
      <c r="DI104" s="643"/>
      <c r="DJ104" s="643"/>
      <c r="DK104" s="643"/>
      <c r="DL104" s="643"/>
      <c r="DM104" s="643"/>
      <c r="DN104" s="643"/>
      <c r="DO104" s="643"/>
      <c r="DP104" s="643"/>
      <c r="DQ104" s="643"/>
      <c r="DR104" s="643"/>
      <c r="DS104" s="643"/>
      <c r="DT104" s="643"/>
      <c r="DU104" s="643"/>
      <c r="DV104" s="643"/>
      <c r="DW104" s="643"/>
      <c r="DX104" s="643"/>
      <c r="DY104" s="643"/>
      <c r="DZ104" s="643"/>
      <c r="EA104" s="643"/>
      <c r="EB104" s="643"/>
      <c r="EC104" s="643"/>
      <c r="ED104" s="643"/>
      <c r="EE104" s="643"/>
      <c r="EF104" s="643"/>
      <c r="EG104" s="643"/>
      <c r="EH104" s="643"/>
      <c r="EI104" s="643"/>
      <c r="EJ104" s="643"/>
      <c r="EK104" s="643"/>
      <c r="EL104" s="643"/>
      <c r="EM104" s="643"/>
      <c r="EN104" s="643"/>
      <c r="EO104" s="643"/>
      <c r="EP104" s="643"/>
      <c r="EQ104" s="643"/>
      <c r="ER104" s="643"/>
      <c r="ES104" s="643"/>
      <c r="ET104" s="643"/>
      <c r="EU104" s="643"/>
      <c r="EV104" s="643"/>
      <c r="EW104" s="643"/>
      <c r="EX104" s="643"/>
      <c r="EY104" s="643"/>
      <c r="EZ104" s="643"/>
      <c r="FA104" s="643"/>
      <c r="FB104" s="643"/>
      <c r="FC104" s="643"/>
      <c r="FD104" s="643"/>
      <c r="FE104" s="643"/>
      <c r="FF104" s="643"/>
      <c r="FG104" s="643"/>
      <c r="FH104" s="643"/>
      <c r="FI104" s="643"/>
      <c r="FJ104" s="643"/>
      <c r="FK104" s="643"/>
      <c r="FL104" s="643"/>
      <c r="FM104" s="643"/>
      <c r="FN104" s="643"/>
      <c r="FO104" s="643"/>
      <c r="FP104" s="643"/>
      <c r="FQ104" s="643"/>
      <c r="FR104" s="643"/>
      <c r="FS104" s="643"/>
      <c r="FT104" s="643"/>
      <c r="FU104" s="643"/>
      <c r="FV104" s="643"/>
      <c r="FW104" s="643"/>
      <c r="FX104" s="643"/>
      <c r="FY104" s="643"/>
      <c r="FZ104" s="643"/>
      <c r="GA104" s="643"/>
      <c r="GB104" s="643"/>
      <c r="GC104" s="643"/>
      <c r="GD104" s="643"/>
      <c r="GE104" s="643"/>
      <c r="GF104" s="643"/>
      <c r="GG104" s="643"/>
      <c r="GH104" s="643"/>
      <c r="GI104" s="643"/>
      <c r="GJ104" s="643"/>
      <c r="GK104" s="643"/>
      <c r="GL104" s="643"/>
      <c r="GM104" s="643"/>
      <c r="GN104" s="643"/>
      <c r="GO104" s="643"/>
      <c r="GP104" s="643"/>
      <c r="GQ104" s="643"/>
      <c r="GR104" s="643"/>
      <c r="GS104" s="643"/>
      <c r="GT104" s="643"/>
      <c r="GU104" s="643"/>
      <c r="GV104" s="643"/>
      <c r="GW104" s="643"/>
      <c r="GX104" s="643"/>
      <c r="GY104" s="643"/>
      <c r="GZ104" s="643"/>
      <c r="HA104" s="643"/>
      <c r="HB104" s="643"/>
      <c r="HC104" s="643"/>
      <c r="HD104" s="643"/>
      <c r="HE104" s="643"/>
      <c r="HF104" s="643"/>
      <c r="HG104" s="643"/>
      <c r="HH104" s="643"/>
      <c r="HI104" s="643"/>
      <c r="HJ104" s="643"/>
      <c r="HK104" s="643"/>
      <c r="HL104" s="643"/>
      <c r="HM104" s="643"/>
      <c r="HN104" s="643"/>
      <c r="HO104" s="643"/>
      <c r="HP104" s="643"/>
      <c r="HQ104" s="643"/>
      <c r="HR104" s="643"/>
      <c r="HS104" s="643"/>
      <c r="HT104" s="643"/>
      <c r="HU104" s="643"/>
      <c r="HV104" s="643"/>
      <c r="HW104" s="643"/>
      <c r="HX104" s="643"/>
      <c r="HY104" s="643"/>
      <c r="HZ104" s="643"/>
      <c r="IA104" s="643"/>
      <c r="IB104" s="643"/>
      <c r="IC104" s="643"/>
      <c r="ID104" s="643"/>
      <c r="IE104" s="643"/>
      <c r="IF104" s="643"/>
      <c r="IG104" s="643"/>
      <c r="IH104" s="643"/>
      <c r="II104" s="643"/>
      <c r="IJ104" s="643"/>
      <c r="IK104" s="643"/>
      <c r="IL104" s="643"/>
      <c r="IM104" s="643"/>
      <c r="IN104" s="643"/>
      <c r="IO104" s="643"/>
      <c r="IP104" s="643"/>
      <c r="IQ104" s="643"/>
      <c r="IR104" s="643"/>
      <c r="IS104" s="643"/>
      <c r="IT104" s="643"/>
      <c r="IU104" s="643"/>
      <c r="IV104" s="643"/>
      <c r="IW104" s="643"/>
      <c r="IX104" s="643"/>
      <c r="IY104" s="643"/>
      <c r="IZ104" s="643"/>
      <c r="JA104" s="643"/>
      <c r="JB104" s="643"/>
      <c r="JC104" s="643"/>
      <c r="JD104" s="643"/>
      <c r="JE104" s="643"/>
      <c r="JF104" s="643"/>
      <c r="JG104" s="643"/>
      <c r="JH104" s="643"/>
      <c r="JI104" s="643"/>
      <c r="JJ104" s="643"/>
      <c r="JK104" s="643"/>
      <c r="JL104" s="643"/>
      <c r="JM104" s="643"/>
      <c r="JN104" s="643"/>
      <c r="JO104" s="643"/>
      <c r="JP104" s="643"/>
      <c r="JQ104" s="643"/>
      <c r="JR104" s="643"/>
      <c r="JS104" s="643"/>
      <c r="JT104" s="643"/>
      <c r="JU104" s="643"/>
      <c r="JV104" s="643"/>
      <c r="JW104" s="643"/>
      <c r="JX104" s="643"/>
      <c r="JY104" s="643"/>
      <c r="JZ104" s="643"/>
      <c r="KA104" s="643"/>
      <c r="KB104" s="643"/>
      <c r="KC104" s="643"/>
      <c r="KD104" s="643"/>
      <c r="KE104" s="643"/>
      <c r="KF104" s="643"/>
      <c r="KG104" s="643"/>
      <c r="KH104" s="643"/>
      <c r="KI104" s="643"/>
      <c r="KJ104" s="643"/>
      <c r="KK104" s="643"/>
      <c r="KL104" s="643"/>
      <c r="KM104" s="643"/>
      <c r="KN104" s="643"/>
      <c r="KO104" s="643"/>
      <c r="KP104" s="643"/>
      <c r="KQ104" s="643"/>
      <c r="KR104" s="643"/>
      <c r="KS104" s="643"/>
      <c r="KT104" s="643"/>
      <c r="KU104" s="643"/>
      <c r="KV104" s="643"/>
      <c r="KW104" s="643"/>
      <c r="KX104" s="643"/>
      <c r="KY104" s="643"/>
      <c r="KZ104" s="643"/>
      <c r="LA104" s="643"/>
      <c r="LB104" s="643"/>
      <c r="LC104" s="643"/>
      <c r="LD104" s="643"/>
      <c r="LE104" s="643"/>
      <c r="LF104" s="643"/>
      <c r="LG104" s="643"/>
      <c r="LH104" s="643"/>
      <c r="LI104" s="643"/>
      <c r="LJ104" s="643"/>
      <c r="LK104" s="643"/>
      <c r="LL104" s="643"/>
      <c r="LM104" s="643"/>
      <c r="LN104" s="643"/>
      <c r="LO104" s="643"/>
      <c r="LP104" s="643"/>
      <c r="LQ104" s="643"/>
      <c r="LR104" s="643"/>
      <c r="LS104" s="643"/>
      <c r="LT104" s="643"/>
      <c r="LU104" s="643"/>
      <c r="LV104" s="643"/>
      <c r="LW104" s="643"/>
      <c r="LX104" s="643"/>
      <c r="LY104" s="643"/>
      <c r="LZ104" s="643"/>
      <c r="MA104" s="643"/>
      <c r="MB104" s="643"/>
      <c r="MC104" s="643"/>
      <c r="MD104" s="643"/>
      <c r="ME104" s="643"/>
      <c r="MF104" s="643"/>
      <c r="MG104" s="643"/>
      <c r="MH104" s="643"/>
      <c r="MI104" s="643"/>
      <c r="MJ104" s="643"/>
      <c r="MK104" s="643"/>
      <c r="ML104" s="643"/>
      <c r="MM104" s="643"/>
      <c r="MN104" s="643"/>
      <c r="MO104" s="643"/>
      <c r="MP104" s="643"/>
      <c r="MQ104" s="643"/>
      <c r="MR104" s="643"/>
      <c r="MS104" s="643"/>
      <c r="MT104" s="643"/>
      <c r="MU104" s="643"/>
      <c r="MV104" s="643"/>
      <c r="MW104" s="643"/>
      <c r="MX104" s="643"/>
      <c r="MY104" s="643"/>
      <c r="MZ104" s="643"/>
      <c r="NA104" s="643"/>
      <c r="NB104" s="643"/>
      <c r="NC104" s="643"/>
      <c r="ND104" s="643"/>
      <c r="NE104" s="643"/>
      <c r="NF104" s="643"/>
      <c r="NG104" s="643"/>
      <c r="NH104" s="643"/>
      <c r="NI104" s="643"/>
      <c r="NJ104" s="643"/>
      <c r="NK104" s="643"/>
      <c r="NL104" s="643"/>
      <c r="NM104" s="643"/>
      <c r="NN104" s="643"/>
      <c r="NO104" s="643"/>
      <c r="NP104" s="643"/>
      <c r="NQ104" s="643"/>
      <c r="NR104" s="643"/>
      <c r="NS104" s="643"/>
      <c r="NT104" s="643"/>
      <c r="NU104" s="643"/>
      <c r="NV104" s="643"/>
      <c r="NW104" s="643"/>
      <c r="NX104" s="643"/>
      <c r="NY104" s="643"/>
      <c r="NZ104" s="643"/>
      <c r="OA104" s="643"/>
      <c r="OB104" s="643"/>
      <c r="OC104" s="643"/>
      <c r="OD104" s="643"/>
      <c r="OE104" s="643"/>
      <c r="OF104" s="643"/>
      <c r="OG104" s="643"/>
      <c r="OH104" s="643"/>
      <c r="OI104" s="643"/>
      <c r="OJ104" s="643"/>
      <c r="OK104" s="643"/>
      <c r="OL104" s="643"/>
      <c r="OM104" s="643"/>
      <c r="ON104" s="643"/>
      <c r="OO104" s="643"/>
      <c r="OP104" s="643"/>
      <c r="OQ104" s="643"/>
      <c r="OR104" s="643"/>
      <c r="OS104" s="643"/>
      <c r="OT104" s="643"/>
      <c r="OU104" s="643"/>
      <c r="OV104" s="643"/>
      <c r="OW104" s="643"/>
      <c r="OX104" s="643"/>
      <c r="OY104" s="643"/>
      <c r="OZ104" s="643"/>
      <c r="PA104" s="643"/>
      <c r="PB104" s="643"/>
      <c r="PC104" s="643"/>
      <c r="PD104" s="643"/>
      <c r="PE104" s="643"/>
      <c r="PF104" s="643"/>
      <c r="PG104" s="643"/>
      <c r="PH104" s="643"/>
      <c r="PI104" s="643"/>
      <c r="PJ104" s="643"/>
      <c r="PK104" s="643"/>
      <c r="PL104" s="643"/>
      <c r="PM104" s="643"/>
      <c r="PN104" s="643"/>
      <c r="PO104" s="643"/>
      <c r="PP104" s="643"/>
      <c r="PQ104" s="643"/>
      <c r="PR104" s="643"/>
      <c r="PS104" s="643"/>
      <c r="PT104" s="643"/>
      <c r="PU104" s="643"/>
      <c r="PV104" s="643"/>
      <c r="PW104" s="643"/>
      <c r="PX104" s="643"/>
      <c r="PY104" s="643"/>
      <c r="PZ104" s="643"/>
      <c r="QA104" s="643"/>
      <c r="QB104" s="643"/>
      <c r="QC104" s="643"/>
      <c r="QD104" s="643"/>
      <c r="QE104" s="643"/>
      <c r="QF104" s="643"/>
      <c r="QG104" s="643"/>
      <c r="QH104" s="643"/>
      <c r="QI104" s="643"/>
      <c r="QJ104" s="643"/>
      <c r="QK104" s="643"/>
      <c r="QL104" s="643"/>
      <c r="QM104" s="643"/>
      <c r="QN104" s="643"/>
      <c r="QO104" s="643"/>
      <c r="QP104" s="643"/>
      <c r="QQ104" s="643"/>
      <c r="QR104" s="643"/>
      <c r="QS104" s="643"/>
      <c r="QT104" s="643"/>
      <c r="QU104" s="643"/>
      <c r="QV104" s="643"/>
      <c r="QW104" s="643"/>
      <c r="QX104" s="643"/>
      <c r="QY104" s="643"/>
      <c r="QZ104" s="643"/>
      <c r="RA104" s="643"/>
      <c r="RB104" s="643"/>
      <c r="RC104" s="643"/>
      <c r="RD104" s="643"/>
      <c r="RE104" s="643"/>
      <c r="RF104" s="643"/>
      <c r="RG104" s="643"/>
      <c r="RH104" s="643"/>
      <c r="RI104" s="643"/>
      <c r="RJ104" s="643"/>
      <c r="RK104" s="643"/>
      <c r="RL104" s="643"/>
      <c r="RM104" s="643"/>
      <c r="RN104" s="643"/>
      <c r="RO104" s="643"/>
      <c r="RP104" s="643"/>
      <c r="RQ104" s="643"/>
      <c r="RR104" s="643"/>
      <c r="RS104" s="643"/>
      <c r="RT104" s="643"/>
      <c r="RU104" s="643"/>
      <c r="RV104" s="643"/>
      <c r="RW104" s="643"/>
      <c r="RX104" s="643"/>
      <c r="RY104" s="643"/>
      <c r="RZ104" s="643"/>
      <c r="SA104" s="643"/>
      <c r="SB104" s="643"/>
      <c r="SC104" s="643"/>
      <c r="SD104" s="643"/>
      <c r="SE104" s="643"/>
      <c r="SF104" s="643"/>
      <c r="SG104" s="643"/>
      <c r="SH104" s="643"/>
      <c r="SI104" s="643"/>
      <c r="SJ104" s="643"/>
      <c r="SK104" s="643"/>
      <c r="SL104" s="643"/>
      <c r="SM104" s="643"/>
      <c r="SN104" s="643"/>
      <c r="SO104" s="643"/>
      <c r="SP104" s="643"/>
      <c r="SQ104" s="643"/>
      <c r="SR104" s="643"/>
      <c r="SS104" s="643"/>
      <c r="ST104" s="643"/>
      <c r="SU104" s="643"/>
      <c r="SV104" s="643"/>
      <c r="SW104" s="643"/>
      <c r="SX104" s="643"/>
      <c r="SY104" s="643"/>
      <c r="SZ104" s="643"/>
      <c r="TA104" s="643"/>
      <c r="TB104" s="643"/>
      <c r="TC104" s="643"/>
      <c r="TD104" s="643"/>
      <c r="TE104" s="643"/>
      <c r="TF104" s="643"/>
      <c r="TG104" s="643"/>
      <c r="TH104" s="643"/>
      <c r="TI104" s="643"/>
      <c r="TJ104" s="643"/>
      <c r="TK104" s="643"/>
      <c r="TL104" s="643"/>
      <c r="TM104" s="643"/>
      <c r="TN104" s="643"/>
      <c r="TO104" s="643"/>
      <c r="TP104" s="643"/>
      <c r="TQ104" s="643"/>
      <c r="TR104" s="643"/>
      <c r="TS104" s="643"/>
      <c r="TT104" s="643"/>
      <c r="TU104" s="643"/>
      <c r="TV104" s="643"/>
      <c r="TW104" s="643"/>
      <c r="TX104" s="643"/>
      <c r="TY104" s="643"/>
      <c r="TZ104" s="643"/>
      <c r="UA104" s="643"/>
      <c r="UB104" s="643"/>
      <c r="UC104" s="643"/>
      <c r="UD104" s="643"/>
      <c r="UE104" s="643"/>
      <c r="UF104" s="643"/>
      <c r="UG104" s="643"/>
      <c r="UH104" s="643"/>
      <c r="UI104" s="643"/>
      <c r="UJ104" s="643"/>
      <c r="UK104" s="643"/>
      <c r="UL104" s="643"/>
      <c r="UM104" s="643"/>
      <c r="UN104" s="643"/>
      <c r="UO104" s="643"/>
      <c r="UP104" s="643"/>
      <c r="UQ104" s="643"/>
      <c r="UR104" s="643"/>
      <c r="US104" s="643"/>
      <c r="UT104" s="643"/>
      <c r="UU104" s="643"/>
      <c r="UV104" s="643"/>
      <c r="UW104" s="643"/>
      <c r="UX104" s="643"/>
      <c r="UY104" s="643"/>
      <c r="UZ104" s="643"/>
      <c r="VA104" s="643"/>
      <c r="VB104" s="643"/>
      <c r="VC104" s="643"/>
      <c r="VD104" s="643"/>
      <c r="VE104" s="643"/>
      <c r="VF104" s="643"/>
      <c r="VG104" s="643"/>
      <c r="VH104" s="643"/>
      <c r="VI104" s="643"/>
      <c r="VJ104" s="643"/>
      <c r="VK104" s="643"/>
      <c r="VL104" s="643"/>
      <c r="VM104" s="643"/>
      <c r="VN104" s="643"/>
      <c r="VO104" s="643"/>
      <c r="VP104" s="643"/>
      <c r="VQ104" s="643"/>
      <c r="VR104" s="643"/>
      <c r="VS104" s="643"/>
      <c r="VT104" s="643"/>
      <c r="VU104" s="643"/>
      <c r="VV104" s="643"/>
      <c r="VW104" s="643"/>
      <c r="VX104" s="643"/>
      <c r="VY104" s="643"/>
      <c r="VZ104" s="643"/>
      <c r="WA104" s="643"/>
      <c r="WB104" s="643"/>
      <c r="WC104" s="643"/>
      <c r="WD104" s="643"/>
      <c r="WE104" s="643"/>
      <c r="WF104" s="643"/>
      <c r="WG104" s="643"/>
      <c r="WH104" s="643"/>
      <c r="WI104" s="643"/>
      <c r="WJ104" s="643"/>
      <c r="WK104" s="643"/>
      <c r="WL104" s="643"/>
      <c r="WM104" s="643"/>
      <c r="WN104" s="643"/>
      <c r="WO104" s="643"/>
      <c r="WP104" s="643"/>
      <c r="WQ104" s="643"/>
      <c r="WR104" s="643"/>
      <c r="WS104" s="643"/>
      <c r="WT104" s="643"/>
      <c r="WU104" s="643"/>
      <c r="WV104" s="643"/>
      <c r="WW104" s="643"/>
      <c r="WX104" s="643"/>
      <c r="WY104" s="643"/>
      <c r="WZ104" s="643"/>
      <c r="XA104" s="643"/>
      <c r="XB104" s="643"/>
      <c r="XC104" s="643"/>
      <c r="XD104" s="643"/>
      <c r="XE104" s="643"/>
      <c r="XF104" s="643"/>
      <c r="XG104" s="643"/>
      <c r="XH104" s="643"/>
      <c r="XI104" s="643"/>
      <c r="XJ104" s="643"/>
      <c r="XK104" s="643"/>
      <c r="XL104" s="643"/>
      <c r="XM104" s="643"/>
      <c r="XN104" s="643"/>
      <c r="XO104" s="643"/>
      <c r="XP104" s="643"/>
      <c r="XQ104" s="643"/>
      <c r="XR104" s="643"/>
      <c r="XS104" s="643"/>
      <c r="XT104" s="643"/>
      <c r="XU104" s="643"/>
      <c r="XV104" s="643"/>
      <c r="XW104" s="643"/>
      <c r="XX104" s="643"/>
      <c r="XY104" s="643"/>
      <c r="XZ104" s="643"/>
      <c r="YA104" s="643"/>
      <c r="YB104" s="643"/>
      <c r="YC104" s="643"/>
      <c r="YD104" s="643"/>
      <c r="YE104" s="643"/>
      <c r="YF104" s="643"/>
      <c r="YG104" s="643"/>
      <c r="YH104" s="643"/>
      <c r="YI104" s="643"/>
      <c r="YJ104" s="643"/>
      <c r="YK104" s="643"/>
      <c r="YL104" s="643"/>
      <c r="YM104" s="643"/>
      <c r="YN104" s="643"/>
      <c r="YO104" s="643"/>
      <c r="YP104" s="643"/>
      <c r="YQ104" s="643"/>
      <c r="YR104" s="643"/>
      <c r="YS104" s="643"/>
      <c r="YT104" s="643"/>
      <c r="YU104" s="643"/>
      <c r="YV104" s="643"/>
      <c r="YW104" s="643"/>
      <c r="YX104" s="643"/>
      <c r="YY104" s="643"/>
      <c r="YZ104" s="643"/>
      <c r="ZA104" s="643"/>
      <c r="ZB104" s="643"/>
      <c r="ZC104" s="643"/>
      <c r="ZD104" s="643"/>
      <c r="ZE104" s="643"/>
      <c r="ZF104" s="643"/>
      <c r="ZG104" s="643"/>
      <c r="ZH104" s="643"/>
      <c r="ZI104" s="643"/>
      <c r="ZJ104" s="643"/>
      <c r="ZK104" s="643"/>
      <c r="ZL104" s="643"/>
      <c r="ZM104" s="643"/>
      <c r="ZN104" s="643"/>
      <c r="ZO104" s="643"/>
      <c r="ZP104" s="643"/>
      <c r="ZQ104" s="643"/>
      <c r="ZR104" s="643"/>
      <c r="ZS104" s="643"/>
      <c r="ZT104" s="643"/>
      <c r="ZU104" s="643"/>
      <c r="ZV104" s="643"/>
      <c r="ZW104" s="643"/>
      <c r="ZX104" s="643"/>
      <c r="ZY104" s="643"/>
      <c r="ZZ104" s="643"/>
      <c r="AAA104" s="643"/>
      <c r="AAB104" s="643"/>
      <c r="AAC104" s="643"/>
      <c r="AAD104" s="643"/>
      <c r="AAE104" s="643"/>
      <c r="AAF104" s="643"/>
      <c r="AAG104" s="643"/>
      <c r="AAH104" s="643"/>
      <c r="AAI104" s="643"/>
      <c r="AAJ104" s="643"/>
      <c r="AAK104" s="643"/>
      <c r="AAL104" s="643"/>
      <c r="AAM104" s="643"/>
      <c r="AAN104" s="643"/>
      <c r="AAO104" s="643"/>
      <c r="AAP104" s="643"/>
      <c r="AAQ104" s="643"/>
      <c r="AAR104" s="643"/>
      <c r="AAS104" s="643"/>
      <c r="AAT104" s="643"/>
      <c r="AAU104" s="643"/>
      <c r="AAV104" s="643"/>
      <c r="AAW104" s="643"/>
      <c r="AAX104" s="643"/>
      <c r="AAY104" s="643"/>
      <c r="AAZ104" s="643"/>
      <c r="ABA104" s="643"/>
      <c r="ABB104" s="643"/>
      <c r="ABC104" s="643"/>
      <c r="ABD104" s="643"/>
      <c r="ABE104" s="643"/>
      <c r="ABF104" s="643"/>
      <c r="ABG104" s="643"/>
      <c r="ABH104" s="643"/>
      <c r="ABI104" s="643"/>
      <c r="ABJ104" s="643"/>
      <c r="ABK104" s="643"/>
      <c r="ABL104" s="643"/>
      <c r="ABM104" s="643"/>
      <c r="ABN104" s="643"/>
      <c r="ABO104" s="643"/>
      <c r="ABP104" s="643"/>
      <c r="ABQ104" s="643"/>
      <c r="ABR104" s="643"/>
      <c r="ABS104" s="643"/>
      <c r="ABT104" s="643"/>
      <c r="ABU104" s="643"/>
      <c r="ABV104" s="643"/>
      <c r="ABW104" s="643"/>
      <c r="ABX104" s="643"/>
      <c r="ABY104" s="643"/>
      <c r="ABZ104" s="643"/>
      <c r="ACA104" s="643"/>
      <c r="ACB104" s="643"/>
      <c r="ACC104" s="643"/>
      <c r="ACD104" s="643"/>
      <c r="ACE104" s="643"/>
      <c r="ACF104" s="643"/>
      <c r="ACG104" s="643"/>
      <c r="ACH104" s="643"/>
      <c r="ACI104" s="643"/>
      <c r="ACJ104" s="643"/>
      <c r="ACK104" s="643"/>
      <c r="ACL104" s="643"/>
      <c r="ACM104" s="643"/>
      <c r="ACN104" s="643"/>
      <c r="ACO104" s="643"/>
      <c r="ACP104" s="643"/>
      <c r="ACQ104" s="643"/>
      <c r="ACR104" s="643"/>
      <c r="ACS104" s="643"/>
      <c r="ACT104" s="643"/>
      <c r="ACU104" s="643"/>
      <c r="ACV104" s="643"/>
      <c r="ACW104" s="643"/>
      <c r="ACX104" s="643"/>
      <c r="ACY104" s="643"/>
      <c r="ACZ104" s="643"/>
      <c r="ADA104" s="643"/>
      <c r="ADB104" s="643"/>
      <c r="ADC104" s="643"/>
      <c r="ADD104" s="643"/>
      <c r="ADE104" s="643"/>
      <c r="ADF104" s="643"/>
      <c r="ADG104" s="643"/>
      <c r="ADH104" s="643"/>
      <c r="ADI104" s="643"/>
      <c r="ADJ104" s="643"/>
      <c r="ADK104" s="643"/>
      <c r="ADL104" s="643"/>
      <c r="ADM104" s="643"/>
      <c r="ADN104" s="643"/>
      <c r="ADO104" s="643"/>
      <c r="ADP104" s="643"/>
      <c r="ADQ104" s="643"/>
      <c r="ADR104" s="643"/>
      <c r="ADS104" s="643"/>
      <c r="ADT104" s="643"/>
      <c r="ADU104" s="643"/>
      <c r="ADV104" s="643"/>
      <c r="ADW104" s="643"/>
      <c r="ADX104" s="643"/>
      <c r="ADY104" s="643"/>
      <c r="ADZ104" s="643"/>
      <c r="AEA104" s="643"/>
      <c r="AEB104" s="643"/>
      <c r="AEC104" s="643"/>
      <c r="AED104" s="643"/>
      <c r="AEE104" s="643"/>
      <c r="AEF104" s="643"/>
      <c r="AEG104" s="643"/>
      <c r="AEH104" s="643"/>
      <c r="AEI104" s="643"/>
      <c r="AEJ104" s="643"/>
      <c r="AEK104" s="643"/>
      <c r="AEL104" s="643"/>
      <c r="AEM104" s="643"/>
      <c r="AEN104" s="643"/>
      <c r="AEO104" s="643"/>
      <c r="AEP104" s="643"/>
      <c r="AEQ104" s="643"/>
      <c r="AER104" s="643"/>
      <c r="AES104" s="643"/>
      <c r="AET104" s="643"/>
      <c r="AEU104" s="643"/>
      <c r="AEV104" s="643"/>
      <c r="AEW104" s="643"/>
      <c r="AEX104" s="643"/>
      <c r="AEY104" s="643"/>
      <c r="AEZ104" s="643"/>
      <c r="AFA104" s="643"/>
      <c r="AFB104" s="643"/>
      <c r="AFC104" s="643"/>
      <c r="AFD104" s="643"/>
      <c r="AFE104" s="643"/>
      <c r="AFF104" s="643"/>
      <c r="AFG104" s="643"/>
      <c r="AFH104" s="643"/>
      <c r="AFI104" s="643"/>
      <c r="AFJ104" s="643"/>
      <c r="AFK104" s="643"/>
      <c r="AFL104" s="643"/>
      <c r="AFM104" s="643"/>
      <c r="AFN104" s="643"/>
      <c r="AFO104" s="643"/>
      <c r="AFP104" s="643"/>
      <c r="AFQ104" s="643"/>
      <c r="AFR104" s="643"/>
      <c r="AFS104" s="643"/>
      <c r="AFT104" s="643"/>
      <c r="AFU104" s="643"/>
      <c r="AFV104" s="643"/>
      <c r="AFW104" s="643"/>
      <c r="AFX104" s="643"/>
      <c r="AFY104" s="643"/>
      <c r="AFZ104" s="643"/>
      <c r="AGA104" s="643"/>
      <c r="AGB104" s="643"/>
      <c r="AGC104" s="643"/>
      <c r="AGD104" s="643"/>
      <c r="AGE104" s="643"/>
      <c r="AGF104" s="643"/>
      <c r="AGG104" s="643"/>
      <c r="AGH104" s="643"/>
      <c r="AGI104" s="643"/>
      <c r="AGJ104" s="643"/>
      <c r="AGK104" s="643"/>
      <c r="AGL104" s="643"/>
      <c r="AGM104" s="643"/>
      <c r="AGN104" s="643"/>
      <c r="AGO104" s="643"/>
      <c r="AGP104" s="643"/>
      <c r="AGQ104" s="643"/>
      <c r="AGR104" s="643"/>
      <c r="AGS104" s="643"/>
      <c r="AGT104" s="643"/>
      <c r="AGU104" s="643"/>
      <c r="AGV104" s="643"/>
      <c r="AGW104" s="643"/>
      <c r="AGX104" s="643"/>
      <c r="AGY104" s="643"/>
      <c r="AGZ104" s="643"/>
      <c r="AHA104" s="643"/>
      <c r="AHB104" s="643"/>
      <c r="AHC104" s="643"/>
      <c r="AHD104" s="643"/>
      <c r="AHE104" s="643"/>
      <c r="AHF104" s="643"/>
      <c r="AHG104" s="643"/>
      <c r="AHH104" s="643"/>
      <c r="AHI104" s="643"/>
      <c r="AHJ104" s="643"/>
      <c r="AHK104" s="643"/>
      <c r="AHL104" s="643"/>
      <c r="AHM104" s="643"/>
      <c r="AHN104" s="643"/>
      <c r="AHO104" s="643"/>
      <c r="AHP104" s="643"/>
      <c r="AHQ104" s="643"/>
      <c r="AHR104" s="643"/>
      <c r="AHS104" s="643"/>
      <c r="AHT104" s="643"/>
      <c r="AHU104" s="643"/>
      <c r="AHV104" s="643"/>
      <c r="AHW104" s="643"/>
      <c r="AHX104" s="643"/>
      <c r="AHY104" s="643"/>
      <c r="AHZ104" s="643"/>
      <c r="AIA104" s="643"/>
      <c r="AIB104" s="643"/>
      <c r="AIC104" s="643"/>
      <c r="AID104" s="643"/>
      <c r="AIE104" s="643"/>
      <c r="AIF104" s="643"/>
      <c r="AIG104" s="643"/>
      <c r="AIH104" s="643"/>
      <c r="AII104" s="643"/>
      <c r="AIJ104" s="643"/>
      <c r="AIK104" s="643"/>
      <c r="AIL104" s="643"/>
      <c r="AIM104" s="643"/>
      <c r="AIN104" s="643"/>
      <c r="AIO104" s="643"/>
      <c r="AIP104" s="643"/>
      <c r="AIQ104" s="643"/>
      <c r="AIR104" s="643"/>
      <c r="AIS104" s="643"/>
      <c r="AIT104" s="643"/>
      <c r="AIU104" s="643"/>
      <c r="AIV104" s="643"/>
      <c r="AIW104" s="643"/>
      <c r="AIX104" s="643"/>
      <c r="AIY104" s="643"/>
      <c r="AIZ104" s="643"/>
      <c r="AJA104" s="643"/>
      <c r="AJB104" s="643"/>
      <c r="AJC104" s="643"/>
      <c r="AJD104" s="643"/>
      <c r="AJE104" s="643"/>
      <c r="AJF104" s="643"/>
      <c r="AJG104" s="643"/>
      <c r="AJH104" s="643"/>
      <c r="AJI104" s="643"/>
      <c r="AJJ104" s="643"/>
      <c r="AJK104" s="643"/>
      <c r="AJL104" s="643"/>
      <c r="AJM104" s="643"/>
      <c r="AJN104" s="643"/>
      <c r="AJO104" s="643"/>
      <c r="AJP104" s="643"/>
      <c r="AJQ104" s="643"/>
      <c r="AJR104" s="643"/>
      <c r="AJS104" s="643"/>
      <c r="AJT104" s="643"/>
      <c r="AJU104" s="643"/>
      <c r="AJV104" s="643"/>
      <c r="AJW104" s="643"/>
      <c r="AJX104" s="643"/>
      <c r="AJY104" s="643"/>
      <c r="AJZ104" s="643"/>
      <c r="AKA104" s="643"/>
      <c r="AKB104" s="643"/>
      <c r="AKC104" s="643"/>
      <c r="AKD104" s="643"/>
      <c r="AKE104" s="643"/>
      <c r="AKF104" s="643"/>
      <c r="AKG104" s="643"/>
      <c r="AKH104" s="643"/>
      <c r="AKI104" s="643"/>
      <c r="AKJ104" s="643"/>
      <c r="AKK104" s="643"/>
      <c r="AKL104" s="643"/>
      <c r="AKM104" s="643"/>
      <c r="AKN104" s="643"/>
      <c r="AKO104" s="643"/>
      <c r="AKP104" s="643"/>
      <c r="AKQ104" s="643"/>
      <c r="AKR104" s="643"/>
      <c r="AKS104" s="643"/>
      <c r="AKT104" s="643"/>
      <c r="AKU104" s="643"/>
      <c r="AKV104" s="643"/>
      <c r="AKW104" s="643"/>
      <c r="AKX104" s="643"/>
      <c r="AKY104" s="643"/>
      <c r="AKZ104" s="643"/>
      <c r="ALA104" s="643"/>
      <c r="ALB104" s="643"/>
      <c r="ALC104" s="643"/>
      <c r="ALD104" s="643"/>
      <c r="ALE104" s="643"/>
      <c r="ALF104" s="643"/>
      <c r="ALG104" s="643"/>
      <c r="ALH104" s="643"/>
      <c r="ALI104" s="643"/>
      <c r="ALJ104" s="643"/>
      <c r="ALK104" s="643"/>
      <c r="ALL104" s="643"/>
      <c r="ALM104" s="643"/>
      <c r="ALN104" s="643"/>
      <c r="ALO104" s="643"/>
      <c r="ALP104" s="643"/>
      <c r="ALQ104" s="643"/>
      <c r="ALR104" s="643"/>
      <c r="ALS104" s="643"/>
      <c r="ALT104" s="643"/>
      <c r="ALU104" s="643"/>
      <c r="ALV104" s="643"/>
      <c r="ALW104" s="643"/>
      <c r="ALX104" s="643"/>
      <c r="ALY104" s="643"/>
      <c r="ALZ104" s="643"/>
    </row>
    <row r="105" spans="1:1014" s="597" customFormat="1" ht="13.5" customHeight="1">
      <c r="A105" s="586">
        <v>87</v>
      </c>
      <c r="B105" s="587"/>
      <c r="C105" s="587" t="s">
        <v>1328</v>
      </c>
      <c r="D105" s="587" t="s">
        <v>1329</v>
      </c>
      <c r="E105" s="651"/>
      <c r="F105" s="587"/>
      <c r="G105" s="587"/>
      <c r="H105" s="586" t="s">
        <v>1330</v>
      </c>
      <c r="I105" s="590"/>
      <c r="J105" s="586" t="s">
        <v>1331</v>
      </c>
      <c r="K105" s="590" t="s">
        <v>1054</v>
      </c>
      <c r="L105" s="586" t="s">
        <v>1332</v>
      </c>
      <c r="M105" s="586" t="s">
        <v>1333</v>
      </c>
      <c r="N105" s="586"/>
      <c r="O105" s="586"/>
      <c r="P105" s="591"/>
      <c r="Q105" s="586" t="s">
        <v>820</v>
      </c>
      <c r="R105" s="586" t="s">
        <v>864</v>
      </c>
      <c r="S105" s="598" t="s">
        <v>1054</v>
      </c>
      <c r="T105" s="652"/>
      <c r="U105" s="586"/>
      <c r="V105" s="593"/>
      <c r="W105" s="593" t="s">
        <v>864</v>
      </c>
      <c r="X105" s="594"/>
      <c r="Y105" s="653"/>
      <c r="Z105" s="586"/>
      <c r="AA105" s="596"/>
      <c r="AB105" s="586"/>
      <c r="AC105" s="592">
        <v>1</v>
      </c>
      <c r="AD105" s="592">
        <v>1</v>
      </c>
    </row>
    <row r="106" spans="1:1014" s="597" customFormat="1" ht="13.5" customHeight="1">
      <c r="A106" s="586">
        <v>88</v>
      </c>
      <c r="B106" s="587"/>
      <c r="C106" s="587" t="s">
        <v>972</v>
      </c>
      <c r="D106" s="587" t="s">
        <v>1334</v>
      </c>
      <c r="E106" s="587"/>
      <c r="F106" s="587"/>
      <c r="G106" s="587"/>
      <c r="H106" s="586" t="s">
        <v>1335</v>
      </c>
      <c r="I106" s="590"/>
      <c r="J106" s="586" t="s">
        <v>974</v>
      </c>
      <c r="K106" s="590" t="s">
        <v>975</v>
      </c>
      <c r="L106" s="586"/>
      <c r="M106" s="586"/>
      <c r="N106" s="586"/>
      <c r="O106" s="586"/>
      <c r="P106" s="591"/>
      <c r="Q106" s="586" t="s">
        <v>820</v>
      </c>
      <c r="R106" s="586" t="s">
        <v>864</v>
      </c>
      <c r="S106" s="598" t="s">
        <v>975</v>
      </c>
      <c r="T106" s="592"/>
      <c r="U106" s="586"/>
      <c r="V106" s="593"/>
      <c r="W106" s="593" t="s">
        <v>864</v>
      </c>
      <c r="X106" s="594"/>
      <c r="Y106" s="595"/>
      <c r="Z106" s="586"/>
      <c r="AA106" s="596"/>
      <c r="AB106" s="586"/>
      <c r="AC106" s="592">
        <v>1</v>
      </c>
      <c r="AD106" s="592">
        <v>1</v>
      </c>
    </row>
    <row r="107" spans="1:1014" s="597" customFormat="1" ht="13.5" customHeight="1">
      <c r="A107" s="586">
        <v>89</v>
      </c>
      <c r="B107" s="587"/>
      <c r="C107" s="587" t="s">
        <v>1336</v>
      </c>
      <c r="D107" s="587"/>
      <c r="E107" s="587"/>
      <c r="F107" s="587"/>
      <c r="G107" s="587"/>
      <c r="H107" s="586" t="s">
        <v>1337</v>
      </c>
      <c r="I107" s="590"/>
      <c r="J107" s="586" t="s">
        <v>1338</v>
      </c>
      <c r="K107" s="590" t="s">
        <v>1338</v>
      </c>
      <c r="L107" s="586"/>
      <c r="M107" s="586"/>
      <c r="N107" s="586"/>
      <c r="O107" s="586"/>
      <c r="P107" s="591"/>
      <c r="Q107" s="586" t="s">
        <v>820</v>
      </c>
      <c r="R107" s="586" t="s">
        <v>864</v>
      </c>
      <c r="S107" s="598" t="s">
        <v>1338</v>
      </c>
      <c r="T107" s="592"/>
      <c r="U107" s="586"/>
      <c r="V107" s="593"/>
      <c r="W107" s="593" t="s">
        <v>864</v>
      </c>
      <c r="X107" s="594"/>
      <c r="Y107" s="595"/>
      <c r="Z107" s="586"/>
      <c r="AA107" s="596"/>
      <c r="AB107" s="586"/>
      <c r="AC107" s="592">
        <v>1</v>
      </c>
      <c r="AD107" s="592">
        <v>1</v>
      </c>
    </row>
    <row r="108" spans="1:1014" s="597" customFormat="1" ht="13.5" customHeight="1">
      <c r="A108" s="586">
        <v>90</v>
      </c>
      <c r="B108" s="587"/>
      <c r="C108" s="587"/>
      <c r="D108" s="587" t="s">
        <v>1339</v>
      </c>
      <c r="E108" s="587"/>
      <c r="F108" s="587"/>
      <c r="G108" s="587"/>
      <c r="H108" s="586" t="s">
        <v>1340</v>
      </c>
      <c r="I108" s="590" t="s">
        <v>1341</v>
      </c>
      <c r="J108" s="586" t="s">
        <v>1342</v>
      </c>
      <c r="K108" s="590"/>
      <c r="L108" s="586"/>
      <c r="M108" s="586"/>
      <c r="N108" s="586"/>
      <c r="O108" s="586"/>
      <c r="P108" s="591"/>
      <c r="Q108" s="586" t="s">
        <v>820</v>
      </c>
      <c r="R108" s="586"/>
      <c r="S108" s="586" t="s">
        <v>863</v>
      </c>
      <c r="T108" s="592"/>
      <c r="U108" s="586"/>
      <c r="V108" s="593"/>
      <c r="W108" s="593" t="s">
        <v>864</v>
      </c>
      <c r="X108" s="594"/>
      <c r="Y108" s="595"/>
      <c r="Z108" s="586" t="s">
        <v>1076</v>
      </c>
      <c r="AA108" s="596"/>
      <c r="AB108" s="586"/>
      <c r="AC108" s="592"/>
      <c r="AD108" s="592">
        <v>1</v>
      </c>
    </row>
    <row r="109" spans="1:1014" s="597" customFormat="1" ht="13.5" customHeight="1">
      <c r="A109" s="586">
        <v>91</v>
      </c>
      <c r="B109" s="587"/>
      <c r="C109" s="587"/>
      <c r="D109" s="587" t="s">
        <v>1343</v>
      </c>
      <c r="E109" s="587"/>
      <c r="F109" s="587"/>
      <c r="G109" s="587"/>
      <c r="H109" s="586" t="s">
        <v>1344</v>
      </c>
      <c r="I109" s="590" t="s">
        <v>1345</v>
      </c>
      <c r="J109" s="586" t="s">
        <v>1346</v>
      </c>
      <c r="K109" s="590"/>
      <c r="L109" s="586"/>
      <c r="M109" s="586"/>
      <c r="N109" s="586"/>
      <c r="O109" s="586"/>
      <c r="P109" s="591"/>
      <c r="Q109" s="586" t="s">
        <v>820</v>
      </c>
      <c r="R109" s="586"/>
      <c r="S109" s="586" t="s">
        <v>863</v>
      </c>
      <c r="T109" s="592"/>
      <c r="U109" s="586"/>
      <c r="V109" s="593"/>
      <c r="W109" s="593" t="s">
        <v>864</v>
      </c>
      <c r="X109" s="594"/>
      <c r="Y109" s="595"/>
      <c r="Z109" s="586" t="s">
        <v>1347</v>
      </c>
      <c r="AA109" s="596"/>
      <c r="AB109" s="586"/>
      <c r="AC109" s="592"/>
      <c r="AD109" s="592">
        <v>1</v>
      </c>
    </row>
    <row r="110" spans="1:1014" s="597" customFormat="1" ht="13.5" customHeight="1">
      <c r="A110" s="586">
        <v>92</v>
      </c>
      <c r="B110" s="587"/>
      <c r="C110" s="587"/>
      <c r="D110" s="587" t="s">
        <v>1348</v>
      </c>
      <c r="E110" s="587"/>
      <c r="F110" s="587"/>
      <c r="G110" s="587"/>
      <c r="H110" s="586" t="s">
        <v>1349</v>
      </c>
      <c r="I110" s="590" t="s">
        <v>1350</v>
      </c>
      <c r="J110" s="586" t="s">
        <v>1351</v>
      </c>
      <c r="K110" s="590" t="s">
        <v>1352</v>
      </c>
      <c r="L110" s="586"/>
      <c r="M110" s="586"/>
      <c r="N110" s="586"/>
      <c r="O110" s="586"/>
      <c r="P110" s="591"/>
      <c r="Q110" s="586" t="s">
        <v>817</v>
      </c>
      <c r="R110" s="586"/>
      <c r="S110" s="586" t="s">
        <v>863</v>
      </c>
      <c r="T110" s="592"/>
      <c r="U110" s="586"/>
      <c r="V110" s="593"/>
      <c r="W110" s="593" t="s">
        <v>864</v>
      </c>
      <c r="X110" s="594"/>
      <c r="Y110" s="595"/>
      <c r="Z110" s="586"/>
      <c r="AA110" s="596"/>
      <c r="AB110" s="586"/>
      <c r="AC110" s="592"/>
      <c r="AD110" s="592">
        <v>1</v>
      </c>
    </row>
    <row r="111" spans="1:1014" s="597" customFormat="1" ht="13.5" customHeight="1">
      <c r="A111" s="586">
        <v>93</v>
      </c>
      <c r="B111" s="587"/>
      <c r="C111" s="587"/>
      <c r="D111" s="587" t="s">
        <v>1353</v>
      </c>
      <c r="E111" s="587" t="s">
        <v>1275</v>
      </c>
      <c r="F111" s="587"/>
      <c r="G111" s="587"/>
      <c r="H111" s="586" t="s">
        <v>1354</v>
      </c>
      <c r="I111" s="613"/>
      <c r="J111" s="586" t="s">
        <v>1355</v>
      </c>
      <c r="K111" s="590" t="s">
        <v>1356</v>
      </c>
      <c r="L111" s="586"/>
      <c r="M111" s="586"/>
      <c r="N111" s="586"/>
      <c r="O111" s="586"/>
      <c r="P111" s="591"/>
      <c r="Q111" s="586" t="s">
        <v>817</v>
      </c>
      <c r="R111" s="586" t="s">
        <v>864</v>
      </c>
      <c r="S111" s="598" t="s">
        <v>1264</v>
      </c>
      <c r="T111" s="592"/>
      <c r="U111" s="586"/>
      <c r="V111" s="593"/>
      <c r="W111" s="593" t="s">
        <v>864</v>
      </c>
      <c r="X111" s="594"/>
      <c r="Y111" s="595"/>
      <c r="Z111" s="586"/>
      <c r="AA111" s="596"/>
      <c r="AB111" s="586"/>
      <c r="AC111" s="592">
        <v>1</v>
      </c>
      <c r="AD111" s="592">
        <v>1</v>
      </c>
    </row>
    <row r="112" spans="1:1014" s="597" customFormat="1" ht="13.5" customHeight="1">
      <c r="A112" s="586">
        <v>94</v>
      </c>
      <c r="B112" s="587"/>
      <c r="C112" s="587"/>
      <c r="D112" s="587" t="s">
        <v>1357</v>
      </c>
      <c r="E112" s="587"/>
      <c r="F112" s="587"/>
      <c r="G112" s="587"/>
      <c r="H112" s="586" t="s">
        <v>1358</v>
      </c>
      <c r="I112" s="590" t="s">
        <v>1359</v>
      </c>
      <c r="J112" s="586" t="s">
        <v>1360</v>
      </c>
      <c r="K112" s="590"/>
      <c r="L112" s="586" t="s">
        <v>1361</v>
      </c>
      <c r="M112" s="586" t="s">
        <v>1362</v>
      </c>
      <c r="N112" s="586"/>
      <c r="O112" s="586"/>
      <c r="P112" s="591"/>
      <c r="Q112" s="586" t="s">
        <v>817</v>
      </c>
      <c r="R112" s="586"/>
      <c r="S112" s="586" t="s">
        <v>863</v>
      </c>
      <c r="T112" s="592"/>
      <c r="U112" s="586"/>
      <c r="V112" s="593"/>
      <c r="W112" s="593" t="s">
        <v>864</v>
      </c>
      <c r="X112" s="594"/>
      <c r="Y112" s="595"/>
      <c r="Z112" s="586"/>
      <c r="AA112" s="596"/>
      <c r="AB112" s="586"/>
      <c r="AC112" s="592">
        <v>1</v>
      </c>
      <c r="AD112" s="592">
        <v>1</v>
      </c>
    </row>
    <row r="113" spans="1:30" s="597" customFormat="1" ht="13.5" customHeight="1">
      <c r="A113" s="586">
        <v>95</v>
      </c>
      <c r="B113" s="587"/>
      <c r="C113" s="587" t="s">
        <v>1363</v>
      </c>
      <c r="D113" s="587"/>
      <c r="E113" s="587"/>
      <c r="F113" s="587"/>
      <c r="G113" s="587"/>
      <c r="H113" s="586" t="s">
        <v>1364</v>
      </c>
      <c r="I113" s="590"/>
      <c r="J113" s="586" t="s">
        <v>1365</v>
      </c>
      <c r="K113" s="590" t="s">
        <v>1366</v>
      </c>
      <c r="L113" s="586"/>
      <c r="M113" s="586"/>
      <c r="N113" s="586"/>
      <c r="O113" s="586"/>
      <c r="P113" s="591"/>
      <c r="Q113" s="586" t="s">
        <v>823</v>
      </c>
      <c r="R113" s="586" t="s">
        <v>864</v>
      </c>
      <c r="S113" s="598" t="s">
        <v>1366</v>
      </c>
      <c r="T113" s="652"/>
      <c r="U113" s="586"/>
      <c r="V113" s="593"/>
      <c r="W113" s="593" t="s">
        <v>864</v>
      </c>
      <c r="X113" s="594"/>
      <c r="Y113" s="653"/>
      <c r="Z113" s="586"/>
      <c r="AA113" s="596"/>
      <c r="AB113" s="586"/>
      <c r="AC113" s="592">
        <v>1</v>
      </c>
      <c r="AD113" s="592">
        <v>1</v>
      </c>
    </row>
    <row r="114" spans="1:30" s="597" customFormat="1" ht="13.5" customHeight="1">
      <c r="A114" s="586">
        <v>96</v>
      </c>
      <c r="B114" s="587"/>
      <c r="C114" s="587"/>
      <c r="D114" s="587" t="s">
        <v>1367</v>
      </c>
      <c r="E114" s="587"/>
      <c r="F114" s="587"/>
      <c r="G114" s="587"/>
      <c r="H114" s="586" t="s">
        <v>1368</v>
      </c>
      <c r="I114" s="590" t="s">
        <v>1369</v>
      </c>
      <c r="J114" s="586" t="s">
        <v>1370</v>
      </c>
      <c r="K114" s="590" t="s">
        <v>1371</v>
      </c>
      <c r="L114" s="586"/>
      <c r="M114" s="586"/>
      <c r="N114" s="586"/>
      <c r="O114" s="586"/>
      <c r="P114" s="591"/>
      <c r="Q114" s="586" t="s">
        <v>817</v>
      </c>
      <c r="R114" s="586"/>
      <c r="S114" s="586" t="s">
        <v>863</v>
      </c>
      <c r="T114" s="592"/>
      <c r="U114" s="586"/>
      <c r="V114" s="593"/>
      <c r="W114" s="593" t="s">
        <v>864</v>
      </c>
      <c r="X114" s="594"/>
      <c r="Y114" s="595"/>
      <c r="Z114" s="586" t="s">
        <v>1015</v>
      </c>
      <c r="AA114" s="596"/>
      <c r="AB114" s="586"/>
      <c r="AC114" s="592">
        <v>1</v>
      </c>
      <c r="AD114" s="592">
        <v>1</v>
      </c>
    </row>
    <row r="115" spans="1:30" s="597" customFormat="1" ht="13.5" customHeight="1">
      <c r="A115" s="586">
        <v>97</v>
      </c>
      <c r="B115" s="587"/>
      <c r="C115" s="587"/>
      <c r="D115" s="587" t="s">
        <v>1372</v>
      </c>
      <c r="E115" s="587"/>
      <c r="F115" s="587"/>
      <c r="G115" s="587"/>
      <c r="H115" s="586" t="s">
        <v>1373</v>
      </c>
      <c r="I115" s="590" t="s">
        <v>1374</v>
      </c>
      <c r="J115" s="586" t="s">
        <v>1375</v>
      </c>
      <c r="K115" s="590"/>
      <c r="L115" s="586"/>
      <c r="M115" s="586"/>
      <c r="N115" s="586"/>
      <c r="O115" s="586"/>
      <c r="P115" s="591"/>
      <c r="Q115" s="586" t="s">
        <v>817</v>
      </c>
      <c r="R115" s="586"/>
      <c r="S115" s="586" t="s">
        <v>863</v>
      </c>
      <c r="T115" s="592"/>
      <c r="U115" s="586"/>
      <c r="V115" s="593"/>
      <c r="W115" s="593" t="s">
        <v>864</v>
      </c>
      <c r="X115" s="594"/>
      <c r="Y115" s="595"/>
      <c r="Z115" s="586"/>
      <c r="AA115" s="596"/>
      <c r="AB115" s="586"/>
      <c r="AC115" s="592">
        <v>1</v>
      </c>
      <c r="AD115" s="592">
        <v>1</v>
      </c>
    </row>
    <row r="116" spans="1:30" s="597" customFormat="1" ht="13.5" customHeight="1">
      <c r="A116" s="586">
        <v>98</v>
      </c>
      <c r="B116" s="587"/>
      <c r="C116" s="587"/>
      <c r="D116" s="587" t="s">
        <v>1376</v>
      </c>
      <c r="E116" s="587"/>
      <c r="F116" s="587"/>
      <c r="G116" s="587"/>
      <c r="H116" s="586" t="s">
        <v>1377</v>
      </c>
      <c r="I116" s="590" t="s">
        <v>1378</v>
      </c>
      <c r="J116" s="586" t="s">
        <v>1379</v>
      </c>
      <c r="K116" s="590"/>
      <c r="L116" s="586"/>
      <c r="M116" s="586"/>
      <c r="N116" s="586"/>
      <c r="O116" s="586"/>
      <c r="P116" s="591"/>
      <c r="Q116" s="586" t="s">
        <v>817</v>
      </c>
      <c r="R116" s="586"/>
      <c r="S116" s="586" t="s">
        <v>1380</v>
      </c>
      <c r="T116" s="592"/>
      <c r="U116" s="586"/>
      <c r="V116" s="593"/>
      <c r="W116" s="593" t="s">
        <v>864</v>
      </c>
      <c r="X116" s="594"/>
      <c r="Y116" s="595"/>
      <c r="Z116" s="586"/>
      <c r="AA116" s="596"/>
      <c r="AB116" s="586"/>
      <c r="AC116" s="592">
        <v>1</v>
      </c>
      <c r="AD116" s="592">
        <v>1</v>
      </c>
    </row>
    <row r="117" spans="1:30" s="597" customFormat="1" ht="13.5" customHeight="1">
      <c r="A117" s="586">
        <v>99</v>
      </c>
      <c r="B117" s="587"/>
      <c r="C117" s="587"/>
      <c r="D117" s="587" t="s">
        <v>875</v>
      </c>
      <c r="E117" s="587"/>
      <c r="F117" s="587"/>
      <c r="G117" s="587"/>
      <c r="H117" s="586" t="s">
        <v>1381</v>
      </c>
      <c r="I117" s="641" t="s">
        <v>1382</v>
      </c>
      <c r="J117" s="586" t="s">
        <v>875</v>
      </c>
      <c r="K117" s="590"/>
      <c r="L117" s="586"/>
      <c r="M117" s="586"/>
      <c r="N117" s="586"/>
      <c r="O117" s="586"/>
      <c r="P117" s="591"/>
      <c r="Q117" s="586" t="s">
        <v>820</v>
      </c>
      <c r="R117" s="586"/>
      <c r="S117" s="586" t="s">
        <v>863</v>
      </c>
      <c r="T117" s="592"/>
      <c r="U117" s="586"/>
      <c r="V117" s="593"/>
      <c r="W117" s="593" t="s">
        <v>864</v>
      </c>
      <c r="X117" s="594"/>
      <c r="Y117" s="595"/>
      <c r="Z117" s="586"/>
      <c r="AA117" s="596"/>
      <c r="AB117" s="586"/>
      <c r="AC117" s="592">
        <v>1</v>
      </c>
      <c r="AD117" s="592">
        <v>1</v>
      </c>
    </row>
    <row r="118" spans="1:30" s="597" customFormat="1" ht="13.5" customHeight="1">
      <c r="A118" s="586">
        <v>100</v>
      </c>
      <c r="B118" s="587"/>
      <c r="C118" s="587"/>
      <c r="D118" s="587" t="s">
        <v>1383</v>
      </c>
      <c r="E118" s="587"/>
      <c r="F118" s="587"/>
      <c r="G118" s="587"/>
      <c r="H118" s="586" t="s">
        <v>1384</v>
      </c>
      <c r="I118" s="590"/>
      <c r="J118" s="586" t="s">
        <v>1385</v>
      </c>
      <c r="K118" s="590"/>
      <c r="L118" s="586"/>
      <c r="M118" s="586"/>
      <c r="N118" s="586"/>
      <c r="O118" s="586"/>
      <c r="P118" s="591"/>
      <c r="Q118" s="586" t="s">
        <v>817</v>
      </c>
      <c r="R118" s="586"/>
      <c r="S118" s="586" t="s">
        <v>863</v>
      </c>
      <c r="T118" s="592"/>
      <c r="U118" s="586"/>
      <c r="V118" s="593"/>
      <c r="W118" s="593" t="s">
        <v>864</v>
      </c>
      <c r="X118" s="594"/>
      <c r="Y118" s="595"/>
      <c r="Z118" s="586"/>
      <c r="AA118" s="596"/>
      <c r="AB118" s="586"/>
      <c r="AC118" s="592">
        <v>1</v>
      </c>
      <c r="AD118" s="592">
        <v>1</v>
      </c>
    </row>
    <row r="119" spans="1:30" s="597" customFormat="1" ht="12.95" customHeight="1">
      <c r="A119" s="586">
        <v>101</v>
      </c>
      <c r="B119" s="587"/>
      <c r="C119" s="587"/>
      <c r="D119" s="587" t="s">
        <v>1386</v>
      </c>
      <c r="E119" s="587"/>
      <c r="F119" s="587"/>
      <c r="G119" s="587"/>
      <c r="H119" s="586" t="s">
        <v>1387</v>
      </c>
      <c r="I119" s="590"/>
      <c r="J119" s="586" t="s">
        <v>1388</v>
      </c>
      <c r="K119" s="590"/>
      <c r="L119" s="586"/>
      <c r="M119" s="586"/>
      <c r="N119" s="586"/>
      <c r="O119" s="586"/>
      <c r="P119" s="591"/>
      <c r="Q119" s="586" t="s">
        <v>817</v>
      </c>
      <c r="R119" s="586"/>
      <c r="S119" s="586" t="s">
        <v>863</v>
      </c>
      <c r="T119" s="592"/>
      <c r="U119" s="586"/>
      <c r="V119" s="593"/>
      <c r="W119" s="593" t="s">
        <v>864</v>
      </c>
      <c r="X119" s="594"/>
      <c r="Y119" s="595"/>
      <c r="Z119" s="586"/>
      <c r="AA119" s="596"/>
      <c r="AB119" s="586"/>
      <c r="AC119" s="592">
        <v>1</v>
      </c>
      <c r="AD119" s="592">
        <v>1</v>
      </c>
    </row>
    <row r="120" spans="1:30" s="224" customFormat="1" ht="13.5" customHeight="1">
      <c r="A120" s="225">
        <v>102</v>
      </c>
      <c r="B120" s="217" t="s">
        <v>1389</v>
      </c>
      <c r="C120" s="216"/>
      <c r="D120" s="241"/>
      <c r="E120" s="241"/>
      <c r="F120" s="241"/>
      <c r="G120" s="241"/>
      <c r="H120" s="714" t="s">
        <v>1390</v>
      </c>
      <c r="I120" s="715" t="s">
        <v>1341</v>
      </c>
      <c r="J120" s="714"/>
      <c r="K120" s="715" t="s">
        <v>1391</v>
      </c>
      <c r="L120" s="714"/>
      <c r="M120" s="714"/>
      <c r="N120" s="714"/>
      <c r="O120" s="714"/>
      <c r="P120" s="716"/>
      <c r="Q120" s="714" t="s">
        <v>820</v>
      </c>
      <c r="R120" s="714"/>
      <c r="S120" s="714" t="s">
        <v>863</v>
      </c>
      <c r="T120" s="717"/>
      <c r="U120" s="721"/>
      <c r="V120" s="718"/>
      <c r="W120" s="718" t="s">
        <v>864</v>
      </c>
      <c r="X120" s="232"/>
      <c r="Y120" s="380" t="s">
        <v>1392</v>
      </c>
      <c r="Z120" s="386" t="s">
        <v>1347</v>
      </c>
      <c r="AA120" s="720"/>
      <c r="AB120" s="714"/>
      <c r="AC120" s="717"/>
      <c r="AD120" s="717">
        <v>1</v>
      </c>
    </row>
    <row r="121" spans="1:30" s="597" customFormat="1" ht="13.5" customHeight="1">
      <c r="A121" s="586">
        <v>103</v>
      </c>
      <c r="B121" s="587" t="s">
        <v>1393</v>
      </c>
      <c r="C121" s="588"/>
      <c r="D121" s="588"/>
      <c r="E121" s="588"/>
      <c r="F121" s="588"/>
      <c r="G121" s="588"/>
      <c r="H121" s="586" t="s">
        <v>1394</v>
      </c>
      <c r="I121" s="613"/>
      <c r="J121" s="586"/>
      <c r="K121" s="590" t="s">
        <v>1395</v>
      </c>
      <c r="L121" s="586"/>
      <c r="M121" s="586"/>
      <c r="N121" s="586"/>
      <c r="O121" s="586"/>
      <c r="P121" s="591"/>
      <c r="Q121" s="586" t="s">
        <v>823</v>
      </c>
      <c r="R121" s="586" t="s">
        <v>864</v>
      </c>
      <c r="S121" s="614" t="s">
        <v>1395</v>
      </c>
      <c r="T121" s="592"/>
      <c r="U121" s="654"/>
      <c r="V121" s="593"/>
      <c r="W121" s="593" t="s">
        <v>864</v>
      </c>
      <c r="X121" s="594"/>
      <c r="Y121" s="595"/>
      <c r="Z121" s="586"/>
      <c r="AA121" s="596"/>
      <c r="AB121" s="586"/>
      <c r="AC121" s="592"/>
      <c r="AD121" s="592">
        <v>1</v>
      </c>
    </row>
    <row r="122" spans="1:30" s="597" customFormat="1" ht="13.5" customHeight="1">
      <c r="A122" s="586">
        <v>104</v>
      </c>
      <c r="B122" s="588"/>
      <c r="C122" s="587" t="s">
        <v>1304</v>
      </c>
      <c r="D122" s="587"/>
      <c r="E122" s="587"/>
      <c r="F122" s="587"/>
      <c r="G122" s="587"/>
      <c r="H122" s="586" t="s">
        <v>1396</v>
      </c>
      <c r="I122" s="613"/>
      <c r="J122" s="586"/>
      <c r="K122" s="590" t="s">
        <v>1303</v>
      </c>
      <c r="L122" s="586"/>
      <c r="M122" s="586"/>
      <c r="N122" s="586"/>
      <c r="O122" s="586"/>
      <c r="P122" s="591"/>
      <c r="Q122" s="655" t="s">
        <v>817</v>
      </c>
      <c r="R122" s="586" t="s">
        <v>864</v>
      </c>
      <c r="S122" s="614" t="s">
        <v>1303</v>
      </c>
      <c r="T122" s="592"/>
      <c r="U122" s="592"/>
      <c r="V122" s="593"/>
      <c r="W122" s="593" t="s">
        <v>864</v>
      </c>
      <c r="X122" s="594"/>
      <c r="Y122" s="656" t="s">
        <v>1397</v>
      </c>
      <c r="Z122" s="586"/>
      <c r="AA122" s="596"/>
      <c r="AB122" s="586"/>
      <c r="AC122" s="592"/>
      <c r="AD122" s="592">
        <v>1</v>
      </c>
    </row>
    <row r="123" spans="1:30" s="597" customFormat="1" ht="13.5" customHeight="1">
      <c r="A123" s="586">
        <v>105</v>
      </c>
      <c r="B123" s="588"/>
      <c r="C123" s="587" t="s">
        <v>831</v>
      </c>
      <c r="D123" s="587"/>
      <c r="E123" s="587"/>
      <c r="F123" s="587"/>
      <c r="G123" s="587"/>
      <c r="H123" s="586" t="s">
        <v>1398</v>
      </c>
      <c r="I123" s="613"/>
      <c r="J123" s="586"/>
      <c r="K123" s="590" t="s">
        <v>1218</v>
      </c>
      <c r="L123" s="586"/>
      <c r="M123" s="586"/>
      <c r="N123" s="586"/>
      <c r="O123" s="586"/>
      <c r="P123" s="591"/>
      <c r="Q123" s="586" t="s">
        <v>817</v>
      </c>
      <c r="R123" s="586"/>
      <c r="S123" s="586" t="s">
        <v>863</v>
      </c>
      <c r="T123" s="592"/>
      <c r="U123" s="654"/>
      <c r="V123" s="593"/>
      <c r="W123" s="593" t="s">
        <v>864</v>
      </c>
      <c r="X123" s="594"/>
      <c r="Y123" s="595"/>
      <c r="Z123" s="586"/>
      <c r="AA123" s="596"/>
      <c r="AB123" s="586"/>
      <c r="AC123" s="592"/>
      <c r="AD123" s="592">
        <v>1</v>
      </c>
    </row>
    <row r="124" spans="1:30" s="597" customFormat="1" ht="13.5" customHeight="1">
      <c r="A124" s="586">
        <v>106</v>
      </c>
      <c r="B124" s="587"/>
      <c r="C124" s="587" t="s">
        <v>1399</v>
      </c>
      <c r="D124" s="587"/>
      <c r="E124" s="587"/>
      <c r="F124" s="587"/>
      <c r="G124" s="587"/>
      <c r="H124" s="586" t="s">
        <v>1400</v>
      </c>
      <c r="I124" s="613" t="s">
        <v>1401</v>
      </c>
      <c r="J124" s="586"/>
      <c r="K124" s="590" t="s">
        <v>1352</v>
      </c>
      <c r="L124" s="586"/>
      <c r="M124" s="586"/>
      <c r="N124" s="586"/>
      <c r="O124" s="586"/>
      <c r="P124" s="591"/>
      <c r="Q124" s="586" t="s">
        <v>820</v>
      </c>
      <c r="R124" s="586"/>
      <c r="S124" s="586" t="s">
        <v>863</v>
      </c>
      <c r="T124" s="592"/>
      <c r="U124" s="592"/>
      <c r="V124" s="593"/>
      <c r="W124" s="593" t="s">
        <v>864</v>
      </c>
      <c r="X124" s="594"/>
      <c r="Y124" s="595"/>
      <c r="Z124" s="586"/>
      <c r="AA124" s="596"/>
      <c r="AB124" s="586"/>
      <c r="AC124" s="592"/>
      <c r="AD124" s="592">
        <v>1</v>
      </c>
    </row>
    <row r="125" spans="1:30" s="224" customFormat="1" ht="14.25" customHeight="1">
      <c r="A125" s="225">
        <v>107</v>
      </c>
      <c r="B125" s="610" t="s">
        <v>561</v>
      </c>
      <c r="C125" s="217"/>
      <c r="D125" s="217"/>
      <c r="E125" s="217"/>
      <c r="F125" s="217"/>
      <c r="G125" s="217"/>
      <c r="H125" s="714" t="s">
        <v>1402</v>
      </c>
      <c r="I125" s="722"/>
      <c r="J125" s="714"/>
      <c r="K125" s="715" t="s">
        <v>1403</v>
      </c>
      <c r="L125" s="714"/>
      <c r="M125" s="714"/>
      <c r="N125" s="714"/>
      <c r="O125" s="714"/>
      <c r="P125" s="716"/>
      <c r="Q125" s="714" t="s">
        <v>823</v>
      </c>
      <c r="R125" s="714" t="s">
        <v>864</v>
      </c>
      <c r="S125" s="379" t="s">
        <v>1403</v>
      </c>
      <c r="T125" s="717"/>
      <c r="U125" s="259"/>
      <c r="V125" s="260" t="s">
        <v>864</v>
      </c>
      <c r="W125" s="260" t="s">
        <v>864</v>
      </c>
      <c r="X125" s="232"/>
      <c r="Y125" s="719"/>
      <c r="Z125" s="714"/>
      <c r="AA125" s="245"/>
      <c r="AB125" s="714"/>
      <c r="AC125" s="717"/>
      <c r="AD125" s="717">
        <v>1</v>
      </c>
    </row>
    <row r="126" spans="1:30" s="224" customFormat="1" ht="13.5" customHeight="1">
      <c r="A126" s="225">
        <v>108</v>
      </c>
      <c r="B126" s="217"/>
      <c r="C126" s="217" t="s">
        <v>1404</v>
      </c>
      <c r="D126" s="241"/>
      <c r="E126" s="219"/>
      <c r="F126" s="241"/>
      <c r="G126" s="241"/>
      <c r="H126" s="714" t="s">
        <v>1405</v>
      </c>
      <c r="I126" s="722"/>
      <c r="J126" s="714"/>
      <c r="K126" s="715" t="s">
        <v>1218</v>
      </c>
      <c r="L126" s="714"/>
      <c r="M126" s="714"/>
      <c r="N126" s="714"/>
      <c r="O126" s="714"/>
      <c r="P126" s="716"/>
      <c r="Q126" s="714" t="s">
        <v>820</v>
      </c>
      <c r="R126" s="714"/>
      <c r="S126" s="715" t="s">
        <v>863</v>
      </c>
      <c r="T126" s="717"/>
      <c r="U126" s="717"/>
      <c r="V126" s="718"/>
      <c r="W126" s="260" t="s">
        <v>864</v>
      </c>
      <c r="X126" s="232"/>
      <c r="Y126" s="266" t="s">
        <v>1406</v>
      </c>
      <c r="Z126" s="714" t="s">
        <v>1407</v>
      </c>
      <c r="AA126" s="720"/>
      <c r="AB126" s="714"/>
      <c r="AC126" s="717"/>
      <c r="AD126" s="717">
        <v>1</v>
      </c>
    </row>
    <row r="127" spans="1:30" s="597" customFormat="1" ht="13.5" customHeight="1">
      <c r="A127" s="586">
        <v>109</v>
      </c>
      <c r="B127" s="587"/>
      <c r="C127" s="587" t="s">
        <v>1408</v>
      </c>
      <c r="D127" s="587"/>
      <c r="E127" s="587"/>
      <c r="F127" s="587"/>
      <c r="G127" s="587"/>
      <c r="H127" s="586"/>
      <c r="I127" s="613"/>
      <c r="J127" s="586"/>
      <c r="K127" s="590" t="s">
        <v>1409</v>
      </c>
      <c r="L127" s="586"/>
      <c r="M127" s="586"/>
      <c r="N127" s="586"/>
      <c r="O127" s="586"/>
      <c r="P127" s="591"/>
      <c r="Q127" s="586" t="s">
        <v>817</v>
      </c>
      <c r="R127" s="586" t="s">
        <v>864</v>
      </c>
      <c r="S127" s="598" t="s">
        <v>1409</v>
      </c>
      <c r="T127" s="592"/>
      <c r="U127" s="592"/>
      <c r="V127" s="593"/>
      <c r="W127" s="593" t="s">
        <v>864</v>
      </c>
      <c r="X127" s="594"/>
      <c r="Y127" s="595"/>
      <c r="Z127" s="586"/>
      <c r="AA127" s="596"/>
      <c r="AB127" s="586"/>
      <c r="AC127" s="592"/>
      <c r="AD127" s="592">
        <v>1</v>
      </c>
    </row>
    <row r="128" spans="1:30" s="597" customFormat="1" ht="13.5" customHeight="1">
      <c r="A128" s="586">
        <v>110</v>
      </c>
      <c r="B128" s="587"/>
      <c r="C128" s="587"/>
      <c r="D128" s="587" t="s">
        <v>1410</v>
      </c>
      <c r="E128" s="587"/>
      <c r="F128" s="587"/>
      <c r="G128" s="587"/>
      <c r="H128" s="586" t="s">
        <v>1411</v>
      </c>
      <c r="I128" s="613"/>
      <c r="J128" s="586"/>
      <c r="K128" s="590" t="s">
        <v>1412</v>
      </c>
      <c r="L128" s="586"/>
      <c r="M128" s="586"/>
      <c r="N128" s="586"/>
      <c r="O128" s="586"/>
      <c r="P128" s="591"/>
      <c r="Q128" s="586" t="s">
        <v>823</v>
      </c>
      <c r="R128" s="586" t="s">
        <v>864</v>
      </c>
      <c r="S128" s="614" t="s">
        <v>1412</v>
      </c>
      <c r="T128" s="592"/>
      <c r="U128" s="592"/>
      <c r="V128" s="593"/>
      <c r="W128" s="593" t="s">
        <v>864</v>
      </c>
      <c r="X128" s="594"/>
      <c r="Y128" s="595"/>
      <c r="Z128" s="586"/>
      <c r="AA128" s="596"/>
      <c r="AB128" s="586"/>
      <c r="AC128" s="592"/>
      <c r="AD128" s="592">
        <v>1</v>
      </c>
    </row>
    <row r="129" spans="1:30" s="597" customFormat="1" ht="13.5" customHeight="1">
      <c r="A129" s="586">
        <v>111</v>
      </c>
      <c r="B129" s="587"/>
      <c r="C129" s="587"/>
      <c r="D129" s="587"/>
      <c r="E129" s="587" t="s">
        <v>1071</v>
      </c>
      <c r="F129" s="587"/>
      <c r="G129" s="587"/>
      <c r="H129" s="586" t="s">
        <v>1072</v>
      </c>
      <c r="I129" s="613" t="s">
        <v>1413</v>
      </c>
      <c r="J129" s="586"/>
      <c r="K129" s="590" t="s">
        <v>908</v>
      </c>
      <c r="L129" s="586"/>
      <c r="M129" s="586"/>
      <c r="N129" s="586"/>
      <c r="O129" s="586"/>
      <c r="P129" s="591"/>
      <c r="Q129" s="586" t="s">
        <v>820</v>
      </c>
      <c r="R129" s="586"/>
      <c r="S129" s="586" t="s">
        <v>863</v>
      </c>
      <c r="T129" s="592"/>
      <c r="U129" s="592" t="s">
        <v>1414</v>
      </c>
      <c r="V129" s="593"/>
      <c r="W129" s="593" t="s">
        <v>864</v>
      </c>
      <c r="X129" s="594"/>
      <c r="Y129" s="595" t="s">
        <v>1075</v>
      </c>
      <c r="Z129" s="586" t="s">
        <v>1076</v>
      </c>
      <c r="AA129" s="596"/>
      <c r="AB129" s="586"/>
      <c r="AC129" s="592"/>
      <c r="AD129" s="592">
        <v>1</v>
      </c>
    </row>
    <row r="130" spans="1:30" s="597" customFormat="1" ht="13.5" customHeight="1">
      <c r="A130" s="586">
        <v>112</v>
      </c>
      <c r="B130" s="587"/>
      <c r="C130" s="587"/>
      <c r="D130" s="587"/>
      <c r="E130" s="587" t="s">
        <v>1077</v>
      </c>
      <c r="F130" s="587"/>
      <c r="G130" s="587"/>
      <c r="H130" s="586" t="s">
        <v>1078</v>
      </c>
      <c r="I130" s="613" t="s">
        <v>1359</v>
      </c>
      <c r="J130" s="586"/>
      <c r="K130" s="590" t="s">
        <v>1080</v>
      </c>
      <c r="L130" s="586"/>
      <c r="M130" s="586"/>
      <c r="N130" s="586"/>
      <c r="O130" s="586"/>
      <c r="P130" s="591"/>
      <c r="Q130" s="586" t="s">
        <v>820</v>
      </c>
      <c r="R130" s="586"/>
      <c r="S130" s="586" t="s">
        <v>863</v>
      </c>
      <c r="T130" s="592"/>
      <c r="U130" s="592"/>
      <c r="V130" s="593"/>
      <c r="W130" s="593" t="s">
        <v>864</v>
      </c>
      <c r="X130" s="594"/>
      <c r="Y130" s="595"/>
      <c r="Z130" s="586"/>
      <c r="AA130" s="596"/>
      <c r="AB130" s="586"/>
      <c r="AC130" s="592"/>
      <c r="AD130" s="592">
        <v>1</v>
      </c>
    </row>
    <row r="131" spans="1:30" s="597" customFormat="1" ht="13.5" customHeight="1">
      <c r="A131" s="586">
        <v>113</v>
      </c>
      <c r="B131" s="587"/>
      <c r="C131" s="587"/>
      <c r="D131" s="587" t="s">
        <v>1259</v>
      </c>
      <c r="E131" s="587" t="s">
        <v>1275</v>
      </c>
      <c r="F131" s="587"/>
      <c r="G131" s="587"/>
      <c r="H131" s="586" t="s">
        <v>1415</v>
      </c>
      <c r="I131" s="613"/>
      <c r="J131" s="586"/>
      <c r="K131" s="590" t="s">
        <v>1264</v>
      </c>
      <c r="L131" s="586"/>
      <c r="M131" s="586"/>
      <c r="N131" s="586"/>
      <c r="O131" s="586"/>
      <c r="P131" s="591"/>
      <c r="Q131" s="586" t="s">
        <v>823</v>
      </c>
      <c r="R131" s="586" t="s">
        <v>864</v>
      </c>
      <c r="S131" s="598" t="s">
        <v>1264</v>
      </c>
      <c r="T131" s="592"/>
      <c r="U131" s="592"/>
      <c r="V131" s="593"/>
      <c r="W131" s="593" t="s">
        <v>864</v>
      </c>
      <c r="X131" s="594"/>
      <c r="Y131" s="657" t="s">
        <v>1416</v>
      </c>
      <c r="Z131" s="655" t="s">
        <v>1417</v>
      </c>
      <c r="AA131" s="596" t="s">
        <v>1265</v>
      </c>
      <c r="AB131" s="586"/>
      <c r="AC131" s="592"/>
      <c r="AD131" s="592">
        <v>1</v>
      </c>
    </row>
    <row r="132" spans="1:30" s="597" customFormat="1" ht="13.5" customHeight="1">
      <c r="A132" s="586">
        <v>114</v>
      </c>
      <c r="B132" s="587"/>
      <c r="C132" s="587"/>
      <c r="D132" s="587" t="s">
        <v>1051</v>
      </c>
      <c r="E132" s="587"/>
      <c r="F132" s="587"/>
      <c r="G132" s="587"/>
      <c r="H132" s="586" t="s">
        <v>1418</v>
      </c>
      <c r="I132" s="613"/>
      <c r="J132" s="586"/>
      <c r="K132" s="590" t="s">
        <v>1419</v>
      </c>
      <c r="L132" s="586"/>
      <c r="M132" s="586"/>
      <c r="N132" s="586"/>
      <c r="O132" s="586"/>
      <c r="P132" s="591"/>
      <c r="Q132" s="586" t="s">
        <v>817</v>
      </c>
      <c r="R132" s="586" t="s">
        <v>864</v>
      </c>
      <c r="S132" s="614" t="s">
        <v>1419</v>
      </c>
      <c r="T132" s="592"/>
      <c r="U132" s="592"/>
      <c r="V132" s="593"/>
      <c r="W132" s="593" t="s">
        <v>864</v>
      </c>
      <c r="X132" s="594"/>
      <c r="Y132" s="595"/>
      <c r="Z132" s="586"/>
      <c r="AA132" s="596"/>
      <c r="AB132" s="586"/>
      <c r="AC132" s="592"/>
      <c r="AD132" s="592">
        <v>1</v>
      </c>
    </row>
    <row r="133" spans="1:30" s="597" customFormat="1" ht="13.5" customHeight="1">
      <c r="A133" s="586">
        <v>115</v>
      </c>
      <c r="B133" s="587"/>
      <c r="C133" s="587"/>
      <c r="D133" s="587"/>
      <c r="E133" s="587" t="s">
        <v>1081</v>
      </c>
      <c r="F133" s="587" t="s">
        <v>1420</v>
      </c>
      <c r="G133" s="587"/>
      <c r="H133" s="586"/>
      <c r="I133" s="613"/>
      <c r="J133" s="586"/>
      <c r="K133" s="590" t="s">
        <v>1082</v>
      </c>
      <c r="L133" s="586"/>
      <c r="M133" s="586"/>
      <c r="N133" s="586"/>
      <c r="O133" s="586"/>
      <c r="P133" s="591"/>
      <c r="Q133" s="586" t="s">
        <v>817</v>
      </c>
      <c r="R133" s="586" t="s">
        <v>864</v>
      </c>
      <c r="S133" s="598" t="s">
        <v>1082</v>
      </c>
      <c r="T133" s="592"/>
      <c r="U133" s="592"/>
      <c r="V133" s="593"/>
      <c r="W133" s="593" t="s">
        <v>864</v>
      </c>
      <c r="X133" s="594"/>
      <c r="Y133" s="595"/>
      <c r="Z133" s="586"/>
      <c r="AA133" s="596"/>
      <c r="AB133" s="586"/>
      <c r="AC133" s="592"/>
      <c r="AD133" s="592">
        <v>1</v>
      </c>
    </row>
    <row r="134" spans="1:30" s="597" customFormat="1" ht="13.5" customHeight="1">
      <c r="A134" s="586">
        <v>116</v>
      </c>
      <c r="B134" s="587"/>
      <c r="C134" s="587"/>
      <c r="D134" s="587"/>
      <c r="E134" s="587" t="s">
        <v>1106</v>
      </c>
      <c r="F134" s="587" t="s">
        <v>1421</v>
      </c>
      <c r="G134" s="587"/>
      <c r="H134" s="586"/>
      <c r="I134" s="613"/>
      <c r="J134" s="586"/>
      <c r="K134" s="590" t="s">
        <v>1107</v>
      </c>
      <c r="L134" s="586"/>
      <c r="M134" s="586"/>
      <c r="N134" s="586"/>
      <c r="O134" s="586"/>
      <c r="P134" s="591"/>
      <c r="Q134" s="586" t="s">
        <v>817</v>
      </c>
      <c r="R134" s="586" t="s">
        <v>864</v>
      </c>
      <c r="S134" s="598" t="s">
        <v>1107</v>
      </c>
      <c r="T134" s="592"/>
      <c r="U134" s="592"/>
      <c r="V134" s="593"/>
      <c r="W134" s="593" t="s">
        <v>864</v>
      </c>
      <c r="X134" s="594"/>
      <c r="Y134" s="595"/>
      <c r="Z134" s="586"/>
      <c r="AA134" s="596"/>
      <c r="AB134" s="586"/>
      <c r="AC134" s="592"/>
      <c r="AD134" s="592">
        <v>1</v>
      </c>
    </row>
    <row r="135" spans="1:30" s="597" customFormat="1" ht="13.5" customHeight="1">
      <c r="A135" s="586">
        <v>117</v>
      </c>
      <c r="B135" s="587"/>
      <c r="C135" s="587"/>
      <c r="D135" s="587" t="s">
        <v>1422</v>
      </c>
      <c r="E135" s="587"/>
      <c r="F135" s="587"/>
      <c r="G135" s="587"/>
      <c r="H135" s="586"/>
      <c r="I135" s="613"/>
      <c r="J135" s="586"/>
      <c r="K135" s="590" t="s">
        <v>1423</v>
      </c>
      <c r="L135" s="586"/>
      <c r="M135" s="586"/>
      <c r="N135" s="586"/>
      <c r="O135" s="586"/>
      <c r="P135" s="591"/>
      <c r="Q135" s="586" t="s">
        <v>817</v>
      </c>
      <c r="R135" s="586" t="s">
        <v>864</v>
      </c>
      <c r="S135" s="614" t="s">
        <v>1423</v>
      </c>
      <c r="T135" s="592"/>
      <c r="U135" s="592"/>
      <c r="V135" s="593"/>
      <c r="W135" s="593" t="s">
        <v>864</v>
      </c>
      <c r="X135" s="594"/>
      <c r="Y135" s="595"/>
      <c r="Z135" s="595" t="s">
        <v>1424</v>
      </c>
      <c r="AA135" s="596"/>
      <c r="AB135" s="586"/>
      <c r="AC135" s="592"/>
      <c r="AD135" s="592">
        <v>1</v>
      </c>
    </row>
    <row r="136" spans="1:30" s="597" customFormat="1" ht="13.5" customHeight="1">
      <c r="A136" s="586">
        <v>118</v>
      </c>
      <c r="B136" s="587"/>
      <c r="C136" s="587"/>
      <c r="D136" s="587"/>
      <c r="E136" s="587" t="s">
        <v>1304</v>
      </c>
      <c r="F136" s="587"/>
      <c r="G136" s="587"/>
      <c r="H136" s="586" t="s">
        <v>1425</v>
      </c>
      <c r="I136" s="613"/>
      <c r="J136" s="586"/>
      <c r="K136" s="590" t="s">
        <v>1303</v>
      </c>
      <c r="L136" s="586"/>
      <c r="M136" s="586"/>
      <c r="N136" s="586"/>
      <c r="O136" s="586"/>
      <c r="P136" s="591"/>
      <c r="Q136" s="586" t="s">
        <v>820</v>
      </c>
      <c r="R136" s="586" t="s">
        <v>864</v>
      </c>
      <c r="S136" s="598" t="s">
        <v>1303</v>
      </c>
      <c r="T136" s="592"/>
      <c r="U136" s="592"/>
      <c r="V136" s="593"/>
      <c r="W136" s="593" t="s">
        <v>864</v>
      </c>
      <c r="X136" s="594"/>
      <c r="Y136" s="595"/>
      <c r="Z136" s="586"/>
      <c r="AA136" s="596"/>
      <c r="AB136" s="586"/>
      <c r="AC136" s="592"/>
      <c r="AD136" s="592">
        <v>1</v>
      </c>
    </row>
    <row r="137" spans="1:30" s="597" customFormat="1" ht="13.5" customHeight="1">
      <c r="A137" s="586">
        <v>119</v>
      </c>
      <c r="B137" s="587"/>
      <c r="C137" s="587"/>
      <c r="D137" s="587"/>
      <c r="E137" s="587" t="s">
        <v>1426</v>
      </c>
      <c r="F137" s="587"/>
      <c r="G137" s="587"/>
      <c r="H137" s="586" t="s">
        <v>1427</v>
      </c>
      <c r="I137" s="613">
        <v>10000668540</v>
      </c>
      <c r="J137" s="586"/>
      <c r="K137" s="590" t="s">
        <v>1218</v>
      </c>
      <c r="L137" s="586"/>
      <c r="M137" s="586"/>
      <c r="N137" s="586"/>
      <c r="O137" s="586"/>
      <c r="P137" s="591"/>
      <c r="Q137" s="586" t="s">
        <v>817</v>
      </c>
      <c r="R137" s="586"/>
      <c r="S137" s="586" t="s">
        <v>863</v>
      </c>
      <c r="T137" s="592"/>
      <c r="U137" s="592"/>
      <c r="V137" s="593"/>
      <c r="W137" s="593" t="s">
        <v>864</v>
      </c>
      <c r="X137" s="594"/>
      <c r="Y137" s="595" t="s">
        <v>1428</v>
      </c>
      <c r="Z137" s="586" t="s">
        <v>1429</v>
      </c>
      <c r="AA137" s="596"/>
      <c r="AB137" s="586"/>
      <c r="AC137" s="592"/>
      <c r="AD137" s="592">
        <v>1</v>
      </c>
    </row>
    <row r="138" spans="1:30" s="597" customFormat="1" ht="13.5" customHeight="1">
      <c r="A138" s="586">
        <v>120</v>
      </c>
      <c r="B138" s="587"/>
      <c r="C138" s="587"/>
      <c r="D138" s="587"/>
      <c r="E138" s="587" t="s">
        <v>1430</v>
      </c>
      <c r="F138" s="587" t="s">
        <v>1431</v>
      </c>
      <c r="G138" s="587"/>
      <c r="H138" s="586"/>
      <c r="I138" s="613"/>
      <c r="J138" s="586"/>
      <c r="K138" s="590" t="s">
        <v>1419</v>
      </c>
      <c r="L138" s="586"/>
      <c r="M138" s="586"/>
      <c r="N138" s="586"/>
      <c r="O138" s="586"/>
      <c r="P138" s="591"/>
      <c r="Q138" s="586" t="s">
        <v>817</v>
      </c>
      <c r="R138" s="586" t="s">
        <v>864</v>
      </c>
      <c r="S138" s="614" t="s">
        <v>1419</v>
      </c>
      <c r="T138" s="592"/>
      <c r="U138" s="592"/>
      <c r="V138" s="593"/>
      <c r="W138" s="593" t="s">
        <v>864</v>
      </c>
      <c r="X138" s="594"/>
      <c r="Y138" s="595"/>
      <c r="Z138" s="586"/>
      <c r="AA138" s="596"/>
      <c r="AB138" s="586"/>
      <c r="AC138" s="592"/>
      <c r="AD138" s="592">
        <v>1</v>
      </c>
    </row>
    <row r="139" spans="1:30" s="597" customFormat="1" ht="13.5" customHeight="1">
      <c r="A139" s="586">
        <v>121</v>
      </c>
      <c r="B139" s="587"/>
      <c r="C139" s="587"/>
      <c r="D139" s="587"/>
      <c r="E139" s="587" t="s">
        <v>1432</v>
      </c>
      <c r="F139" s="587" t="s">
        <v>1275</v>
      </c>
      <c r="G139" s="587"/>
      <c r="H139" s="586" t="s">
        <v>1415</v>
      </c>
      <c r="I139" s="613"/>
      <c r="J139" s="586"/>
      <c r="K139" s="590" t="s">
        <v>1264</v>
      </c>
      <c r="L139" s="586"/>
      <c r="M139" s="586"/>
      <c r="N139" s="586"/>
      <c r="O139" s="586"/>
      <c r="P139" s="591"/>
      <c r="Q139" s="586" t="s">
        <v>823</v>
      </c>
      <c r="R139" s="586" t="s">
        <v>864</v>
      </c>
      <c r="S139" s="598" t="s">
        <v>1264</v>
      </c>
      <c r="T139" s="592"/>
      <c r="U139" s="654"/>
      <c r="V139" s="593"/>
      <c r="W139" s="593" t="s">
        <v>864</v>
      </c>
      <c r="X139" s="594"/>
      <c r="Y139" s="595"/>
      <c r="Z139" s="586"/>
      <c r="AA139" s="596" t="s">
        <v>1265</v>
      </c>
      <c r="AB139" s="586"/>
      <c r="AC139" s="592"/>
      <c r="AD139" s="592">
        <v>1</v>
      </c>
    </row>
    <row r="140" spans="1:30" s="597" customFormat="1" ht="13.5" customHeight="1">
      <c r="A140" s="586">
        <v>122</v>
      </c>
      <c r="B140" s="587"/>
      <c r="C140" s="587" t="s">
        <v>1433</v>
      </c>
      <c r="D140" s="587"/>
      <c r="E140" s="587"/>
      <c r="F140" s="587"/>
      <c r="G140" s="587"/>
      <c r="H140" s="586" t="s">
        <v>1434</v>
      </c>
      <c r="I140" s="613"/>
      <c r="J140" s="586"/>
      <c r="K140" s="590" t="s">
        <v>1435</v>
      </c>
      <c r="L140" s="586"/>
      <c r="M140" s="586"/>
      <c r="N140" s="586"/>
      <c r="O140" s="586"/>
      <c r="P140" s="591"/>
      <c r="Q140" s="586" t="s">
        <v>817</v>
      </c>
      <c r="R140" s="586" t="s">
        <v>864</v>
      </c>
      <c r="S140" s="598" t="s">
        <v>1436</v>
      </c>
      <c r="T140" s="592"/>
      <c r="U140" s="592"/>
      <c r="V140" s="593"/>
      <c r="W140" s="593" t="s">
        <v>864</v>
      </c>
      <c r="X140" s="594"/>
      <c r="Y140" s="595"/>
      <c r="Z140" s="586"/>
      <c r="AA140" s="596"/>
      <c r="AB140" s="586"/>
      <c r="AC140" s="592"/>
      <c r="AD140" s="592">
        <v>1</v>
      </c>
    </row>
    <row r="141" spans="1:30" s="597" customFormat="1" ht="13.5" customHeight="1">
      <c r="A141" s="586">
        <v>123</v>
      </c>
      <c r="B141" s="587"/>
      <c r="C141" s="587"/>
      <c r="D141" s="587" t="s">
        <v>1437</v>
      </c>
      <c r="E141" s="587"/>
      <c r="F141" s="587"/>
      <c r="G141" s="587"/>
      <c r="H141" s="586" t="s">
        <v>1438</v>
      </c>
      <c r="I141" s="613"/>
      <c r="J141" s="586"/>
      <c r="K141" s="590" t="s">
        <v>1439</v>
      </c>
      <c r="L141" s="586"/>
      <c r="M141" s="586"/>
      <c r="N141" s="586"/>
      <c r="O141" s="586"/>
      <c r="P141" s="591"/>
      <c r="Q141" s="586" t="s">
        <v>817</v>
      </c>
      <c r="R141" s="586" t="s">
        <v>864</v>
      </c>
      <c r="S141" s="598" t="s">
        <v>1440</v>
      </c>
      <c r="T141" s="592"/>
      <c r="U141" s="654"/>
      <c r="V141" s="593"/>
      <c r="W141" s="593" t="s">
        <v>864</v>
      </c>
      <c r="X141" s="594"/>
      <c r="Y141" s="595"/>
      <c r="Z141" s="586"/>
      <c r="AA141" s="596"/>
      <c r="AB141" s="586"/>
      <c r="AC141" s="592"/>
      <c r="AD141" s="592">
        <v>1</v>
      </c>
    </row>
    <row r="142" spans="1:30" s="597" customFormat="1" ht="13.5" customHeight="1">
      <c r="A142" s="586">
        <v>124</v>
      </c>
      <c r="B142" s="587"/>
      <c r="C142" s="587"/>
      <c r="D142" s="587"/>
      <c r="E142" s="587" t="s">
        <v>1441</v>
      </c>
      <c r="F142" s="587"/>
      <c r="G142" s="587"/>
      <c r="H142" s="586" t="s">
        <v>1438</v>
      </c>
      <c r="I142" s="613"/>
      <c r="J142" s="586"/>
      <c r="K142" s="590" t="s">
        <v>888</v>
      </c>
      <c r="L142" s="586"/>
      <c r="M142" s="586"/>
      <c r="N142" s="586"/>
      <c r="O142" s="586"/>
      <c r="P142" s="591"/>
      <c r="Q142" s="586" t="s">
        <v>817</v>
      </c>
      <c r="R142" s="586"/>
      <c r="S142" s="586" t="s">
        <v>863</v>
      </c>
      <c r="T142" s="592"/>
      <c r="U142" s="596" t="s">
        <v>1442</v>
      </c>
      <c r="V142" s="593"/>
      <c r="W142" s="593" t="s">
        <v>864</v>
      </c>
      <c r="X142" s="594"/>
      <c r="Y142" s="595" t="s">
        <v>1443</v>
      </c>
      <c r="Z142" s="586" t="s">
        <v>1444</v>
      </c>
      <c r="AA142" s="596"/>
      <c r="AB142" s="586"/>
      <c r="AC142" s="592"/>
      <c r="AD142" s="592">
        <v>1</v>
      </c>
    </row>
    <row r="143" spans="1:30" s="597" customFormat="1" ht="13.5" customHeight="1">
      <c r="A143" s="586">
        <v>125</v>
      </c>
      <c r="B143" s="587"/>
      <c r="C143" s="587"/>
      <c r="D143" s="587"/>
      <c r="E143" s="587" t="s">
        <v>1445</v>
      </c>
      <c r="F143" s="587"/>
      <c r="G143" s="587"/>
      <c r="H143" s="586" t="s">
        <v>1446</v>
      </c>
      <c r="I143" s="613"/>
      <c r="J143" s="586"/>
      <c r="K143" s="590" t="s">
        <v>1447</v>
      </c>
      <c r="L143" s="586"/>
      <c r="M143" s="586"/>
      <c r="N143" s="586"/>
      <c r="O143" s="586"/>
      <c r="P143" s="591"/>
      <c r="Q143" s="586" t="s">
        <v>817</v>
      </c>
      <c r="R143" s="586"/>
      <c r="S143" s="586" t="s">
        <v>863</v>
      </c>
      <c r="T143" s="592"/>
      <c r="U143" s="596" t="s">
        <v>1448</v>
      </c>
      <c r="V143" s="593"/>
      <c r="W143" s="593" t="s">
        <v>864</v>
      </c>
      <c r="X143" s="594"/>
      <c r="Y143" s="595" t="s">
        <v>1449</v>
      </c>
      <c r="Z143" s="586"/>
      <c r="AA143" s="596"/>
      <c r="AB143" s="586"/>
      <c r="AC143" s="592"/>
      <c r="AD143" s="592">
        <v>1</v>
      </c>
    </row>
    <row r="144" spans="1:30" s="597" customFormat="1" ht="13.5" customHeight="1">
      <c r="A144" s="586">
        <v>126</v>
      </c>
      <c r="B144" s="587"/>
      <c r="C144" s="587"/>
      <c r="D144" s="587" t="s">
        <v>1450</v>
      </c>
      <c r="E144" s="587"/>
      <c r="F144" s="587"/>
      <c r="G144" s="587"/>
      <c r="H144" s="586" t="s">
        <v>1451</v>
      </c>
      <c r="I144" s="613"/>
      <c r="J144" s="586"/>
      <c r="K144" s="590" t="s">
        <v>1092</v>
      </c>
      <c r="L144" s="586"/>
      <c r="M144" s="586"/>
      <c r="N144" s="586"/>
      <c r="O144" s="586"/>
      <c r="P144" s="591"/>
      <c r="Q144" s="586" t="s">
        <v>817</v>
      </c>
      <c r="R144" s="586" t="s">
        <v>864</v>
      </c>
      <c r="S144" s="614" t="s">
        <v>1452</v>
      </c>
      <c r="T144" s="592"/>
      <c r="U144" s="592"/>
      <c r="V144" s="593"/>
      <c r="W144" s="593" t="s">
        <v>864</v>
      </c>
      <c r="X144" s="594"/>
      <c r="Y144" s="595"/>
      <c r="Z144" s="586"/>
      <c r="AA144" s="596"/>
      <c r="AB144" s="586"/>
      <c r="AC144" s="592"/>
      <c r="AD144" s="592">
        <v>1</v>
      </c>
    </row>
    <row r="145" spans="1:30" s="597" customFormat="1" ht="13.5" customHeight="1">
      <c r="A145" s="586">
        <v>127</v>
      </c>
      <c r="B145" s="587"/>
      <c r="C145" s="587"/>
      <c r="D145" s="587"/>
      <c r="E145" s="587" t="s">
        <v>1453</v>
      </c>
      <c r="F145" s="587"/>
      <c r="G145" s="587"/>
      <c r="H145" s="586" t="s">
        <v>1451</v>
      </c>
      <c r="I145" s="613" t="s">
        <v>1454</v>
      </c>
      <c r="J145" s="586"/>
      <c r="K145" s="590" t="s">
        <v>1080</v>
      </c>
      <c r="L145" s="586"/>
      <c r="M145" s="586"/>
      <c r="N145" s="586"/>
      <c r="O145" s="586"/>
      <c r="P145" s="591"/>
      <c r="Q145" s="586" t="s">
        <v>817</v>
      </c>
      <c r="R145" s="586"/>
      <c r="S145" s="586" t="s">
        <v>863</v>
      </c>
      <c r="T145" s="592"/>
      <c r="U145" s="592"/>
      <c r="V145" s="593"/>
      <c r="W145" s="593" t="s">
        <v>864</v>
      </c>
      <c r="X145" s="594"/>
      <c r="Y145" s="595" t="s">
        <v>1455</v>
      </c>
      <c r="Z145" s="586"/>
      <c r="AA145" s="596"/>
      <c r="AB145" s="586"/>
      <c r="AC145" s="592"/>
      <c r="AD145" s="592">
        <v>1</v>
      </c>
    </row>
    <row r="146" spans="1:30" s="597" customFormat="1" ht="13.5" customHeight="1">
      <c r="A146" s="586">
        <v>128</v>
      </c>
      <c r="B146" s="587"/>
      <c r="C146" s="587"/>
      <c r="D146" s="587"/>
      <c r="E146" s="587" t="s">
        <v>1456</v>
      </c>
      <c r="F146" s="587"/>
      <c r="G146" s="587"/>
      <c r="H146" s="586" t="s">
        <v>1457</v>
      </c>
      <c r="I146" s="613" t="s">
        <v>1458</v>
      </c>
      <c r="J146" s="586"/>
      <c r="K146" s="590" t="s">
        <v>1459</v>
      </c>
      <c r="L146" s="586"/>
      <c r="M146" s="586"/>
      <c r="N146" s="586"/>
      <c r="O146" s="586"/>
      <c r="P146" s="591"/>
      <c r="Q146" s="586" t="s">
        <v>817</v>
      </c>
      <c r="R146" s="586"/>
      <c r="S146" s="586" t="s">
        <v>863</v>
      </c>
      <c r="T146" s="592"/>
      <c r="U146" s="592"/>
      <c r="V146" s="593"/>
      <c r="W146" s="593" t="s">
        <v>864</v>
      </c>
      <c r="X146" s="594"/>
      <c r="Y146" s="595" t="s">
        <v>1460</v>
      </c>
      <c r="Z146" s="586"/>
      <c r="AA146" s="596"/>
      <c r="AB146" s="586"/>
      <c r="AC146" s="592"/>
      <c r="AD146" s="592">
        <v>1</v>
      </c>
    </row>
    <row r="147" spans="1:30" s="597" customFormat="1" ht="13.5" customHeight="1">
      <c r="A147" s="586">
        <v>129</v>
      </c>
      <c r="B147" s="587"/>
      <c r="C147" s="587"/>
      <c r="D147" s="587" t="s">
        <v>1461</v>
      </c>
      <c r="E147" s="587"/>
      <c r="F147" s="587"/>
      <c r="G147" s="587"/>
      <c r="H147" s="586" t="s">
        <v>1462</v>
      </c>
      <c r="I147" s="613"/>
      <c r="J147" s="586"/>
      <c r="K147" s="590" t="s">
        <v>1463</v>
      </c>
      <c r="L147" s="586"/>
      <c r="M147" s="586"/>
      <c r="N147" s="586"/>
      <c r="O147" s="586"/>
      <c r="P147" s="591"/>
      <c r="Q147" s="586" t="s">
        <v>817</v>
      </c>
      <c r="R147" s="586" t="s">
        <v>864</v>
      </c>
      <c r="S147" s="598" t="s">
        <v>1464</v>
      </c>
      <c r="T147" s="592"/>
      <c r="U147" s="654"/>
      <c r="V147" s="593"/>
      <c r="W147" s="593" t="s">
        <v>864</v>
      </c>
      <c r="X147" s="594"/>
      <c r="Y147" s="595"/>
      <c r="Z147" s="586"/>
      <c r="AA147" s="596"/>
      <c r="AB147" s="586"/>
      <c r="AC147" s="592"/>
      <c r="AD147" s="592">
        <v>1</v>
      </c>
    </row>
    <row r="148" spans="1:30" s="597" customFormat="1" ht="13.5" customHeight="1">
      <c r="A148" s="586">
        <v>130</v>
      </c>
      <c r="B148" s="587"/>
      <c r="C148" s="587"/>
      <c r="D148" s="587"/>
      <c r="E148" s="587" t="s">
        <v>1465</v>
      </c>
      <c r="F148" s="587"/>
      <c r="G148" s="587"/>
      <c r="H148" s="586" t="s">
        <v>1466</v>
      </c>
      <c r="I148" s="613" t="s">
        <v>1134</v>
      </c>
      <c r="J148" s="586"/>
      <c r="K148" s="590" t="s">
        <v>1467</v>
      </c>
      <c r="L148" s="586"/>
      <c r="M148" s="586"/>
      <c r="N148" s="586"/>
      <c r="O148" s="586"/>
      <c r="P148" s="591"/>
      <c r="Q148" s="586" t="s">
        <v>817</v>
      </c>
      <c r="R148" s="586"/>
      <c r="S148" s="586" t="s">
        <v>863</v>
      </c>
      <c r="T148" s="592"/>
      <c r="U148" s="592"/>
      <c r="V148" s="593"/>
      <c r="W148" s="593" t="s">
        <v>864</v>
      </c>
      <c r="X148" s="594"/>
      <c r="Y148" s="595"/>
      <c r="Z148" s="586"/>
      <c r="AA148" s="596"/>
      <c r="AB148" s="586"/>
      <c r="AC148" s="592"/>
      <c r="AD148" s="592">
        <v>1</v>
      </c>
    </row>
    <row r="149" spans="1:30" s="597" customFormat="1" ht="13.5" customHeight="1">
      <c r="A149" s="586">
        <v>131</v>
      </c>
      <c r="B149" s="587"/>
      <c r="C149" s="587"/>
      <c r="D149" s="587"/>
      <c r="E149" s="587" t="s">
        <v>1468</v>
      </c>
      <c r="F149" s="587"/>
      <c r="G149" s="587"/>
      <c r="H149" s="586" t="s">
        <v>1469</v>
      </c>
      <c r="I149" s="613"/>
      <c r="J149" s="586"/>
      <c r="K149" s="590" t="s">
        <v>1470</v>
      </c>
      <c r="L149" s="586"/>
      <c r="M149" s="586"/>
      <c r="N149" s="586"/>
      <c r="O149" s="586"/>
      <c r="P149" s="591"/>
      <c r="Q149" s="586" t="s">
        <v>817</v>
      </c>
      <c r="R149" s="586"/>
      <c r="S149" s="586" t="s">
        <v>863</v>
      </c>
      <c r="T149" s="592"/>
      <c r="U149" s="592"/>
      <c r="V149" s="593"/>
      <c r="W149" s="593" t="s">
        <v>864</v>
      </c>
      <c r="X149" s="594"/>
      <c r="Y149" s="595"/>
      <c r="Z149" s="586"/>
      <c r="AA149" s="596"/>
      <c r="AB149" s="586"/>
      <c r="AC149" s="592"/>
      <c r="AD149" s="592">
        <v>1</v>
      </c>
    </row>
    <row r="150" spans="1:30" s="597" customFormat="1" ht="13.5" customHeight="1">
      <c r="A150" s="586">
        <v>132</v>
      </c>
      <c r="B150" s="587"/>
      <c r="C150" s="587"/>
      <c r="D150" s="587"/>
      <c r="E150" s="587" t="s">
        <v>1471</v>
      </c>
      <c r="F150" s="587"/>
      <c r="G150" s="587"/>
      <c r="H150" s="586" t="s">
        <v>1472</v>
      </c>
      <c r="I150" s="613"/>
      <c r="J150" s="586"/>
      <c r="K150" s="590" t="s">
        <v>1473</v>
      </c>
      <c r="L150" s="586"/>
      <c r="M150" s="586"/>
      <c r="N150" s="586"/>
      <c r="O150" s="586"/>
      <c r="P150" s="591"/>
      <c r="Q150" s="586" t="s">
        <v>817</v>
      </c>
      <c r="R150" s="586"/>
      <c r="S150" s="586" t="s">
        <v>863</v>
      </c>
      <c r="T150" s="592"/>
      <c r="U150" s="592"/>
      <c r="V150" s="593"/>
      <c r="W150" s="593" t="s">
        <v>864</v>
      </c>
      <c r="X150" s="594"/>
      <c r="Y150" s="595"/>
      <c r="Z150" s="586"/>
      <c r="AA150" s="596"/>
      <c r="AB150" s="586"/>
      <c r="AC150" s="592"/>
      <c r="AD150" s="592">
        <v>1</v>
      </c>
    </row>
    <row r="151" spans="1:30" s="597" customFormat="1" ht="13.5" customHeight="1">
      <c r="A151" s="586">
        <v>135</v>
      </c>
      <c r="B151" s="587"/>
      <c r="C151" s="587"/>
      <c r="D151" s="587"/>
      <c r="E151" s="587" t="s">
        <v>1474</v>
      </c>
      <c r="F151" s="587"/>
      <c r="G151" s="587"/>
      <c r="H151" s="586" t="s">
        <v>1475</v>
      </c>
      <c r="I151" s="613"/>
      <c r="J151" s="586"/>
      <c r="K151" s="590" t="s">
        <v>1476</v>
      </c>
      <c r="L151" s="586"/>
      <c r="M151" s="586"/>
      <c r="N151" s="586"/>
      <c r="O151" s="586"/>
      <c r="P151" s="591"/>
      <c r="Q151" s="586" t="s">
        <v>817</v>
      </c>
      <c r="R151" s="586"/>
      <c r="S151" s="586" t="s">
        <v>1092</v>
      </c>
      <c r="T151" s="592"/>
      <c r="U151" s="654"/>
      <c r="V151" s="593"/>
      <c r="W151" s="593" t="s">
        <v>864</v>
      </c>
      <c r="X151" s="594"/>
      <c r="Y151" s="595" t="s">
        <v>1477</v>
      </c>
      <c r="Z151" s="586" t="s">
        <v>1478</v>
      </c>
      <c r="AA151" s="596"/>
      <c r="AB151" s="586"/>
      <c r="AC151" s="592"/>
      <c r="AD151" s="592">
        <v>1</v>
      </c>
    </row>
    <row r="152" spans="1:30" s="626" customFormat="1" ht="13.5" customHeight="1">
      <c r="A152" s="618">
        <v>133</v>
      </c>
      <c r="B152" s="577"/>
      <c r="C152" s="577" t="s">
        <v>1479</v>
      </c>
      <c r="D152" s="577"/>
      <c r="E152" s="577"/>
      <c r="F152" s="577"/>
      <c r="G152" s="577"/>
      <c r="H152" s="618" t="s">
        <v>1480</v>
      </c>
      <c r="I152" s="660"/>
      <c r="J152" s="618"/>
      <c r="K152" s="619" t="s">
        <v>1481</v>
      </c>
      <c r="L152" s="618"/>
      <c r="M152" s="618"/>
      <c r="N152" s="618"/>
      <c r="O152" s="618"/>
      <c r="P152" s="661"/>
      <c r="Q152" s="618" t="s">
        <v>817</v>
      </c>
      <c r="R152" s="618"/>
      <c r="S152" s="618" t="s">
        <v>1482</v>
      </c>
      <c r="T152" s="621"/>
      <c r="U152" s="662"/>
      <c r="V152" s="622" t="s">
        <v>864</v>
      </c>
      <c r="W152" s="622" t="s">
        <v>864</v>
      </c>
      <c r="X152" s="623"/>
      <c r="Y152" s="624"/>
      <c r="Z152" s="618"/>
      <c r="AA152" s="625"/>
      <c r="AB152" s="618"/>
      <c r="AC152" s="621"/>
      <c r="AD152" s="621">
        <v>1</v>
      </c>
    </row>
    <row r="153" spans="1:30" s="626" customFormat="1" ht="13.5" customHeight="1">
      <c r="A153" s="618">
        <v>134</v>
      </c>
      <c r="B153" s="577"/>
      <c r="C153" s="577" t="s">
        <v>1483</v>
      </c>
      <c r="D153" s="577"/>
      <c r="E153" s="577"/>
      <c r="F153" s="577"/>
      <c r="G153" s="577"/>
      <c r="H153" s="618" t="s">
        <v>1484</v>
      </c>
      <c r="I153" s="660" t="s">
        <v>698</v>
      </c>
      <c r="J153" s="618"/>
      <c r="K153" s="619" t="s">
        <v>1485</v>
      </c>
      <c r="L153" s="618"/>
      <c r="M153" s="618"/>
      <c r="N153" s="618"/>
      <c r="O153" s="618"/>
      <c r="P153" s="661"/>
      <c r="Q153" s="618" t="s">
        <v>817</v>
      </c>
      <c r="R153" s="618"/>
      <c r="S153" s="618" t="s">
        <v>863</v>
      </c>
      <c r="T153" s="621"/>
      <c r="U153" s="621"/>
      <c r="V153" s="622" t="s">
        <v>864</v>
      </c>
      <c r="W153" s="622" t="s">
        <v>864</v>
      </c>
      <c r="X153" s="623"/>
      <c r="Y153" s="624" t="s">
        <v>1486</v>
      </c>
      <c r="Z153" s="618"/>
      <c r="AA153" s="625"/>
      <c r="AB153" s="618"/>
      <c r="AC153" s="621"/>
      <c r="AD153" s="621">
        <v>1</v>
      </c>
    </row>
    <row r="154" spans="1:30" s="626" customFormat="1" ht="13.5" customHeight="1">
      <c r="A154" s="618">
        <v>136</v>
      </c>
      <c r="B154" s="577"/>
      <c r="C154" s="577" t="s">
        <v>1301</v>
      </c>
      <c r="D154" s="587" t="s">
        <v>1487</v>
      </c>
      <c r="E154" s="587"/>
      <c r="F154" s="587"/>
      <c r="G154" s="587"/>
      <c r="H154" s="618" t="s">
        <v>1488</v>
      </c>
      <c r="I154" s="660"/>
      <c r="J154" s="618"/>
      <c r="K154" s="619" t="s">
        <v>1489</v>
      </c>
      <c r="L154" s="618"/>
      <c r="M154" s="618"/>
      <c r="N154" s="618"/>
      <c r="O154" s="618"/>
      <c r="P154" s="661"/>
      <c r="Q154" s="618" t="s">
        <v>817</v>
      </c>
      <c r="R154" s="618" t="s">
        <v>864</v>
      </c>
      <c r="S154" s="629" t="s">
        <v>1303</v>
      </c>
      <c r="T154" s="621"/>
      <c r="U154" s="621"/>
      <c r="V154" s="622" t="s">
        <v>864</v>
      </c>
      <c r="W154" s="622" t="s">
        <v>864</v>
      </c>
      <c r="X154" s="623"/>
      <c r="Y154" s="624"/>
      <c r="Z154" s="618"/>
      <c r="AA154" s="625"/>
      <c r="AB154" s="618"/>
      <c r="AC154" s="621"/>
      <c r="AD154" s="621">
        <v>1</v>
      </c>
    </row>
    <row r="155" spans="1:30" s="597" customFormat="1" ht="14.25" customHeight="1">
      <c r="A155" s="586">
        <v>137</v>
      </c>
      <c r="B155" s="587"/>
      <c r="C155" s="587" t="s">
        <v>1009</v>
      </c>
      <c r="D155" s="587" t="s">
        <v>986</v>
      </c>
      <c r="E155" s="587"/>
      <c r="F155" s="587"/>
      <c r="G155" s="587"/>
      <c r="H155" s="586" t="s">
        <v>1490</v>
      </c>
      <c r="I155" s="590"/>
      <c r="J155" s="586"/>
      <c r="K155" s="586" t="s">
        <v>1011</v>
      </c>
      <c r="L155" s="586"/>
      <c r="M155" s="586"/>
      <c r="N155" s="586"/>
      <c r="O155" s="586"/>
      <c r="P155" s="591"/>
      <c r="Q155" s="586" t="s">
        <v>817</v>
      </c>
      <c r="R155" s="586" t="s">
        <v>864</v>
      </c>
      <c r="S155" s="598" t="s">
        <v>991</v>
      </c>
      <c r="T155" s="592"/>
      <c r="U155" s="586"/>
      <c r="V155" s="593"/>
      <c r="W155" s="593" t="s">
        <v>864</v>
      </c>
      <c r="X155" s="594"/>
      <c r="Y155" s="595" t="s">
        <v>1491</v>
      </c>
      <c r="Z155" s="586" t="s">
        <v>992</v>
      </c>
      <c r="AA155" s="596"/>
      <c r="AB155" s="586"/>
      <c r="AC155" s="592"/>
      <c r="AD155" s="592">
        <v>1</v>
      </c>
    </row>
    <row r="156" spans="1:30" s="597" customFormat="1" ht="12.75" customHeight="1">
      <c r="A156" s="586">
        <v>138</v>
      </c>
      <c r="B156" s="587"/>
      <c r="C156" s="587" t="s">
        <v>1492</v>
      </c>
      <c r="D156" s="587"/>
      <c r="E156" s="587"/>
      <c r="F156" s="587"/>
      <c r="G156" s="587"/>
      <c r="H156" s="586"/>
      <c r="I156" s="590"/>
      <c r="J156" s="586"/>
      <c r="K156" s="590" t="s">
        <v>1120</v>
      </c>
      <c r="L156" s="586"/>
      <c r="M156" s="586"/>
      <c r="N156" s="586"/>
      <c r="O156" s="586"/>
      <c r="P156" s="591"/>
      <c r="Q156" s="586" t="s">
        <v>817</v>
      </c>
      <c r="R156" s="586" t="s">
        <v>864</v>
      </c>
      <c r="S156" s="614" t="s">
        <v>1493</v>
      </c>
      <c r="T156" s="592"/>
      <c r="U156" s="586"/>
      <c r="V156" s="591"/>
      <c r="W156" s="593" t="s">
        <v>864</v>
      </c>
      <c r="X156" s="594"/>
      <c r="Y156" s="595" t="s">
        <v>1494</v>
      </c>
      <c r="Z156" s="586"/>
      <c r="AA156" s="658" t="s">
        <v>1495</v>
      </c>
      <c r="AB156" s="586"/>
      <c r="AC156" s="592"/>
      <c r="AD156" s="592">
        <v>1</v>
      </c>
    </row>
    <row r="157" spans="1:30" s="585" customFormat="1" ht="13.5" customHeight="1">
      <c r="A157" s="575">
        <v>139</v>
      </c>
      <c r="B157" s="576"/>
      <c r="C157" s="577" t="s">
        <v>1496</v>
      </c>
      <c r="D157" s="576"/>
      <c r="E157" s="576"/>
      <c r="F157" s="576"/>
      <c r="G157" s="576"/>
      <c r="H157" s="575" t="s">
        <v>1497</v>
      </c>
      <c r="I157" s="578">
        <v>31</v>
      </c>
      <c r="J157" s="575"/>
      <c r="K157" s="578" t="s">
        <v>1498</v>
      </c>
      <c r="L157" s="575"/>
      <c r="M157" s="575"/>
      <c r="N157" s="575"/>
      <c r="O157" s="575"/>
      <c r="P157" s="579"/>
      <c r="Q157" s="575" t="s">
        <v>817</v>
      </c>
      <c r="R157" s="575"/>
      <c r="S157" s="575" t="s">
        <v>1380</v>
      </c>
      <c r="T157" s="580"/>
      <c r="U157" s="575"/>
      <c r="V157" s="581" t="s">
        <v>864</v>
      </c>
      <c r="W157" s="581" t="s">
        <v>864</v>
      </c>
      <c r="X157" s="582"/>
      <c r="Y157" s="616"/>
      <c r="Z157" s="575"/>
      <c r="AA157" s="584"/>
      <c r="AB157" s="575"/>
      <c r="AC157" s="580"/>
      <c r="AD157" s="580">
        <v>1</v>
      </c>
    </row>
    <row r="158" spans="1:30" s="585" customFormat="1" ht="13.5" customHeight="1">
      <c r="A158" s="575">
        <v>140</v>
      </c>
      <c r="B158" s="576"/>
      <c r="C158" s="577" t="s">
        <v>1499</v>
      </c>
      <c r="D158" s="576"/>
      <c r="E158" s="576"/>
      <c r="F158" s="576"/>
      <c r="G158" s="576"/>
      <c r="H158" s="575" t="s">
        <v>1500</v>
      </c>
      <c r="I158" s="578">
        <v>109</v>
      </c>
      <c r="J158" s="575"/>
      <c r="K158" s="578" t="s">
        <v>1182</v>
      </c>
      <c r="L158" s="575"/>
      <c r="M158" s="575"/>
      <c r="N158" s="575"/>
      <c r="O158" s="575"/>
      <c r="P158" s="579"/>
      <c r="Q158" s="575" t="s">
        <v>817</v>
      </c>
      <c r="R158" s="575"/>
      <c r="S158" s="575" t="s">
        <v>1380</v>
      </c>
      <c r="T158" s="580"/>
      <c r="U158" s="575"/>
      <c r="V158" s="581" t="s">
        <v>864</v>
      </c>
      <c r="W158" s="581" t="s">
        <v>864</v>
      </c>
      <c r="X158" s="582"/>
      <c r="Y158" s="616"/>
      <c r="Z158" s="575"/>
      <c r="AA158" s="584"/>
      <c r="AB158" s="575"/>
      <c r="AC158" s="580"/>
      <c r="AD158" s="580">
        <v>1</v>
      </c>
    </row>
    <row r="159" spans="1:30" s="585" customFormat="1" ht="12.75" customHeight="1">
      <c r="A159" s="575">
        <v>141</v>
      </c>
      <c r="B159" s="576"/>
      <c r="C159" s="577" t="s">
        <v>1501</v>
      </c>
      <c r="D159" s="576"/>
      <c r="E159" s="576"/>
      <c r="F159" s="576"/>
      <c r="G159" s="576"/>
      <c r="H159" s="575" t="s">
        <v>1502</v>
      </c>
      <c r="I159" s="578" t="s">
        <v>1503</v>
      </c>
      <c r="J159" s="575"/>
      <c r="K159" s="578" t="s">
        <v>1504</v>
      </c>
      <c r="L159" s="575"/>
      <c r="M159" s="575"/>
      <c r="N159" s="575"/>
      <c r="O159" s="575"/>
      <c r="P159" s="579"/>
      <c r="Q159" s="575" t="s">
        <v>817</v>
      </c>
      <c r="R159" s="575"/>
      <c r="S159" s="659" t="s">
        <v>863</v>
      </c>
      <c r="T159" s="580"/>
      <c r="U159" s="575" t="s">
        <v>1505</v>
      </c>
      <c r="V159" s="581" t="s">
        <v>864</v>
      </c>
      <c r="W159" s="581" t="s">
        <v>864</v>
      </c>
      <c r="X159" s="582"/>
      <c r="Y159" s="616"/>
      <c r="Z159" s="575"/>
      <c r="AA159" s="584"/>
      <c r="AB159" s="575"/>
      <c r="AC159" s="580"/>
      <c r="AD159" s="580">
        <v>1</v>
      </c>
    </row>
    <row r="160" spans="1:30" s="585" customFormat="1" ht="13.5" customHeight="1">
      <c r="A160" s="575">
        <v>142</v>
      </c>
      <c r="B160" s="576"/>
      <c r="C160" s="577" t="s">
        <v>1506</v>
      </c>
      <c r="D160" s="576"/>
      <c r="E160" s="576"/>
      <c r="F160" s="576"/>
      <c r="G160" s="576"/>
      <c r="H160" s="575"/>
      <c r="I160" s="578" t="s">
        <v>1507</v>
      </c>
      <c r="J160" s="575"/>
      <c r="K160" s="578" t="s">
        <v>1508</v>
      </c>
      <c r="L160" s="575"/>
      <c r="M160" s="575"/>
      <c r="N160" s="575"/>
      <c r="O160" s="575"/>
      <c r="P160" s="579"/>
      <c r="Q160" s="575" t="s">
        <v>817</v>
      </c>
      <c r="R160" s="575"/>
      <c r="S160" s="575" t="s">
        <v>863</v>
      </c>
      <c r="T160" s="580"/>
      <c r="U160" s="575"/>
      <c r="V160" s="581" t="s">
        <v>864</v>
      </c>
      <c r="W160" s="581" t="s">
        <v>864</v>
      </c>
      <c r="X160" s="582"/>
      <c r="Y160" s="616" t="s">
        <v>1509</v>
      </c>
      <c r="Z160" s="575"/>
      <c r="AA160" s="584"/>
      <c r="AB160" s="575"/>
      <c r="AC160" s="580"/>
      <c r="AD160" s="580">
        <v>1</v>
      </c>
    </row>
    <row r="161" spans="1:30" s="597" customFormat="1" ht="13.5" customHeight="1">
      <c r="A161" s="586">
        <v>143</v>
      </c>
      <c r="B161" s="587"/>
      <c r="C161" s="587" t="s">
        <v>1510</v>
      </c>
      <c r="D161" s="587"/>
      <c r="E161" s="587"/>
      <c r="F161" s="587"/>
      <c r="G161" s="587"/>
      <c r="H161" s="586"/>
      <c r="I161" s="590"/>
      <c r="J161" s="586"/>
      <c r="K161" s="590" t="s">
        <v>1511</v>
      </c>
      <c r="L161" s="586"/>
      <c r="M161" s="586"/>
      <c r="N161" s="586"/>
      <c r="O161" s="586"/>
      <c r="P161" s="591"/>
      <c r="Q161" s="586" t="s">
        <v>817</v>
      </c>
      <c r="R161" s="586" t="s">
        <v>864</v>
      </c>
      <c r="S161" s="614" t="s">
        <v>1511</v>
      </c>
      <c r="T161" s="592"/>
      <c r="U161" s="586"/>
      <c r="V161" s="593"/>
      <c r="W161" s="593" t="s">
        <v>864</v>
      </c>
      <c r="X161" s="594"/>
      <c r="Y161" s="595"/>
      <c r="Z161" s="586"/>
      <c r="AA161" s="596"/>
      <c r="AB161" s="586"/>
      <c r="AC161" s="592"/>
      <c r="AD161" s="592">
        <v>1</v>
      </c>
    </row>
    <row r="162" spans="1:30" s="597" customFormat="1" ht="13.5" customHeight="1">
      <c r="A162" s="586">
        <v>144</v>
      </c>
      <c r="B162" s="587"/>
      <c r="C162" s="587"/>
      <c r="D162" s="587" t="s">
        <v>1512</v>
      </c>
      <c r="E162" s="587" t="s">
        <v>986</v>
      </c>
      <c r="F162" s="587"/>
      <c r="G162" s="587"/>
      <c r="H162" s="586" t="s">
        <v>1513</v>
      </c>
      <c r="I162" s="590"/>
      <c r="J162" s="586"/>
      <c r="K162" s="590" t="s">
        <v>1514</v>
      </c>
      <c r="L162" s="586"/>
      <c r="M162" s="586"/>
      <c r="N162" s="586"/>
      <c r="O162" s="586"/>
      <c r="P162" s="591"/>
      <c r="Q162" s="586" t="s">
        <v>817</v>
      </c>
      <c r="R162" s="586" t="s">
        <v>864</v>
      </c>
      <c r="S162" s="614" t="s">
        <v>991</v>
      </c>
      <c r="T162" s="592"/>
      <c r="U162" s="586"/>
      <c r="V162" s="593"/>
      <c r="W162" s="593" t="s">
        <v>864</v>
      </c>
      <c r="X162" s="594"/>
      <c r="Y162" s="595" t="s">
        <v>1515</v>
      </c>
      <c r="Z162" s="586"/>
      <c r="AA162" s="596"/>
      <c r="AB162" s="586"/>
      <c r="AC162" s="592"/>
      <c r="AD162" s="592">
        <v>1</v>
      </c>
    </row>
    <row r="163" spans="1:30" s="597" customFormat="1" ht="14.25" customHeight="1">
      <c r="A163" s="586">
        <v>145</v>
      </c>
      <c r="B163" s="587"/>
      <c r="C163" s="587"/>
      <c r="D163" s="587" t="s">
        <v>1516</v>
      </c>
      <c r="E163" s="587" t="s">
        <v>986</v>
      </c>
      <c r="F163" s="587"/>
      <c r="G163" s="587"/>
      <c r="H163" s="586" t="s">
        <v>1517</v>
      </c>
      <c r="I163" s="590"/>
      <c r="J163" s="586"/>
      <c r="K163" s="590" t="s">
        <v>1518</v>
      </c>
      <c r="L163" s="586"/>
      <c r="M163" s="586"/>
      <c r="N163" s="586"/>
      <c r="O163" s="586"/>
      <c r="P163" s="591"/>
      <c r="Q163" s="586" t="s">
        <v>823</v>
      </c>
      <c r="R163" s="586" t="s">
        <v>864</v>
      </c>
      <c r="S163" s="614" t="s">
        <v>991</v>
      </c>
      <c r="T163" s="592"/>
      <c r="U163" s="586"/>
      <c r="V163" s="593"/>
      <c r="W163" s="593" t="s">
        <v>864</v>
      </c>
      <c r="X163" s="594"/>
      <c r="Y163" s="595" t="s">
        <v>1515</v>
      </c>
      <c r="Z163" s="586"/>
      <c r="AA163" s="596"/>
      <c r="AB163" s="586"/>
      <c r="AC163" s="592"/>
      <c r="AD163" s="592">
        <v>1</v>
      </c>
    </row>
    <row r="164" spans="1:30" s="597" customFormat="1" ht="13.5" customHeight="1">
      <c r="A164" s="586">
        <v>146</v>
      </c>
      <c r="B164" s="587"/>
      <c r="C164" s="587" t="s">
        <v>1519</v>
      </c>
      <c r="D164" s="587" t="s">
        <v>986</v>
      </c>
      <c r="E164" s="587"/>
      <c r="F164" s="587"/>
      <c r="G164" s="587"/>
      <c r="H164" s="586" t="s">
        <v>1520</v>
      </c>
      <c r="I164" s="590"/>
      <c r="J164" s="586"/>
      <c r="K164" s="590" t="s">
        <v>1521</v>
      </c>
      <c r="L164" s="586"/>
      <c r="M164" s="586"/>
      <c r="N164" s="586"/>
      <c r="O164" s="586"/>
      <c r="P164" s="591"/>
      <c r="Q164" s="586" t="s">
        <v>817</v>
      </c>
      <c r="R164" s="586" t="s">
        <v>864</v>
      </c>
      <c r="S164" s="614" t="s">
        <v>991</v>
      </c>
      <c r="T164" s="592"/>
      <c r="U164" s="586"/>
      <c r="V164" s="593"/>
      <c r="W164" s="593" t="s">
        <v>864</v>
      </c>
      <c r="X164" s="594"/>
      <c r="Y164" s="595" t="s">
        <v>1515</v>
      </c>
      <c r="Z164" s="586"/>
      <c r="AA164" s="596"/>
      <c r="AB164" s="586"/>
      <c r="AC164" s="592"/>
      <c r="AD164" s="592">
        <v>1</v>
      </c>
    </row>
    <row r="165" spans="1:30" s="224" customFormat="1" ht="13.5" customHeight="1">
      <c r="A165" s="225">
        <v>147</v>
      </c>
      <c r="B165" s="219" t="s">
        <v>1522</v>
      </c>
      <c r="C165" s="241"/>
      <c r="D165" s="241"/>
      <c r="E165" s="241"/>
      <c r="F165" s="241"/>
      <c r="G165" s="241"/>
      <c r="H165" s="714" t="s">
        <v>1523</v>
      </c>
      <c r="I165" s="715"/>
      <c r="J165" s="714"/>
      <c r="K165" s="715" t="s">
        <v>1524</v>
      </c>
      <c r="L165" s="714"/>
      <c r="M165" s="714"/>
      <c r="N165" s="714"/>
      <c r="O165" s="714"/>
      <c r="P165" s="716"/>
      <c r="Q165" s="723" t="s">
        <v>823</v>
      </c>
      <c r="R165" s="714" t="s">
        <v>864</v>
      </c>
      <c r="S165" s="379" t="s">
        <v>1524</v>
      </c>
      <c r="T165" s="717"/>
      <c r="U165" s="714"/>
      <c r="V165" s="718"/>
      <c r="W165" s="260" t="s">
        <v>864</v>
      </c>
      <c r="X165" s="232"/>
      <c r="Y165" s="719" t="s">
        <v>1525</v>
      </c>
      <c r="Z165" s="714"/>
      <c r="AA165" s="720"/>
      <c r="AB165" s="714"/>
      <c r="AC165" s="717"/>
      <c r="AD165" s="717">
        <v>1</v>
      </c>
    </row>
    <row r="166" spans="1:30" s="597" customFormat="1" ht="13.5" customHeight="1">
      <c r="A166" s="586">
        <v>155</v>
      </c>
      <c r="B166" s="587"/>
      <c r="C166" s="587" t="s">
        <v>1404</v>
      </c>
      <c r="D166" s="587"/>
      <c r="E166" s="587"/>
      <c r="F166" s="587"/>
      <c r="G166" s="587"/>
      <c r="H166" s="586" t="s">
        <v>1526</v>
      </c>
      <c r="I166" s="590"/>
      <c r="J166" s="586"/>
      <c r="K166" s="590" t="s">
        <v>1218</v>
      </c>
      <c r="L166" s="586"/>
      <c r="M166" s="586"/>
      <c r="N166" s="586"/>
      <c r="O166" s="586"/>
      <c r="P166" s="591"/>
      <c r="Q166" s="586" t="s">
        <v>817</v>
      </c>
      <c r="R166" s="586"/>
      <c r="S166" s="586" t="s">
        <v>863</v>
      </c>
      <c r="T166" s="592"/>
      <c r="U166" s="586"/>
      <c r="V166" s="593"/>
      <c r="W166" s="593" t="s">
        <v>864</v>
      </c>
      <c r="X166" s="594"/>
      <c r="Y166" s="595"/>
      <c r="Z166" s="586"/>
      <c r="AA166" s="596"/>
      <c r="AB166" s="586"/>
      <c r="AC166" s="592"/>
      <c r="AD166" s="592">
        <v>1</v>
      </c>
    </row>
    <row r="167" spans="1:30" s="597" customFormat="1" ht="13.5" customHeight="1">
      <c r="A167" s="586">
        <v>148</v>
      </c>
      <c r="B167" s="587"/>
      <c r="C167" s="587" t="s">
        <v>1527</v>
      </c>
      <c r="D167" s="587" t="s">
        <v>1528</v>
      </c>
      <c r="E167" s="587"/>
      <c r="F167" s="587"/>
      <c r="G167" s="587"/>
      <c r="H167" s="586" t="s">
        <v>1529</v>
      </c>
      <c r="I167" s="590"/>
      <c r="J167" s="586"/>
      <c r="K167" s="590" t="s">
        <v>1395</v>
      </c>
      <c r="L167" s="586"/>
      <c r="M167" s="586"/>
      <c r="N167" s="586"/>
      <c r="O167" s="586"/>
      <c r="P167" s="591"/>
      <c r="Q167" s="586" t="s">
        <v>817</v>
      </c>
      <c r="R167" s="586" t="s">
        <v>864</v>
      </c>
      <c r="S167" s="614" t="s">
        <v>1395</v>
      </c>
      <c r="T167" s="592"/>
      <c r="U167" s="586"/>
      <c r="V167" s="593"/>
      <c r="W167" s="593" t="s">
        <v>864</v>
      </c>
      <c r="X167" s="594"/>
      <c r="Y167" s="595"/>
      <c r="Z167" s="586"/>
      <c r="AA167" s="596"/>
      <c r="AB167" s="586"/>
      <c r="AC167" s="592"/>
      <c r="AD167" s="592">
        <v>1</v>
      </c>
    </row>
    <row r="168" spans="1:30" s="675" customFormat="1" ht="13.5" customHeight="1">
      <c r="A168" s="669">
        <v>149</v>
      </c>
      <c r="B168" s="670"/>
      <c r="C168" s="671" t="s">
        <v>1530</v>
      </c>
      <c r="D168" s="670"/>
      <c r="E168" s="670"/>
      <c r="F168" s="670"/>
      <c r="G168" s="670"/>
      <c r="H168" s="669" t="s">
        <v>1531</v>
      </c>
      <c r="I168" s="671" t="s">
        <v>930</v>
      </c>
      <c r="J168" s="669"/>
      <c r="K168" s="671" t="s">
        <v>931</v>
      </c>
      <c r="L168" s="669"/>
      <c r="M168" s="669"/>
      <c r="N168" s="669"/>
      <c r="O168" s="669"/>
      <c r="P168" s="672"/>
      <c r="Q168" s="669" t="s">
        <v>820</v>
      </c>
      <c r="R168" s="669"/>
      <c r="S168" s="669" t="s">
        <v>879</v>
      </c>
      <c r="T168" s="673"/>
      <c r="U168" s="669" t="s">
        <v>932</v>
      </c>
      <c r="V168" s="674"/>
      <c r="W168" s="674" t="s">
        <v>864</v>
      </c>
      <c r="Y168" s="676"/>
      <c r="Z168" s="669"/>
      <c r="AA168" s="677"/>
      <c r="AB168" s="669"/>
      <c r="AC168" s="673"/>
      <c r="AD168" s="673">
        <v>1</v>
      </c>
    </row>
    <row r="169" spans="1:30" s="224" customFormat="1" ht="13.5" customHeight="1">
      <c r="A169" s="225">
        <v>150</v>
      </c>
      <c r="B169" s="219"/>
      <c r="C169" s="241" t="s">
        <v>1532</v>
      </c>
      <c r="D169" s="241"/>
      <c r="E169" s="241"/>
      <c r="F169" s="241"/>
      <c r="G169" s="241"/>
      <c r="H169" s="714" t="s">
        <v>1533</v>
      </c>
      <c r="I169" s="715"/>
      <c r="J169" s="714"/>
      <c r="K169" s="715" t="s">
        <v>939</v>
      </c>
      <c r="L169" s="714"/>
      <c r="M169" s="714"/>
      <c r="N169" s="714"/>
      <c r="O169" s="714"/>
      <c r="P169" s="716"/>
      <c r="Q169" s="714" t="s">
        <v>820</v>
      </c>
      <c r="R169" s="714"/>
      <c r="S169" s="714" t="s">
        <v>863</v>
      </c>
      <c r="T169" s="717"/>
      <c r="U169" s="714"/>
      <c r="V169" s="718" t="s">
        <v>864</v>
      </c>
      <c r="W169" s="260" t="s">
        <v>864</v>
      </c>
      <c r="X169" s="232"/>
      <c r="Y169" s="719"/>
      <c r="Z169" s="714"/>
      <c r="AA169" s="720"/>
      <c r="AB169" s="714"/>
      <c r="AC169" s="717"/>
      <c r="AD169" s="717">
        <v>1</v>
      </c>
    </row>
    <row r="170" spans="1:30" s="597" customFormat="1" ht="13.5" customHeight="1">
      <c r="A170" s="586">
        <v>151</v>
      </c>
      <c r="B170" s="587"/>
      <c r="C170" s="587" t="s">
        <v>1534</v>
      </c>
      <c r="D170" s="587"/>
      <c r="E170" s="587"/>
      <c r="F170" s="587"/>
      <c r="G170" s="587"/>
      <c r="H170" s="586" t="s">
        <v>1535</v>
      </c>
      <c r="I170" s="590"/>
      <c r="J170" s="586"/>
      <c r="K170" s="590" t="s">
        <v>1536</v>
      </c>
      <c r="L170" s="586"/>
      <c r="M170" s="586"/>
      <c r="N170" s="586"/>
      <c r="O170" s="586"/>
      <c r="P170" s="591"/>
      <c r="Q170" s="586" t="s">
        <v>817</v>
      </c>
      <c r="R170" s="586"/>
      <c r="S170" s="586" t="s">
        <v>863</v>
      </c>
      <c r="T170" s="592"/>
      <c r="U170" s="586"/>
      <c r="V170" s="593"/>
      <c r="W170" s="593" t="s">
        <v>864</v>
      </c>
      <c r="X170" s="594"/>
      <c r="Y170" s="595"/>
      <c r="Z170" s="586"/>
      <c r="AA170" s="596"/>
      <c r="AB170" s="586"/>
      <c r="AC170" s="592"/>
      <c r="AD170" s="592">
        <v>1</v>
      </c>
    </row>
    <row r="171" spans="1:30" s="597" customFormat="1" ht="13.5" customHeight="1">
      <c r="A171" s="586">
        <v>152</v>
      </c>
      <c r="B171" s="587"/>
      <c r="C171" s="587" t="s">
        <v>1537</v>
      </c>
      <c r="D171" s="587"/>
      <c r="E171" s="587"/>
      <c r="F171" s="587"/>
      <c r="G171" s="587"/>
      <c r="H171" s="586" t="s">
        <v>1538</v>
      </c>
      <c r="I171" s="590"/>
      <c r="J171" s="586"/>
      <c r="K171" s="590" t="s">
        <v>1539</v>
      </c>
      <c r="L171" s="586"/>
      <c r="M171" s="586"/>
      <c r="N171" s="586"/>
      <c r="O171" s="586"/>
      <c r="P171" s="591"/>
      <c r="Q171" s="586" t="s">
        <v>817</v>
      </c>
      <c r="R171" s="586"/>
      <c r="S171" s="586" t="s">
        <v>863</v>
      </c>
      <c r="T171" s="592"/>
      <c r="U171" s="586"/>
      <c r="V171" s="593"/>
      <c r="W171" s="593" t="s">
        <v>864</v>
      </c>
      <c r="X171" s="594"/>
      <c r="Y171" s="595"/>
      <c r="Z171" s="586"/>
      <c r="AA171" s="596"/>
      <c r="AB171" s="586"/>
      <c r="AC171" s="592"/>
      <c r="AD171" s="592">
        <v>1</v>
      </c>
    </row>
    <row r="172" spans="1:30" s="597" customFormat="1" ht="13.5" customHeight="1">
      <c r="A172" s="586">
        <v>153</v>
      </c>
      <c r="B172" s="587"/>
      <c r="C172" s="587" t="s">
        <v>1540</v>
      </c>
      <c r="D172" s="587"/>
      <c r="E172" s="587"/>
      <c r="F172" s="587"/>
      <c r="G172" s="587"/>
      <c r="H172" s="586" t="s">
        <v>1541</v>
      </c>
      <c r="I172" s="590"/>
      <c r="J172" s="586"/>
      <c r="K172" s="590" t="s">
        <v>1542</v>
      </c>
      <c r="L172" s="586"/>
      <c r="M172" s="586"/>
      <c r="N172" s="586"/>
      <c r="O172" s="586"/>
      <c r="P172" s="591"/>
      <c r="Q172" s="586" t="s">
        <v>817</v>
      </c>
      <c r="R172" s="586"/>
      <c r="S172" s="586" t="s">
        <v>863</v>
      </c>
      <c r="T172" s="592"/>
      <c r="U172" s="586"/>
      <c r="V172" s="593"/>
      <c r="W172" s="593" t="s">
        <v>864</v>
      </c>
      <c r="X172" s="594"/>
      <c r="Y172" s="595"/>
      <c r="Z172" s="586"/>
      <c r="AA172" s="596"/>
      <c r="AB172" s="586"/>
      <c r="AC172" s="592"/>
      <c r="AD172" s="592">
        <v>1</v>
      </c>
    </row>
    <row r="173" spans="1:30" s="597" customFormat="1" ht="13.5" customHeight="1">
      <c r="A173" s="586">
        <v>154</v>
      </c>
      <c r="B173" s="587" t="s">
        <v>1543</v>
      </c>
      <c r="C173" s="587"/>
      <c r="D173" s="587"/>
      <c r="E173" s="587"/>
      <c r="F173" s="587"/>
      <c r="G173" s="587"/>
      <c r="H173" s="663" t="s">
        <v>1544</v>
      </c>
      <c r="I173" s="590"/>
      <c r="J173" s="586"/>
      <c r="K173" s="590" t="s">
        <v>1545</v>
      </c>
      <c r="L173" s="586"/>
      <c r="M173" s="586"/>
      <c r="N173" s="586"/>
      <c r="O173" s="586"/>
      <c r="P173" s="591"/>
      <c r="Q173" s="586" t="s">
        <v>823</v>
      </c>
      <c r="R173" s="586" t="s">
        <v>864</v>
      </c>
      <c r="S173" s="598" t="s">
        <v>1545</v>
      </c>
      <c r="T173" s="592"/>
      <c r="U173" s="586"/>
      <c r="V173" s="593"/>
      <c r="W173" s="593" t="s">
        <v>864</v>
      </c>
      <c r="X173" s="594"/>
      <c r="Y173" s="595" t="s">
        <v>1546</v>
      </c>
      <c r="Z173" s="586" t="s">
        <v>1547</v>
      </c>
      <c r="AA173" s="596"/>
      <c r="AB173" s="586"/>
      <c r="AC173" s="592"/>
      <c r="AD173" s="592">
        <v>1</v>
      </c>
    </row>
    <row r="174" spans="1:30" s="597" customFormat="1" ht="13.5" customHeight="1">
      <c r="A174" s="586">
        <v>155</v>
      </c>
      <c r="B174" s="587"/>
      <c r="C174" s="587" t="s">
        <v>1404</v>
      </c>
      <c r="D174" s="587"/>
      <c r="E174" s="587"/>
      <c r="F174" s="587"/>
      <c r="G174" s="587"/>
      <c r="H174" s="586" t="s">
        <v>1526</v>
      </c>
      <c r="I174" s="590"/>
      <c r="J174" s="586"/>
      <c r="K174" s="590" t="s">
        <v>1218</v>
      </c>
      <c r="L174" s="586"/>
      <c r="M174" s="586"/>
      <c r="N174" s="586"/>
      <c r="O174" s="586"/>
      <c r="P174" s="591"/>
      <c r="Q174" s="586" t="s">
        <v>817</v>
      </c>
      <c r="R174" s="586"/>
      <c r="S174" s="586" t="s">
        <v>863</v>
      </c>
      <c r="T174" s="592"/>
      <c r="U174" s="586"/>
      <c r="V174" s="593"/>
      <c r="W174" s="593" t="s">
        <v>864</v>
      </c>
      <c r="X174" s="594"/>
      <c r="Y174" s="595"/>
      <c r="Z174" s="586"/>
      <c r="AA174" s="596"/>
      <c r="AB174" s="586"/>
      <c r="AC174" s="592"/>
      <c r="AD174" s="592">
        <v>1</v>
      </c>
    </row>
    <row r="175" spans="1:30" s="597" customFormat="1" ht="12.75" customHeight="1">
      <c r="A175" s="586">
        <v>157</v>
      </c>
      <c r="B175" s="587"/>
      <c r="C175" s="587" t="s">
        <v>1548</v>
      </c>
      <c r="D175" s="587"/>
      <c r="E175" s="587"/>
      <c r="F175" s="587"/>
      <c r="G175" s="587"/>
      <c r="H175" s="586" t="s">
        <v>1549</v>
      </c>
      <c r="I175" s="590" t="s">
        <v>930</v>
      </c>
      <c r="J175" s="586"/>
      <c r="K175" s="590" t="s">
        <v>931</v>
      </c>
      <c r="L175" s="586"/>
      <c r="M175" s="586"/>
      <c r="N175" s="586"/>
      <c r="O175" s="586"/>
      <c r="P175" s="591"/>
      <c r="Q175" s="586" t="s">
        <v>820</v>
      </c>
      <c r="R175" s="586"/>
      <c r="S175" s="586" t="s">
        <v>879</v>
      </c>
      <c r="T175" s="592"/>
      <c r="U175" s="586"/>
      <c r="V175" s="593"/>
      <c r="W175" s="593" t="s">
        <v>864</v>
      </c>
      <c r="X175" s="594"/>
      <c r="Y175" s="595"/>
      <c r="Z175" s="586"/>
      <c r="AA175" s="596"/>
      <c r="AB175" s="586"/>
      <c r="AC175" s="592"/>
      <c r="AD175" s="592">
        <v>1</v>
      </c>
    </row>
    <row r="176" spans="1:30" s="597" customFormat="1" ht="12.75" customHeight="1">
      <c r="A176" s="586">
        <v>158</v>
      </c>
      <c r="B176" s="587"/>
      <c r="C176" s="587" t="s">
        <v>1550</v>
      </c>
      <c r="D176" s="587"/>
      <c r="E176" s="587"/>
      <c r="F176" s="587"/>
      <c r="G176" s="587"/>
      <c r="H176" s="663" t="s">
        <v>1551</v>
      </c>
      <c r="I176" s="590" t="s">
        <v>1552</v>
      </c>
      <c r="J176" s="586"/>
      <c r="K176" s="590" t="s">
        <v>970</v>
      </c>
      <c r="L176" s="586"/>
      <c r="M176" s="586"/>
      <c r="N176" s="586"/>
      <c r="O176" s="586"/>
      <c r="P176" s="591"/>
      <c r="Q176" s="664" t="s">
        <v>817</v>
      </c>
      <c r="R176" s="586"/>
      <c r="S176" s="586" t="s">
        <v>863</v>
      </c>
      <c r="T176" s="592"/>
      <c r="U176" s="592"/>
      <c r="V176" s="593"/>
      <c r="W176" s="593" t="s">
        <v>864</v>
      </c>
      <c r="X176" s="594"/>
      <c r="Y176" s="595" t="s">
        <v>1553</v>
      </c>
      <c r="Z176" s="655" t="s">
        <v>1554</v>
      </c>
      <c r="AA176" s="596" t="s">
        <v>1555</v>
      </c>
      <c r="AB176" s="586"/>
      <c r="AC176" s="592"/>
      <c r="AD176" s="592">
        <v>1</v>
      </c>
    </row>
    <row r="177" spans="1:30" s="597" customFormat="1" ht="12.75" customHeight="1">
      <c r="A177" s="586">
        <v>159</v>
      </c>
      <c r="B177" s="587"/>
      <c r="C177" s="587" t="s">
        <v>1556</v>
      </c>
      <c r="D177" s="587"/>
      <c r="E177" s="587"/>
      <c r="F177" s="587"/>
      <c r="G177" s="587"/>
      <c r="H177" s="595" t="s">
        <v>1557</v>
      </c>
      <c r="I177" s="590" t="s">
        <v>1558</v>
      </c>
      <c r="J177" s="586"/>
      <c r="K177" s="590" t="s">
        <v>1559</v>
      </c>
      <c r="L177" s="586"/>
      <c r="M177" s="586"/>
      <c r="N177" s="586"/>
      <c r="O177" s="586"/>
      <c r="P177" s="591"/>
      <c r="Q177" s="586" t="s">
        <v>817</v>
      </c>
      <c r="R177" s="586"/>
      <c r="S177" s="586" t="s">
        <v>863</v>
      </c>
      <c r="T177" s="592"/>
      <c r="U177" s="592"/>
      <c r="V177" s="591"/>
      <c r="W177" s="593" t="s">
        <v>864</v>
      </c>
      <c r="X177" s="594"/>
      <c r="Y177" s="664" t="s">
        <v>1560</v>
      </c>
      <c r="Z177" s="655" t="s">
        <v>1554</v>
      </c>
      <c r="AA177" s="658" t="s">
        <v>1561</v>
      </c>
      <c r="AB177" s="586"/>
      <c r="AC177" s="592"/>
      <c r="AD177" s="592">
        <v>1</v>
      </c>
    </row>
    <row r="178" spans="1:30" s="597" customFormat="1" ht="12.75" customHeight="1">
      <c r="A178" s="586">
        <v>160</v>
      </c>
      <c r="B178" s="587"/>
      <c r="C178" s="587" t="s">
        <v>1562</v>
      </c>
      <c r="D178" s="587"/>
      <c r="E178" s="587"/>
      <c r="F178" s="587"/>
      <c r="G178" s="587"/>
      <c r="H178" s="663" t="s">
        <v>1563</v>
      </c>
      <c r="I178" s="590" t="s">
        <v>1564</v>
      </c>
      <c r="J178" s="586"/>
      <c r="K178" s="590" t="s">
        <v>1565</v>
      </c>
      <c r="L178" s="586"/>
      <c r="M178" s="586"/>
      <c r="N178" s="586"/>
      <c r="O178" s="586"/>
      <c r="P178" s="591"/>
      <c r="Q178" s="664" t="s">
        <v>823</v>
      </c>
      <c r="R178" s="586"/>
      <c r="S178" s="586" t="s">
        <v>863</v>
      </c>
      <c r="T178" s="592"/>
      <c r="U178" s="592"/>
      <c r="V178" s="591"/>
      <c r="W178" s="593" t="s">
        <v>864</v>
      </c>
      <c r="X178" s="594"/>
      <c r="Y178" s="665" t="s">
        <v>1566</v>
      </c>
      <c r="Z178" s="655" t="s">
        <v>1567</v>
      </c>
      <c r="AA178" s="596"/>
      <c r="AB178" s="586"/>
      <c r="AC178" s="592"/>
      <c r="AD178" s="592">
        <v>1</v>
      </c>
    </row>
    <row r="179" spans="1:30" s="597" customFormat="1" ht="12.75" customHeight="1">
      <c r="A179" s="586"/>
      <c r="B179" s="587"/>
      <c r="C179" s="587" t="s">
        <v>1568</v>
      </c>
      <c r="D179" s="587"/>
      <c r="E179" s="587"/>
      <c r="F179" s="587"/>
      <c r="G179" s="587"/>
      <c r="H179" s="663" t="s">
        <v>1569</v>
      </c>
      <c r="I179" s="590"/>
      <c r="J179" s="586"/>
      <c r="K179" s="590" t="s">
        <v>1570</v>
      </c>
      <c r="L179" s="586"/>
      <c r="M179" s="586"/>
      <c r="N179" s="586"/>
      <c r="O179" s="586"/>
      <c r="P179" s="591"/>
      <c r="Q179" s="586" t="s">
        <v>817</v>
      </c>
      <c r="R179" s="586"/>
      <c r="S179" s="586" t="s">
        <v>863</v>
      </c>
      <c r="T179" s="592"/>
      <c r="U179" s="586"/>
      <c r="V179" s="593"/>
      <c r="W179" s="593" t="s">
        <v>864</v>
      </c>
      <c r="X179" s="594"/>
      <c r="Y179" s="665" t="s">
        <v>1571</v>
      </c>
      <c r="Z179" s="586"/>
      <c r="AA179" s="596"/>
      <c r="AB179" s="586"/>
      <c r="AC179" s="592"/>
      <c r="AD179" s="592"/>
    </row>
    <row r="180" spans="1:30" s="597" customFormat="1" ht="12.75" customHeight="1">
      <c r="A180" s="586">
        <v>161.46666666666701</v>
      </c>
      <c r="B180" s="587"/>
      <c r="C180" s="587" t="s">
        <v>1572</v>
      </c>
      <c r="D180" s="587"/>
      <c r="E180" s="587"/>
      <c r="F180" s="587"/>
      <c r="G180" s="587"/>
      <c r="H180" s="663" t="s">
        <v>1573</v>
      </c>
      <c r="I180" s="590" t="s">
        <v>1574</v>
      </c>
      <c r="J180" s="586"/>
      <c r="K180" s="590" t="s">
        <v>1575</v>
      </c>
      <c r="L180" s="586"/>
      <c r="M180" s="586"/>
      <c r="N180" s="586"/>
      <c r="O180" s="586"/>
      <c r="P180" s="591"/>
      <c r="Q180" s="586" t="s">
        <v>817</v>
      </c>
      <c r="R180" s="586"/>
      <c r="S180" s="586" t="s">
        <v>863</v>
      </c>
      <c r="T180" s="592"/>
      <c r="U180" s="591"/>
      <c r="V180" s="591"/>
      <c r="W180" s="593" t="s">
        <v>864</v>
      </c>
      <c r="X180" s="594"/>
      <c r="Y180" s="586" t="s">
        <v>1576</v>
      </c>
      <c r="Z180" s="655" t="s">
        <v>1554</v>
      </c>
      <c r="AA180" s="658"/>
      <c r="AB180" s="586"/>
      <c r="AC180" s="592"/>
      <c r="AD180" s="592">
        <v>1</v>
      </c>
    </row>
    <row r="181" spans="1:30" s="597" customFormat="1" ht="12.75" customHeight="1">
      <c r="A181" s="586">
        <v>162.69523809523801</v>
      </c>
      <c r="B181" s="587"/>
      <c r="C181" s="587" t="s">
        <v>1577</v>
      </c>
      <c r="D181" s="587"/>
      <c r="E181" s="587"/>
      <c r="F181" s="587"/>
      <c r="G181" s="587"/>
      <c r="H181" s="663"/>
      <c r="I181" s="590"/>
      <c r="J181" s="586"/>
      <c r="K181" s="590" t="s">
        <v>1578</v>
      </c>
      <c r="L181" s="586"/>
      <c r="M181" s="586"/>
      <c r="N181" s="586"/>
      <c r="O181" s="586"/>
      <c r="P181" s="591"/>
      <c r="Q181" s="664" t="s">
        <v>817</v>
      </c>
      <c r="R181" s="586" t="s">
        <v>864</v>
      </c>
      <c r="S181" s="614" t="s">
        <v>1578</v>
      </c>
      <c r="T181" s="592"/>
      <c r="U181" s="586"/>
      <c r="V181" s="591"/>
      <c r="W181" s="593" t="s">
        <v>864</v>
      </c>
      <c r="X181" s="594"/>
      <c r="Y181" s="595" t="s">
        <v>1579</v>
      </c>
      <c r="Z181" s="586"/>
      <c r="AA181" s="596"/>
      <c r="AB181" s="586"/>
      <c r="AC181" s="592"/>
      <c r="AD181" s="592">
        <v>1</v>
      </c>
    </row>
    <row r="182" spans="1:30" s="597" customFormat="1" ht="12.75" customHeight="1">
      <c r="A182" s="586">
        <v>163.78952380952401</v>
      </c>
      <c r="B182" s="587"/>
      <c r="C182" s="587"/>
      <c r="D182" s="587" t="s">
        <v>1580</v>
      </c>
      <c r="E182" s="587"/>
      <c r="F182" s="587"/>
      <c r="G182" s="587"/>
      <c r="H182" s="663" t="s">
        <v>1581</v>
      </c>
      <c r="I182" s="590"/>
      <c r="J182" s="586"/>
      <c r="K182" s="590" t="s">
        <v>970</v>
      </c>
      <c r="L182" s="586"/>
      <c r="M182" s="586"/>
      <c r="N182" s="586"/>
      <c r="O182" s="586"/>
      <c r="P182" s="591"/>
      <c r="Q182" s="664" t="s">
        <v>817</v>
      </c>
      <c r="R182" s="586"/>
      <c r="S182" s="586" t="s">
        <v>863</v>
      </c>
      <c r="T182" s="592"/>
      <c r="U182" s="586" t="s">
        <v>1582</v>
      </c>
      <c r="V182" s="591"/>
      <c r="W182" s="593" t="s">
        <v>864</v>
      </c>
      <c r="X182" s="594"/>
      <c r="Y182" s="595"/>
      <c r="Z182" s="586"/>
      <c r="AA182" s="596"/>
      <c r="AB182" s="586"/>
      <c r="AC182" s="592"/>
      <c r="AD182" s="592">
        <v>1</v>
      </c>
    </row>
    <row r="183" spans="1:30" s="597" customFormat="1" ht="12.75" customHeight="1">
      <c r="A183" s="666">
        <v>164.97523809523801</v>
      </c>
      <c r="B183" s="667"/>
      <c r="C183" s="667"/>
      <c r="D183" s="667" t="s">
        <v>1583</v>
      </c>
      <c r="E183" s="587" t="s">
        <v>1584</v>
      </c>
      <c r="F183" s="587"/>
      <c r="G183" s="587"/>
      <c r="H183" s="663"/>
      <c r="I183" s="590"/>
      <c r="J183" s="586"/>
      <c r="K183" s="590" t="s">
        <v>1585</v>
      </c>
      <c r="L183" s="586"/>
      <c r="M183" s="586"/>
      <c r="N183" s="586"/>
      <c r="O183" s="586"/>
      <c r="P183" s="591"/>
      <c r="Q183" s="664" t="s">
        <v>817</v>
      </c>
      <c r="R183" s="586" t="s">
        <v>864</v>
      </c>
      <c r="S183" s="598" t="s">
        <v>1054</v>
      </c>
      <c r="T183" s="592"/>
      <c r="U183" s="586"/>
      <c r="V183" s="593"/>
      <c r="W183" s="593" t="s">
        <v>864</v>
      </c>
      <c r="X183" s="594"/>
      <c r="Y183" s="595"/>
      <c r="Z183" s="586"/>
      <c r="AA183" s="596"/>
      <c r="AB183" s="586"/>
      <c r="AC183" s="592"/>
      <c r="AD183" s="592">
        <v>1</v>
      </c>
    </row>
    <row r="184" spans="1:30" s="597" customFormat="1" ht="14.25" customHeight="1">
      <c r="A184" s="586">
        <v>172.089523809524</v>
      </c>
      <c r="B184" s="587" t="s">
        <v>1586</v>
      </c>
      <c r="C184" s="587" t="s">
        <v>1587</v>
      </c>
      <c r="D184" s="651"/>
      <c r="E184" s="587"/>
      <c r="F184" s="587"/>
      <c r="G184" s="587"/>
      <c r="H184" s="586" t="s">
        <v>1588</v>
      </c>
      <c r="I184" s="590"/>
      <c r="J184" s="586" t="s">
        <v>1589</v>
      </c>
      <c r="K184" s="590" t="s">
        <v>1590</v>
      </c>
      <c r="L184" s="586"/>
      <c r="M184" s="586"/>
      <c r="N184" s="586"/>
      <c r="O184" s="586"/>
      <c r="P184" s="591">
        <v>1</v>
      </c>
      <c r="Q184" s="586" t="s">
        <v>823</v>
      </c>
      <c r="R184" s="586" t="s">
        <v>864</v>
      </c>
      <c r="S184" s="598" t="s">
        <v>1234</v>
      </c>
      <c r="T184" s="652"/>
      <c r="U184" s="586"/>
      <c r="V184" s="593"/>
      <c r="W184" s="593" t="s">
        <v>864</v>
      </c>
      <c r="X184" s="594"/>
      <c r="Y184" s="595"/>
      <c r="Z184" s="586"/>
      <c r="AA184" s="596"/>
      <c r="AB184" s="586"/>
      <c r="AC184" s="592"/>
      <c r="AD184" s="592">
        <v>1</v>
      </c>
    </row>
    <row r="185" spans="1:30" s="597" customFormat="1" ht="12.95" customHeight="1">
      <c r="A185" s="586">
        <v>173.275238095238</v>
      </c>
      <c r="B185" s="587" t="s">
        <v>1591</v>
      </c>
      <c r="C185" s="588"/>
      <c r="D185" s="587"/>
      <c r="E185" s="587"/>
      <c r="F185" s="587"/>
      <c r="G185" s="587"/>
      <c r="H185" s="586"/>
      <c r="I185" s="590"/>
      <c r="J185" s="586"/>
      <c r="K185" s="586" t="s">
        <v>1592</v>
      </c>
      <c r="L185" s="586"/>
      <c r="M185" s="586"/>
      <c r="N185" s="586"/>
      <c r="O185" s="586"/>
      <c r="P185" s="591"/>
      <c r="Q185" s="586" t="s">
        <v>817</v>
      </c>
      <c r="R185" s="586" t="s">
        <v>864</v>
      </c>
      <c r="S185" s="586" t="s">
        <v>1592</v>
      </c>
      <c r="T185" s="592"/>
      <c r="U185" s="586"/>
      <c r="V185" s="593"/>
      <c r="W185" s="593" t="s">
        <v>864</v>
      </c>
      <c r="X185" s="594"/>
      <c r="Y185" s="595"/>
      <c r="Z185" s="586"/>
      <c r="AA185" s="596"/>
      <c r="AB185" s="586"/>
      <c r="AC185" s="592">
        <v>1</v>
      </c>
      <c r="AD185" s="592">
        <v>1</v>
      </c>
    </row>
    <row r="186" spans="1:30" s="597" customFormat="1" ht="12.95" customHeight="1">
      <c r="A186" s="586">
        <v>174.46095238095299</v>
      </c>
      <c r="B186" s="587"/>
      <c r="C186" s="588" t="s">
        <v>1593</v>
      </c>
      <c r="D186" s="588"/>
      <c r="E186" s="587"/>
      <c r="F186" s="587"/>
      <c r="G186" s="587"/>
      <c r="H186" s="586" t="s">
        <v>1594</v>
      </c>
      <c r="I186" s="590"/>
      <c r="J186" s="586"/>
      <c r="K186" s="590" t="s">
        <v>1595</v>
      </c>
      <c r="L186" s="586"/>
      <c r="M186" s="586"/>
      <c r="N186" s="586"/>
      <c r="O186" s="586"/>
      <c r="P186" s="591"/>
      <c r="Q186" s="586" t="s">
        <v>1596</v>
      </c>
      <c r="R186" s="586" t="s">
        <v>864</v>
      </c>
      <c r="S186" s="598" t="s">
        <v>1595</v>
      </c>
      <c r="T186" s="592"/>
      <c r="U186" s="586"/>
      <c r="V186" s="593"/>
      <c r="W186" s="593" t="s">
        <v>864</v>
      </c>
      <c r="X186" s="594"/>
      <c r="Y186" s="595"/>
      <c r="Z186" s="586"/>
      <c r="AA186" s="596"/>
      <c r="AB186" s="586"/>
      <c r="AC186" s="592">
        <v>1</v>
      </c>
      <c r="AD186" s="592">
        <v>1</v>
      </c>
    </row>
    <row r="187" spans="1:30" s="597" customFormat="1" ht="12.95" customHeight="1">
      <c r="A187" s="586">
        <v>175.64666666666699</v>
      </c>
      <c r="B187" s="587"/>
      <c r="C187" s="588"/>
      <c r="D187" s="587" t="s">
        <v>1597</v>
      </c>
      <c r="E187" s="588"/>
      <c r="F187" s="587"/>
      <c r="G187" s="587"/>
      <c r="H187" s="586" t="s">
        <v>1598</v>
      </c>
      <c r="I187" s="590" t="s">
        <v>1599</v>
      </c>
      <c r="J187" s="586"/>
      <c r="K187" s="590" t="s">
        <v>1600</v>
      </c>
      <c r="L187" s="586"/>
      <c r="M187" s="586"/>
      <c r="N187" s="586"/>
      <c r="O187" s="586"/>
      <c r="P187" s="591"/>
      <c r="Q187" s="586" t="s">
        <v>820</v>
      </c>
      <c r="R187" s="586"/>
      <c r="S187" s="586" t="s">
        <v>863</v>
      </c>
      <c r="T187" s="592"/>
      <c r="U187" s="586"/>
      <c r="V187" s="593"/>
      <c r="W187" s="593" t="s">
        <v>864</v>
      </c>
      <c r="X187" s="594"/>
      <c r="Y187" s="595"/>
      <c r="Z187" s="586"/>
      <c r="AA187" s="596"/>
      <c r="AB187" s="586"/>
      <c r="AC187" s="592">
        <v>1</v>
      </c>
      <c r="AD187" s="592">
        <v>1</v>
      </c>
    </row>
    <row r="188" spans="1:30" s="597" customFormat="1" ht="12.95" customHeight="1">
      <c r="A188" s="586">
        <v>176.83238095238099</v>
      </c>
      <c r="B188" s="587"/>
      <c r="C188" s="588"/>
      <c r="D188" s="587" t="s">
        <v>1001</v>
      </c>
      <c r="E188" s="588"/>
      <c r="F188" s="587"/>
      <c r="G188" s="587"/>
      <c r="H188" s="586" t="s">
        <v>1601</v>
      </c>
      <c r="I188" s="590" t="s">
        <v>399</v>
      </c>
      <c r="J188" s="586"/>
      <c r="K188" s="590" t="s">
        <v>1004</v>
      </c>
      <c r="L188" s="586"/>
      <c r="M188" s="586"/>
      <c r="N188" s="586"/>
      <c r="O188" s="586"/>
      <c r="P188" s="591"/>
      <c r="Q188" s="586" t="s">
        <v>817</v>
      </c>
      <c r="R188" s="586"/>
      <c r="S188" s="586" t="s">
        <v>863</v>
      </c>
      <c r="T188" s="592"/>
      <c r="U188" s="586"/>
      <c r="V188" s="593"/>
      <c r="W188" s="593" t="s">
        <v>864</v>
      </c>
      <c r="X188" s="594"/>
      <c r="Y188" s="595"/>
      <c r="Z188" s="586"/>
      <c r="AA188" s="596"/>
      <c r="AB188" s="586"/>
      <c r="AC188" s="592">
        <v>1</v>
      </c>
      <c r="AD188" s="592">
        <v>1</v>
      </c>
    </row>
    <row r="189" spans="1:30" s="597" customFormat="1" ht="12.95" customHeight="1">
      <c r="A189" s="586">
        <v>178.01809523809601</v>
      </c>
      <c r="B189" s="587"/>
      <c r="C189" s="588"/>
      <c r="D189" s="587" t="s">
        <v>1602</v>
      </c>
      <c r="E189" s="588"/>
      <c r="F189" s="587"/>
      <c r="G189" s="587"/>
      <c r="H189" s="586" t="s">
        <v>1603</v>
      </c>
      <c r="I189" s="590" t="s">
        <v>1604</v>
      </c>
      <c r="J189" s="586"/>
      <c r="K189" s="590" t="s">
        <v>1080</v>
      </c>
      <c r="L189" s="586"/>
      <c r="M189" s="586"/>
      <c r="N189" s="586"/>
      <c r="O189" s="586"/>
      <c r="P189" s="591"/>
      <c r="Q189" s="586" t="s">
        <v>820</v>
      </c>
      <c r="R189" s="586"/>
      <c r="S189" s="586" t="s">
        <v>863</v>
      </c>
      <c r="T189" s="592"/>
      <c r="U189" s="586"/>
      <c r="V189" s="593"/>
      <c r="W189" s="593" t="s">
        <v>864</v>
      </c>
      <c r="X189" s="594"/>
      <c r="Y189" s="595"/>
      <c r="Z189" s="586"/>
      <c r="AA189" s="596"/>
      <c r="AB189" s="586"/>
      <c r="AC189" s="592">
        <v>1</v>
      </c>
      <c r="AD189" s="592">
        <v>1</v>
      </c>
    </row>
    <row r="190" spans="1:30" s="597" customFormat="1" ht="12.95" customHeight="1">
      <c r="A190" s="586">
        <v>179.20380952381001</v>
      </c>
      <c r="B190" s="587"/>
      <c r="C190" s="588"/>
      <c r="D190" s="588" t="s">
        <v>1605</v>
      </c>
      <c r="E190" s="588"/>
      <c r="F190" s="587"/>
      <c r="G190" s="587"/>
      <c r="H190" s="586" t="s">
        <v>1606</v>
      </c>
      <c r="I190" s="590" t="s">
        <v>1607</v>
      </c>
      <c r="J190" s="586"/>
      <c r="K190" s="590" t="s">
        <v>939</v>
      </c>
      <c r="L190" s="586"/>
      <c r="M190" s="586"/>
      <c r="N190" s="586"/>
      <c r="O190" s="586"/>
      <c r="P190" s="591"/>
      <c r="Q190" s="586" t="s">
        <v>817</v>
      </c>
      <c r="R190" s="586"/>
      <c r="S190" s="586" t="s">
        <v>863</v>
      </c>
      <c r="T190" s="592"/>
      <c r="U190" s="586"/>
      <c r="V190" s="593"/>
      <c r="W190" s="593" t="s">
        <v>864</v>
      </c>
      <c r="X190" s="594"/>
      <c r="Y190" s="595"/>
      <c r="Z190" s="586"/>
      <c r="AA190" s="596"/>
      <c r="AB190" s="586"/>
      <c r="AC190" s="592">
        <v>1</v>
      </c>
      <c r="AD190" s="592">
        <v>1</v>
      </c>
    </row>
    <row r="191" spans="1:30" s="597" customFormat="1" ht="12.95" customHeight="1">
      <c r="A191" s="586">
        <v>180.38952380952401</v>
      </c>
      <c r="B191" s="587" t="s">
        <v>1608</v>
      </c>
      <c r="C191" s="588"/>
      <c r="D191" s="587"/>
      <c r="E191" s="587"/>
      <c r="F191" s="587"/>
      <c r="G191" s="587"/>
      <c r="H191" s="586" t="s">
        <v>1609</v>
      </c>
      <c r="I191" s="590"/>
      <c r="J191" s="586"/>
      <c r="K191" s="590" t="s">
        <v>939</v>
      </c>
      <c r="L191" s="586"/>
      <c r="M191" s="586"/>
      <c r="N191" s="586"/>
      <c r="O191" s="586"/>
      <c r="P191" s="591"/>
      <c r="Q191" s="586" t="s">
        <v>817</v>
      </c>
      <c r="R191" s="586"/>
      <c r="S191" s="586" t="s">
        <v>863</v>
      </c>
      <c r="T191" s="592"/>
      <c r="U191" s="586"/>
      <c r="V191" s="592"/>
      <c r="W191" s="592" t="s">
        <v>864</v>
      </c>
      <c r="X191" s="594"/>
      <c r="Y191" s="595"/>
      <c r="Z191" s="586"/>
      <c r="AA191" s="586"/>
      <c r="AB191" s="586"/>
      <c r="AC191" s="592"/>
      <c r="AD191" s="592">
        <v>1</v>
      </c>
    </row>
    <row r="192" spans="1:30" s="224" customFormat="1" ht="12" customHeight="1">
      <c r="A192" s="225">
        <f>SUBTOTAL(103,createCase142[ID])</f>
        <v>176</v>
      </c>
      <c r="C192" s="225">
        <f>SUBTOTAL(103,createCase142[Donnée (Niveau 2)])</f>
        <v>68</v>
      </c>
      <c r="D192" s="225">
        <f>SUBTOTAL(103,createCase142[Donnée (Niveau 3)])</f>
        <v>77</v>
      </c>
      <c r="E192" s="225">
        <f>SUBTOTAL(103,createCase142[Donnée (Niveau 4)])</f>
        <v>31</v>
      </c>
      <c r="F192" s="225">
        <f>SUBTOTAL(103,createCase142[Donnée (Niveau 5)])</f>
        <v>8</v>
      </c>
      <c r="G192" s="225">
        <f>SUBTOTAL(103,createCase142[Donnée (Niveau 6)])</f>
        <v>0</v>
      </c>
      <c r="H192" s="225">
        <f>SUBTOTAL(103,createCase142[Description])</f>
        <v>158</v>
      </c>
      <c r="I192" s="225">
        <f>SUBTOTAL(103,createCase142[Exemples])</f>
        <v>96</v>
      </c>
      <c r="J192" s="225">
        <f>SUBTOTAL(103,createCase142[Balise NexSIS])</f>
        <v>60</v>
      </c>
      <c r="K192" s="239">
        <f>SUBTOTAL(103,createCase142[Nouvelle balise])</f>
        <v>156</v>
      </c>
      <c r="L192" s="225">
        <f>SUBTOTAL(103,createCase142[Nantes - balise])</f>
        <v>22</v>
      </c>
      <c r="M192" s="225">
        <f>SUBTOTAL(103,createCase142[Nantes - description])</f>
        <v>22</v>
      </c>
      <c r="N192" s="225">
        <f>SUBTOTAL(103,createCase142[GT399])</f>
        <v>0</v>
      </c>
      <c r="O192" s="225">
        <f>SUBTOTAL(103,createCase142[GT399 description])</f>
        <v>0</v>
      </c>
      <c r="P192" s="234">
        <f>SUBTOTAL(103,createCase142[Priorisation])</f>
        <v>16</v>
      </c>
      <c r="Q192" s="225"/>
      <c r="R192" s="225">
        <f>SUBTOTAL(103,createCase142[Objet])</f>
        <v>59</v>
      </c>
      <c r="S192" s="225">
        <f>SUBTOTAL(103,createCase142[Format (ou type)])</f>
        <v>180</v>
      </c>
      <c r="T192" s="274"/>
      <c r="U192" s="225"/>
      <c r="V192" s="225"/>
      <c r="W192" s="225"/>
      <c r="Y192" s="271">
        <f>SUBTOTAL(103,createCase142[Commentaire Hub Santé])</f>
        <v>39</v>
      </c>
      <c r="Z192" s="225">
        <f>SUBTOTAL(103,createCase142[Commentaire Philippe Dreyfus])</f>
        <v>41</v>
      </c>
      <c r="AA192" s="239"/>
      <c r="AB192" s="225">
        <f>SUBTOTAL(103,createCase142[Commentaire Yann Penverne])</f>
        <v>0</v>
      </c>
      <c r="AC192" s="225">
        <f>SUBTOTAL(103,createCase142[NexSIS])-COUNTIFS(createCase142[NexSIS],"=X")</f>
        <v>84</v>
      </c>
      <c r="AD192" s="225">
        <f>SUBTOTAL(103,createCase142[Métier])-COUNTIFS(createCase142[Métier],"=X")</f>
        <v>169</v>
      </c>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8"/>
      <c r="U194" s="96"/>
      <c r="V194" s="96"/>
      <c r="W194" s="96"/>
      <c r="X194"/>
      <c r="Y194" s="179"/>
      <c r="Z194" s="96"/>
      <c r="AA194" s="159"/>
      <c r="AB194" s="96"/>
      <c r="AD194" s="96"/>
      <c r="AMA194"/>
      <c r="AMB194"/>
      <c r="AMC194"/>
    </row>
    <row r="195" spans="1:1017" s="128" customFormat="1" ht="12" customHeight="1">
      <c r="I195" s="224"/>
      <c r="P195" s="174"/>
      <c r="R195" s="96"/>
      <c r="S195" s="96"/>
      <c r="T195" s="278"/>
      <c r="U195" s="96"/>
      <c r="V195" s="96"/>
      <c r="W195" s="96"/>
      <c r="X195"/>
      <c r="Y195" s="179"/>
      <c r="Z195" s="96"/>
      <c r="AA195" s="159"/>
      <c r="AB195" s="96"/>
      <c r="AD195" s="96"/>
      <c r="AMA195"/>
      <c r="AMB195"/>
      <c r="AMC195"/>
    </row>
    <row r="196" spans="1:1017" s="128" customFormat="1" ht="12" customHeight="1">
      <c r="I196" s="224"/>
      <c r="P196" s="174"/>
      <c r="R196" s="96"/>
      <c r="S196" s="96"/>
      <c r="T196" s="278"/>
      <c r="U196" s="96"/>
      <c r="V196" s="96"/>
      <c r="W196" s="96"/>
      <c r="X196"/>
      <c r="Y196" s="179"/>
      <c r="Z196" s="96"/>
      <c r="AA196" s="159"/>
      <c r="AB196" s="96"/>
      <c r="AD196" s="96"/>
      <c r="AMA196"/>
      <c r="AMB196"/>
      <c r="AMC196"/>
    </row>
    <row r="197" spans="1:1017" s="128" customFormat="1" ht="12" customHeight="1">
      <c r="I197" s="224"/>
      <c r="P197" s="174"/>
      <c r="R197" s="96"/>
      <c r="S197" s="96"/>
      <c r="T197" s="278"/>
      <c r="U197" s="96"/>
      <c r="V197" s="96"/>
      <c r="W197" s="96"/>
      <c r="X197"/>
      <c r="Y197" s="179"/>
      <c r="Z197" s="96"/>
      <c r="AA197" s="159"/>
      <c r="AB197" s="96"/>
      <c r="AD197" s="96"/>
      <c r="AMA197"/>
      <c r="AMB197"/>
      <c r="AMC197"/>
    </row>
    <row r="198" spans="1:1017" s="128" customFormat="1" ht="12" customHeight="1">
      <c r="I198" s="224"/>
      <c r="P198" s="174"/>
      <c r="R198" s="96"/>
      <c r="S198" s="96"/>
      <c r="T198" s="278"/>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8"/>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8"/>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8"/>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8"/>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8"/>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8"/>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8"/>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8"/>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8"/>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8"/>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8"/>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8"/>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8"/>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8"/>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8"/>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7"/>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7"/>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7"/>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7"/>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7"/>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7"/>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7"/>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8"/>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1601" priority="266">
      <formula>$AC13=1</formula>
    </cfRule>
  </conditionalFormatting>
  <conditionalFormatting sqref="A193:F194 A214:F1054">
    <cfRule type="expression" dxfId="1600" priority="259">
      <formula>OR($AD193="X",$AB193="X")</formula>
    </cfRule>
    <cfRule type="expression" dxfId="1599" priority="260">
      <formula>AND($AD193=1,$AB193=1)</formula>
    </cfRule>
    <cfRule type="expression" dxfId="1598" priority="261">
      <formula>$AD193=1</formula>
    </cfRule>
    <cfRule type="expression" dxfId="1597" priority="262">
      <formula>$AB193=1</formula>
    </cfRule>
  </conditionalFormatting>
  <conditionalFormatting sqref="A12:G12">
    <cfRule type="expression" dxfId="1596" priority="49">
      <formula>AND($AD12=1,$AC12=1)</formula>
    </cfRule>
    <cfRule type="expression" dxfId="1595" priority="50">
      <formula>$AD12=1</formula>
    </cfRule>
    <cfRule type="expression" dxfId="1594" priority="51">
      <formula>$AC12=1</formula>
    </cfRule>
    <cfRule type="expression" dxfId="1593" priority="52">
      <formula>AND(NOT(ISBLANK($W12)),ISBLANK($AC12),ISBLANK($AD12))</formula>
    </cfRule>
    <cfRule type="expression" dxfId="1592" priority="48">
      <formula>OR($AD12="X",$AC12="X")</formula>
    </cfRule>
  </conditionalFormatting>
  <conditionalFormatting sqref="A13:G24 B25:G30 A25:A165 B31:C31 E31:G31 B32:G40 D41:D43 B42:B43 F42:G43 E128:G132 B129:C139 F133:G134 E135:G139 D154:G154 B155:G165 A166:G166 D167:G167 B167:C172 A167:A191 D168:D172 F168:G172 B173:G191">
    <cfRule type="expression" dxfId="1591"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1590"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1589" priority="264">
      <formula>AND($AD13=1,$AC13=1)</formula>
    </cfRule>
  </conditionalFormatting>
  <conditionalFormatting sqref="B121:B124">
    <cfRule type="expression" dxfId="1588" priority="246">
      <formula>AND($R121="X",#REF!&lt;&gt;"")</formula>
    </cfRule>
  </conditionalFormatting>
  <conditionalFormatting sqref="B165 B167:B172">
    <cfRule type="expression" dxfId="1587" priority="279">
      <formula>AND($R165="X",#REF!&lt;&gt;"")</formula>
    </cfRule>
  </conditionalFormatting>
  <conditionalFormatting sqref="B140:C154 B155:G165 B173:G191 A166:G166 B32:G40 E140:G153 D167:G167 D41:D43 D154:G154 A13:A165 B41:C41 F42:G43 B167:C172 A167:A191 F168:G172">
    <cfRule type="expression" dxfId="1586" priority="176">
      <formula>OR($AD13="X",$AC13="X")</formula>
    </cfRule>
  </conditionalFormatting>
  <conditionalFormatting sqref="B41:D41 D129:D138 E139">
    <cfRule type="expression" dxfId="1585" priority="241">
      <formula>$AD41=1</formula>
    </cfRule>
  </conditionalFormatting>
  <conditionalFormatting sqref="B13:G30 B31:C31 D129:D138 E139 E31:G31">
    <cfRule type="expression" dxfId="1584" priority="239">
      <formula>OR($AD13="X",$AC13="X")</formula>
    </cfRule>
  </conditionalFormatting>
  <conditionalFormatting sqref="B44:G128 E129:G132 E135:G139 F133:G134 B129:C139 B42:B43">
    <cfRule type="expression" dxfId="1583" priority="263">
      <formula>OR($AD42="X",$AC42="X")</formula>
    </cfRule>
  </conditionalFormatting>
  <conditionalFormatting sqref="B44:G128">
    <cfRule type="expression" dxfId="1582" priority="244">
      <formula>AND($AD44=1,$AC44=1)</formula>
    </cfRule>
    <cfRule type="expression" dxfId="1581" priority="245">
      <formula>$AD44=1</formula>
    </cfRule>
  </conditionalFormatting>
  <conditionalFormatting sqref="B140:G140">
    <cfRule type="expression" dxfId="1580" priority="182">
      <formula>AND(NOT(ISBLANK($W140)),ISBLANK($AC140),ISBLANK($AD140))</formula>
    </cfRule>
  </conditionalFormatting>
  <conditionalFormatting sqref="C12">
    <cfRule type="expression" dxfId="1579" priority="47">
      <formula>AND($R12="X",$B12&lt;&gt;"")</formula>
    </cfRule>
  </conditionalFormatting>
  <conditionalFormatting sqref="C19">
    <cfRule type="expression" dxfId="1578" priority="1166">
      <formula>AND($R19="X",OR($B19&lt;&gt;"",#REF!&lt;&gt;""))</formula>
    </cfRule>
  </conditionalFormatting>
  <conditionalFormatting sqref="C41 D41:D43">
    <cfRule type="expression" dxfId="1577" priority="284">
      <formula>AND($R41="X",OR($B41&lt;&gt;"",#REF!&lt;&gt;""))</formula>
    </cfRule>
  </conditionalFormatting>
  <conditionalFormatting sqref="C42:C43">
    <cfRule type="expression" dxfId="1576" priority="67">
      <formula>AND($R42="X",OR(#REF!&lt;&gt;"",$B42&lt;&gt;""))</formula>
    </cfRule>
    <cfRule type="expression" dxfId="1575" priority="68">
      <formula>OR($AD42="X",$AC42="X")</formula>
    </cfRule>
    <cfRule type="expression" dxfId="1574" priority="69">
      <formula>AND($AD42=1,$AC42=1)</formula>
    </cfRule>
    <cfRule type="expression" dxfId="1573" priority="70">
      <formula>$AD42=1</formula>
    </cfRule>
    <cfRule type="expression" dxfId="1572" priority="71">
      <formula>$AC42=1</formula>
    </cfRule>
  </conditionalFormatting>
  <conditionalFormatting sqref="C45">
    <cfRule type="expression" dxfId="1571" priority="24">
      <formula>AND($R45="X",OR($B45&lt;&gt;"",$C45&lt;&gt;""))</formula>
    </cfRule>
  </conditionalFormatting>
  <conditionalFormatting sqref="C52:C53">
    <cfRule type="expression" dxfId="1570" priority="23">
      <formula>AND($R52="X",OR($B52&lt;&gt;"",$C52&lt;&gt;""))</formula>
    </cfRule>
  </conditionalFormatting>
  <conditionalFormatting sqref="C68">
    <cfRule type="expression" dxfId="1569" priority="2">
      <formula>AND($R68="X",OR($B68&lt;&gt;"",$C68&lt;&gt;""))</formula>
    </cfRule>
    <cfRule type="expression" dxfId="1568" priority="1">
      <formula>AND($R68="X",OR($B68&lt;&gt;"",$C68&lt;&gt;"",$D68&lt;&gt;"",$E68&lt;&gt;""))</formula>
    </cfRule>
  </conditionalFormatting>
  <conditionalFormatting sqref="C68:C70">
    <cfRule type="expression" dxfId="1567" priority="20">
      <formula>AND($R68="X",OR($B68&lt;&gt;"",$C68&lt;&gt;"",$D68&lt;&gt;""))</formula>
    </cfRule>
  </conditionalFormatting>
  <conditionalFormatting sqref="C140">
    <cfRule type="expression" dxfId="1566" priority="164">
      <formula>OR($AD140="X",$AC140="X")</formula>
    </cfRule>
    <cfRule type="expression" dxfId="1565" priority="166">
      <formula>$AD140=1</formula>
    </cfRule>
    <cfRule type="expression" dxfId="1564" priority="165">
      <formula>AND($AD140=1,$AC140=1)</formula>
    </cfRule>
    <cfRule type="expression" dxfId="1563" priority="167">
      <formula>$AC140=1</formula>
    </cfRule>
  </conditionalFormatting>
  <conditionalFormatting sqref="C152:C153">
    <cfRule type="expression" dxfId="1562" priority="16">
      <formula>AND($AD152=1,$AC152=1)</formula>
    </cfRule>
    <cfRule type="expression" dxfId="1561" priority="14">
      <formula>AND($R152="X",OR($B152&lt;&gt;"",$C152&lt;&gt;"",$D152&lt;&gt;""))</formula>
    </cfRule>
    <cfRule type="expression" dxfId="1560" priority="15">
      <formula>OR($AD152="X",$AC152="X")</formula>
    </cfRule>
    <cfRule type="expression" dxfId="1559" priority="17">
      <formula>$AD152=1</formula>
    </cfRule>
    <cfRule type="expression" dxfId="1558" priority="18">
      <formula>$AC152=1</formula>
    </cfRule>
  </conditionalFormatting>
  <conditionalFormatting sqref="C154 C165:G165">
    <cfRule type="expression" dxfId="1557" priority="109">
      <formula>AND($R154="X",OR($B154&lt;&gt;"",$C154&lt;&gt;""))</formula>
    </cfRule>
  </conditionalFormatting>
  <conditionalFormatting sqref="C154">
    <cfRule type="expression" dxfId="1556" priority="11">
      <formula>$AD154=1</formula>
    </cfRule>
    <cfRule type="expression" dxfId="1555" priority="12">
      <formula>OR($AD154="X",$AC154="X")</formula>
    </cfRule>
    <cfRule type="expression" dxfId="1554" priority="13">
      <formula>$AC154=1</formula>
    </cfRule>
    <cfRule type="expression" dxfId="1553" priority="10">
      <formula>AND($AD154=1,$AC154=1)</formula>
    </cfRule>
  </conditionalFormatting>
  <conditionalFormatting sqref="C157:C159">
    <cfRule type="expression" dxfId="1552" priority="19">
      <formula>AND($R157="X",OR($B157&lt;&gt;"",$C157&lt;&gt;""))</formula>
    </cfRule>
  </conditionalFormatting>
  <conditionalFormatting sqref="C166">
    <cfRule type="expression" dxfId="1551" priority="103">
      <formula>AND($AD166=1,$AC166=1)</formula>
    </cfRule>
    <cfRule type="expression" dxfId="1550" priority="104">
      <formula>$AD166=1</formula>
    </cfRule>
    <cfRule type="expression" dxfId="1549" priority="105">
      <formula>AND($R166="X",$B166&lt;&gt;"")</formula>
    </cfRule>
    <cfRule type="expression" dxfId="1548" priority="102">
      <formula>OR($AD166="X",$AC166="X")</formula>
    </cfRule>
  </conditionalFormatting>
  <conditionalFormatting sqref="C167:C172">
    <cfRule type="expression" dxfId="1547" priority="280">
      <formula>AND($R167="X",OR(#REF!&lt;&gt;"",$B167&lt;&gt;""))</formula>
    </cfRule>
  </conditionalFormatting>
  <conditionalFormatting sqref="C168">
    <cfRule type="expression" dxfId="1546" priority="154">
      <formula>OR($AD168="X",$AC168="X")</formula>
    </cfRule>
  </conditionalFormatting>
  <conditionalFormatting sqref="C173:C174 D139:E139 C140:D153 C154:C164 C13:C40 C184:C191 C44:C120 C125:C139 D131:D138">
    <cfRule type="expression" dxfId="1545" priority="235">
      <formula>AND($R13="X",$B13&lt;&gt;"")</formula>
    </cfRule>
  </conditionalFormatting>
  <conditionalFormatting sqref="C174">
    <cfRule type="expression" dxfId="1544" priority="225">
      <formula>OR($AD174="X",$AC174="X")</formula>
    </cfRule>
    <cfRule type="expression" dxfId="1543" priority="227">
      <formula>$AD174=1</formula>
    </cfRule>
    <cfRule type="expression" dxfId="1542" priority="226">
      <formula>AND($AD174=1,$AC174=1)</formula>
    </cfRule>
  </conditionalFormatting>
  <conditionalFormatting sqref="C175:C183">
    <cfRule type="expression" dxfId="1541" priority="273">
      <formula>AND($R175="X",OR($B175&lt;&gt;"",#REF!&lt;&gt;""))</formula>
    </cfRule>
  </conditionalFormatting>
  <conditionalFormatting sqref="C179">
    <cfRule type="expression" dxfId="1540" priority="53">
      <formula>OR($AD179="X",$AC179="X")</formula>
    </cfRule>
    <cfRule type="expression" dxfId="1539" priority="54">
      <formula>AND($AD179=1,$AC179=1)</formula>
    </cfRule>
    <cfRule type="expression" dxfId="1538" priority="56">
      <formula>AND($R179="X",$B179&lt;&gt;"")</formula>
    </cfRule>
    <cfRule type="expression" dxfId="1537" priority="55">
      <formula>$AD179=1</formula>
    </cfRule>
  </conditionalFormatting>
  <conditionalFormatting sqref="C122:D124">
    <cfRule type="expression" dxfId="1536" priority="247">
      <formula>AND($R122="X",OR(#REF!&lt;&gt;"",$B122&lt;&gt;""))</formula>
    </cfRule>
  </conditionalFormatting>
  <conditionalFormatting sqref="C160:D160">
    <cfRule type="expression" dxfId="1535" priority="268">
      <formula>AND($R160="X",OR($B160&lt;&gt;"",#REF!&lt;&gt;""))</formula>
    </cfRule>
  </conditionalFormatting>
  <conditionalFormatting sqref="C121:G121">
    <cfRule type="expression" dxfId="1534" priority="243">
      <formula>AND($R121="X",$B121&lt;&gt;"")</formula>
    </cfRule>
  </conditionalFormatting>
  <conditionalFormatting sqref="D12:D18">
    <cfRule type="expression" dxfId="1533" priority="43">
      <formula>AND($R12="X",OR($B12&lt;&gt;"",$C12&lt;&gt;""))</formula>
    </cfRule>
  </conditionalFormatting>
  <conditionalFormatting sqref="D20:D40">
    <cfRule type="expression" dxfId="1532" priority="25">
      <formula>AND($R20="X",OR($B20&lt;&gt;"",$C20&lt;&gt;""))</formula>
    </cfRule>
  </conditionalFormatting>
  <conditionalFormatting sqref="D30:D31">
    <cfRule type="expression" dxfId="1531" priority="26">
      <formula>AND($R30="X",$B30&lt;&gt;"")</formula>
    </cfRule>
  </conditionalFormatting>
  <conditionalFormatting sqref="D31">
    <cfRule type="expression" dxfId="1530" priority="27">
      <formula>OR($AD31="X",$AC31="X")</formula>
    </cfRule>
    <cfRule type="expression" dxfId="1529" priority="28">
      <formula>AND($AD31=1,$AC31=1)</formula>
    </cfRule>
    <cfRule type="expression" dxfId="1528" priority="29">
      <formula>$AD31=1</formula>
    </cfRule>
    <cfRule type="expression" dxfId="1527" priority="31">
      <formula>AND(NOT(ISBLANK($W31)),ISBLANK($AC31),ISBLANK($AD31))</formula>
    </cfRule>
    <cfRule type="expression" dxfId="1526" priority="30">
      <formula>$AC31=1</formula>
    </cfRule>
  </conditionalFormatting>
  <conditionalFormatting sqref="D41">
    <cfRule type="expression" dxfId="1525" priority="291">
      <formula>$AD41=1</formula>
    </cfRule>
    <cfRule type="expression" dxfId="1524" priority="290">
      <formula>AND($AD41=1,$AC41=1)</formula>
    </cfRule>
    <cfRule type="expression" dxfId="1523" priority="289">
      <formula>AND($R41="X",OR($B41&lt;&gt;"",#REF!&lt;&gt;"",$C41&lt;&gt;""))</formula>
    </cfRule>
    <cfRule type="expression" dxfId="1522" priority="287">
      <formula>AND($R41="X",OR($B41&lt;&gt;"",#REF!&lt;&gt;"",$D41&lt;&gt;"",#REF!&lt;&gt;""))</formula>
    </cfRule>
    <cfRule type="expression" dxfId="1521" priority="286">
      <formula>AND($R41="X",OR($B41&lt;&gt;"",#REF!&lt;&gt;"",$C41&lt;&gt;"",$D41&lt;&gt;""))</formula>
    </cfRule>
    <cfRule type="expression" dxfId="1520" priority="292">
      <formula>AND($R41="X",$B41&lt;&gt;"")</formula>
    </cfRule>
    <cfRule type="expression" dxfId="1519" priority="285">
      <formula>AND($R41="X",OR($B41&lt;&gt;"",#REF!&lt;&gt;"",$C41&lt;&gt;""))</formula>
    </cfRule>
    <cfRule type="expression" dxfId="1518" priority="293">
      <formula>AND($R41="X",OR($B41&lt;&gt;"",#REF!&lt;&gt;""))</formula>
    </cfRule>
    <cfRule type="expression" dxfId="1517" priority="288">
      <formula>$AC41=1</formula>
    </cfRule>
  </conditionalFormatting>
  <conditionalFormatting sqref="D68:D70">
    <cfRule type="expression" dxfId="1516" priority="21">
      <formula>AND($R68="X",OR($B68&lt;&gt;"",$C68&lt;&gt;"",$D68&lt;&gt;"",$E68&lt;&gt;""))</formula>
    </cfRule>
  </conditionalFormatting>
  <conditionalFormatting sqref="D122 D184:D191">
    <cfRule type="expression" dxfId="1515" priority="155">
      <formula>AND($R122="X",OR($B122&lt;&gt;"",$C122&lt;&gt;""))</formula>
    </cfRule>
  </conditionalFormatting>
  <conditionalFormatting sqref="D125:D128 E127:G127 D173:D174 D161:D164 C184">
    <cfRule type="expression" dxfId="1514" priority="253">
      <formula>AND($R125="X",OR($B125&lt;&gt;"",$C125&lt;&gt;""))</formula>
    </cfRule>
  </conditionalFormatting>
  <conditionalFormatting sqref="D129:D130">
    <cfRule type="expression" dxfId="1513" priority="232">
      <formula>AND($R129="X",OR(#REF!&lt;&gt;"",$B129&lt;&gt;""))</formula>
    </cfRule>
  </conditionalFormatting>
  <conditionalFormatting sqref="D129:D138 E139 B41:D41">
    <cfRule type="expression" dxfId="1512" priority="240">
      <formula>AND($AD41=1,$AC41=1)</formula>
    </cfRule>
  </conditionalFormatting>
  <conditionalFormatting sqref="D129:D153 E139 B13:G30 B31:C31 E31:G31">
    <cfRule type="expression" dxfId="1511" priority="242">
      <formula>$AC13=1</formula>
    </cfRule>
  </conditionalFormatting>
  <conditionalFormatting sqref="D139:D153">
    <cfRule type="expression" dxfId="1510" priority="218">
      <formula>AND($AD139=1,$AC139=1)</formula>
    </cfRule>
    <cfRule type="expression" dxfId="1509" priority="217">
      <formula>OR($AD139="X",$AC139="X")</formula>
    </cfRule>
    <cfRule type="expression" dxfId="1508" priority="219">
      <formula>$AD139=1</formula>
    </cfRule>
  </conditionalFormatting>
  <conditionalFormatting sqref="D140">
    <cfRule type="expression" dxfId="1507" priority="162">
      <formula>$AD140=1</formula>
    </cfRule>
    <cfRule type="expression" dxfId="1506" priority="159">
      <formula>OR($AD140="X",$AC140="X")</formula>
    </cfRule>
    <cfRule type="expression" dxfId="1505" priority="163">
      <formula>$AC140=1</formula>
    </cfRule>
    <cfRule type="expression" dxfId="1504" priority="160">
      <formula>AND($R140="X",OR($B140&lt;&gt;"",$C140&lt;&gt;"",$D140&lt;&gt;""))</formula>
    </cfRule>
    <cfRule type="expression" dxfId="1503" priority="161">
      <formula>AND($AD140=1,$AC140=1)</formula>
    </cfRule>
  </conditionalFormatting>
  <conditionalFormatting sqref="D155:D159 E128:E130 D44:D120">
    <cfRule type="expression" dxfId="1502" priority="233">
      <formula>AND($R44="X",OR($B44&lt;&gt;"",$C44&lt;&gt;""))</formula>
    </cfRule>
  </conditionalFormatting>
  <conditionalFormatting sqref="D164">
    <cfRule type="expression" dxfId="1501" priority="209">
      <formula>AND($R164="X",OR($B164&lt;&gt;"",$C164&lt;&gt;"",$D164&lt;&gt;"",$E164&lt;&gt;""))</formula>
    </cfRule>
    <cfRule type="expression" dxfId="1500" priority="94">
      <formula>AND($R164="X",OR($B164&lt;&gt;"",$C164&lt;&gt;""))</formula>
    </cfRule>
    <cfRule type="expression" dxfId="1499" priority="212">
      <formula>AND($R164="X",OR($B164&lt;&gt;"",$C164&lt;&gt;"",$D164&lt;&gt;""))</formula>
    </cfRule>
    <cfRule type="expression" dxfId="1498" priority="211">
      <formula>$AD164=1</formula>
    </cfRule>
    <cfRule type="expression" dxfId="1497" priority="210">
      <formula>AND($AD164=1,$AC164=1)</formula>
    </cfRule>
    <cfRule type="expression" dxfId="1496" priority="208">
      <formula>$AC164=1</formula>
    </cfRule>
    <cfRule type="expression" dxfId="1495" priority="207">
      <formula>AND($R164="X",OR($B164&lt;&gt;"",$C164&lt;&gt;"",$D164&lt;&gt;""))</formula>
    </cfRule>
    <cfRule type="expression" dxfId="1494" priority="206">
      <formula>$AD164=1</formula>
    </cfRule>
    <cfRule type="expression" dxfId="1493" priority="205">
      <formula>AND($AD164=1,$AC164=1)</formula>
    </cfRule>
    <cfRule type="expression" dxfId="1492" priority="204">
      <formula>AND($R164="X",OR($B164&lt;&gt;"",$C164&lt;&gt;"",$D164&lt;&gt;"",$E164&lt;&gt;""))</formula>
    </cfRule>
    <cfRule type="expression" dxfId="1491" priority="203">
      <formula>$AC164=1</formula>
    </cfRule>
  </conditionalFormatting>
  <conditionalFormatting sqref="D166">
    <cfRule type="expression" dxfId="1490" priority="90">
      <formula>AND($AD166=1,$AC166=1)</formula>
    </cfRule>
    <cfRule type="expression" dxfId="1489" priority="95">
      <formula>OR($AD166="X",$AC166="X")</formula>
    </cfRule>
    <cfRule type="expression" dxfId="1488" priority="89">
      <formula>AND($R166="X",OR($B166&lt;&gt;"",$C166&lt;&gt;"",$D166&lt;&gt;"",$E166&lt;&gt;""))</formula>
    </cfRule>
    <cfRule type="expression" dxfId="1487" priority="87">
      <formula>AND($R166="X",OR($B166&lt;&gt;"",$C166&lt;&gt;"",$D166&lt;&gt;""))</formula>
    </cfRule>
    <cfRule type="expression" dxfId="1486" priority="86">
      <formula>$AD166=1</formula>
    </cfRule>
    <cfRule type="expression" dxfId="1485" priority="88">
      <formula>$AC166=1</formula>
    </cfRule>
    <cfRule type="expression" dxfId="1484" priority="85">
      <formula>AND($AD166=1,$AC166=1)</formula>
    </cfRule>
    <cfRule type="expression" dxfId="1483" priority="84">
      <formula>AND($R166="X",OR($B166&lt;&gt;"",$C166&lt;&gt;"",$D166&lt;&gt;"",$E166&lt;&gt;""))</formula>
    </cfRule>
    <cfRule type="expression" dxfId="1482" priority="83">
      <formula>$AC166=1</formula>
    </cfRule>
    <cfRule type="expression" dxfId="1481" priority="82">
      <formula>AND($R166="X",OR($B166&lt;&gt;"",$C166&lt;&gt;""))</formula>
    </cfRule>
    <cfRule type="expression" dxfId="1480" priority="100">
      <formula>AND($AD166=1,$AC166=1)</formula>
    </cfRule>
    <cfRule type="expression" dxfId="1479" priority="101">
      <formula>$AD166=1</formula>
    </cfRule>
    <cfRule type="expression" dxfId="1478" priority="93">
      <formula>AND($R166="X",OR($B166&lt;&gt;"",$C166&lt;&gt;""))</formula>
    </cfRule>
    <cfRule type="expression" dxfId="1477" priority="106">
      <formula>AND($R166="X",OR($B166&lt;&gt;"",$C166&lt;&gt;""))</formula>
    </cfRule>
    <cfRule type="expression" dxfId="1476" priority="92">
      <formula>AND($R166="X",OR($B166&lt;&gt;"",$C166&lt;&gt;"",$D166&lt;&gt;""))</formula>
    </cfRule>
    <cfRule type="expression" dxfId="1475" priority="91">
      <formula>$AD166=1</formula>
    </cfRule>
    <cfRule type="expression" dxfId="1474" priority="98">
      <formula>AND($R166="X",$B166&lt;&gt;"")</formula>
    </cfRule>
  </conditionalFormatting>
  <conditionalFormatting sqref="D166:D172">
    <cfRule type="expression" dxfId="1473" priority="99">
      <formula>OR($AD166="X",$AC166="X")</formula>
    </cfRule>
  </conditionalFormatting>
  <conditionalFormatting sqref="D167:D168">
    <cfRule type="expression" dxfId="1472" priority="231">
      <formula>AND($R167="X",#REF!&lt;&gt;"")</formula>
    </cfRule>
    <cfRule type="expression" dxfId="1471" priority="228">
      <formula>AND($AD167=1,$AC167=1)</formula>
    </cfRule>
    <cfRule type="expression" dxfId="1470" priority="229">
      <formula>$AD167=1</formula>
    </cfRule>
    <cfRule type="expression" dxfId="1469" priority="230">
      <formula>$AC167=1</formula>
    </cfRule>
  </conditionalFormatting>
  <conditionalFormatting sqref="D167:D172">
    <cfRule type="expression" dxfId="1468" priority="281">
      <formula>AND($R167="X",OR(#REF!&lt;&gt;"",$B167&lt;&gt;"",$C167&lt;&gt;""))</formula>
    </cfRule>
  </conditionalFormatting>
  <conditionalFormatting sqref="D174">
    <cfRule type="expression" dxfId="1467" priority="224">
      <formula>$AD174=1</formula>
    </cfRule>
    <cfRule type="expression" dxfId="1466" priority="223">
      <formula>AND($AD174=1,$AC174=1)</formula>
    </cfRule>
    <cfRule type="expression" dxfId="1465" priority="222">
      <formula>OR($AD174="X",$AC174="X")</formula>
    </cfRule>
    <cfRule type="expression" dxfId="1464" priority="221">
      <formula>AND($R174="X",$B174&lt;&gt;"")</formula>
    </cfRule>
  </conditionalFormatting>
  <conditionalFormatting sqref="D175:D183">
    <cfRule type="expression" dxfId="1463" priority="274">
      <formula>AND($R175="X",OR($B175&lt;&gt;"",#REF!&lt;&gt;"",$C175&lt;&gt;""))</formula>
    </cfRule>
  </conditionalFormatting>
  <conditionalFormatting sqref="D19:E19">
    <cfRule type="expression" dxfId="1462" priority="1170">
      <formula>AND($R19="X",OR($B19&lt;&gt;"",#REF!&lt;&gt;"",$C19&lt;&gt;""))</formula>
    </cfRule>
  </conditionalFormatting>
  <conditionalFormatting sqref="D127:E127">
    <cfRule type="expression" dxfId="1461" priority="134">
      <formula>AND($AD127=1,$AC127=1)</formula>
    </cfRule>
    <cfRule type="expression" dxfId="1460" priority="132">
      <formula>$AC127=1</formula>
    </cfRule>
    <cfRule type="expression" dxfId="1459" priority="133">
      <formula>AND($R127="X",OR($B127&lt;&gt;"",$C127&lt;&gt;"",$D127&lt;&gt;""))</formula>
    </cfRule>
    <cfRule type="expression" dxfId="1458" priority="131">
      <formula>AND($R127="X",OR($B127&lt;&gt;"",$C127&lt;&gt;"",$E127&lt;&gt;"",#REF!&lt;&gt;""))</formula>
    </cfRule>
    <cfRule type="expression" dxfId="1457" priority="135">
      <formula>$AD127=1</formula>
    </cfRule>
    <cfRule type="expression" dxfId="1456" priority="130">
      <formula>AND($R127="X",OR($B127&lt;&gt;"",$C127&lt;&gt;"",$D127&lt;&gt;"",$E127&lt;&gt;""))</formula>
    </cfRule>
  </conditionalFormatting>
  <conditionalFormatting sqref="D41:G41">
    <cfRule type="expression" dxfId="1455" priority="60">
      <formula>OR($AD41="X",$AC41="X")</formula>
    </cfRule>
    <cfRule type="expression" dxfId="1454" priority="59">
      <formula>$AD41=1</formula>
    </cfRule>
    <cfRule type="expression" dxfId="1453" priority="58">
      <formula>AND($AD41=1,$AC41=1)</formula>
    </cfRule>
    <cfRule type="expression" dxfId="1452" priority="57">
      <formula>AND($R41="X",OR($B41&lt;&gt;"",$C41&lt;&gt;"",$D41&lt;&gt;"",$E41&lt;&gt;"",$F41&lt;&gt;""))</formula>
    </cfRule>
  </conditionalFormatting>
  <conditionalFormatting sqref="D125:G125">
    <cfRule type="expression" dxfId="1451" priority="145">
      <formula>AND($R125="X",$B125&lt;&gt;"")</formula>
    </cfRule>
  </conditionalFormatting>
  <conditionalFormatting sqref="D127:G127">
    <cfRule type="expression" dxfId="1450" priority="144">
      <formula>AND($R127="X",$B127&lt;&gt;"")</formula>
    </cfRule>
  </conditionalFormatting>
  <conditionalFormatting sqref="D154:G154">
    <cfRule type="expression" dxfId="1449" priority="3">
      <formula>AND($R154="X",OR($B154&lt;&gt;"",$C154&lt;&gt;"",$D154&lt;&gt;"",$E154&lt;&gt;""))</formula>
    </cfRule>
  </conditionalFormatting>
  <conditionalFormatting sqref="D166:G166">
    <cfRule type="expression" dxfId="1448" priority="97">
      <formula>AND($R166="X",OR($B166&lt;&gt;"",$C166&lt;&gt;""))</formula>
    </cfRule>
  </conditionalFormatting>
  <conditionalFormatting sqref="E12:E18">
    <cfRule type="expression" dxfId="1447" priority="40">
      <formula>AND($R12="X",OR($B12&lt;&gt;"",$C12&lt;&gt;"",$D12&lt;&gt;""))</formula>
    </cfRule>
  </conditionalFormatting>
  <conditionalFormatting sqref="E20:E40 E140:E153">
    <cfRule type="expression" dxfId="1446" priority="72">
      <formula>AND($R20="X",OR($B20&lt;&gt;"",$C20&lt;&gt;"",$D20&lt;&gt;""))</formula>
    </cfRule>
  </conditionalFormatting>
  <conditionalFormatting sqref="E42:E43">
    <cfRule type="expression" dxfId="1445" priority="62">
      <formula>AND($AD42=1,$AC42=1)</formula>
    </cfRule>
    <cfRule type="expression" dxfId="1444" priority="63">
      <formula>$AD42=1</formula>
    </cfRule>
    <cfRule type="expression" dxfId="1443" priority="64">
      <formula>$AC42=1</formula>
    </cfRule>
    <cfRule type="expression" dxfId="1442" priority="65">
      <formula>AND(NOT(ISBLANK($W42)),ISBLANK($AC42),ISBLANK($AD42))</formula>
    </cfRule>
    <cfRule type="expression" dxfId="1441" priority="66">
      <formula>AND($R42="X",OR($B42&lt;&gt;"",#REF!&lt;&gt;"",$D42&lt;&gt;"",#REF!&lt;&gt;""))</formula>
    </cfRule>
    <cfRule type="expression" dxfId="1440" priority="61">
      <formula>OR($AD42="X",$AC42="X")</formula>
    </cfRule>
  </conditionalFormatting>
  <conditionalFormatting sqref="E68:E70">
    <cfRule type="expression" dxfId="1439" priority="22">
      <formula>AND($R68="X",OR($B68&lt;&gt;"",$C68&lt;&gt;"",$D68&lt;&gt;"",$E68&lt;&gt;"",$F68&lt;&gt;""))</formula>
    </cfRule>
  </conditionalFormatting>
  <conditionalFormatting sqref="E89">
    <cfRule type="expression" dxfId="1438" priority="191">
      <formula>AND($R89="X",OR($B89&lt;&gt;"",$C89&lt;&gt;"",$D89&lt;&gt;"",$E89&lt;&gt;""))</formula>
    </cfRule>
    <cfRule type="expression" dxfId="1437" priority="192">
      <formula>AND($AD89=1,$AC89=1)</formula>
    </cfRule>
    <cfRule type="expression" dxfId="1436" priority="193">
      <formula>$AD89=1</formula>
    </cfRule>
    <cfRule type="expression" dxfId="1435" priority="194">
      <formula>AND($R89="X",OR($B89&lt;&gt;"",$C89&lt;&gt;"",$E89&lt;&gt;"",#REF!&lt;&gt;""))</formula>
    </cfRule>
  </conditionalFormatting>
  <conditionalFormatting sqref="E92">
    <cfRule type="expression" dxfId="1434" priority="187">
      <formula>$AD92=1</formula>
    </cfRule>
    <cfRule type="expression" dxfId="1433" priority="188">
      <formula>$AC92=1</formula>
    </cfRule>
    <cfRule type="expression" dxfId="1432" priority="189">
      <formula>AND($R92="X",OR($B92&lt;&gt;"",$C92&lt;&gt;"",$E92&lt;&gt;"",#REF!&lt;&gt;""))</formula>
    </cfRule>
    <cfRule type="expression" dxfId="1431" priority="190">
      <formula>$AC92=1</formula>
    </cfRule>
    <cfRule type="expression" dxfId="1430" priority="185">
      <formula>AND($R92="X",OR($B92&lt;&gt;"",$C92&lt;&gt;"",$D92&lt;&gt;"",$E92&lt;&gt;""))</formula>
    </cfRule>
    <cfRule type="expression" dxfId="1429" priority="186">
      <formula>AND($AD92=1,$AC92=1)</formula>
    </cfRule>
  </conditionalFormatting>
  <conditionalFormatting sqref="E111">
    <cfRule type="expression" dxfId="1428" priority="195">
      <formula>AND($R111="X",OR($B111&lt;&gt;"",$C111&lt;&gt;"",$D111&lt;&gt;"",$E111&lt;&gt;""))</formula>
    </cfRule>
    <cfRule type="expression" dxfId="1427" priority="196">
      <formula>AND($AD111=1,$AC111=1)</formula>
    </cfRule>
    <cfRule type="expression" dxfId="1426" priority="198">
      <formula>$AC111=1</formula>
    </cfRule>
    <cfRule type="expression" dxfId="1425" priority="199">
      <formula>AND($R111="X",OR($B111&lt;&gt;"",$C111&lt;&gt;"",$E111&lt;&gt;"",#REF!&lt;&gt;""))</formula>
    </cfRule>
    <cfRule type="expression" dxfId="1424" priority="197">
      <formula>$AD111=1</formula>
    </cfRule>
  </conditionalFormatting>
  <conditionalFormatting sqref="E122 E155:E159 E161:E164 E173 E184:E191">
    <cfRule type="expression" dxfId="1423" priority="156">
      <formula>AND($R122="X",OR($B122&lt;&gt;"",$C122&lt;&gt;"",$D122&lt;&gt;""))</formula>
    </cfRule>
  </conditionalFormatting>
  <conditionalFormatting sqref="E122:E124">
    <cfRule type="expression" dxfId="1422" priority="248">
      <formula>AND($R122="X",OR(#REF!&lt;&gt;"",$B122&lt;&gt;"",$C122&lt;&gt;""))</formula>
    </cfRule>
  </conditionalFormatting>
  <conditionalFormatting sqref="E125:E128">
    <cfRule type="expression" dxfId="1421" priority="254">
      <formula>AND($R125="X",OR($B125&lt;&gt;"",$C125&lt;&gt;"",$D125&lt;&gt;""))</formula>
    </cfRule>
  </conditionalFormatting>
  <conditionalFormatting sqref="E126">
    <cfRule type="expression" dxfId="1420" priority="138">
      <formula>$AC126=1</formula>
    </cfRule>
    <cfRule type="expression" dxfId="1419" priority="137">
      <formula>AND($R126="X",OR($B126&lt;&gt;"",$C126&lt;&gt;"",$E126&lt;&gt;"",#REF!&lt;&gt;""))</formula>
    </cfRule>
    <cfRule type="expression" dxfId="1418" priority="136">
      <formula>AND($R126="X",OR($B126&lt;&gt;"",$C126&lt;&gt;"",$D126&lt;&gt;"",$E126&lt;&gt;""))</formula>
    </cfRule>
    <cfRule type="expression" dxfId="1417" priority="139">
      <formula>AND($R126="X",OR($B126&lt;&gt;"",$C126&lt;&gt;"",$D126&lt;&gt;""))</formula>
    </cfRule>
  </conditionalFormatting>
  <conditionalFormatting sqref="E131">
    <cfRule type="expression" dxfId="1416" priority="201">
      <formula>AND($R131="X",OR($B131&lt;&gt;"",$C131&lt;&gt;"",$E131&lt;&gt;"",#REF!&lt;&gt;""))</formula>
    </cfRule>
    <cfRule type="expression" dxfId="1415" priority="202">
      <formula>$AC131=1</formula>
    </cfRule>
    <cfRule type="expression" dxfId="1414" priority="200">
      <formula>AND($R131="X",OR($B131&lt;&gt;"",$C131&lt;&gt;"",$D131&lt;&gt;"",$E131&lt;&gt;""))</formula>
    </cfRule>
  </conditionalFormatting>
  <conditionalFormatting sqref="E131:E132 E44:E120 F133:F134 E135:E138">
    <cfRule type="expression" dxfId="1413" priority="236">
      <formula>AND($R44="X",OR($B44&lt;&gt;"",$C44&lt;&gt;"",$D44&lt;&gt;""))</formula>
    </cfRule>
  </conditionalFormatting>
  <conditionalFormatting sqref="E133:E134">
    <cfRule type="expression" dxfId="1412" priority="152">
      <formula>$AC133=1</formula>
    </cfRule>
    <cfRule type="expression" dxfId="1411" priority="151">
      <formula>OR($AD133="X",$AC133="X")</formula>
    </cfRule>
    <cfRule type="expression" dxfId="1410" priority="149">
      <formula>AND($AD133=1,$AC133=1)</formula>
    </cfRule>
    <cfRule type="expression" dxfId="1409" priority="150">
      <formula>$AD133=1</formula>
    </cfRule>
    <cfRule type="expression" dxfId="1408" priority="153">
      <formula>AND(NOT(ISBLANK($W133)),ISBLANK($AC133),ISBLANK($AD133))</formula>
    </cfRule>
    <cfRule type="expression" dxfId="1407" priority="148">
      <formula>AND($R133="X",$B133&lt;&gt;"")</formula>
    </cfRule>
  </conditionalFormatting>
  <conditionalFormatting sqref="E160">
    <cfRule type="expression" dxfId="1406" priority="269">
      <formula>AND($R160="X",OR($B160&lt;&gt;"",#REF!&lt;&gt;"",$D160&lt;&gt;""))</formula>
    </cfRule>
  </conditionalFormatting>
  <conditionalFormatting sqref="E163">
    <cfRule type="expression" dxfId="1405" priority="213">
      <formula>$AC163=1</formula>
    </cfRule>
    <cfRule type="expression" dxfId="1404" priority="214">
      <formula>AND($R163="X",OR($B163&lt;&gt;"",$C163&lt;&gt;"",$D163&lt;&gt;"",$E163&lt;&gt;""))</formula>
    </cfRule>
    <cfRule type="expression" dxfId="1403" priority="215">
      <formula>AND($AD163=1,$AC163=1)</formula>
    </cfRule>
    <cfRule type="expression" dxfId="1402" priority="216">
      <formula>$AD163=1</formula>
    </cfRule>
  </conditionalFormatting>
  <conditionalFormatting sqref="E166">
    <cfRule type="expression" dxfId="1401" priority="96">
      <formula>AND($R166="X",OR($B166&lt;&gt;"",$C166&lt;&gt;"",$D166&lt;&gt;""))</formula>
    </cfRule>
  </conditionalFormatting>
  <conditionalFormatting sqref="E168:E172">
    <cfRule type="expression" dxfId="1400" priority="76">
      <formula>OR($AD168="X",$AC168="X")</formula>
    </cfRule>
    <cfRule type="expression" dxfId="1399" priority="78">
      <formula>$AD168=1</formula>
    </cfRule>
    <cfRule type="expression" dxfId="1398" priority="77">
      <formula>AND($AD168=1,$AC168=1)</formula>
    </cfRule>
    <cfRule type="expression" dxfId="1397" priority="81">
      <formula>AND($R168="X",OR(#REF!&lt;&gt;"",$B168&lt;&gt;"",$C168&lt;&gt;"",$D168&lt;&gt;""))</formula>
    </cfRule>
    <cfRule type="expression" dxfId="1396" priority="79">
      <formula>$AC168=1</formula>
    </cfRule>
    <cfRule type="expression" dxfId="1395" priority="80">
      <formula>AND(NOT(ISBLANK($W168)),ISBLANK($AC168),ISBLANK($AD168))</formula>
    </cfRule>
  </conditionalFormatting>
  <conditionalFormatting sqref="E175:E183">
    <cfRule type="expression" dxfId="1394" priority="146">
      <formula>AND($R175="X",OR($B175&lt;&gt;"",#REF!&lt;&gt;"",$C175&lt;&gt;"",$D175&lt;&gt;""))</formula>
    </cfRule>
  </conditionalFormatting>
  <conditionalFormatting sqref="E166:F166">
    <cfRule type="expression" dxfId="1393" priority="107">
      <formula>AND($R166="X",OR($B166&lt;&gt;"",$C166&lt;&gt;"",$D166&lt;&gt;"",#REF!&lt;&gt;""))</formula>
    </cfRule>
  </conditionalFormatting>
  <conditionalFormatting sqref="E174:F174">
    <cfRule type="expression" dxfId="1392" priority="277">
      <formula>AND($R174="X",OR($B174&lt;&gt;"",$C174&lt;&gt;"",$D174&lt;&gt;"",#REF!&lt;&gt;""))</formula>
    </cfRule>
  </conditionalFormatting>
  <conditionalFormatting sqref="E126:G126">
    <cfRule type="expression" dxfId="1391" priority="142">
      <formula>AND($AD126=1,$AC126=1)</formula>
    </cfRule>
    <cfRule type="expression" dxfId="1390" priority="143">
      <formula>$AD126=1</formula>
    </cfRule>
  </conditionalFormatting>
  <conditionalFormatting sqref="E128:G128">
    <cfRule type="expression" dxfId="1389" priority="117">
      <formula>AND($R128="X",OR($B128&lt;&gt;"",$C128&lt;&gt;"",$D128&lt;&gt;""))</formula>
    </cfRule>
    <cfRule type="expression" dxfId="1388" priority="119">
      <formula>$AD128=1</formula>
    </cfRule>
    <cfRule type="expression" dxfId="1387" priority="115">
      <formula>AND($R128="X",OR($B128&lt;&gt;"",$C128&lt;&gt;"",$E128&lt;&gt;"",#REF!&lt;&gt;""))</formula>
    </cfRule>
    <cfRule type="expression" dxfId="1386" priority="114">
      <formula>AND($R128="X",OR($B128&lt;&gt;"",$C128&lt;&gt;"",$D128&lt;&gt;"",$E128&lt;&gt;""))</formula>
    </cfRule>
    <cfRule type="expression" dxfId="1385" priority="120">
      <formula>AND($R128="X",$B128&lt;&gt;"")</formula>
    </cfRule>
    <cfRule type="expression" dxfId="1384" priority="121">
      <formula>AND($R128="X",OR($B128&lt;&gt;"",$C128&lt;&gt;""))</formula>
    </cfRule>
    <cfRule type="expression" dxfId="1383" priority="118">
      <formula>AND($AD128=1,$AC128=1)</formula>
    </cfRule>
    <cfRule type="expression" dxfId="1382" priority="116">
      <formula>$AC128=1</formula>
    </cfRule>
  </conditionalFormatting>
  <conditionalFormatting sqref="E140:G153 B140:C154">
    <cfRule type="expression" dxfId="1381" priority="181">
      <formula>$AC140=1</formula>
    </cfRule>
    <cfRule type="expression" dxfId="1380" priority="180">
      <formula>$AD140=1</formula>
    </cfRule>
    <cfRule type="expression" dxfId="1379" priority="179">
      <formula>AND($AD140=1,$AC140=1)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1378" priority="41">
      <formula>AND($R12="X",OR($B12&lt;&gt;"",$C12&lt;&gt;"",$D12&lt;&gt;"",$E12&lt;&gt;""))</formula>
    </cfRule>
  </conditionalFormatting>
  <conditionalFormatting sqref="F19">
    <cfRule type="expression" dxfId="1377" priority="1172">
      <formula>AND($R19="X",OR($B19&lt;&gt;"",#REF!&lt;&gt;"",$C19&lt;&gt;"",$E19&lt;&gt;""))</formula>
    </cfRule>
  </conditionalFormatting>
  <conditionalFormatting sqref="F20:F40 F131:F153 F155:F159 E183 G183">
    <cfRule type="expression" dxfId="1376" priority="73">
      <formula>AND($R20="X",OR($B20&lt;&gt;"",$C20&lt;&gt;"",$D20&lt;&gt;"",$E20&lt;&gt;""))</formula>
    </cfRule>
  </conditionalFormatting>
  <conditionalFormatting sqref="F42:F43">
    <cfRule type="expression" dxfId="1375" priority="294">
      <formula>AND($R42="X",OR($B42&lt;&gt;"",#REF!&lt;&gt;"",$D42&lt;&gt;"",#REF!&lt;&gt;""))</formula>
    </cfRule>
  </conditionalFormatting>
  <conditionalFormatting sqref="F44:F120">
    <cfRule type="expression" dxfId="1374" priority="237">
      <formula>AND($R44="X",OR($B44&lt;&gt;"",$C44&lt;&gt;"",$D44&lt;&gt;"",$E44&lt;&gt;""))</formula>
    </cfRule>
  </conditionalFormatting>
  <conditionalFormatting sqref="F122 F161:F164 F173 F184:F191">
    <cfRule type="expression" dxfId="1373" priority="157">
      <formula>AND($R122="X",OR($B122&lt;&gt;"",$C122&lt;&gt;"",$D122&lt;&gt;"",$E122&lt;&gt;""))</formula>
    </cfRule>
  </conditionalFormatting>
  <conditionalFormatting sqref="F122:F124">
    <cfRule type="expression" dxfId="1372" priority="249">
      <formula>AND($R122="X",OR(#REF!&lt;&gt;"",$B122&lt;&gt;"",$C122&lt;&gt;"",$E122&lt;&gt;""))</formula>
    </cfRule>
  </conditionalFormatting>
  <conditionalFormatting sqref="F125:F128">
    <cfRule type="expression" dxfId="1371" priority="255">
      <formula>AND($R125="X",OR($B125&lt;&gt;"",$C125&lt;&gt;"",$D125&lt;&gt;"",$E125&lt;&gt;""))</formula>
    </cfRule>
  </conditionalFormatting>
  <conditionalFormatting sqref="F126">
    <cfRule type="expression" dxfId="1370" priority="140">
      <formula>AND($R126="X",OR($B126&lt;&gt;"",$C126&lt;&gt;"",$D126&lt;&gt;"",$E126&lt;&gt;""))</formula>
    </cfRule>
  </conditionalFormatting>
  <conditionalFormatting sqref="F127 G161:G164 G173">
    <cfRule type="expression" dxfId="1369" priority="122">
      <formula>AND($R127="X",OR($B127&lt;&gt;"",$C127&lt;&gt;"",$D127&lt;&gt;"",$E127&lt;&gt;"",$F127&lt;&gt;""))</formula>
    </cfRule>
  </conditionalFormatting>
  <conditionalFormatting sqref="F128:F130 F139:G139">
    <cfRule type="expression" dxfId="1368" priority="251">
      <formula>AND($R128="X",OR($B128&lt;&gt;"",$C128&lt;&gt;"",$E128&lt;&gt;"",#REF!&lt;&gt;""))</formula>
    </cfRule>
  </conditionalFormatting>
  <conditionalFormatting sqref="F138">
    <cfRule type="expression" dxfId="1367" priority="184">
      <formula>AND($R138="X",OR($B138&lt;&gt;"",$C138&lt;&gt;"",$E138&lt;&gt;"",#REF!&lt;&gt;""))</formula>
    </cfRule>
  </conditionalFormatting>
  <conditionalFormatting sqref="F160">
    <cfRule type="expression" dxfId="1366" priority="270">
      <formula>AND($R160="X",OR($B160&lt;&gt;"",#REF!&lt;&gt;"",$D160&lt;&gt;"",$E160&lt;&gt;""))</formula>
    </cfRule>
  </conditionalFormatting>
  <conditionalFormatting sqref="F168:F172">
    <cfRule type="expression" dxfId="1365" priority="282">
      <formula>AND($R168="X",OR(#REF!&lt;&gt;"",$B168&lt;&gt;"",$C168&lt;&gt;"",$D168&lt;&gt;""))</formula>
    </cfRule>
  </conditionalFormatting>
  <conditionalFormatting sqref="F175:F183">
    <cfRule type="expression" dxfId="1364" priority="275">
      <formula>AND($R175="X",OR($B175&lt;&gt;"",#REF!&lt;&gt;"",$C175&lt;&gt;"",$D175&lt;&gt;""))</formula>
    </cfRule>
    <cfRule type="expression" dxfId="1363" priority="147">
      <formula>AND($R175="X",OR($B175&lt;&gt;"",#REF!&lt;&gt;"",$C175&lt;&gt;"",$D175&lt;&gt;"",$F175&lt;&gt;""))</formula>
    </cfRule>
  </conditionalFormatting>
  <conditionalFormatting sqref="F183">
    <cfRule type="expression" dxfId="1362" priority="74">
      <formula>AND($R183="X",OR($B183&lt;&gt;"",$C183&lt;&gt;"",$D183&lt;&gt;"",$E183&lt;&gt;"",$F183&lt;&gt;""))</formula>
    </cfRule>
  </conditionalFormatting>
  <conditionalFormatting sqref="F127:G127">
    <cfRule type="expression" dxfId="1361" priority="125">
      <formula>$AC127=1</formula>
    </cfRule>
    <cfRule type="expression" dxfId="1360" priority="126">
      <formula>AND($R127="X",OR($B127&lt;&gt;"",$C127&lt;&gt;"",$D127&lt;&gt;""))</formula>
    </cfRule>
    <cfRule type="expression" dxfId="1359" priority="129">
      <formula>AND($R127="X",OR($B127&lt;&gt;"",$C127&lt;&gt;"",$D127&lt;&gt;""))</formula>
    </cfRule>
    <cfRule type="expression" dxfId="1358" priority="127">
      <formula>AND($AD127=1,$AC127=1)</formula>
    </cfRule>
    <cfRule type="expression" dxfId="1357" priority="128">
      <formula>$AD127=1</formula>
    </cfRule>
    <cfRule type="expression" dxfId="1356" priority="123">
      <formula>AND($R127="X",OR($B127&lt;&gt;"",$C127&lt;&gt;"",$D127&lt;&gt;"",$E127&lt;&gt;""))</formula>
    </cfRule>
    <cfRule type="expression" dxfId="1355" priority="124">
      <formula>AND($R127="X",OR($B127&lt;&gt;"",$C127&lt;&gt;"",$E127&lt;&gt;"",#REF!&lt;&gt;""))</formula>
    </cfRule>
  </conditionalFormatting>
  <conditionalFormatting sqref="F128:G128">
    <cfRule type="expression" dxfId="1354" priority="113">
      <formula>AND($R128="X",OR($B128&lt;&gt;"",$C128&lt;&gt;"",$D128&lt;&gt;""))</formula>
    </cfRule>
    <cfRule type="expression" dxfId="1353" priority="112">
      <formula>AND($R128="X",OR($B128&lt;&gt;"",$C128&lt;&gt;""))</formula>
    </cfRule>
  </conditionalFormatting>
  <conditionalFormatting sqref="F166:G166">
    <cfRule type="expression" dxfId="1352" priority="108">
      <formula>AND($R166="X",OR($B166&lt;&gt;"",$C166&lt;&gt;"",$D166&lt;&gt;"",#REF!&lt;&gt;"",$F166&lt;&gt;""))</formula>
    </cfRule>
  </conditionalFormatting>
  <conditionalFormatting sqref="F174:G174">
    <cfRule type="expression" dxfId="1351" priority="278">
      <formula>AND($R174="X",OR($B174&lt;&gt;"",$C174&lt;&gt;"",$D174&lt;&gt;"",#REF!&lt;&gt;"",$F174&lt;&gt;""))</formula>
    </cfRule>
  </conditionalFormatting>
  <conditionalFormatting sqref="G12:G18">
    <cfRule type="expression" dxfId="1350" priority="42">
      <formula>AND($R12="X",OR($B12&lt;&gt;"",$C12&lt;&gt;"",$D12&lt;&gt;"",$E12&lt;&gt;"",$F12&lt;&gt;""))</formula>
    </cfRule>
  </conditionalFormatting>
  <conditionalFormatting sqref="G19">
    <cfRule type="expression" dxfId="1349" priority="1168">
      <formula>AND($R19="X",OR($B19&lt;&gt;"",#REF!&lt;&gt;"",$C19&lt;&gt;"",$E19&lt;&gt;"",$F19&lt;&gt;""))</formula>
    </cfRule>
  </conditionalFormatting>
  <conditionalFormatting sqref="G20:G40 G140:G153 G155:G159 D167:G167">
    <cfRule type="expression" dxfId="1348" priority="75">
      <formula>AND($R20="X",OR($B20&lt;&gt;"",$C20&lt;&gt;"",$D20&lt;&gt;"",$E20&lt;&gt;"",$F20&lt;&gt;""))</formula>
    </cfRule>
  </conditionalFormatting>
  <conditionalFormatting sqref="G42:G43">
    <cfRule type="expression" dxfId="1347" priority="295">
      <formula>AND($R42="X",OR($B42&lt;&gt;"",#REF!&lt;&gt;"",$D42&lt;&gt;"",#REF!&lt;&gt;"",$F42&lt;&gt;""))</formula>
    </cfRule>
  </conditionalFormatting>
  <conditionalFormatting sqref="G122">
    <cfRule type="expression" dxfId="1346" priority="158">
      <formula>AND($R122="X",OR($B122&lt;&gt;"",$C122&lt;&gt;"",$D122&lt;&gt;"",$E122&lt;&gt;"",$F122&lt;&gt;""))</formula>
    </cfRule>
  </conditionalFormatting>
  <conditionalFormatting sqref="G122:G124">
    <cfRule type="expression" dxfId="1345" priority="250">
      <formula>AND($R122="X",OR(#REF!&lt;&gt;"",$B122&lt;&gt;"",$C122&lt;&gt;"",$E122&lt;&gt;"",$F122&lt;&gt;""))</formula>
    </cfRule>
  </conditionalFormatting>
  <conditionalFormatting sqref="G125:G128">
    <cfRule type="expression" dxfId="1344" priority="256">
      <formula>AND($R125="X",OR($B125&lt;&gt;"",$C125&lt;&gt;"",$D125&lt;&gt;"",$E125&lt;&gt;"",$F125&lt;&gt;""))</formula>
    </cfRule>
  </conditionalFormatting>
  <conditionalFormatting sqref="G126">
    <cfRule type="expression" dxfId="1343" priority="141">
      <formula>AND($R126="X",OR($B126&lt;&gt;"",$C126&lt;&gt;"",$D126&lt;&gt;"",$E126&lt;&gt;"",$F126&lt;&gt;""))</formula>
    </cfRule>
  </conditionalFormatting>
  <conditionalFormatting sqref="G128">
    <cfRule type="expression" dxfId="1342" priority="111">
      <formula>AND($R128="X",OR($B128&lt;&gt;"",$C128&lt;&gt;"",$D128&lt;&gt;"",$E128&lt;&gt;""))</formula>
    </cfRule>
    <cfRule type="expression" dxfId="1341" priority="110">
      <formula>AND($R128="X",OR($B128&lt;&gt;"",$C128&lt;&gt;"",$E128&lt;&gt;"",#REF!&lt;&gt;""))</formula>
    </cfRule>
  </conditionalFormatting>
  <conditionalFormatting sqref="G128:G130">
    <cfRule type="expression" dxfId="1340" priority="252">
      <formula>AND($R128="X",OR($B128&lt;&gt;"",$C128&lt;&gt;"",$E128&lt;&gt;"",#REF!&lt;&gt;"",$F128&lt;&gt;""))</formula>
    </cfRule>
  </conditionalFormatting>
  <conditionalFormatting sqref="G139">
    <cfRule type="expression" dxfId="1339" priority="272">
      <formula>AND($R139="X",OR($B139&lt;&gt;"",$C139&lt;&gt;"",$E139&lt;&gt;"",#REF!&lt;&gt;"",$F139&lt;&gt;""))</formula>
    </cfRule>
    <cfRule type="expression" dxfId="1338" priority="220">
      <formula>AND($R139="X",OR($B139&lt;&gt;"",$C139&lt;&gt;"",$D139&lt;&gt;"",$E139&lt;&gt;""))</formula>
    </cfRule>
  </conditionalFormatting>
  <conditionalFormatting sqref="G160">
    <cfRule type="expression" dxfId="1337" priority="271">
      <formula>AND($R160="X",OR($B160&lt;&gt;"",#REF!&lt;&gt;"",$D160&lt;&gt;"",$E160&lt;&gt;"",$F160&lt;&gt;""))</formula>
    </cfRule>
  </conditionalFormatting>
  <conditionalFormatting sqref="G168:G172">
    <cfRule type="expression" dxfId="1336" priority="283">
      <formula>AND($R168="X",OR(#REF!&lt;&gt;"",$B168&lt;&gt;"",$C168&lt;&gt;"",$D168&lt;&gt;"",$F168&lt;&gt;""))</formula>
    </cfRule>
  </conditionalFormatting>
  <conditionalFormatting sqref="G175:G183">
    <cfRule type="expression" dxfId="1335" priority="276">
      <formula>AND($R175="X",OR($B175&lt;&gt;"",#REF!&lt;&gt;"",$C175&lt;&gt;"",$D175&lt;&gt;"",$F175&lt;&gt;""))</formula>
    </cfRule>
  </conditionalFormatting>
  <conditionalFormatting sqref="G184:G191 G44:G120 G131:G138">
    <cfRule type="expression" dxfId="1334" priority="238">
      <formula>AND($R44="X",OR($B44&lt;&gt;"",$C44&lt;&gt;"",$D44&lt;&gt;"",$E44&lt;&gt;"",$F44&lt;&gt;""))</formula>
    </cfRule>
  </conditionalFormatting>
  <conditionalFormatting sqref="H193:H194 H214:H1054">
    <cfRule type="expression" dxfId="1333" priority="258">
      <formula>$Q193="X"</formula>
    </cfRule>
  </conditionalFormatting>
  <conditionalFormatting sqref="I14:I29 I31:I191">
    <cfRule type="expression" dxfId="1332" priority="234">
      <formula>$R14="X"</formula>
    </cfRule>
  </conditionalFormatting>
  <conditionalFormatting sqref="Q12:Q191">
    <cfRule type="cellIs" dxfId="1331" priority="46" operator="equal">
      <formula>"0..1"</formula>
    </cfRule>
    <cfRule type="cellIs" dxfId="1330" priority="45" operator="equal">
      <formula>"0..n"</formula>
    </cfRule>
    <cfRule type="cellIs" dxfId="1329" priority="44" operator="equal">
      <formula>"1..1"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46"/>
  <sheetViews>
    <sheetView zoomScaleNormal="100" workbookViewId="0">
      <pane xSplit="7" ySplit="8" topLeftCell="H9" activePane="bottomRight" state="frozen"/>
      <selection pane="bottomRight" activeCell="K84" sqref="K84"/>
      <selection pane="bottomLeft" activeCell="A9" sqref="A9"/>
      <selection pane="topRight" activeCell="H1" sqref="H1"/>
    </sheetView>
  </sheetViews>
  <sheetFormatPr defaultColWidth="9.5" defaultRowHeight="12" customHeight="1"/>
  <cols>
    <col min="1" max="1" width="4.625" style="128" customWidth="1"/>
    <col min="2" max="2" width="27.125" style="128" customWidth="1"/>
    <col min="3" max="3" width="29.375" style="128" customWidth="1"/>
    <col min="4" max="4" width="27.375" style="128" customWidth="1"/>
    <col min="5" max="5" width="20" style="128" customWidth="1"/>
    <col min="6" max="6" width="8.625" style="128" customWidth="1"/>
    <col min="7" max="7" width="14.625" style="96" customWidth="1"/>
    <col min="8" max="8" width="29.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8" customWidth="1"/>
    <col min="21" max="24" width="9.5" style="96" customWidth="1"/>
    <col min="25" max="25" width="2.375" customWidth="1"/>
    <col min="26" max="26" width="22.625" style="179" customWidth="1"/>
    <col min="27" max="27" width="24.375" style="96" customWidth="1"/>
    <col min="28" max="28" width="24.5" style="159" customWidth="1"/>
    <col min="29" max="29" width="17.5" style="96" customWidth="1"/>
    <col min="30" max="30" width="9.5" customWidth="1"/>
    <col min="31" max="31" width="8" style="96" customWidth="1"/>
    <col min="32" max="32" width="9"/>
    <col min="33" max="1013" width="9.5" style="128"/>
    <col min="1014" max="1014" width="9" style="128" customWidth="1"/>
    <col min="1015" max="1016" width="9" customWidth="1"/>
  </cols>
  <sheetData>
    <row r="1" spans="1:1014" ht="13.5" customHeight="1">
      <c r="A1" s="228" t="s">
        <v>773</v>
      </c>
      <c r="C1" s="129" t="s">
        <v>813</v>
      </c>
      <c r="E1" s="150" t="s">
        <v>814</v>
      </c>
      <c r="F1" s="157">
        <f>createCase[[#Totals],[Métier]] / createCase[[#Totals],[ID]]</f>
        <v>0.95187165775401072</v>
      </c>
      <c r="G1" s="128"/>
      <c r="H1" s="692" t="s">
        <v>911</v>
      </c>
      <c r="I1" s="692"/>
      <c r="J1" s="692"/>
      <c r="O1" s="693" t="s">
        <v>816</v>
      </c>
      <c r="P1" s="693"/>
      <c r="AD1" s="96"/>
      <c r="AF1" s="128"/>
      <c r="ALZ1"/>
    </row>
    <row r="2" spans="1:1014" ht="13.5" customHeight="1">
      <c r="A2" s="128" t="s">
        <v>1610</v>
      </c>
      <c r="C2" s="141" t="s">
        <v>818</v>
      </c>
      <c r="D2" s="285"/>
      <c r="E2" s="152" t="s">
        <v>819</v>
      </c>
      <c r="F2" s="157">
        <f>createCase[[#Totals],[NexSIS]] / createCase[[#Totals],[ID]]</f>
        <v>0.43315508021390375</v>
      </c>
      <c r="G2" s="128"/>
      <c r="H2" s="692"/>
      <c r="I2" s="692"/>
      <c r="J2" s="692"/>
      <c r="AD2" s="96"/>
      <c r="AF2" s="128"/>
      <c r="ALZ2"/>
    </row>
    <row r="3" spans="1:1014" ht="13.5" customHeight="1">
      <c r="C3" s="142" t="s">
        <v>821</v>
      </c>
      <c r="E3" s="151" t="s">
        <v>822</v>
      </c>
      <c r="G3" s="128"/>
      <c r="AD3" s="96"/>
      <c r="AF3" s="128"/>
      <c r="ALZ3"/>
    </row>
    <row r="4" spans="1:1014" ht="13.5" customHeight="1">
      <c r="C4" s="143" t="s">
        <v>824</v>
      </c>
      <c r="E4" s="153" t="s">
        <v>825</v>
      </c>
      <c r="G4" s="137"/>
      <c r="AD4" s="96"/>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D6" s="96"/>
      <c r="AF6" s="128"/>
      <c r="ALZ6"/>
    </row>
    <row r="7" spans="1:1014" ht="13.5" customHeight="1">
      <c r="A7"/>
      <c r="B7"/>
      <c r="C7" s="138"/>
      <c r="D7" s="378"/>
      <c r="E7" s="138"/>
      <c r="F7" s="138"/>
      <c r="L7" s="694" t="s">
        <v>828</v>
      </c>
      <c r="M7" s="694"/>
      <c r="N7" s="694"/>
      <c r="O7" s="694"/>
      <c r="V7" s="695" t="s">
        <v>829</v>
      </c>
      <c r="W7" s="695"/>
      <c r="X7" s="695"/>
      <c r="AD7" s="694" t="s">
        <v>830</v>
      </c>
      <c r="AE7" s="694"/>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29" t="s">
        <v>1611</v>
      </c>
      <c r="Y8" s="230" t="s">
        <v>852</v>
      </c>
      <c r="Z8" s="235" t="s">
        <v>853</v>
      </c>
      <c r="AA8" s="235" t="s">
        <v>854</v>
      </c>
      <c r="AB8" s="236" t="s">
        <v>855</v>
      </c>
      <c r="AC8" s="235" t="s">
        <v>856</v>
      </c>
      <c r="AD8" s="235" t="s">
        <v>857</v>
      </c>
      <c r="AE8" s="237" t="s">
        <v>915</v>
      </c>
    </row>
    <row r="9" spans="1:1014" s="224" customFormat="1" ht="13.5" customHeight="1">
      <c r="A9" s="225">
        <v>1</v>
      </c>
      <c r="B9" s="217" t="s">
        <v>916</v>
      </c>
      <c r="C9" s="240"/>
      <c r="D9" s="678"/>
      <c r="E9" s="678"/>
      <c r="F9" s="678"/>
      <c r="G9" s="678"/>
      <c r="H9" s="714" t="s">
        <v>950</v>
      </c>
      <c r="I9" s="317" t="s">
        <v>951</v>
      </c>
      <c r="J9" s="714" t="s">
        <v>952</v>
      </c>
      <c r="K9" s="715" t="s">
        <v>919</v>
      </c>
      <c r="L9" s="714" t="s">
        <v>953</v>
      </c>
      <c r="M9" s="714" t="s">
        <v>954</v>
      </c>
      <c r="N9" s="714"/>
      <c r="O9" s="714"/>
      <c r="P9" s="716">
        <v>1</v>
      </c>
      <c r="Q9" s="714" t="s">
        <v>820</v>
      </c>
      <c r="R9" s="714"/>
      <c r="S9" s="714" t="s">
        <v>863</v>
      </c>
      <c r="T9" s="717"/>
      <c r="U9" s="714"/>
      <c r="V9" s="718" t="s">
        <v>864</v>
      </c>
      <c r="W9" s="718" t="s">
        <v>864</v>
      </c>
      <c r="X9" s="718" t="s">
        <v>864</v>
      </c>
      <c r="Y9" s="232"/>
      <c r="Z9" s="719"/>
      <c r="AA9" s="714" t="s">
        <v>920</v>
      </c>
      <c r="AB9" s="720" t="s">
        <v>921</v>
      </c>
      <c r="AC9" s="714"/>
      <c r="AD9" s="717">
        <v>1</v>
      </c>
      <c r="AE9" s="717">
        <v>1</v>
      </c>
    </row>
    <row r="10" spans="1:1014" s="224" customFormat="1" ht="13.5" customHeight="1">
      <c r="A10" s="225">
        <v>2</v>
      </c>
      <c r="B10" s="253" t="s">
        <v>955</v>
      </c>
      <c r="C10" s="221"/>
      <c r="D10" s="221"/>
      <c r="E10" s="221"/>
      <c r="F10" s="221"/>
      <c r="G10" s="221"/>
      <c r="H10" s="714" t="s">
        <v>956</v>
      </c>
      <c r="I10" s="131" t="s">
        <v>957</v>
      </c>
      <c r="J10" s="714"/>
      <c r="K10" s="715" t="s">
        <v>925</v>
      </c>
      <c r="L10" s="714" t="s">
        <v>926</v>
      </c>
      <c r="M10" s="714" t="s">
        <v>927</v>
      </c>
      <c r="N10" s="714"/>
      <c r="O10" s="714"/>
      <c r="P10" s="716"/>
      <c r="Q10" s="714" t="s">
        <v>817</v>
      </c>
      <c r="R10" s="714"/>
      <c r="S10" s="714" t="s">
        <v>863</v>
      </c>
      <c r="T10" s="717"/>
      <c r="U10" s="714"/>
      <c r="V10" s="718" t="s">
        <v>864</v>
      </c>
      <c r="W10" s="718" t="s">
        <v>864</v>
      </c>
      <c r="X10" s="718" t="s">
        <v>864</v>
      </c>
      <c r="Y10" s="232"/>
      <c r="Z10" s="719"/>
      <c r="AA10" s="714"/>
      <c r="AB10" s="720"/>
      <c r="AC10" s="714"/>
      <c r="AD10" s="717">
        <v>1</v>
      </c>
      <c r="AE10" s="717">
        <v>1</v>
      </c>
    </row>
    <row r="11" spans="1:1014" s="224" customFormat="1" ht="13.5" customHeight="1">
      <c r="A11" s="225">
        <v>3</v>
      </c>
      <c r="B11" s="217" t="s">
        <v>958</v>
      </c>
      <c r="C11" s="240"/>
      <c r="D11" s="241"/>
      <c r="E11" s="241"/>
      <c r="F11" s="241"/>
      <c r="G11" s="241"/>
      <c r="H11" s="714" t="s">
        <v>959</v>
      </c>
      <c r="I11" s="715" t="s">
        <v>930</v>
      </c>
      <c r="J11" s="714" t="s">
        <v>960</v>
      </c>
      <c r="K11" s="715" t="s">
        <v>931</v>
      </c>
      <c r="L11" s="714"/>
      <c r="M11" s="714"/>
      <c r="N11" s="714"/>
      <c r="O11" s="714"/>
      <c r="P11" s="716">
        <v>1</v>
      </c>
      <c r="Q11" s="714" t="s">
        <v>820</v>
      </c>
      <c r="R11" s="714"/>
      <c r="S11" s="714" t="s">
        <v>879</v>
      </c>
      <c r="T11" s="717"/>
      <c r="U11" s="714" t="s">
        <v>932</v>
      </c>
      <c r="V11" s="718" t="s">
        <v>864</v>
      </c>
      <c r="W11" s="718" t="s">
        <v>864</v>
      </c>
      <c r="X11" s="718" t="s">
        <v>864</v>
      </c>
      <c r="Y11" s="232"/>
      <c r="Z11" s="719"/>
      <c r="AA11" s="714"/>
      <c r="AB11" s="720"/>
      <c r="AC11" s="714"/>
      <c r="AD11" s="717">
        <v>1</v>
      </c>
      <c r="AE11" s="717">
        <v>1</v>
      </c>
    </row>
    <row r="12" spans="1:1014" s="224" customFormat="1" ht="13.5" customHeight="1">
      <c r="A12" s="225">
        <v>4</v>
      </c>
      <c r="B12" s="217" t="s">
        <v>1612</v>
      </c>
      <c r="C12" s="240"/>
      <c r="D12" s="241"/>
      <c r="E12" s="241"/>
      <c r="F12" s="241"/>
      <c r="G12" s="241"/>
      <c r="H12" s="714" t="s">
        <v>1613</v>
      </c>
      <c r="I12" s="715" t="s">
        <v>935</v>
      </c>
      <c r="J12" s="714" t="s">
        <v>1614</v>
      </c>
      <c r="K12" s="715" t="s">
        <v>1615</v>
      </c>
      <c r="L12" s="714"/>
      <c r="M12" s="714"/>
      <c r="N12" s="714"/>
      <c r="O12" s="714"/>
      <c r="P12" s="716"/>
      <c r="Q12" s="714" t="s">
        <v>820</v>
      </c>
      <c r="R12" s="714"/>
      <c r="S12" s="714" t="s">
        <v>863</v>
      </c>
      <c r="T12" s="717"/>
      <c r="U12" s="714"/>
      <c r="V12" s="718" t="s">
        <v>864</v>
      </c>
      <c r="W12" s="718" t="s">
        <v>864</v>
      </c>
      <c r="X12" s="724"/>
      <c r="Y12" s="232"/>
      <c r="Z12" s="719"/>
      <c r="AA12" s="714"/>
      <c r="AB12" s="720"/>
      <c r="AC12" s="714"/>
      <c r="AD12" s="717">
        <v>1</v>
      </c>
      <c r="AE12" s="717">
        <v>1</v>
      </c>
    </row>
    <row r="13" spans="1:1014" s="224" customFormat="1" ht="13.5" customHeight="1">
      <c r="A13" s="225">
        <v>5</v>
      </c>
      <c r="B13" s="217" t="s">
        <v>961</v>
      </c>
      <c r="C13" s="240"/>
      <c r="D13" s="241"/>
      <c r="E13" s="241"/>
      <c r="F13" s="241"/>
      <c r="G13" s="241"/>
      <c r="H13" s="263" t="s">
        <v>962</v>
      </c>
      <c r="I13" s="264" t="s">
        <v>963</v>
      </c>
      <c r="J13" s="263"/>
      <c r="K13" s="264" t="s">
        <v>964</v>
      </c>
      <c r="L13" s="263"/>
      <c r="M13" s="263"/>
      <c r="N13" s="263"/>
      <c r="O13" s="263"/>
      <c r="P13" s="265"/>
      <c r="Q13" s="263" t="s">
        <v>817</v>
      </c>
      <c r="R13" s="263"/>
      <c r="S13" s="263" t="s">
        <v>863</v>
      </c>
      <c r="T13" s="268"/>
      <c r="U13" s="263" t="s">
        <v>1616</v>
      </c>
      <c r="V13" s="718"/>
      <c r="W13" s="718" t="s">
        <v>864</v>
      </c>
      <c r="X13" s="718"/>
      <c r="Y13" s="232"/>
      <c r="Z13" s="719"/>
      <c r="AA13" s="714"/>
      <c r="AB13" s="720"/>
      <c r="AC13" s="714"/>
      <c r="AD13" s="717"/>
      <c r="AE13" s="717"/>
    </row>
    <row r="14" spans="1:1014" s="224" customFormat="1" ht="13.5" customHeight="1">
      <c r="A14" s="225">
        <v>6</v>
      </c>
      <c r="B14" s="217" t="s">
        <v>1617</v>
      </c>
      <c r="C14" s="240"/>
      <c r="D14" s="241"/>
      <c r="E14" s="241"/>
      <c r="F14" s="241"/>
      <c r="G14" s="241"/>
      <c r="H14" s="263" t="s">
        <v>968</v>
      </c>
      <c r="I14" s="264" t="s">
        <v>969</v>
      </c>
      <c r="J14" s="263"/>
      <c r="K14" s="264" t="s">
        <v>1618</v>
      </c>
      <c r="L14" s="263"/>
      <c r="M14" s="263"/>
      <c r="N14" s="263"/>
      <c r="O14" s="263"/>
      <c r="P14" s="265"/>
      <c r="Q14" s="263" t="s">
        <v>817</v>
      </c>
      <c r="R14" s="263"/>
      <c r="S14" s="263" t="s">
        <v>863</v>
      </c>
      <c r="T14" s="268"/>
      <c r="U14" s="263" t="s">
        <v>971</v>
      </c>
      <c r="V14" s="718"/>
      <c r="W14" s="718" t="s">
        <v>864</v>
      </c>
      <c r="X14" s="718"/>
      <c r="Y14" s="232"/>
      <c r="Z14" s="719"/>
      <c r="AA14" s="714"/>
      <c r="AB14" s="720"/>
      <c r="AC14" s="714"/>
      <c r="AD14" s="717"/>
      <c r="AE14" s="717"/>
    </row>
    <row r="15" spans="1:1014" s="224" customFormat="1" ht="13.5" customHeight="1">
      <c r="A15" s="225">
        <v>7</v>
      </c>
      <c r="B15" s="217" t="s">
        <v>1619</v>
      </c>
      <c r="C15" s="678"/>
      <c r="D15" s="241"/>
      <c r="E15" s="241"/>
      <c r="F15" s="241"/>
      <c r="G15" s="241"/>
      <c r="H15" s="714" t="s">
        <v>1620</v>
      </c>
      <c r="I15" s="715"/>
      <c r="J15" s="714" t="s">
        <v>974</v>
      </c>
      <c r="K15" s="715" t="s">
        <v>975</v>
      </c>
      <c r="L15" s="714"/>
      <c r="M15" s="714"/>
      <c r="N15" s="714"/>
      <c r="O15" s="714"/>
      <c r="P15" s="716"/>
      <c r="Q15" s="714" t="s">
        <v>820</v>
      </c>
      <c r="R15" s="714" t="s">
        <v>864</v>
      </c>
      <c r="S15" s="243" t="s">
        <v>975</v>
      </c>
      <c r="T15" s="717"/>
      <c r="U15" s="714"/>
      <c r="V15" s="718" t="s">
        <v>864</v>
      </c>
      <c r="W15" s="718" t="s">
        <v>864</v>
      </c>
      <c r="X15" s="718" t="s">
        <v>864</v>
      </c>
      <c r="Y15" s="232"/>
      <c r="Z15" s="719"/>
      <c r="AA15" s="714"/>
      <c r="AB15" s="720"/>
      <c r="AC15" s="714"/>
      <c r="AD15" s="717">
        <v>1</v>
      </c>
      <c r="AE15" s="717">
        <v>1</v>
      </c>
    </row>
    <row r="16" spans="1:1014" s="224" customFormat="1" ht="13.5" customHeight="1">
      <c r="A16" s="225">
        <v>8</v>
      </c>
      <c r="B16" s="217"/>
      <c r="C16" s="678" t="s">
        <v>985</v>
      </c>
      <c r="D16" s="241"/>
      <c r="E16" s="241"/>
      <c r="F16" s="241"/>
      <c r="G16" s="241"/>
      <c r="H16" s="714" t="s">
        <v>994</v>
      </c>
      <c r="I16" s="715"/>
      <c r="J16" s="714" t="s">
        <v>988</v>
      </c>
      <c r="K16" s="715"/>
      <c r="L16" s="714" t="s">
        <v>996</v>
      </c>
      <c r="M16" s="714" t="s">
        <v>997</v>
      </c>
      <c r="N16" s="714"/>
      <c r="O16" s="714"/>
      <c r="P16" s="716">
        <v>1</v>
      </c>
      <c r="Q16" s="714" t="s">
        <v>820</v>
      </c>
      <c r="R16" s="714" t="s">
        <v>864</v>
      </c>
      <c r="S16" s="714" t="s">
        <v>1621</v>
      </c>
      <c r="T16" s="717"/>
      <c r="U16" s="714" t="s">
        <v>1622</v>
      </c>
      <c r="V16" s="718" t="s">
        <v>864</v>
      </c>
      <c r="W16" s="718" t="s">
        <v>864</v>
      </c>
      <c r="X16" s="718" t="s">
        <v>864</v>
      </c>
      <c r="Y16" s="232"/>
      <c r="Z16" s="719"/>
      <c r="AA16" s="714" t="s">
        <v>992</v>
      </c>
      <c r="AB16" s="720"/>
      <c r="AC16" s="714"/>
      <c r="AD16" s="717">
        <v>1</v>
      </c>
      <c r="AE16" s="717">
        <v>1</v>
      </c>
    </row>
    <row r="17" spans="1:31" s="224" customFormat="1" ht="12.95" customHeight="1">
      <c r="A17" s="225">
        <v>9</v>
      </c>
      <c r="B17" s="217"/>
      <c r="C17" s="678"/>
      <c r="D17" s="241" t="s">
        <v>667</v>
      </c>
      <c r="E17" s="241"/>
      <c r="F17" s="241"/>
      <c r="G17" s="241"/>
      <c r="H17" s="714" t="s">
        <v>998</v>
      </c>
      <c r="I17" s="715" t="s">
        <v>999</v>
      </c>
      <c r="J17" s="714" t="s">
        <v>1000</v>
      </c>
      <c r="K17" s="715"/>
      <c r="L17" s="714"/>
      <c r="M17" s="714"/>
      <c r="N17" s="714"/>
      <c r="O17" s="714"/>
      <c r="P17" s="716">
        <v>1</v>
      </c>
      <c r="Q17" s="714" t="s">
        <v>820</v>
      </c>
      <c r="R17" s="714"/>
      <c r="S17" s="714" t="s">
        <v>863</v>
      </c>
      <c r="T17" s="717"/>
      <c r="U17" s="714"/>
      <c r="V17" s="718" t="s">
        <v>864</v>
      </c>
      <c r="W17" s="718" t="s">
        <v>864</v>
      </c>
      <c r="X17" s="718" t="s">
        <v>864</v>
      </c>
      <c r="Y17" s="232"/>
      <c r="Z17" s="719"/>
      <c r="AA17" s="714" t="s">
        <v>992</v>
      </c>
      <c r="AB17" s="720"/>
      <c r="AC17" s="714"/>
      <c r="AD17" s="717">
        <v>1</v>
      </c>
      <c r="AE17" s="717">
        <v>1</v>
      </c>
    </row>
    <row r="18" spans="1:31" s="224" customFormat="1" ht="13.5" customHeight="1">
      <c r="A18" s="225">
        <v>10</v>
      </c>
      <c r="B18" s="217"/>
      <c r="C18" s="678"/>
      <c r="D18" s="241" t="s">
        <v>1001</v>
      </c>
      <c r="E18" s="241"/>
      <c r="F18" s="241"/>
      <c r="G18" s="241"/>
      <c r="H18" s="714" t="s">
        <v>1002</v>
      </c>
      <c r="I18" s="715" t="s">
        <v>1003</v>
      </c>
      <c r="J18" s="714" t="s">
        <v>1004</v>
      </c>
      <c r="K18" s="715"/>
      <c r="L18" s="714"/>
      <c r="M18" s="714"/>
      <c r="N18" s="714"/>
      <c r="O18" s="714"/>
      <c r="P18" s="716">
        <v>1</v>
      </c>
      <c r="Q18" s="714" t="s">
        <v>820</v>
      </c>
      <c r="R18" s="714"/>
      <c r="S18" s="714" t="s">
        <v>863</v>
      </c>
      <c r="T18" s="717"/>
      <c r="U18" s="714"/>
      <c r="V18" s="718" t="s">
        <v>864</v>
      </c>
      <c r="W18" s="718" t="s">
        <v>864</v>
      </c>
      <c r="X18" s="718" t="s">
        <v>864</v>
      </c>
      <c r="Y18" s="232"/>
      <c r="Z18" s="719"/>
      <c r="AA18" s="714" t="s">
        <v>992</v>
      </c>
      <c r="AB18" s="720"/>
      <c r="AC18" s="714"/>
      <c r="AD18" s="717">
        <v>1</v>
      </c>
      <c r="AE18" s="717">
        <v>1</v>
      </c>
    </row>
    <row r="19" spans="1:31" s="224" customFormat="1" ht="13.5" customHeight="1">
      <c r="A19" s="225">
        <v>11</v>
      </c>
      <c r="B19" s="217"/>
      <c r="C19" s="678"/>
      <c r="D19" s="241" t="s">
        <v>767</v>
      </c>
      <c r="E19" s="241"/>
      <c r="F19" s="241"/>
      <c r="G19" s="241"/>
      <c r="H19" s="714" t="s">
        <v>1005</v>
      </c>
      <c r="I19" s="715"/>
      <c r="J19" s="714" t="s">
        <v>939</v>
      </c>
      <c r="K19" s="715"/>
      <c r="L19" s="714"/>
      <c r="M19" s="714"/>
      <c r="N19" s="714"/>
      <c r="O19" s="714"/>
      <c r="P19" s="716"/>
      <c r="Q19" s="714" t="s">
        <v>817</v>
      </c>
      <c r="R19" s="714"/>
      <c r="S19" s="714" t="s">
        <v>863</v>
      </c>
      <c r="T19" s="717"/>
      <c r="U19" s="714"/>
      <c r="V19" s="718" t="s">
        <v>864</v>
      </c>
      <c r="W19" s="718" t="s">
        <v>864</v>
      </c>
      <c r="X19" s="718" t="s">
        <v>864</v>
      </c>
      <c r="Y19" s="232"/>
      <c r="Z19" s="719"/>
      <c r="AA19" s="714" t="s">
        <v>992</v>
      </c>
      <c r="AB19" s="720"/>
      <c r="AC19" s="714"/>
      <c r="AD19" s="717">
        <v>1</v>
      </c>
      <c r="AE19" s="717">
        <v>1</v>
      </c>
    </row>
    <row r="20" spans="1:31" s="224" customFormat="1" ht="13.5" customHeight="1">
      <c r="A20" s="225">
        <v>12</v>
      </c>
      <c r="B20" s="217"/>
      <c r="C20" s="678" t="s">
        <v>993</v>
      </c>
      <c r="D20" s="241" t="s">
        <v>1623</v>
      </c>
      <c r="E20" s="241"/>
      <c r="F20" s="241"/>
      <c r="G20" s="241"/>
      <c r="H20" s="714" t="s">
        <v>987</v>
      </c>
      <c r="I20" s="715"/>
      <c r="J20" s="714" t="s">
        <v>995</v>
      </c>
      <c r="K20" s="715"/>
      <c r="L20" s="714" t="s">
        <v>989</v>
      </c>
      <c r="M20" s="714" t="s">
        <v>990</v>
      </c>
      <c r="N20" s="714"/>
      <c r="O20" s="714"/>
      <c r="P20" s="716">
        <v>1</v>
      </c>
      <c r="Q20" s="714" t="s">
        <v>817</v>
      </c>
      <c r="R20" s="714" t="s">
        <v>864</v>
      </c>
      <c r="S20" s="714" t="s">
        <v>1621</v>
      </c>
      <c r="T20" s="717"/>
      <c r="U20" s="714" t="s">
        <v>1624</v>
      </c>
      <c r="V20" s="718" t="s">
        <v>864</v>
      </c>
      <c r="W20" s="718" t="s">
        <v>864</v>
      </c>
      <c r="X20" s="718" t="s">
        <v>864</v>
      </c>
      <c r="Y20" s="232"/>
      <c r="Z20" s="719"/>
      <c r="AA20" s="714" t="s">
        <v>992</v>
      </c>
      <c r="AB20" s="720"/>
      <c r="AC20" s="714"/>
      <c r="AD20" s="717">
        <v>1</v>
      </c>
      <c r="AE20" s="717">
        <v>1</v>
      </c>
    </row>
    <row r="21" spans="1:31" s="224" customFormat="1" ht="13.5" customHeight="1">
      <c r="A21" s="225">
        <v>13</v>
      </c>
      <c r="B21" s="217"/>
      <c r="C21" s="678" t="s">
        <v>1006</v>
      </c>
      <c r="D21" s="241" t="s">
        <v>1623</v>
      </c>
      <c r="E21" s="241"/>
      <c r="F21" s="241"/>
      <c r="G21" s="241"/>
      <c r="H21" s="714" t="s">
        <v>1007</v>
      </c>
      <c r="I21" s="715"/>
      <c r="J21" s="714" t="s">
        <v>1008</v>
      </c>
      <c r="K21" s="715"/>
      <c r="L21" s="714"/>
      <c r="M21" s="714"/>
      <c r="N21" s="714"/>
      <c r="O21" s="714"/>
      <c r="P21" s="716">
        <v>1</v>
      </c>
      <c r="Q21" s="714" t="s">
        <v>823</v>
      </c>
      <c r="R21" s="714" t="s">
        <v>864</v>
      </c>
      <c r="S21" s="714" t="s">
        <v>1621</v>
      </c>
      <c r="T21" s="717"/>
      <c r="U21" s="714" t="s">
        <v>1625</v>
      </c>
      <c r="V21" s="718" t="s">
        <v>864</v>
      </c>
      <c r="W21" s="718" t="s">
        <v>864</v>
      </c>
      <c r="X21" s="718" t="s">
        <v>864</v>
      </c>
      <c r="Y21" s="232"/>
      <c r="Z21" s="719"/>
      <c r="AA21" s="714" t="s">
        <v>992</v>
      </c>
      <c r="AB21" s="720"/>
      <c r="AC21" s="714"/>
      <c r="AD21" s="717">
        <v>1</v>
      </c>
      <c r="AE21" s="717">
        <v>1</v>
      </c>
    </row>
    <row r="22" spans="1:31" s="224" customFormat="1" ht="13.5" customHeight="1">
      <c r="A22" s="225">
        <v>14</v>
      </c>
      <c r="B22" s="217"/>
      <c r="C22" s="678" t="s">
        <v>1009</v>
      </c>
      <c r="D22" s="241" t="s">
        <v>1623</v>
      </c>
      <c r="E22" s="241"/>
      <c r="F22" s="241"/>
      <c r="G22" s="241"/>
      <c r="H22" s="714" t="s">
        <v>1010</v>
      </c>
      <c r="I22" s="715"/>
      <c r="J22" s="714" t="s">
        <v>1011</v>
      </c>
      <c r="K22" s="715"/>
      <c r="L22" s="714"/>
      <c r="M22" s="714"/>
      <c r="N22" s="714"/>
      <c r="O22" s="714"/>
      <c r="P22" s="716">
        <v>1</v>
      </c>
      <c r="Q22" s="714" t="s">
        <v>817</v>
      </c>
      <c r="R22" s="714" t="s">
        <v>864</v>
      </c>
      <c r="S22" s="714" t="s">
        <v>1621</v>
      </c>
      <c r="T22" s="717"/>
      <c r="U22" s="263" t="s">
        <v>1626</v>
      </c>
      <c r="V22" s="718" t="s">
        <v>864</v>
      </c>
      <c r="W22" s="718" t="s">
        <v>864</v>
      </c>
      <c r="X22" s="718" t="s">
        <v>864</v>
      </c>
      <c r="Y22" s="232"/>
      <c r="Z22" s="719"/>
      <c r="AA22" s="714" t="s">
        <v>992</v>
      </c>
      <c r="AB22" s="720"/>
      <c r="AC22" s="714"/>
      <c r="AD22" s="717">
        <v>1</v>
      </c>
      <c r="AE22" s="717"/>
    </row>
    <row r="23" spans="1:31" s="224" customFormat="1" ht="13.5" customHeight="1">
      <c r="A23" s="225">
        <v>15</v>
      </c>
      <c r="B23" s="217"/>
      <c r="C23" s="678" t="s">
        <v>1012</v>
      </c>
      <c r="D23" s="241"/>
      <c r="E23" s="241"/>
      <c r="F23" s="241"/>
      <c r="G23" s="241"/>
      <c r="H23" s="263"/>
      <c r="I23" s="715"/>
      <c r="J23" s="714"/>
      <c r="K23" s="714" t="s">
        <v>1013</v>
      </c>
      <c r="L23" s="714"/>
      <c r="M23" s="714"/>
      <c r="N23" s="714"/>
      <c r="O23" s="714"/>
      <c r="P23" s="716"/>
      <c r="Q23" s="714" t="s">
        <v>817</v>
      </c>
      <c r="R23" s="714" t="s">
        <v>864</v>
      </c>
      <c r="S23" s="243" t="s">
        <v>1014</v>
      </c>
      <c r="T23" s="717"/>
      <c r="U23" s="714"/>
      <c r="V23" s="718"/>
      <c r="W23" s="718" t="s">
        <v>864</v>
      </c>
      <c r="X23" s="718"/>
      <c r="Y23" s="232"/>
      <c r="Z23" s="719"/>
      <c r="AA23" s="714" t="s">
        <v>1015</v>
      </c>
      <c r="AB23" s="720"/>
      <c r="AC23" s="714"/>
      <c r="AD23" s="717"/>
      <c r="AE23" s="717">
        <v>1</v>
      </c>
    </row>
    <row r="24" spans="1:31" s="224" customFormat="1" ht="13.5" customHeight="1">
      <c r="A24" s="225">
        <v>16</v>
      </c>
      <c r="B24" s="217"/>
      <c r="C24" s="678"/>
      <c r="D24" s="241" t="s">
        <v>495</v>
      </c>
      <c r="E24" s="241"/>
      <c r="F24" s="241"/>
      <c r="G24" s="241"/>
      <c r="H24" s="263" t="s">
        <v>1016</v>
      </c>
      <c r="I24" s="715"/>
      <c r="J24" s="714"/>
      <c r="K24" s="714" t="s">
        <v>888</v>
      </c>
      <c r="L24" s="714"/>
      <c r="M24" s="714"/>
      <c r="N24" s="714"/>
      <c r="O24" s="714"/>
      <c r="P24" s="716"/>
      <c r="Q24" s="714" t="s">
        <v>817</v>
      </c>
      <c r="R24" s="714"/>
      <c r="S24" s="714" t="s">
        <v>863</v>
      </c>
      <c r="T24" s="717" t="s">
        <v>864</v>
      </c>
      <c r="U24" s="714" t="s">
        <v>1017</v>
      </c>
      <c r="V24" s="718"/>
      <c r="W24" s="718" t="s">
        <v>864</v>
      </c>
      <c r="X24" s="718"/>
      <c r="Y24" s="232"/>
      <c r="Z24" s="719"/>
      <c r="AA24" s="266" t="s">
        <v>1018</v>
      </c>
      <c r="AB24" s="720"/>
      <c r="AC24" s="714"/>
      <c r="AD24" s="717"/>
      <c r="AE24" s="717">
        <v>1</v>
      </c>
    </row>
    <row r="25" spans="1:31" s="224" customFormat="1" ht="13.5" customHeight="1">
      <c r="A25" s="225">
        <v>17</v>
      </c>
      <c r="B25" s="217"/>
      <c r="C25" s="678"/>
      <c r="D25" s="241" t="s">
        <v>967</v>
      </c>
      <c r="E25" s="241"/>
      <c r="F25" s="241"/>
      <c r="G25" s="241"/>
      <c r="H25" s="714" t="s">
        <v>1019</v>
      </c>
      <c r="I25" s="715" t="s">
        <v>1020</v>
      </c>
      <c r="J25" s="714"/>
      <c r="K25" s="714" t="s">
        <v>970</v>
      </c>
      <c r="L25" s="714"/>
      <c r="M25" s="714"/>
      <c r="N25" s="714"/>
      <c r="O25" s="714"/>
      <c r="P25" s="716"/>
      <c r="Q25" s="714" t="s">
        <v>817</v>
      </c>
      <c r="R25" s="714"/>
      <c r="S25" s="714" t="s">
        <v>863</v>
      </c>
      <c r="T25" s="717" t="s">
        <v>864</v>
      </c>
      <c r="U25" s="714" t="s">
        <v>1627</v>
      </c>
      <c r="V25" s="718"/>
      <c r="W25" s="718" t="s">
        <v>864</v>
      </c>
      <c r="X25" s="718"/>
      <c r="Y25" s="232"/>
      <c r="Z25" s="719"/>
      <c r="AA25" s="266" t="s">
        <v>1022</v>
      </c>
      <c r="AB25" s="720"/>
      <c r="AC25" s="714"/>
      <c r="AD25" s="717"/>
      <c r="AE25" s="717">
        <v>1</v>
      </c>
    </row>
    <row r="26" spans="1:31" s="224" customFormat="1" ht="13.5" customHeight="1">
      <c r="A26" s="225">
        <v>18</v>
      </c>
      <c r="B26" s="217"/>
      <c r="C26" s="678"/>
      <c r="D26" s="678" t="s">
        <v>1023</v>
      </c>
      <c r="E26" s="241"/>
      <c r="F26" s="241"/>
      <c r="G26" s="241"/>
      <c r="H26" s="263" t="s">
        <v>1024</v>
      </c>
      <c r="I26" s="131" t="s">
        <v>1025</v>
      </c>
      <c r="J26" s="714"/>
      <c r="K26" s="715" t="s">
        <v>1026</v>
      </c>
      <c r="L26" s="714"/>
      <c r="M26" s="714"/>
      <c r="N26" s="714"/>
      <c r="O26" s="714"/>
      <c r="P26" s="716"/>
      <c r="Q26" s="714" t="s">
        <v>817</v>
      </c>
      <c r="R26" s="714"/>
      <c r="S26" s="714" t="s">
        <v>863</v>
      </c>
      <c r="T26" s="374"/>
      <c r="U26" s="715" t="s">
        <v>1628</v>
      </c>
      <c r="V26" s="718"/>
      <c r="W26" s="718" t="s">
        <v>864</v>
      </c>
      <c r="X26" s="718"/>
      <c r="Y26" s="232"/>
      <c r="Z26" s="387" t="s">
        <v>1027</v>
      </c>
      <c r="AA26" s="714" t="s">
        <v>1028</v>
      </c>
      <c r="AB26" s="720"/>
      <c r="AC26" s="714"/>
      <c r="AD26" s="717"/>
      <c r="AE26" s="717">
        <v>1</v>
      </c>
    </row>
    <row r="27" spans="1:31" s="224" customFormat="1" ht="13.5" customHeight="1">
      <c r="A27" s="225">
        <v>19</v>
      </c>
      <c r="B27" s="217"/>
      <c r="C27" s="678"/>
      <c r="D27" s="678" t="s">
        <v>1029</v>
      </c>
      <c r="E27" s="241"/>
      <c r="F27" s="241"/>
      <c r="G27" s="241"/>
      <c r="H27" s="714" t="s">
        <v>980</v>
      </c>
      <c r="I27" s="715" t="s">
        <v>981</v>
      </c>
      <c r="J27" s="714"/>
      <c r="K27" s="715" t="s">
        <v>982</v>
      </c>
      <c r="L27" s="714"/>
      <c r="M27" s="714"/>
      <c r="N27" s="714"/>
      <c r="O27" s="714"/>
      <c r="P27" s="716"/>
      <c r="Q27" s="714" t="s">
        <v>817</v>
      </c>
      <c r="R27" s="714"/>
      <c r="S27" s="714" t="s">
        <v>863</v>
      </c>
      <c r="T27" s="717"/>
      <c r="U27" s="263" t="s">
        <v>1629</v>
      </c>
      <c r="V27" s="718"/>
      <c r="W27" s="718" t="s">
        <v>864</v>
      </c>
      <c r="X27" s="718"/>
      <c r="Y27" s="232"/>
      <c r="Z27" s="392" t="s">
        <v>983</v>
      </c>
      <c r="AA27" s="263" t="s">
        <v>984</v>
      </c>
      <c r="AB27" s="720"/>
      <c r="AC27" s="714"/>
      <c r="AD27" s="717"/>
      <c r="AE27" s="717">
        <v>1</v>
      </c>
    </row>
    <row r="28" spans="1:31" s="224" customFormat="1" ht="13.5" customHeight="1">
      <c r="A28" s="225">
        <v>20</v>
      </c>
      <c r="B28" s="217"/>
      <c r="C28" s="678" t="s">
        <v>1030</v>
      </c>
      <c r="D28" s="241"/>
      <c r="E28" s="241"/>
      <c r="F28" s="241"/>
      <c r="G28" s="241"/>
      <c r="H28" s="714"/>
      <c r="I28" s="715"/>
      <c r="J28" s="714" t="s">
        <v>1031</v>
      </c>
      <c r="K28" s="715"/>
      <c r="L28" s="714"/>
      <c r="M28" s="714"/>
      <c r="N28" s="714"/>
      <c r="O28" s="714"/>
      <c r="P28" s="716"/>
      <c r="Q28" s="714" t="s">
        <v>817</v>
      </c>
      <c r="R28" s="714" t="s">
        <v>864</v>
      </c>
      <c r="S28" s="243" t="s">
        <v>1031</v>
      </c>
      <c r="T28" s="717"/>
      <c r="U28" s="714"/>
      <c r="V28" s="718" t="s">
        <v>864</v>
      </c>
      <c r="W28" s="718"/>
      <c r="X28" s="718" t="s">
        <v>864</v>
      </c>
      <c r="Y28" s="232"/>
      <c r="Z28" s="719"/>
      <c r="AA28" s="714"/>
      <c r="AB28" s="720"/>
      <c r="AC28" s="714"/>
      <c r="AD28" s="717">
        <v>1</v>
      </c>
      <c r="AE28" s="717">
        <v>1</v>
      </c>
    </row>
    <row r="29" spans="1:31" s="224" customFormat="1" ht="13.5" customHeight="1">
      <c r="A29" s="225">
        <v>21</v>
      </c>
      <c r="B29" s="217"/>
      <c r="C29" s="678"/>
      <c r="D29" s="241" t="s">
        <v>1032</v>
      </c>
      <c r="E29" s="241"/>
      <c r="F29" s="241"/>
      <c r="G29" s="241"/>
      <c r="H29" s="714" t="s">
        <v>1033</v>
      </c>
      <c r="I29" s="715" t="s">
        <v>1034</v>
      </c>
      <c r="J29" s="714" t="s">
        <v>1035</v>
      </c>
      <c r="K29" s="715"/>
      <c r="L29" s="714" t="s">
        <v>1036</v>
      </c>
      <c r="M29" s="714" t="s">
        <v>1037</v>
      </c>
      <c r="N29" s="714"/>
      <c r="O29" s="714"/>
      <c r="P29" s="716"/>
      <c r="Q29" s="714" t="s">
        <v>817</v>
      </c>
      <c r="R29" s="714"/>
      <c r="S29" s="714" t="s">
        <v>863</v>
      </c>
      <c r="T29" s="717" t="s">
        <v>864</v>
      </c>
      <c r="U29" s="714" t="s">
        <v>1038</v>
      </c>
      <c r="V29" s="718" t="s">
        <v>864</v>
      </c>
      <c r="W29" s="718"/>
      <c r="X29" s="718" t="s">
        <v>864</v>
      </c>
      <c r="Y29" s="232"/>
      <c r="Z29" s="719"/>
      <c r="AA29" s="714"/>
      <c r="AB29" s="720"/>
      <c r="AC29" s="714"/>
      <c r="AD29" s="717">
        <v>1</v>
      </c>
      <c r="AE29" s="717">
        <v>1</v>
      </c>
    </row>
    <row r="30" spans="1:31" s="224" customFormat="1" ht="13.5" customHeight="1">
      <c r="A30" s="225">
        <v>22</v>
      </c>
      <c r="B30" s="217"/>
      <c r="C30" s="678"/>
      <c r="D30" s="241" t="s">
        <v>1039</v>
      </c>
      <c r="E30" s="241"/>
      <c r="F30" s="241"/>
      <c r="G30" s="241"/>
      <c r="H30" s="714" t="s">
        <v>1040</v>
      </c>
      <c r="I30" s="715" t="s">
        <v>1041</v>
      </c>
      <c r="J30" s="714" t="s">
        <v>1042</v>
      </c>
      <c r="K30" s="715"/>
      <c r="L30" s="714"/>
      <c r="M30" s="714"/>
      <c r="N30" s="714"/>
      <c r="O30" s="714"/>
      <c r="P30" s="716"/>
      <c r="Q30" s="714" t="s">
        <v>817</v>
      </c>
      <c r="R30" s="714"/>
      <c r="S30" s="714" t="s">
        <v>863</v>
      </c>
      <c r="T30" s="717" t="s">
        <v>864</v>
      </c>
      <c r="U30" s="714" t="s">
        <v>1043</v>
      </c>
      <c r="V30" s="718" t="s">
        <v>864</v>
      </c>
      <c r="W30" s="718"/>
      <c r="X30" s="718"/>
      <c r="Y30" s="232"/>
      <c r="Z30" s="719"/>
      <c r="AA30" s="714"/>
      <c r="AB30" s="720" t="s">
        <v>1044</v>
      </c>
      <c r="AC30" s="714"/>
      <c r="AD30" s="717">
        <v>1</v>
      </c>
      <c r="AE30" s="717">
        <v>1</v>
      </c>
    </row>
    <row r="31" spans="1:31" s="224" customFormat="1" ht="13.5" customHeight="1">
      <c r="A31" s="225">
        <v>23</v>
      </c>
      <c r="B31" s="217"/>
      <c r="C31" s="678"/>
      <c r="D31" s="241" t="s">
        <v>1045</v>
      </c>
      <c r="E31" s="241"/>
      <c r="F31" s="241"/>
      <c r="G31" s="241"/>
      <c r="H31" s="714" t="s">
        <v>1046</v>
      </c>
      <c r="I31" s="715" t="s">
        <v>1047</v>
      </c>
      <c r="J31" s="714" t="s">
        <v>939</v>
      </c>
      <c r="K31" s="715"/>
      <c r="L31" s="714"/>
      <c r="M31" s="714"/>
      <c r="N31" s="714"/>
      <c r="O31" s="714"/>
      <c r="P31" s="716"/>
      <c r="Q31" s="714" t="s">
        <v>817</v>
      </c>
      <c r="R31" s="714"/>
      <c r="S31" s="714" t="s">
        <v>863</v>
      </c>
      <c r="T31" s="717"/>
      <c r="U31" s="714"/>
      <c r="V31" s="718" t="s">
        <v>864</v>
      </c>
      <c r="W31" s="718"/>
      <c r="X31" s="718"/>
      <c r="Y31" s="232"/>
      <c r="Z31" s="719"/>
      <c r="AA31" s="714"/>
      <c r="AB31" s="720"/>
      <c r="AC31" s="714"/>
      <c r="AD31" s="717">
        <v>1</v>
      </c>
      <c r="AE31" s="717">
        <v>1</v>
      </c>
    </row>
    <row r="32" spans="1:31" s="224" customFormat="1" ht="13.5" customHeight="1">
      <c r="A32" s="225">
        <v>27</v>
      </c>
      <c r="B32" s="217" t="s">
        <v>1630</v>
      </c>
      <c r="C32" s="216"/>
      <c r="D32" s="217"/>
      <c r="E32" s="217"/>
      <c r="F32" s="217"/>
      <c r="G32" s="217"/>
      <c r="H32" s="714" t="s">
        <v>1631</v>
      </c>
      <c r="I32" s="715"/>
      <c r="J32" s="714" t="s">
        <v>1053</v>
      </c>
      <c r="K32" s="715" t="s">
        <v>1054</v>
      </c>
      <c r="L32" s="714"/>
      <c r="M32" s="714"/>
      <c r="N32" s="714"/>
      <c r="O32" s="714"/>
      <c r="P32" s="716"/>
      <c r="Q32" s="714" t="s">
        <v>820</v>
      </c>
      <c r="R32" s="714" t="s">
        <v>864</v>
      </c>
      <c r="S32" s="243" t="s">
        <v>1054</v>
      </c>
      <c r="T32" s="281"/>
      <c r="U32" s="714"/>
      <c r="V32" s="718" t="s">
        <v>864</v>
      </c>
      <c r="W32" s="718" t="s">
        <v>864</v>
      </c>
      <c r="X32" s="718" t="s">
        <v>864</v>
      </c>
      <c r="Y32" s="232"/>
      <c r="Z32" s="719"/>
      <c r="AA32" s="714"/>
      <c r="AB32" s="720"/>
      <c r="AC32" s="714"/>
      <c r="AD32" s="717">
        <v>1</v>
      </c>
      <c r="AE32" s="717">
        <v>1</v>
      </c>
    </row>
    <row r="33" spans="1:1018" s="224" customFormat="1" ht="13.5" customHeight="1">
      <c r="A33" s="225">
        <v>28</v>
      </c>
      <c r="B33" s="217"/>
      <c r="C33" s="217" t="s">
        <v>1055</v>
      </c>
      <c r="D33" s="217"/>
      <c r="E33" s="217"/>
      <c r="F33" s="217"/>
      <c r="G33" s="217"/>
      <c r="H33" s="714" t="s">
        <v>1056</v>
      </c>
      <c r="I33" s="715" t="s">
        <v>1057</v>
      </c>
      <c r="J33" s="714" t="s">
        <v>1058</v>
      </c>
      <c r="K33" s="715"/>
      <c r="L33" s="714"/>
      <c r="M33" s="714"/>
      <c r="N33" s="714"/>
      <c r="O33" s="714"/>
      <c r="P33" s="716"/>
      <c r="Q33" s="714" t="s">
        <v>820</v>
      </c>
      <c r="R33" s="714"/>
      <c r="S33" s="714" t="s">
        <v>863</v>
      </c>
      <c r="T33" s="717"/>
      <c r="U33" s="714"/>
      <c r="V33" s="718" t="s">
        <v>864</v>
      </c>
      <c r="W33" s="718" t="s">
        <v>864</v>
      </c>
      <c r="X33" s="718" t="s">
        <v>864</v>
      </c>
      <c r="Y33" s="232"/>
      <c r="Z33" s="719"/>
      <c r="AA33" s="714"/>
      <c r="AB33" s="720"/>
      <c r="AC33" s="714"/>
      <c r="AD33" s="717">
        <v>1</v>
      </c>
      <c r="AE33" s="717">
        <v>1</v>
      </c>
    </row>
    <row r="34" spans="1:1018" s="249" customFormat="1" ht="13.5" customHeight="1">
      <c r="A34" s="225">
        <v>29</v>
      </c>
      <c r="B34" s="217"/>
      <c r="C34" s="219" t="s">
        <v>1059</v>
      </c>
      <c r="D34" s="219"/>
      <c r="E34" s="220"/>
      <c r="F34" s="220"/>
      <c r="G34" s="220"/>
      <c r="H34" s="714" t="s">
        <v>1632</v>
      </c>
      <c r="I34" s="715" t="s">
        <v>1061</v>
      </c>
      <c r="J34" s="714" t="s">
        <v>1062</v>
      </c>
      <c r="K34" s="715"/>
      <c r="L34" s="714"/>
      <c r="M34" s="714"/>
      <c r="N34" s="714"/>
      <c r="O34" s="714"/>
      <c r="P34" s="252"/>
      <c r="Q34" s="714" t="s">
        <v>817</v>
      </c>
      <c r="R34" s="714"/>
      <c r="S34" s="714" t="s">
        <v>863</v>
      </c>
      <c r="T34" s="717"/>
      <c r="U34" s="714"/>
      <c r="V34" s="718" t="s">
        <v>864</v>
      </c>
      <c r="W34" s="718" t="s">
        <v>864</v>
      </c>
      <c r="X34" s="718" t="s">
        <v>864</v>
      </c>
      <c r="Y34" s="232"/>
      <c r="Z34" s="719"/>
      <c r="AA34" s="714"/>
      <c r="AB34" s="720"/>
      <c r="AC34" s="714"/>
      <c r="AD34" s="717">
        <v>1</v>
      </c>
      <c r="AE34" s="717"/>
    </row>
    <row r="35" spans="1:1018" s="224" customFormat="1" ht="13.5" customHeight="1">
      <c r="A35" s="225">
        <v>30</v>
      </c>
      <c r="B35" s="217"/>
      <c r="C35" s="217" t="s">
        <v>1063</v>
      </c>
      <c r="D35" s="217"/>
      <c r="E35" s="217"/>
      <c r="F35" s="217"/>
      <c r="G35" s="217"/>
      <c r="H35" s="263" t="s">
        <v>1064</v>
      </c>
      <c r="I35" s="715" t="s">
        <v>1065</v>
      </c>
      <c r="J35" s="714" t="s">
        <v>871</v>
      </c>
      <c r="K35" s="715"/>
      <c r="L35" s="714" t="s">
        <v>1066</v>
      </c>
      <c r="M35" s="714" t="s">
        <v>1067</v>
      </c>
      <c r="N35" s="714"/>
      <c r="O35" s="714"/>
      <c r="P35" s="252"/>
      <c r="Q35" s="714" t="s">
        <v>817</v>
      </c>
      <c r="R35" s="714"/>
      <c r="S35" s="714" t="s">
        <v>863</v>
      </c>
      <c r="T35" s="717"/>
      <c r="U35" s="714"/>
      <c r="V35" s="718" t="s">
        <v>864</v>
      </c>
      <c r="W35" s="718" t="s">
        <v>864</v>
      </c>
      <c r="X35" s="718" t="s">
        <v>864</v>
      </c>
      <c r="Y35" s="232"/>
      <c r="Z35" s="719"/>
      <c r="AA35" s="714"/>
      <c r="AB35" s="720"/>
      <c r="AC35" s="714"/>
      <c r="AD35" s="717">
        <v>1</v>
      </c>
      <c r="AE35" s="717">
        <v>1</v>
      </c>
    </row>
    <row r="36" spans="1:1018" s="224" customFormat="1" ht="13.5" customHeight="1">
      <c r="A36" s="225">
        <v>31</v>
      </c>
      <c r="B36" s="217"/>
      <c r="C36" s="241" t="s">
        <v>1068</v>
      </c>
      <c r="D36" s="221"/>
      <c r="E36" s="221"/>
      <c r="F36" s="221"/>
      <c r="G36" s="221"/>
      <c r="H36" s="714" t="s">
        <v>1069</v>
      </c>
      <c r="I36" s="722"/>
      <c r="J36" s="714"/>
      <c r="K36" s="500" t="s">
        <v>1070</v>
      </c>
      <c r="L36" s="714"/>
      <c r="M36" s="714"/>
      <c r="N36" s="714"/>
      <c r="O36" s="714"/>
      <c r="P36" s="716"/>
      <c r="Q36" s="714" t="s">
        <v>823</v>
      </c>
      <c r="R36" s="714" t="s">
        <v>864</v>
      </c>
      <c r="S36" s="501" t="s">
        <v>1070</v>
      </c>
      <c r="T36" s="717"/>
      <c r="U36" s="717"/>
      <c r="V36" s="375" t="s">
        <v>864</v>
      </c>
      <c r="W36" s="260" t="s">
        <v>864</v>
      </c>
      <c r="X36" s="718" t="s">
        <v>864</v>
      </c>
      <c r="Y36" s="232"/>
      <c r="Z36" s="719"/>
      <c r="AA36" s="714"/>
      <c r="AB36" s="720"/>
      <c r="AC36" s="714"/>
      <c r="AD36" s="717"/>
      <c r="AE36" s="717">
        <v>1</v>
      </c>
    </row>
    <row r="37" spans="1:1018" s="224" customFormat="1" ht="13.5" customHeight="1">
      <c r="A37" s="225">
        <v>32</v>
      </c>
      <c r="B37" s="217"/>
      <c r="C37" s="241"/>
      <c r="D37" s="241" t="s">
        <v>1071</v>
      </c>
      <c r="E37" s="241"/>
      <c r="F37" s="241"/>
      <c r="G37" s="241"/>
      <c r="H37" s="714" t="s">
        <v>1072</v>
      </c>
      <c r="I37" s="722" t="s">
        <v>1073</v>
      </c>
      <c r="J37" s="714"/>
      <c r="K37" s="715" t="s">
        <v>908</v>
      </c>
      <c r="L37" s="714"/>
      <c r="M37" s="714"/>
      <c r="N37" s="714"/>
      <c r="O37" s="714"/>
      <c r="P37" s="716"/>
      <c r="Q37" s="714" t="s">
        <v>820</v>
      </c>
      <c r="R37" s="714"/>
      <c r="S37" s="714" t="s">
        <v>863</v>
      </c>
      <c r="T37" s="717" t="s">
        <v>864</v>
      </c>
      <c r="U37" s="715" t="s">
        <v>1074</v>
      </c>
      <c r="V37" s="375" t="s">
        <v>864</v>
      </c>
      <c r="W37" s="260" t="s">
        <v>864</v>
      </c>
      <c r="X37" s="718" t="s">
        <v>864</v>
      </c>
      <c r="Y37" s="232"/>
      <c r="Z37" s="266" t="s">
        <v>1075</v>
      </c>
      <c r="AA37" s="714" t="s">
        <v>1076</v>
      </c>
      <c r="AB37" s="245"/>
      <c r="AC37" s="714"/>
      <c r="AD37" s="717"/>
      <c r="AE37" s="717">
        <v>1</v>
      </c>
    </row>
    <row r="38" spans="1:1018" s="224" customFormat="1" ht="13.5" customHeight="1">
      <c r="A38" s="225">
        <v>33</v>
      </c>
      <c r="B38" s="217"/>
      <c r="C38" s="241"/>
      <c r="D38" s="241" t="s">
        <v>1077</v>
      </c>
      <c r="E38" s="241"/>
      <c r="F38" s="241"/>
      <c r="G38" s="241"/>
      <c r="H38" s="714" t="s">
        <v>1078</v>
      </c>
      <c r="I38" s="722" t="s">
        <v>1079</v>
      </c>
      <c r="J38" s="714"/>
      <c r="K38" s="715" t="s">
        <v>1080</v>
      </c>
      <c r="L38" s="714"/>
      <c r="M38" s="714"/>
      <c r="N38" s="714"/>
      <c r="O38" s="714"/>
      <c r="P38" s="716"/>
      <c r="Q38" s="714" t="s">
        <v>820</v>
      </c>
      <c r="R38" s="714"/>
      <c r="S38" s="714" t="s">
        <v>863</v>
      </c>
      <c r="T38" s="717"/>
      <c r="U38" s="717"/>
      <c r="V38" s="375" t="s">
        <v>864</v>
      </c>
      <c r="W38" s="260" t="s">
        <v>864</v>
      </c>
      <c r="X38" s="718" t="s">
        <v>864</v>
      </c>
      <c r="Y38" s="232"/>
      <c r="Z38" s="719"/>
      <c r="AA38" s="714"/>
      <c r="AB38" s="245"/>
      <c r="AC38" s="714"/>
      <c r="AD38" s="717"/>
      <c r="AE38" s="717">
        <v>1</v>
      </c>
    </row>
    <row r="39" spans="1:1018" s="224" customFormat="1" ht="13.5" customHeight="1">
      <c r="A39" s="225">
        <v>34</v>
      </c>
      <c r="B39" s="217"/>
      <c r="C39" s="217" t="s">
        <v>1081</v>
      </c>
      <c r="D39" s="221"/>
      <c r="E39" s="221"/>
      <c r="F39" s="221"/>
      <c r="G39" s="221"/>
      <c r="H39" s="714"/>
      <c r="I39" s="715"/>
      <c r="J39" s="714"/>
      <c r="K39" s="715" t="s">
        <v>1082</v>
      </c>
      <c r="L39" s="714"/>
      <c r="M39" s="714"/>
      <c r="N39" s="714"/>
      <c r="O39" s="714"/>
      <c r="P39" s="716"/>
      <c r="Q39" s="714" t="s">
        <v>817</v>
      </c>
      <c r="R39" s="714" t="s">
        <v>864</v>
      </c>
      <c r="S39" s="243" t="s">
        <v>1082</v>
      </c>
      <c r="T39" s="717"/>
      <c r="U39" s="714"/>
      <c r="V39" s="718" t="s">
        <v>864</v>
      </c>
      <c r="W39" s="718" t="s">
        <v>864</v>
      </c>
      <c r="X39" s="718" t="s">
        <v>864</v>
      </c>
      <c r="Y39" s="232"/>
      <c r="Z39" s="719"/>
      <c r="AA39" s="714"/>
      <c r="AB39" s="720"/>
      <c r="AC39" s="714"/>
      <c r="AD39" s="717">
        <v>1</v>
      </c>
      <c r="AE39" s="717">
        <v>1</v>
      </c>
    </row>
    <row r="40" spans="1:1018" s="224" customFormat="1" ht="13.5" customHeight="1">
      <c r="A40" s="225">
        <v>35</v>
      </c>
      <c r="B40" s="217"/>
      <c r="C40" s="217"/>
      <c r="D40" s="678" t="s">
        <v>1083</v>
      </c>
      <c r="E40" s="253"/>
      <c r="F40" s="239"/>
      <c r="G40" s="239"/>
      <c r="H40" s="714" t="s">
        <v>1633</v>
      </c>
      <c r="I40" s="715" t="s">
        <v>1085</v>
      </c>
      <c r="J40" s="714" t="s">
        <v>1086</v>
      </c>
      <c r="K40" s="715" t="s">
        <v>1087</v>
      </c>
      <c r="L40" s="714"/>
      <c r="M40" s="714"/>
      <c r="N40" s="714"/>
      <c r="O40" s="714"/>
      <c r="P40" s="716"/>
      <c r="Q40" s="714" t="s">
        <v>820</v>
      </c>
      <c r="R40" s="714"/>
      <c r="S40" s="714" t="s">
        <v>863</v>
      </c>
      <c r="T40" s="717"/>
      <c r="U40" s="714" t="s">
        <v>1088</v>
      </c>
      <c r="V40" s="718" t="s">
        <v>864</v>
      </c>
      <c r="W40" s="718" t="s">
        <v>864</v>
      </c>
      <c r="X40" s="718" t="s">
        <v>864</v>
      </c>
      <c r="Y40" s="232"/>
      <c r="Z40" s="719"/>
      <c r="AA40" s="714"/>
      <c r="AB40" s="720"/>
      <c r="AC40" s="714"/>
      <c r="AD40" s="717">
        <v>1</v>
      </c>
      <c r="AE40" s="717">
        <v>1</v>
      </c>
    </row>
    <row r="41" spans="1:1018" s="254" customFormat="1" ht="13.5" customHeight="1">
      <c r="A41" s="225">
        <v>36</v>
      </c>
      <c r="B41" s="217"/>
      <c r="C41" s="222"/>
      <c r="D41" s="678" t="s">
        <v>1089</v>
      </c>
      <c r="E41" s="221"/>
      <c r="F41" s="221"/>
      <c r="G41" s="221"/>
      <c r="H41" s="714" t="s">
        <v>1090</v>
      </c>
      <c r="I41" s="715" t="s">
        <v>1091</v>
      </c>
      <c r="J41" s="714"/>
      <c r="K41" s="715" t="s">
        <v>1092</v>
      </c>
      <c r="L41" s="714" t="s">
        <v>1093</v>
      </c>
      <c r="M41" s="714" t="s">
        <v>254</v>
      </c>
      <c r="N41" s="714"/>
      <c r="O41" s="714"/>
      <c r="P41" s="716"/>
      <c r="Q41" s="714" t="s">
        <v>817</v>
      </c>
      <c r="R41" s="714"/>
      <c r="S41" s="714" t="s">
        <v>863</v>
      </c>
      <c r="T41" s="717"/>
      <c r="U41" s="714"/>
      <c r="V41" s="718" t="s">
        <v>864</v>
      </c>
      <c r="W41" s="718" t="s">
        <v>864</v>
      </c>
      <c r="X41" s="718" t="s">
        <v>864</v>
      </c>
      <c r="Y41" s="232"/>
      <c r="Z41" s="719"/>
      <c r="AA41" s="714"/>
      <c r="AB41" s="720"/>
      <c r="AC41" s="714"/>
      <c r="AD41" s="717">
        <v>1</v>
      </c>
      <c r="AE41" s="717">
        <v>1</v>
      </c>
    </row>
    <row r="42" spans="1:1018" s="254" customFormat="1" ht="13.5" customHeight="1">
      <c r="A42" s="225">
        <v>37</v>
      </c>
      <c r="B42" s="217"/>
      <c r="C42" s="222"/>
      <c r="D42" s="678" t="s">
        <v>1094</v>
      </c>
      <c r="E42" s="221"/>
      <c r="F42" s="221"/>
      <c r="G42" s="221"/>
      <c r="H42" s="714"/>
      <c r="I42" s="715"/>
      <c r="J42" s="714"/>
      <c r="K42" s="715" t="s">
        <v>1095</v>
      </c>
      <c r="L42" s="714" t="s">
        <v>1096</v>
      </c>
      <c r="M42" s="714" t="s">
        <v>1097</v>
      </c>
      <c r="N42" s="714"/>
      <c r="O42" s="714"/>
      <c r="P42" s="716"/>
      <c r="Q42" s="714" t="s">
        <v>817</v>
      </c>
      <c r="R42" s="714" t="s">
        <v>864</v>
      </c>
      <c r="S42" s="243" t="s">
        <v>1095</v>
      </c>
      <c r="T42" s="717"/>
      <c r="U42" s="714"/>
      <c r="V42" s="718" t="s">
        <v>864</v>
      </c>
      <c r="W42" s="718" t="s">
        <v>864</v>
      </c>
      <c r="X42" s="718" t="s">
        <v>864</v>
      </c>
      <c r="Y42" s="232"/>
      <c r="Z42" s="719"/>
      <c r="AA42" s="714"/>
      <c r="AB42" s="720"/>
      <c r="AC42" s="714"/>
      <c r="AD42" s="717">
        <v>1</v>
      </c>
      <c r="AE42" s="717">
        <v>1</v>
      </c>
    </row>
    <row r="43" spans="1:1018" s="254" customFormat="1" ht="13.5" customHeight="1">
      <c r="A43" s="225">
        <v>38</v>
      </c>
      <c r="B43" s="217"/>
      <c r="C43" s="222"/>
      <c r="D43" s="241"/>
      <c r="E43" s="241" t="s">
        <v>1098</v>
      </c>
      <c r="F43" s="241"/>
      <c r="G43" s="241"/>
      <c r="H43" s="714" t="s">
        <v>1099</v>
      </c>
      <c r="I43" s="715" t="s">
        <v>1100</v>
      </c>
      <c r="J43" s="714"/>
      <c r="K43" s="715" t="s">
        <v>1087</v>
      </c>
      <c r="L43" s="714"/>
      <c r="M43" s="714"/>
      <c r="N43" s="714"/>
      <c r="O43" s="714"/>
      <c r="P43" s="716"/>
      <c r="Q43" s="714" t="s">
        <v>820</v>
      </c>
      <c r="R43" s="714"/>
      <c r="S43" s="714" t="s">
        <v>863</v>
      </c>
      <c r="T43" s="717"/>
      <c r="U43" s="714" t="s">
        <v>1101</v>
      </c>
      <c r="V43" s="718" t="s">
        <v>864</v>
      </c>
      <c r="W43" s="718" t="s">
        <v>864</v>
      </c>
      <c r="X43" s="718" t="s">
        <v>864</v>
      </c>
      <c r="Y43" s="232"/>
      <c r="Z43" s="719"/>
      <c r="AA43" s="714"/>
      <c r="AB43" s="720"/>
      <c r="AC43" s="714"/>
      <c r="AD43" s="717">
        <v>1</v>
      </c>
      <c r="AE43" s="717">
        <v>1</v>
      </c>
    </row>
    <row r="44" spans="1:1018" s="224" customFormat="1" ht="13.5" customHeight="1">
      <c r="A44" s="225">
        <v>39</v>
      </c>
      <c r="B44" s="217"/>
      <c r="C44" s="217"/>
      <c r="D44" s="241"/>
      <c r="E44" s="241" t="s">
        <v>1102</v>
      </c>
      <c r="F44" s="241"/>
      <c r="G44" s="241"/>
      <c r="H44" s="714" t="s">
        <v>1634</v>
      </c>
      <c r="I44" s="715" t="s">
        <v>1103</v>
      </c>
      <c r="J44" s="714"/>
      <c r="K44" s="715" t="s">
        <v>970</v>
      </c>
      <c r="L44" s="714"/>
      <c r="M44" s="714"/>
      <c r="N44" s="714"/>
      <c r="O44" s="714"/>
      <c r="P44" s="716"/>
      <c r="Q44" s="714" t="s">
        <v>817</v>
      </c>
      <c r="R44" s="714"/>
      <c r="S44" s="714" t="s">
        <v>863</v>
      </c>
      <c r="T44" s="717"/>
      <c r="U44" s="714"/>
      <c r="V44" s="718" t="s">
        <v>864</v>
      </c>
      <c r="W44" s="718" t="s">
        <v>864</v>
      </c>
      <c r="X44" s="718" t="s">
        <v>864</v>
      </c>
      <c r="Y44" s="232"/>
      <c r="Z44" s="719"/>
      <c r="AA44" s="714"/>
      <c r="AB44" s="720"/>
      <c r="AC44" s="714"/>
      <c r="AD44" s="717">
        <v>1</v>
      </c>
      <c r="AE44" s="717">
        <v>1</v>
      </c>
    </row>
    <row r="45" spans="1:1018" s="224" customFormat="1" ht="13.5" customHeight="1">
      <c r="A45" s="225">
        <v>40</v>
      </c>
      <c r="B45" s="217"/>
      <c r="C45" s="217"/>
      <c r="D45" s="241"/>
      <c r="E45" s="241" t="s">
        <v>1104</v>
      </c>
      <c r="F45" s="241"/>
      <c r="G45" s="241"/>
      <c r="H45" s="714" t="s">
        <v>1635</v>
      </c>
      <c r="I45" s="715" t="s">
        <v>1105</v>
      </c>
      <c r="J45" s="714"/>
      <c r="K45" s="715" t="s">
        <v>871</v>
      </c>
      <c r="L45" s="714"/>
      <c r="M45" s="714"/>
      <c r="N45" s="714"/>
      <c r="O45" s="714"/>
      <c r="P45" s="716"/>
      <c r="Q45" s="714" t="s">
        <v>817</v>
      </c>
      <c r="R45" s="714"/>
      <c r="S45" s="714" t="s">
        <v>863</v>
      </c>
      <c r="T45" s="717"/>
      <c r="U45" s="714"/>
      <c r="V45" s="718" t="s">
        <v>864</v>
      </c>
      <c r="W45" s="718" t="s">
        <v>864</v>
      </c>
      <c r="X45" s="718" t="s">
        <v>864</v>
      </c>
      <c r="Y45" s="232"/>
      <c r="Z45" s="719"/>
      <c r="AA45" s="714"/>
      <c r="AB45" s="720"/>
      <c r="AC45" s="714"/>
      <c r="AD45" s="717">
        <v>1</v>
      </c>
      <c r="AE45" s="717">
        <v>1</v>
      </c>
    </row>
    <row r="46" spans="1:1018" s="224" customFormat="1" ht="13.5" customHeight="1">
      <c r="A46" s="225">
        <v>41</v>
      </c>
      <c r="B46" s="217"/>
      <c r="C46" s="217" t="s">
        <v>1106</v>
      </c>
      <c r="D46" s="221"/>
      <c r="E46" s="221"/>
      <c r="F46" s="221"/>
      <c r="G46" s="221"/>
      <c r="H46" s="714"/>
      <c r="I46" s="715"/>
      <c r="J46" s="714"/>
      <c r="K46" s="715" t="s">
        <v>1107</v>
      </c>
      <c r="L46" s="714"/>
      <c r="M46" s="714"/>
      <c r="N46" s="714"/>
      <c r="O46" s="714"/>
      <c r="P46" s="716"/>
      <c r="Q46" s="714" t="s">
        <v>817</v>
      </c>
      <c r="R46" s="714" t="s">
        <v>864</v>
      </c>
      <c r="S46" s="243" t="s">
        <v>1107</v>
      </c>
      <c r="T46" s="717"/>
      <c r="U46" s="714"/>
      <c r="V46" s="718" t="s">
        <v>864</v>
      </c>
      <c r="W46" s="718" t="s">
        <v>864</v>
      </c>
      <c r="X46" s="718" t="s">
        <v>864</v>
      </c>
      <c r="Y46" s="232"/>
      <c r="Z46" s="719"/>
      <c r="AA46" s="714"/>
      <c r="AB46" s="720"/>
      <c r="AC46" s="714"/>
      <c r="AD46" s="717"/>
      <c r="AE46" s="717">
        <v>1</v>
      </c>
    </row>
    <row r="47" spans="1:1018" s="231" customFormat="1" ht="13.5" customHeight="1">
      <c r="A47" s="225">
        <v>42</v>
      </c>
      <c r="B47" s="217"/>
      <c r="C47" s="217"/>
      <c r="D47" s="241" t="s">
        <v>388</v>
      </c>
      <c r="E47" s="217"/>
      <c r="F47" s="217"/>
      <c r="G47" s="217"/>
      <c r="H47" s="714" t="s">
        <v>1108</v>
      </c>
      <c r="I47" s="715" t="s">
        <v>1109</v>
      </c>
      <c r="J47" s="714" t="s">
        <v>1107</v>
      </c>
      <c r="K47" s="715" t="s">
        <v>871</v>
      </c>
      <c r="L47" s="714" t="s">
        <v>1110</v>
      </c>
      <c r="M47" s="714" t="s">
        <v>388</v>
      </c>
      <c r="N47" s="714"/>
      <c r="O47" s="714"/>
      <c r="P47" s="252"/>
      <c r="Q47" s="714" t="s">
        <v>817</v>
      </c>
      <c r="R47" s="714"/>
      <c r="S47" s="714" t="s">
        <v>863</v>
      </c>
      <c r="T47" s="717"/>
      <c r="U47" s="714"/>
      <c r="V47" s="718" t="s">
        <v>864</v>
      </c>
      <c r="W47" s="718" t="s">
        <v>864</v>
      </c>
      <c r="X47" s="718" t="s">
        <v>864</v>
      </c>
      <c r="Y47" s="232"/>
      <c r="Z47" s="719"/>
      <c r="AA47" s="255"/>
      <c r="AB47" s="245" t="s">
        <v>1111</v>
      </c>
      <c r="AC47" s="714"/>
      <c r="AD47" s="717">
        <v>1</v>
      </c>
      <c r="AE47" s="717">
        <v>1</v>
      </c>
      <c r="AF47" s="725"/>
      <c r="AG47" s="725"/>
      <c r="AH47" s="725"/>
      <c r="AI47" s="725"/>
      <c r="AJ47" s="725"/>
      <c r="AK47" s="725"/>
      <c r="AL47" s="725"/>
      <c r="AM47" s="725"/>
      <c r="AN47" s="725"/>
      <c r="AO47" s="725"/>
      <c r="AP47" s="725"/>
      <c r="AQ47" s="725"/>
      <c r="AR47" s="725"/>
      <c r="AS47" s="725"/>
      <c r="AT47" s="725"/>
      <c r="AU47" s="725"/>
      <c r="AV47" s="725"/>
      <c r="AW47" s="725"/>
      <c r="AX47" s="725"/>
      <c r="AY47" s="725"/>
      <c r="AZ47" s="725"/>
      <c r="BA47" s="725"/>
      <c r="BB47" s="725"/>
      <c r="BC47" s="725"/>
      <c r="BD47" s="725"/>
      <c r="BE47" s="725"/>
      <c r="BF47" s="725"/>
      <c r="BG47" s="725"/>
      <c r="BH47" s="725"/>
      <c r="BI47" s="725"/>
      <c r="BJ47" s="725"/>
      <c r="BK47" s="725"/>
      <c r="BL47" s="725"/>
      <c r="BM47" s="725"/>
      <c r="BN47" s="725"/>
      <c r="BO47" s="725"/>
      <c r="BP47" s="725"/>
      <c r="BQ47" s="725"/>
      <c r="BR47" s="725"/>
      <c r="BS47" s="725"/>
      <c r="BT47" s="725"/>
      <c r="BU47" s="725"/>
      <c r="BV47" s="725"/>
      <c r="BW47" s="725"/>
      <c r="BX47" s="725"/>
      <c r="BY47" s="725"/>
      <c r="BZ47" s="725"/>
      <c r="CA47" s="725"/>
      <c r="CB47" s="725"/>
      <c r="CC47" s="725"/>
      <c r="CD47" s="725"/>
      <c r="CE47" s="725"/>
      <c r="CF47" s="725"/>
      <c r="CG47" s="725"/>
      <c r="CH47" s="725"/>
      <c r="CI47" s="725"/>
      <c r="CJ47" s="725"/>
      <c r="CK47" s="725"/>
      <c r="CL47" s="725"/>
      <c r="CM47" s="725"/>
      <c r="CN47" s="725"/>
      <c r="CO47" s="725"/>
      <c r="CP47" s="725"/>
      <c r="CQ47" s="725"/>
      <c r="CR47" s="725"/>
      <c r="CS47" s="725"/>
      <c r="CT47" s="725"/>
      <c r="CU47" s="725"/>
      <c r="CV47" s="725"/>
      <c r="CW47" s="725"/>
      <c r="CX47" s="725"/>
      <c r="CY47" s="725"/>
      <c r="CZ47" s="725"/>
      <c r="DA47" s="725"/>
      <c r="DB47" s="725"/>
      <c r="DC47" s="725"/>
      <c r="DD47" s="725"/>
      <c r="DE47" s="725"/>
      <c r="DF47" s="725"/>
      <c r="DG47" s="725"/>
      <c r="DH47" s="725"/>
      <c r="DI47" s="725"/>
      <c r="DJ47" s="725"/>
      <c r="DK47" s="725"/>
      <c r="DL47" s="725"/>
      <c r="DM47" s="725"/>
      <c r="DN47" s="725"/>
      <c r="DO47" s="725"/>
      <c r="DP47" s="725"/>
      <c r="DQ47" s="725"/>
      <c r="DR47" s="725"/>
      <c r="DS47" s="725"/>
      <c r="DT47" s="725"/>
      <c r="DU47" s="725"/>
      <c r="DV47" s="725"/>
      <c r="DW47" s="725"/>
      <c r="DX47" s="725"/>
      <c r="DY47" s="725"/>
      <c r="DZ47" s="725"/>
      <c r="EA47" s="725"/>
      <c r="EB47" s="725"/>
      <c r="EC47" s="725"/>
      <c r="ED47" s="725"/>
      <c r="EE47" s="725"/>
      <c r="EF47" s="725"/>
      <c r="EG47" s="725"/>
      <c r="EH47" s="725"/>
      <c r="EI47" s="725"/>
      <c r="EJ47" s="725"/>
      <c r="EK47" s="725"/>
      <c r="EL47" s="725"/>
      <c r="EM47" s="725"/>
      <c r="EN47" s="725"/>
      <c r="EO47" s="725"/>
      <c r="EP47" s="725"/>
      <c r="EQ47" s="725"/>
      <c r="ER47" s="725"/>
      <c r="ES47" s="725"/>
      <c r="ET47" s="725"/>
      <c r="EU47" s="725"/>
      <c r="EV47" s="725"/>
      <c r="EW47" s="725"/>
      <c r="EX47" s="725"/>
      <c r="EY47" s="725"/>
      <c r="EZ47" s="725"/>
      <c r="FA47" s="725"/>
      <c r="FB47" s="725"/>
      <c r="FC47" s="725"/>
      <c r="FD47" s="725"/>
      <c r="FE47" s="725"/>
      <c r="FF47" s="725"/>
      <c r="FG47" s="725"/>
      <c r="FH47" s="725"/>
      <c r="FI47" s="725"/>
      <c r="FJ47" s="725"/>
      <c r="FK47" s="725"/>
      <c r="FL47" s="725"/>
      <c r="FM47" s="725"/>
      <c r="FN47" s="725"/>
      <c r="FO47" s="725"/>
      <c r="FP47" s="725"/>
      <c r="FQ47" s="725"/>
      <c r="FR47" s="725"/>
      <c r="FS47" s="725"/>
      <c r="FT47" s="725"/>
      <c r="FU47" s="725"/>
      <c r="FV47" s="725"/>
      <c r="FW47" s="725"/>
      <c r="FX47" s="725"/>
      <c r="FY47" s="725"/>
      <c r="FZ47" s="725"/>
      <c r="GA47" s="725"/>
      <c r="GB47" s="725"/>
      <c r="GC47" s="725"/>
      <c r="GD47" s="725"/>
      <c r="GE47" s="725"/>
      <c r="GF47" s="725"/>
      <c r="GG47" s="725"/>
      <c r="GH47" s="725"/>
      <c r="GI47" s="725"/>
      <c r="GJ47" s="725"/>
      <c r="GK47" s="725"/>
      <c r="GL47" s="725"/>
      <c r="GM47" s="725"/>
      <c r="GN47" s="725"/>
      <c r="GO47" s="725"/>
      <c r="GP47" s="725"/>
      <c r="GQ47" s="725"/>
      <c r="GR47" s="725"/>
      <c r="GS47" s="725"/>
      <c r="GT47" s="725"/>
      <c r="GU47" s="725"/>
      <c r="GV47" s="725"/>
      <c r="GW47" s="725"/>
      <c r="GX47" s="725"/>
      <c r="GY47" s="725"/>
      <c r="GZ47" s="725"/>
      <c r="HA47" s="725"/>
      <c r="HB47" s="725"/>
      <c r="HC47" s="725"/>
      <c r="HD47" s="725"/>
      <c r="HE47" s="725"/>
      <c r="HF47" s="725"/>
      <c r="HG47" s="725"/>
      <c r="HH47" s="725"/>
      <c r="HI47" s="725"/>
      <c r="HJ47" s="725"/>
      <c r="HK47" s="725"/>
      <c r="HL47" s="725"/>
      <c r="HM47" s="725"/>
      <c r="HN47" s="725"/>
      <c r="HO47" s="725"/>
      <c r="HP47" s="725"/>
      <c r="HQ47" s="725"/>
      <c r="HR47" s="725"/>
      <c r="HS47" s="725"/>
      <c r="HT47" s="725"/>
      <c r="HU47" s="725"/>
      <c r="HV47" s="725"/>
      <c r="HW47" s="725"/>
      <c r="HX47" s="725"/>
      <c r="HY47" s="725"/>
      <c r="HZ47" s="725"/>
      <c r="IA47" s="725"/>
      <c r="IB47" s="725"/>
      <c r="IC47" s="725"/>
      <c r="ID47" s="725"/>
      <c r="IE47" s="725"/>
      <c r="IF47" s="725"/>
      <c r="IG47" s="725"/>
      <c r="IH47" s="725"/>
      <c r="II47" s="725"/>
      <c r="IJ47" s="725"/>
      <c r="IK47" s="725"/>
      <c r="IL47" s="725"/>
      <c r="IM47" s="725"/>
      <c r="IN47" s="725"/>
      <c r="IO47" s="725"/>
      <c r="IP47" s="725"/>
      <c r="IQ47" s="725"/>
      <c r="IR47" s="725"/>
      <c r="IS47" s="725"/>
      <c r="IT47" s="725"/>
      <c r="IU47" s="725"/>
      <c r="IV47" s="725"/>
      <c r="IW47" s="725"/>
      <c r="IX47" s="725"/>
      <c r="IY47" s="725"/>
      <c r="IZ47" s="725"/>
      <c r="JA47" s="725"/>
      <c r="JB47" s="725"/>
      <c r="JC47" s="725"/>
      <c r="JD47" s="725"/>
      <c r="JE47" s="725"/>
      <c r="JF47" s="725"/>
      <c r="JG47" s="725"/>
      <c r="JH47" s="725"/>
      <c r="JI47" s="725"/>
      <c r="JJ47" s="725"/>
      <c r="JK47" s="725"/>
      <c r="JL47" s="725"/>
      <c r="JM47" s="725"/>
      <c r="JN47" s="725"/>
      <c r="JO47" s="725"/>
      <c r="JP47" s="725"/>
      <c r="JQ47" s="725"/>
      <c r="JR47" s="725"/>
      <c r="JS47" s="725"/>
      <c r="JT47" s="725"/>
      <c r="JU47" s="725"/>
      <c r="JV47" s="725"/>
      <c r="JW47" s="725"/>
      <c r="JX47" s="725"/>
      <c r="JY47" s="725"/>
      <c r="JZ47" s="725"/>
      <c r="KA47" s="725"/>
      <c r="KB47" s="725"/>
      <c r="KC47" s="725"/>
      <c r="KD47" s="725"/>
      <c r="KE47" s="725"/>
      <c r="KF47" s="725"/>
      <c r="KG47" s="725"/>
      <c r="KH47" s="725"/>
      <c r="KI47" s="725"/>
      <c r="KJ47" s="725"/>
      <c r="KK47" s="725"/>
      <c r="KL47" s="725"/>
      <c r="KM47" s="725"/>
      <c r="KN47" s="725"/>
      <c r="KO47" s="725"/>
      <c r="KP47" s="725"/>
      <c r="KQ47" s="725"/>
      <c r="KR47" s="725"/>
      <c r="KS47" s="725"/>
      <c r="KT47" s="725"/>
      <c r="KU47" s="725"/>
      <c r="KV47" s="725"/>
      <c r="KW47" s="725"/>
      <c r="KX47" s="725"/>
      <c r="KY47" s="725"/>
      <c r="KZ47" s="725"/>
      <c r="LA47" s="725"/>
      <c r="LB47" s="725"/>
      <c r="LC47" s="725"/>
      <c r="LD47" s="725"/>
      <c r="LE47" s="725"/>
      <c r="LF47" s="725"/>
      <c r="LG47" s="725"/>
      <c r="LH47" s="725"/>
      <c r="LI47" s="725"/>
      <c r="LJ47" s="725"/>
      <c r="LK47" s="725"/>
      <c r="LL47" s="725"/>
      <c r="LM47" s="725"/>
      <c r="LN47" s="725"/>
      <c r="LO47" s="725"/>
      <c r="LP47" s="725"/>
      <c r="LQ47" s="725"/>
      <c r="LR47" s="725"/>
      <c r="LS47" s="725"/>
      <c r="LT47" s="725"/>
      <c r="LU47" s="725"/>
      <c r="LV47" s="725"/>
      <c r="LW47" s="725"/>
      <c r="LX47" s="725"/>
      <c r="LY47" s="725"/>
      <c r="LZ47" s="725"/>
      <c r="MA47" s="725"/>
      <c r="MB47" s="725"/>
      <c r="MC47" s="725"/>
      <c r="MD47" s="725"/>
      <c r="ME47" s="725"/>
      <c r="MF47" s="725"/>
      <c r="MG47" s="725"/>
      <c r="MH47" s="725"/>
      <c r="MI47" s="725"/>
      <c r="MJ47" s="725"/>
      <c r="MK47" s="725"/>
      <c r="ML47" s="725"/>
      <c r="MM47" s="725"/>
      <c r="MN47" s="725"/>
      <c r="MO47" s="725"/>
      <c r="MP47" s="725"/>
      <c r="MQ47" s="725"/>
      <c r="MR47" s="725"/>
      <c r="MS47" s="725"/>
      <c r="MT47" s="725"/>
      <c r="MU47" s="725"/>
      <c r="MV47" s="725"/>
      <c r="MW47" s="725"/>
      <c r="MX47" s="725"/>
      <c r="MY47" s="725"/>
      <c r="MZ47" s="725"/>
      <c r="NA47" s="725"/>
      <c r="NB47" s="725"/>
      <c r="NC47" s="725"/>
      <c r="ND47" s="725"/>
      <c r="NE47" s="725"/>
      <c r="NF47" s="725"/>
      <c r="NG47" s="725"/>
      <c r="NH47" s="725"/>
      <c r="NI47" s="725"/>
      <c r="NJ47" s="725"/>
      <c r="NK47" s="725"/>
      <c r="NL47" s="725"/>
      <c r="NM47" s="725"/>
      <c r="NN47" s="725"/>
      <c r="NO47" s="725"/>
      <c r="NP47" s="725"/>
      <c r="NQ47" s="725"/>
      <c r="NR47" s="725"/>
      <c r="NS47" s="725"/>
      <c r="NT47" s="725"/>
      <c r="NU47" s="725"/>
      <c r="NV47" s="725"/>
      <c r="NW47" s="725"/>
      <c r="NX47" s="725"/>
      <c r="NY47" s="725"/>
      <c r="NZ47" s="725"/>
      <c r="OA47" s="725"/>
      <c r="OB47" s="725"/>
      <c r="OC47" s="725"/>
      <c r="OD47" s="725"/>
      <c r="OE47" s="725"/>
      <c r="OF47" s="725"/>
      <c r="OG47" s="725"/>
      <c r="OH47" s="725"/>
      <c r="OI47" s="725"/>
      <c r="OJ47" s="725"/>
      <c r="OK47" s="725"/>
      <c r="OL47" s="725"/>
      <c r="OM47" s="725"/>
      <c r="ON47" s="725"/>
      <c r="OO47" s="725"/>
      <c r="OP47" s="725"/>
      <c r="OQ47" s="725"/>
      <c r="OR47" s="725"/>
      <c r="OS47" s="725"/>
      <c r="OT47" s="725"/>
      <c r="OU47" s="725"/>
      <c r="OV47" s="725"/>
      <c r="OW47" s="725"/>
      <c r="OX47" s="725"/>
      <c r="OY47" s="725"/>
      <c r="OZ47" s="725"/>
      <c r="PA47" s="725"/>
      <c r="PB47" s="725"/>
      <c r="PC47" s="725"/>
      <c r="PD47" s="725"/>
      <c r="PE47" s="725"/>
      <c r="PF47" s="725"/>
      <c r="PG47" s="725"/>
      <c r="PH47" s="725"/>
      <c r="PI47" s="725"/>
      <c r="PJ47" s="725"/>
      <c r="PK47" s="725"/>
      <c r="PL47" s="725"/>
      <c r="PM47" s="725"/>
      <c r="PN47" s="725"/>
      <c r="PO47" s="725"/>
      <c r="PP47" s="725"/>
      <c r="PQ47" s="725"/>
      <c r="PR47" s="725"/>
      <c r="PS47" s="725"/>
      <c r="PT47" s="725"/>
      <c r="PU47" s="725"/>
      <c r="PV47" s="725"/>
      <c r="PW47" s="725"/>
      <c r="PX47" s="725"/>
      <c r="PY47" s="725"/>
      <c r="PZ47" s="725"/>
      <c r="QA47" s="725"/>
      <c r="QB47" s="725"/>
      <c r="QC47" s="725"/>
      <c r="QD47" s="725"/>
      <c r="QE47" s="725"/>
      <c r="QF47" s="725"/>
      <c r="QG47" s="725"/>
      <c r="QH47" s="725"/>
      <c r="QI47" s="725"/>
      <c r="QJ47" s="725"/>
      <c r="QK47" s="725"/>
      <c r="QL47" s="725"/>
      <c r="QM47" s="725"/>
      <c r="QN47" s="725"/>
      <c r="QO47" s="725"/>
      <c r="QP47" s="725"/>
      <c r="QQ47" s="725"/>
      <c r="QR47" s="725"/>
      <c r="QS47" s="725"/>
      <c r="QT47" s="725"/>
      <c r="QU47" s="725"/>
      <c r="QV47" s="725"/>
      <c r="QW47" s="725"/>
      <c r="QX47" s="725"/>
      <c r="QY47" s="725"/>
      <c r="QZ47" s="725"/>
      <c r="RA47" s="725"/>
      <c r="RB47" s="725"/>
      <c r="RC47" s="725"/>
      <c r="RD47" s="725"/>
      <c r="RE47" s="725"/>
      <c r="RF47" s="725"/>
      <c r="RG47" s="725"/>
      <c r="RH47" s="725"/>
      <c r="RI47" s="725"/>
      <c r="RJ47" s="725"/>
      <c r="RK47" s="725"/>
      <c r="RL47" s="725"/>
      <c r="RM47" s="725"/>
      <c r="RN47" s="725"/>
      <c r="RO47" s="725"/>
      <c r="RP47" s="725"/>
      <c r="RQ47" s="725"/>
      <c r="RR47" s="725"/>
      <c r="RS47" s="725"/>
      <c r="RT47" s="725"/>
      <c r="RU47" s="725"/>
      <c r="RV47" s="725"/>
      <c r="RW47" s="725"/>
      <c r="RX47" s="725"/>
      <c r="RY47" s="725"/>
      <c r="RZ47" s="725"/>
      <c r="SA47" s="725"/>
      <c r="SB47" s="725"/>
      <c r="SC47" s="725"/>
      <c r="SD47" s="725"/>
      <c r="SE47" s="725"/>
      <c r="SF47" s="725"/>
      <c r="SG47" s="725"/>
      <c r="SH47" s="725"/>
      <c r="SI47" s="725"/>
      <c r="SJ47" s="725"/>
      <c r="SK47" s="725"/>
      <c r="SL47" s="725"/>
      <c r="SM47" s="725"/>
      <c r="SN47" s="725"/>
      <c r="SO47" s="725"/>
      <c r="SP47" s="725"/>
      <c r="SQ47" s="725"/>
      <c r="SR47" s="725"/>
      <c r="SS47" s="725"/>
      <c r="ST47" s="725"/>
      <c r="SU47" s="725"/>
      <c r="SV47" s="725"/>
      <c r="SW47" s="725"/>
      <c r="SX47" s="725"/>
      <c r="SY47" s="725"/>
      <c r="SZ47" s="725"/>
      <c r="TA47" s="725"/>
      <c r="TB47" s="725"/>
      <c r="TC47" s="725"/>
      <c r="TD47" s="725"/>
      <c r="TE47" s="725"/>
      <c r="TF47" s="725"/>
      <c r="TG47" s="725"/>
      <c r="TH47" s="725"/>
      <c r="TI47" s="725"/>
      <c r="TJ47" s="725"/>
      <c r="TK47" s="725"/>
      <c r="TL47" s="725"/>
      <c r="TM47" s="725"/>
      <c r="TN47" s="725"/>
      <c r="TO47" s="725"/>
      <c r="TP47" s="725"/>
      <c r="TQ47" s="725"/>
      <c r="TR47" s="725"/>
      <c r="TS47" s="725"/>
      <c r="TT47" s="725"/>
      <c r="TU47" s="725"/>
      <c r="TV47" s="725"/>
      <c r="TW47" s="725"/>
      <c r="TX47" s="725"/>
      <c r="TY47" s="725"/>
      <c r="TZ47" s="725"/>
      <c r="UA47" s="725"/>
      <c r="UB47" s="725"/>
      <c r="UC47" s="725"/>
      <c r="UD47" s="725"/>
      <c r="UE47" s="725"/>
      <c r="UF47" s="725"/>
      <c r="UG47" s="725"/>
      <c r="UH47" s="725"/>
      <c r="UI47" s="725"/>
      <c r="UJ47" s="725"/>
      <c r="UK47" s="725"/>
      <c r="UL47" s="725"/>
      <c r="UM47" s="725"/>
      <c r="UN47" s="725"/>
      <c r="UO47" s="725"/>
      <c r="UP47" s="725"/>
      <c r="UQ47" s="725"/>
      <c r="UR47" s="725"/>
      <c r="US47" s="725"/>
      <c r="UT47" s="725"/>
      <c r="UU47" s="725"/>
      <c r="UV47" s="725"/>
      <c r="UW47" s="725"/>
      <c r="UX47" s="725"/>
      <c r="UY47" s="725"/>
      <c r="UZ47" s="725"/>
      <c r="VA47" s="725"/>
      <c r="VB47" s="725"/>
      <c r="VC47" s="725"/>
      <c r="VD47" s="725"/>
      <c r="VE47" s="725"/>
      <c r="VF47" s="725"/>
      <c r="VG47" s="725"/>
      <c r="VH47" s="725"/>
      <c r="VI47" s="725"/>
      <c r="VJ47" s="725"/>
      <c r="VK47" s="725"/>
      <c r="VL47" s="725"/>
      <c r="VM47" s="725"/>
      <c r="VN47" s="725"/>
      <c r="VO47" s="725"/>
      <c r="VP47" s="725"/>
      <c r="VQ47" s="725"/>
      <c r="VR47" s="725"/>
      <c r="VS47" s="725"/>
      <c r="VT47" s="725"/>
      <c r="VU47" s="725"/>
      <c r="VV47" s="725"/>
      <c r="VW47" s="725"/>
      <c r="VX47" s="725"/>
      <c r="VY47" s="725"/>
      <c r="VZ47" s="725"/>
      <c r="WA47" s="725"/>
      <c r="WB47" s="725"/>
      <c r="WC47" s="725"/>
      <c r="WD47" s="725"/>
      <c r="WE47" s="725"/>
      <c r="WF47" s="725"/>
      <c r="WG47" s="725"/>
      <c r="WH47" s="725"/>
      <c r="WI47" s="725"/>
      <c r="WJ47" s="725"/>
      <c r="WK47" s="725"/>
      <c r="WL47" s="725"/>
      <c r="WM47" s="725"/>
      <c r="WN47" s="725"/>
      <c r="WO47" s="725"/>
      <c r="WP47" s="725"/>
      <c r="WQ47" s="725"/>
      <c r="WR47" s="725"/>
      <c r="WS47" s="725"/>
      <c r="WT47" s="725"/>
      <c r="WU47" s="725"/>
      <c r="WV47" s="725"/>
      <c r="WW47" s="725"/>
      <c r="WX47" s="725"/>
      <c r="WY47" s="725"/>
      <c r="WZ47" s="725"/>
      <c r="XA47" s="725"/>
      <c r="XB47" s="725"/>
      <c r="XC47" s="725"/>
      <c r="XD47" s="725"/>
      <c r="XE47" s="725"/>
      <c r="XF47" s="725"/>
      <c r="XG47" s="725"/>
      <c r="XH47" s="725"/>
      <c r="XI47" s="725"/>
      <c r="XJ47" s="725"/>
      <c r="XK47" s="725"/>
      <c r="XL47" s="725"/>
      <c r="XM47" s="725"/>
      <c r="XN47" s="725"/>
      <c r="XO47" s="725"/>
      <c r="XP47" s="725"/>
      <c r="XQ47" s="725"/>
      <c r="XR47" s="725"/>
      <c r="XS47" s="725"/>
      <c r="XT47" s="725"/>
      <c r="XU47" s="725"/>
      <c r="XV47" s="725"/>
      <c r="XW47" s="725"/>
      <c r="XX47" s="725"/>
      <c r="XY47" s="725"/>
      <c r="XZ47" s="725"/>
      <c r="YA47" s="725"/>
      <c r="YB47" s="725"/>
      <c r="YC47" s="725"/>
      <c r="YD47" s="725"/>
      <c r="YE47" s="725"/>
      <c r="YF47" s="725"/>
      <c r="YG47" s="725"/>
      <c r="YH47" s="725"/>
      <c r="YI47" s="725"/>
      <c r="YJ47" s="725"/>
      <c r="YK47" s="725"/>
      <c r="YL47" s="725"/>
      <c r="YM47" s="725"/>
      <c r="YN47" s="725"/>
      <c r="YO47" s="725"/>
      <c r="YP47" s="725"/>
      <c r="YQ47" s="725"/>
      <c r="YR47" s="725"/>
      <c r="YS47" s="725"/>
      <c r="YT47" s="725"/>
      <c r="YU47" s="725"/>
      <c r="YV47" s="725"/>
      <c r="YW47" s="725"/>
      <c r="YX47" s="725"/>
      <c r="YY47" s="725"/>
      <c r="YZ47" s="725"/>
      <c r="ZA47" s="725"/>
      <c r="ZB47" s="725"/>
      <c r="ZC47" s="725"/>
      <c r="ZD47" s="725"/>
      <c r="ZE47" s="725"/>
      <c r="ZF47" s="725"/>
      <c r="ZG47" s="725"/>
      <c r="ZH47" s="725"/>
      <c r="ZI47" s="725"/>
      <c r="ZJ47" s="725"/>
      <c r="ZK47" s="725"/>
      <c r="ZL47" s="725"/>
      <c r="ZM47" s="725"/>
      <c r="ZN47" s="725"/>
      <c r="ZO47" s="725"/>
      <c r="ZP47" s="725"/>
      <c r="ZQ47" s="725"/>
      <c r="ZR47" s="725"/>
      <c r="ZS47" s="725"/>
      <c r="ZT47" s="725"/>
      <c r="ZU47" s="725"/>
      <c r="ZV47" s="725"/>
      <c r="ZW47" s="725"/>
      <c r="ZX47" s="725"/>
      <c r="ZY47" s="725"/>
      <c r="ZZ47" s="725"/>
      <c r="AAA47" s="725"/>
      <c r="AAB47" s="725"/>
      <c r="AAC47" s="725"/>
      <c r="AAD47" s="725"/>
      <c r="AAE47" s="725"/>
      <c r="AAF47" s="725"/>
      <c r="AAG47" s="725"/>
      <c r="AAH47" s="725"/>
      <c r="AAI47" s="725"/>
      <c r="AAJ47" s="725"/>
      <c r="AAK47" s="725"/>
      <c r="AAL47" s="725"/>
      <c r="AAM47" s="725"/>
      <c r="AAN47" s="725"/>
      <c r="AAO47" s="725"/>
      <c r="AAP47" s="725"/>
      <c r="AAQ47" s="725"/>
      <c r="AAR47" s="725"/>
      <c r="AAS47" s="725"/>
      <c r="AAT47" s="725"/>
      <c r="AAU47" s="725"/>
      <c r="AAV47" s="725"/>
      <c r="AAW47" s="725"/>
      <c r="AAX47" s="725"/>
      <c r="AAY47" s="725"/>
      <c r="AAZ47" s="725"/>
      <c r="ABA47" s="725"/>
      <c r="ABB47" s="725"/>
      <c r="ABC47" s="725"/>
      <c r="ABD47" s="725"/>
      <c r="ABE47" s="725"/>
      <c r="ABF47" s="725"/>
      <c r="ABG47" s="725"/>
      <c r="ABH47" s="725"/>
      <c r="ABI47" s="725"/>
      <c r="ABJ47" s="725"/>
      <c r="ABK47" s="725"/>
      <c r="ABL47" s="725"/>
      <c r="ABM47" s="725"/>
      <c r="ABN47" s="725"/>
      <c r="ABO47" s="725"/>
      <c r="ABP47" s="725"/>
      <c r="ABQ47" s="725"/>
      <c r="ABR47" s="725"/>
      <c r="ABS47" s="725"/>
      <c r="ABT47" s="725"/>
      <c r="ABU47" s="725"/>
      <c r="ABV47" s="725"/>
      <c r="ABW47" s="725"/>
      <c r="ABX47" s="725"/>
      <c r="ABY47" s="725"/>
      <c r="ABZ47" s="725"/>
      <c r="ACA47" s="725"/>
      <c r="ACB47" s="725"/>
      <c r="ACC47" s="725"/>
      <c r="ACD47" s="725"/>
      <c r="ACE47" s="725"/>
      <c r="ACF47" s="725"/>
      <c r="ACG47" s="725"/>
      <c r="ACH47" s="725"/>
      <c r="ACI47" s="725"/>
      <c r="ACJ47" s="725"/>
      <c r="ACK47" s="725"/>
      <c r="ACL47" s="725"/>
      <c r="ACM47" s="725"/>
      <c r="ACN47" s="725"/>
      <c r="ACO47" s="725"/>
      <c r="ACP47" s="725"/>
      <c r="ACQ47" s="725"/>
      <c r="ACR47" s="725"/>
      <c r="ACS47" s="725"/>
      <c r="ACT47" s="725"/>
      <c r="ACU47" s="725"/>
      <c r="ACV47" s="725"/>
      <c r="ACW47" s="725"/>
      <c r="ACX47" s="725"/>
      <c r="ACY47" s="725"/>
      <c r="ACZ47" s="725"/>
      <c r="ADA47" s="725"/>
      <c r="ADB47" s="725"/>
      <c r="ADC47" s="725"/>
      <c r="ADD47" s="725"/>
      <c r="ADE47" s="725"/>
      <c r="ADF47" s="725"/>
      <c r="ADG47" s="725"/>
      <c r="ADH47" s="725"/>
      <c r="ADI47" s="725"/>
      <c r="ADJ47" s="725"/>
      <c r="ADK47" s="725"/>
      <c r="ADL47" s="725"/>
      <c r="ADM47" s="725"/>
      <c r="ADN47" s="725"/>
      <c r="ADO47" s="725"/>
      <c r="ADP47" s="725"/>
      <c r="ADQ47" s="725"/>
      <c r="ADR47" s="725"/>
      <c r="ADS47" s="725"/>
      <c r="ADT47" s="725"/>
      <c r="ADU47" s="725"/>
      <c r="ADV47" s="725"/>
      <c r="ADW47" s="725"/>
      <c r="ADX47" s="725"/>
      <c r="ADY47" s="725"/>
      <c r="ADZ47" s="725"/>
      <c r="AEA47" s="725"/>
      <c r="AEB47" s="725"/>
      <c r="AEC47" s="725"/>
      <c r="AED47" s="725"/>
      <c r="AEE47" s="725"/>
      <c r="AEF47" s="725"/>
      <c r="AEG47" s="725"/>
      <c r="AEH47" s="725"/>
      <c r="AEI47" s="725"/>
      <c r="AEJ47" s="725"/>
      <c r="AEK47" s="725"/>
      <c r="AEL47" s="725"/>
      <c r="AEM47" s="725"/>
      <c r="AEN47" s="725"/>
      <c r="AEO47" s="725"/>
      <c r="AEP47" s="725"/>
      <c r="AEQ47" s="725"/>
      <c r="AER47" s="725"/>
      <c r="AES47" s="725"/>
      <c r="AET47" s="725"/>
      <c r="AEU47" s="725"/>
      <c r="AEV47" s="725"/>
      <c r="AEW47" s="725"/>
      <c r="AEX47" s="725"/>
      <c r="AEY47" s="725"/>
      <c r="AEZ47" s="725"/>
      <c r="AFA47" s="725"/>
      <c r="AFB47" s="725"/>
      <c r="AFC47" s="725"/>
      <c r="AFD47" s="725"/>
      <c r="AFE47" s="725"/>
      <c r="AFF47" s="725"/>
      <c r="AFG47" s="725"/>
      <c r="AFH47" s="725"/>
      <c r="AFI47" s="725"/>
      <c r="AFJ47" s="725"/>
      <c r="AFK47" s="725"/>
      <c r="AFL47" s="725"/>
      <c r="AFM47" s="725"/>
      <c r="AFN47" s="725"/>
      <c r="AFO47" s="725"/>
      <c r="AFP47" s="725"/>
      <c r="AFQ47" s="725"/>
      <c r="AFR47" s="725"/>
      <c r="AFS47" s="725"/>
      <c r="AFT47" s="725"/>
      <c r="AFU47" s="725"/>
      <c r="AFV47" s="725"/>
      <c r="AFW47" s="725"/>
      <c r="AFX47" s="725"/>
      <c r="AFY47" s="725"/>
      <c r="AFZ47" s="725"/>
      <c r="AGA47" s="725"/>
      <c r="AGB47" s="725"/>
      <c r="AGC47" s="725"/>
      <c r="AGD47" s="725"/>
      <c r="AGE47" s="725"/>
      <c r="AGF47" s="725"/>
      <c r="AGG47" s="725"/>
      <c r="AGH47" s="725"/>
      <c r="AGI47" s="725"/>
      <c r="AGJ47" s="725"/>
      <c r="AGK47" s="725"/>
      <c r="AGL47" s="725"/>
      <c r="AGM47" s="725"/>
      <c r="AGN47" s="725"/>
      <c r="AGO47" s="725"/>
      <c r="AGP47" s="725"/>
      <c r="AGQ47" s="725"/>
      <c r="AGR47" s="725"/>
      <c r="AGS47" s="725"/>
      <c r="AGT47" s="725"/>
      <c r="AGU47" s="725"/>
      <c r="AGV47" s="725"/>
      <c r="AGW47" s="725"/>
      <c r="AGX47" s="725"/>
      <c r="AGY47" s="725"/>
      <c r="AGZ47" s="725"/>
      <c r="AHA47" s="725"/>
      <c r="AHB47" s="725"/>
      <c r="AHC47" s="725"/>
      <c r="AHD47" s="725"/>
      <c r="AHE47" s="725"/>
      <c r="AHF47" s="725"/>
      <c r="AHG47" s="725"/>
      <c r="AHH47" s="725"/>
      <c r="AHI47" s="725"/>
      <c r="AHJ47" s="725"/>
      <c r="AHK47" s="725"/>
      <c r="AHL47" s="725"/>
      <c r="AHM47" s="725"/>
      <c r="AHN47" s="725"/>
      <c r="AHO47" s="725"/>
      <c r="AHP47" s="725"/>
      <c r="AHQ47" s="725"/>
      <c r="AHR47" s="725"/>
      <c r="AHS47" s="725"/>
      <c r="AHT47" s="725"/>
      <c r="AHU47" s="725"/>
      <c r="AHV47" s="725"/>
      <c r="AHW47" s="725"/>
      <c r="AHX47" s="725"/>
      <c r="AHY47" s="725"/>
      <c r="AHZ47" s="725"/>
      <c r="AIA47" s="725"/>
      <c r="AIB47" s="725"/>
      <c r="AIC47" s="725"/>
      <c r="AID47" s="725"/>
      <c r="AIE47" s="725"/>
      <c r="AIF47" s="725"/>
      <c r="AIG47" s="725"/>
      <c r="AIH47" s="725"/>
      <c r="AII47" s="725"/>
      <c r="AIJ47" s="725"/>
      <c r="AIK47" s="725"/>
      <c r="AIL47" s="725"/>
      <c r="AIM47" s="725"/>
      <c r="AIN47" s="725"/>
      <c r="AIO47" s="725"/>
      <c r="AIP47" s="725"/>
      <c r="AIQ47" s="725"/>
      <c r="AIR47" s="725"/>
      <c r="AIS47" s="725"/>
      <c r="AIT47" s="725"/>
      <c r="AIU47" s="725"/>
      <c r="AIV47" s="725"/>
      <c r="AIW47" s="725"/>
      <c r="AIX47" s="725"/>
      <c r="AIY47" s="725"/>
      <c r="AIZ47" s="725"/>
      <c r="AJA47" s="725"/>
      <c r="AJB47" s="725"/>
      <c r="AJC47" s="725"/>
      <c r="AJD47" s="725"/>
      <c r="AJE47" s="725"/>
      <c r="AJF47" s="725"/>
      <c r="AJG47" s="725"/>
      <c r="AJH47" s="725"/>
      <c r="AJI47" s="725"/>
      <c r="AJJ47" s="725"/>
      <c r="AJK47" s="725"/>
      <c r="AJL47" s="725"/>
      <c r="AJM47" s="725"/>
      <c r="AJN47" s="725"/>
      <c r="AJO47" s="725"/>
      <c r="AJP47" s="725"/>
      <c r="AJQ47" s="725"/>
      <c r="AJR47" s="725"/>
      <c r="AJS47" s="725"/>
      <c r="AJT47" s="725"/>
      <c r="AJU47" s="725"/>
      <c r="AJV47" s="725"/>
      <c r="AJW47" s="725"/>
      <c r="AJX47" s="725"/>
      <c r="AJY47" s="725"/>
      <c r="AJZ47" s="725"/>
      <c r="AKA47" s="725"/>
      <c r="AKB47" s="725"/>
      <c r="AKC47" s="725"/>
      <c r="AKD47" s="725"/>
      <c r="AKE47" s="725"/>
      <c r="AKF47" s="725"/>
      <c r="AKG47" s="725"/>
      <c r="AKH47" s="725"/>
      <c r="AKI47" s="725"/>
      <c r="AKJ47" s="725"/>
      <c r="AKK47" s="725"/>
      <c r="AKL47" s="725"/>
      <c r="AKM47" s="725"/>
      <c r="AKN47" s="725"/>
      <c r="AKO47" s="725"/>
      <c r="AKP47" s="725"/>
      <c r="AKQ47" s="725"/>
      <c r="AKR47" s="725"/>
      <c r="AKS47" s="725"/>
      <c r="AKT47" s="725"/>
      <c r="AKU47" s="725"/>
      <c r="AKV47" s="725"/>
      <c r="AKW47" s="725"/>
      <c r="AKX47" s="725"/>
      <c r="AKY47" s="725"/>
      <c r="AKZ47" s="725"/>
      <c r="ALA47" s="725"/>
      <c r="ALB47" s="725"/>
      <c r="ALC47" s="725"/>
      <c r="ALD47" s="725"/>
      <c r="ALE47" s="725"/>
      <c r="ALF47" s="725"/>
      <c r="ALG47" s="725"/>
      <c r="ALH47" s="725"/>
      <c r="ALI47" s="725"/>
      <c r="ALJ47" s="725"/>
      <c r="ALK47" s="725"/>
      <c r="ALL47" s="725"/>
      <c r="ALM47" s="725"/>
      <c r="ALN47" s="725"/>
      <c r="ALO47" s="725"/>
      <c r="ALP47" s="725"/>
      <c r="ALQ47" s="725"/>
      <c r="ALR47" s="725"/>
      <c r="ALS47" s="725"/>
      <c r="ALT47" s="725"/>
      <c r="ALU47" s="725"/>
      <c r="ALV47" s="725"/>
      <c r="ALW47" s="725"/>
      <c r="ALX47" s="725"/>
      <c r="ALY47" s="725"/>
      <c r="ALZ47" s="725"/>
      <c r="AMA47" s="725"/>
      <c r="AMB47" s="725"/>
      <c r="AMC47" s="725"/>
      <c r="AMD47" s="725"/>
    </row>
    <row r="48" spans="1:1018" s="224" customFormat="1" ht="13.5" customHeight="1">
      <c r="A48" s="225">
        <v>43</v>
      </c>
      <c r="B48" s="217"/>
      <c r="C48" s="217"/>
      <c r="D48" s="241" t="s">
        <v>392</v>
      </c>
      <c r="E48" s="217"/>
      <c r="F48" s="217"/>
      <c r="G48" s="217"/>
      <c r="H48" s="714" t="s">
        <v>1112</v>
      </c>
      <c r="I48" s="715">
        <v>59350</v>
      </c>
      <c r="J48" s="714" t="s">
        <v>1113</v>
      </c>
      <c r="K48" s="715" t="s">
        <v>1114</v>
      </c>
      <c r="L48" s="714" t="s">
        <v>1115</v>
      </c>
      <c r="M48" s="714" t="s">
        <v>392</v>
      </c>
      <c r="N48" s="714"/>
      <c r="O48" s="714"/>
      <c r="P48" s="252"/>
      <c r="Q48" s="714" t="s">
        <v>817</v>
      </c>
      <c r="R48" s="714"/>
      <c r="S48" s="714" t="s">
        <v>863</v>
      </c>
      <c r="T48" s="717"/>
      <c r="U48" s="714" t="s">
        <v>1116</v>
      </c>
      <c r="V48" s="718" t="s">
        <v>864</v>
      </c>
      <c r="W48" s="718" t="s">
        <v>864</v>
      </c>
      <c r="X48" s="718" t="s">
        <v>864</v>
      </c>
      <c r="Y48" s="232"/>
      <c r="Z48" s="719"/>
      <c r="AA48" s="714"/>
      <c r="AB48" s="720"/>
      <c r="AC48" s="714"/>
      <c r="AD48" s="717">
        <v>1</v>
      </c>
      <c r="AE48" s="717">
        <v>1</v>
      </c>
    </row>
    <row r="49" spans="1:31" s="224" customFormat="1" ht="13.5" customHeight="1">
      <c r="A49" s="225">
        <v>44</v>
      </c>
      <c r="B49" s="217"/>
      <c r="C49" s="217"/>
      <c r="D49" s="241" t="s">
        <v>1117</v>
      </c>
      <c r="E49" s="241"/>
      <c r="F49" s="241"/>
      <c r="G49" s="241"/>
      <c r="H49" s="263" t="s">
        <v>1636</v>
      </c>
      <c r="I49" s="715" t="s">
        <v>1119</v>
      </c>
      <c r="J49" s="714"/>
      <c r="K49" s="715" t="s">
        <v>1120</v>
      </c>
      <c r="L49" s="714"/>
      <c r="M49" s="714"/>
      <c r="N49" s="714"/>
      <c r="O49" s="714"/>
      <c r="P49" s="716"/>
      <c r="Q49" s="714" t="s">
        <v>817</v>
      </c>
      <c r="R49" s="714"/>
      <c r="S49" s="721" t="s">
        <v>863</v>
      </c>
      <c r="T49" s="282"/>
      <c r="U49" s="714"/>
      <c r="V49" s="718" t="s">
        <v>864</v>
      </c>
      <c r="W49" s="718" t="s">
        <v>864</v>
      </c>
      <c r="X49" s="718" t="s">
        <v>864</v>
      </c>
      <c r="Y49" s="232"/>
      <c r="Z49" s="719"/>
      <c r="AA49" s="714"/>
      <c r="AB49" s="720"/>
      <c r="AC49" s="714"/>
      <c r="AD49" s="717"/>
      <c r="AE49" s="717">
        <v>1</v>
      </c>
    </row>
    <row r="50" spans="1:31" s="256" customFormat="1" ht="12.75" customHeight="1">
      <c r="A50" s="225">
        <v>45</v>
      </c>
      <c r="B50" s="217"/>
      <c r="C50" s="217" t="s">
        <v>1121</v>
      </c>
      <c r="D50" s="221"/>
      <c r="E50" s="221"/>
      <c r="F50" s="221"/>
      <c r="G50" s="221"/>
      <c r="H50" s="714" t="s">
        <v>1637</v>
      </c>
      <c r="I50" s="715"/>
      <c r="J50" s="714"/>
      <c r="K50" s="715" t="s">
        <v>1123</v>
      </c>
      <c r="L50" s="714"/>
      <c r="M50" s="714"/>
      <c r="N50" s="714"/>
      <c r="O50" s="714"/>
      <c r="P50" s="716"/>
      <c r="Q50" s="714" t="s">
        <v>817</v>
      </c>
      <c r="R50" s="714" t="s">
        <v>864</v>
      </c>
      <c r="S50" s="243" t="s">
        <v>1123</v>
      </c>
      <c r="T50" s="717"/>
      <c r="U50" s="714"/>
      <c r="V50" s="718" t="s">
        <v>864</v>
      </c>
      <c r="W50" s="718" t="s">
        <v>864</v>
      </c>
      <c r="X50" s="718" t="s">
        <v>864</v>
      </c>
      <c r="Y50" s="232"/>
      <c r="Z50" s="719"/>
      <c r="AA50" s="714"/>
      <c r="AB50" s="720"/>
      <c r="AC50" s="714"/>
      <c r="AD50" s="717">
        <v>1</v>
      </c>
      <c r="AE50" s="717">
        <v>1</v>
      </c>
    </row>
    <row r="51" spans="1:31" s="256" customFormat="1" ht="12.75" customHeight="1">
      <c r="A51" s="225">
        <v>46</v>
      </c>
      <c r="B51" s="217"/>
      <c r="C51" s="217"/>
      <c r="D51" s="678" t="s">
        <v>415</v>
      </c>
      <c r="E51" s="221"/>
      <c r="F51" s="221"/>
      <c r="G51" s="221"/>
      <c r="H51" s="714" t="s">
        <v>1124</v>
      </c>
      <c r="I51" s="715" t="s">
        <v>1125</v>
      </c>
      <c r="J51" s="714"/>
      <c r="K51" s="715" t="s">
        <v>1126</v>
      </c>
      <c r="L51" s="714" t="s">
        <v>1127</v>
      </c>
      <c r="M51" s="714" t="s">
        <v>415</v>
      </c>
      <c r="N51" s="714"/>
      <c r="O51" s="714"/>
      <c r="P51" s="716"/>
      <c r="Q51" s="714" t="s">
        <v>817</v>
      </c>
      <c r="R51" s="714"/>
      <c r="S51" s="721" t="s">
        <v>863</v>
      </c>
      <c r="T51" s="282"/>
      <c r="U51" s="714"/>
      <c r="V51" s="718" t="s">
        <v>864</v>
      </c>
      <c r="W51" s="718" t="s">
        <v>864</v>
      </c>
      <c r="X51" s="718" t="s">
        <v>864</v>
      </c>
      <c r="Y51" s="232"/>
      <c r="Z51" s="719"/>
      <c r="AA51" s="714"/>
      <c r="AB51" s="720"/>
      <c r="AC51" s="714"/>
      <c r="AD51" s="717">
        <v>1</v>
      </c>
      <c r="AE51" s="717">
        <v>1</v>
      </c>
    </row>
    <row r="52" spans="1:31" s="256" customFormat="1" ht="12.75" customHeight="1">
      <c r="A52" s="225">
        <v>47</v>
      </c>
      <c r="B52" s="217"/>
      <c r="C52" s="217"/>
      <c r="D52" s="678" t="s">
        <v>1128</v>
      </c>
      <c r="E52" s="221"/>
      <c r="F52" s="221"/>
      <c r="G52" s="221"/>
      <c r="H52" s="714" t="s">
        <v>1129</v>
      </c>
      <c r="I52" s="715" t="s">
        <v>1130</v>
      </c>
      <c r="J52" s="714"/>
      <c r="K52" s="715" t="s">
        <v>1131</v>
      </c>
      <c r="L52" s="714" t="s">
        <v>1132</v>
      </c>
      <c r="M52" s="714" t="s">
        <v>424</v>
      </c>
      <c r="N52" s="714"/>
      <c r="O52" s="714"/>
      <c r="P52" s="716"/>
      <c r="Q52" s="714" t="s">
        <v>817</v>
      </c>
      <c r="R52" s="714"/>
      <c r="S52" s="721" t="s">
        <v>863</v>
      </c>
      <c r="T52" s="282"/>
      <c r="U52" s="714"/>
      <c r="V52" s="718" t="s">
        <v>864</v>
      </c>
      <c r="W52" s="718" t="s">
        <v>864</v>
      </c>
      <c r="X52" s="718" t="s">
        <v>864</v>
      </c>
      <c r="Y52" s="232"/>
      <c r="Z52" s="719"/>
      <c r="AA52" s="714"/>
      <c r="AB52" s="720"/>
      <c r="AC52" s="714"/>
      <c r="AD52" s="717">
        <v>1</v>
      </c>
      <c r="AE52" s="717">
        <v>1</v>
      </c>
    </row>
    <row r="53" spans="1:31" s="244" customFormat="1" ht="12.75" customHeight="1">
      <c r="A53" s="225">
        <v>48</v>
      </c>
      <c r="B53" s="217"/>
      <c r="C53" s="222"/>
      <c r="D53" s="678" t="s">
        <v>429</v>
      </c>
      <c r="E53" s="221"/>
      <c r="F53" s="221"/>
      <c r="G53" s="221"/>
      <c r="H53" s="714" t="s">
        <v>1133</v>
      </c>
      <c r="I53" s="715" t="s">
        <v>1134</v>
      </c>
      <c r="J53" s="714"/>
      <c r="K53" s="715" t="s">
        <v>1135</v>
      </c>
      <c r="L53" s="714"/>
      <c r="M53" s="714"/>
      <c r="N53" s="714"/>
      <c r="O53" s="714"/>
      <c r="P53" s="716"/>
      <c r="Q53" s="714" t="s">
        <v>817</v>
      </c>
      <c r="R53" s="714"/>
      <c r="S53" s="721" t="s">
        <v>863</v>
      </c>
      <c r="T53" s="282"/>
      <c r="U53" s="714"/>
      <c r="V53" s="718" t="s">
        <v>864</v>
      </c>
      <c r="W53" s="718" t="s">
        <v>864</v>
      </c>
      <c r="X53" s="718" t="s">
        <v>864</v>
      </c>
      <c r="Y53" s="232"/>
      <c r="Z53" s="719"/>
      <c r="AA53" s="714"/>
      <c r="AB53" s="720"/>
      <c r="AC53" s="714"/>
      <c r="AD53" s="717">
        <v>1</v>
      </c>
      <c r="AE53" s="717">
        <v>1</v>
      </c>
    </row>
    <row r="54" spans="1:31" s="244" customFormat="1" ht="12.75" customHeight="1">
      <c r="A54" s="225">
        <v>49</v>
      </c>
      <c r="B54" s="217"/>
      <c r="C54" s="222"/>
      <c r="D54" s="678" t="s">
        <v>426</v>
      </c>
      <c r="E54" s="221"/>
      <c r="F54" s="221"/>
      <c r="G54" s="221"/>
      <c r="H54" s="714" t="s">
        <v>1136</v>
      </c>
      <c r="I54" s="715" t="s">
        <v>1137</v>
      </c>
      <c r="J54" s="714"/>
      <c r="K54" s="715" t="s">
        <v>1138</v>
      </c>
      <c r="L54" s="714" t="s">
        <v>1139</v>
      </c>
      <c r="M54" s="714" t="s">
        <v>426</v>
      </c>
      <c r="N54" s="714"/>
      <c r="O54" s="714"/>
      <c r="P54" s="716"/>
      <c r="Q54" s="714" t="s">
        <v>823</v>
      </c>
      <c r="R54" s="714"/>
      <c r="S54" s="721" t="s">
        <v>863</v>
      </c>
      <c r="T54" s="282"/>
      <c r="U54" s="714"/>
      <c r="V54" s="718" t="s">
        <v>864</v>
      </c>
      <c r="W54" s="718" t="s">
        <v>864</v>
      </c>
      <c r="X54" s="718" t="s">
        <v>864</v>
      </c>
      <c r="Y54" s="232"/>
      <c r="Z54" s="719"/>
      <c r="AA54" s="714"/>
      <c r="AB54" s="720"/>
      <c r="AC54" s="714"/>
      <c r="AD54" s="717">
        <v>1</v>
      </c>
      <c r="AE54" s="717">
        <v>1</v>
      </c>
    </row>
    <row r="55" spans="1:31" s="244" customFormat="1" ht="12.75" customHeight="1">
      <c r="A55" s="225">
        <v>50</v>
      </c>
      <c r="B55" s="217"/>
      <c r="C55" s="222"/>
      <c r="D55" s="678" t="s">
        <v>1140</v>
      </c>
      <c r="E55" s="221"/>
      <c r="F55" s="221"/>
      <c r="G55" s="221"/>
      <c r="H55" s="714" t="s">
        <v>1141</v>
      </c>
      <c r="I55" s="715" t="s">
        <v>1142</v>
      </c>
      <c r="J55" s="714"/>
      <c r="K55" s="715" t="s">
        <v>1143</v>
      </c>
      <c r="L55" s="714"/>
      <c r="M55" s="714"/>
      <c r="N55" s="714"/>
      <c r="O55" s="714"/>
      <c r="P55" s="716"/>
      <c r="Q55" s="714" t="s">
        <v>817</v>
      </c>
      <c r="R55" s="714"/>
      <c r="S55" s="721" t="s">
        <v>863</v>
      </c>
      <c r="T55" s="282"/>
      <c r="U55" s="714"/>
      <c r="V55" s="718" t="s">
        <v>864</v>
      </c>
      <c r="W55" s="718" t="s">
        <v>864</v>
      </c>
      <c r="X55" s="718" t="s">
        <v>864</v>
      </c>
      <c r="Y55" s="232"/>
      <c r="Z55" s="719"/>
      <c r="AA55" s="714"/>
      <c r="AB55" s="720"/>
      <c r="AC55" s="714"/>
      <c r="AD55" s="717">
        <v>1</v>
      </c>
      <c r="AE55" s="717">
        <v>1</v>
      </c>
    </row>
    <row r="56" spans="1:31" s="257" customFormat="1" ht="12.75" customHeight="1">
      <c r="A56" s="225">
        <v>51</v>
      </c>
      <c r="B56" s="217"/>
      <c r="C56" s="222"/>
      <c r="D56" s="678" t="s">
        <v>1144</v>
      </c>
      <c r="E56" s="221"/>
      <c r="F56" s="221"/>
      <c r="G56" s="221"/>
      <c r="H56" s="714" t="s">
        <v>410</v>
      </c>
      <c r="I56" s="715" t="s">
        <v>1145</v>
      </c>
      <c r="J56" s="714"/>
      <c r="K56" s="715" t="s">
        <v>1146</v>
      </c>
      <c r="L56" s="714"/>
      <c r="M56" s="714"/>
      <c r="N56" s="714"/>
      <c r="O56" s="714"/>
      <c r="P56" s="716"/>
      <c r="Q56" s="714" t="s">
        <v>817</v>
      </c>
      <c r="R56" s="714"/>
      <c r="S56" s="721" t="s">
        <v>863</v>
      </c>
      <c r="T56" s="282"/>
      <c r="U56" s="714"/>
      <c r="V56" s="718" t="s">
        <v>864</v>
      </c>
      <c r="W56" s="718" t="s">
        <v>864</v>
      </c>
      <c r="X56" s="718" t="s">
        <v>864</v>
      </c>
      <c r="Y56" s="232"/>
      <c r="Z56" s="719"/>
      <c r="AA56" s="714"/>
      <c r="AB56" s="720"/>
      <c r="AC56" s="714"/>
      <c r="AD56" s="717">
        <v>1</v>
      </c>
      <c r="AE56" s="717">
        <v>1</v>
      </c>
    </row>
    <row r="57" spans="1:31" s="258" customFormat="1" ht="12.75" customHeight="1">
      <c r="A57" s="225">
        <v>52</v>
      </c>
      <c r="B57" s="217"/>
      <c r="C57" s="218"/>
      <c r="D57" s="678" t="s">
        <v>1147</v>
      </c>
      <c r="E57" s="221"/>
      <c r="F57" s="221"/>
      <c r="G57" s="221"/>
      <c r="H57" s="714"/>
      <c r="I57" s="715" t="s">
        <v>1148</v>
      </c>
      <c r="J57" s="714"/>
      <c r="K57" s="715" t="s">
        <v>1149</v>
      </c>
      <c r="L57" s="714"/>
      <c r="M57" s="714"/>
      <c r="N57" s="714"/>
      <c r="O57" s="714"/>
      <c r="P57" s="716"/>
      <c r="Q57" s="714" t="s">
        <v>817</v>
      </c>
      <c r="R57" s="714"/>
      <c r="S57" s="721" t="s">
        <v>863</v>
      </c>
      <c r="T57" s="282"/>
      <c r="U57" s="714"/>
      <c r="V57" s="718" t="s">
        <v>864</v>
      </c>
      <c r="W57" s="718" t="s">
        <v>864</v>
      </c>
      <c r="X57" s="718" t="s">
        <v>864</v>
      </c>
      <c r="Y57" s="232"/>
      <c r="Z57" s="719"/>
      <c r="AA57" s="714"/>
      <c r="AB57" s="720"/>
      <c r="AC57" s="714"/>
      <c r="AD57" s="717">
        <v>1</v>
      </c>
      <c r="AE57" s="717">
        <v>1</v>
      </c>
    </row>
    <row r="58" spans="1:31" s="256" customFormat="1" ht="12.95" customHeight="1">
      <c r="A58" s="225">
        <v>53</v>
      </c>
      <c r="B58" s="217"/>
      <c r="C58" s="218"/>
      <c r="D58" s="678" t="s">
        <v>178</v>
      </c>
      <c r="E58" s="221"/>
      <c r="F58" s="221"/>
      <c r="G58" s="221"/>
      <c r="H58" s="714" t="s">
        <v>1150</v>
      </c>
      <c r="I58" s="715" t="s">
        <v>1151</v>
      </c>
      <c r="J58" s="714"/>
      <c r="K58" s="715" t="s">
        <v>1152</v>
      </c>
      <c r="L58" s="714"/>
      <c r="M58" s="714"/>
      <c r="N58" s="714"/>
      <c r="O58" s="714"/>
      <c r="P58" s="716"/>
      <c r="Q58" s="714" t="s">
        <v>817</v>
      </c>
      <c r="R58" s="714"/>
      <c r="S58" s="721" t="s">
        <v>863</v>
      </c>
      <c r="T58" s="282"/>
      <c r="U58" s="714"/>
      <c r="V58" s="718" t="s">
        <v>864</v>
      </c>
      <c r="W58" s="718" t="s">
        <v>864</v>
      </c>
      <c r="X58" s="718" t="s">
        <v>864</v>
      </c>
      <c r="Y58" s="232"/>
      <c r="Z58" s="719"/>
      <c r="AA58" s="714"/>
      <c r="AB58" s="720"/>
      <c r="AC58" s="714"/>
      <c r="AD58" s="717">
        <v>1</v>
      </c>
      <c r="AE58" s="717">
        <v>1</v>
      </c>
    </row>
    <row r="59" spans="1:31" s="256" customFormat="1" ht="12.95" customHeight="1">
      <c r="A59" s="225">
        <v>54</v>
      </c>
      <c r="B59" s="217"/>
      <c r="C59" s="218"/>
      <c r="D59" s="241" t="s">
        <v>1153</v>
      </c>
      <c r="E59" s="241"/>
      <c r="F59" s="241"/>
      <c r="G59" s="241"/>
      <c r="H59" s="714" t="s">
        <v>1154</v>
      </c>
      <c r="I59" s="715">
        <v>33123452323</v>
      </c>
      <c r="J59" s="714"/>
      <c r="K59" s="715" t="s">
        <v>1155</v>
      </c>
      <c r="L59" s="714"/>
      <c r="M59" s="714"/>
      <c r="N59" s="714"/>
      <c r="O59" s="714"/>
      <c r="P59" s="716"/>
      <c r="Q59" s="714" t="s">
        <v>817</v>
      </c>
      <c r="R59" s="714"/>
      <c r="S59" s="714" t="s">
        <v>1092</v>
      </c>
      <c r="T59" s="717"/>
      <c r="U59" s="714"/>
      <c r="V59" s="718" t="s">
        <v>864</v>
      </c>
      <c r="W59" s="718" t="s">
        <v>864</v>
      </c>
      <c r="X59" s="718" t="s">
        <v>864</v>
      </c>
      <c r="Y59" s="232"/>
      <c r="Z59" s="719"/>
      <c r="AA59" s="714" t="s">
        <v>1156</v>
      </c>
      <c r="AB59" s="720"/>
      <c r="AC59" s="714"/>
      <c r="AD59" s="717"/>
      <c r="AE59" s="717">
        <v>1</v>
      </c>
    </row>
    <row r="60" spans="1:31" s="224" customFormat="1" ht="13.5" customHeight="1">
      <c r="A60" s="225">
        <v>55</v>
      </c>
      <c r="B60" s="217"/>
      <c r="C60" s="217" t="s">
        <v>1157</v>
      </c>
      <c r="D60" s="217"/>
      <c r="E60" s="217"/>
      <c r="F60" s="217"/>
      <c r="G60" s="217"/>
      <c r="H60" s="714"/>
      <c r="I60" s="715"/>
      <c r="J60" s="714" t="s">
        <v>1158</v>
      </c>
      <c r="K60" s="715" t="s">
        <v>1159</v>
      </c>
      <c r="L60" s="714"/>
      <c r="M60" s="714"/>
      <c r="N60" s="714"/>
      <c r="O60" s="714"/>
      <c r="P60" s="252"/>
      <c r="Q60" s="714" t="s">
        <v>817</v>
      </c>
      <c r="R60" s="714" t="s">
        <v>864</v>
      </c>
      <c r="S60" s="243" t="s">
        <v>1159</v>
      </c>
      <c r="T60" s="717"/>
      <c r="U60" s="714"/>
      <c r="V60" s="718" t="s">
        <v>864</v>
      </c>
      <c r="W60" s="718" t="s">
        <v>864</v>
      </c>
      <c r="X60" s="718" t="s">
        <v>864</v>
      </c>
      <c r="Y60" s="232"/>
      <c r="Z60" s="719"/>
      <c r="AA60" s="714"/>
      <c r="AB60" s="720"/>
      <c r="AC60" s="714"/>
      <c r="AD60" s="717">
        <v>1</v>
      </c>
      <c r="AE60" s="717"/>
    </row>
    <row r="61" spans="1:31" s="224" customFormat="1" ht="13.5" customHeight="1">
      <c r="A61" s="225">
        <v>56</v>
      </c>
      <c r="B61" s="217"/>
      <c r="C61" s="217"/>
      <c r="D61" s="241" t="s">
        <v>1160</v>
      </c>
      <c r="E61" s="241"/>
      <c r="F61" s="241"/>
      <c r="G61" s="241"/>
      <c r="H61" s="714" t="s">
        <v>1161</v>
      </c>
      <c r="I61" s="715" t="s">
        <v>930</v>
      </c>
      <c r="J61" s="714"/>
      <c r="K61" s="715" t="s">
        <v>1162</v>
      </c>
      <c r="L61" s="714"/>
      <c r="M61" s="714"/>
      <c r="N61" s="714"/>
      <c r="O61" s="714"/>
      <c r="P61" s="716"/>
      <c r="Q61" s="714" t="s">
        <v>820</v>
      </c>
      <c r="R61" s="714"/>
      <c r="S61" s="714" t="s">
        <v>879</v>
      </c>
      <c r="T61" s="717"/>
      <c r="U61" s="714"/>
      <c r="V61" s="718" t="s">
        <v>864</v>
      </c>
      <c r="W61" s="718" t="s">
        <v>864</v>
      </c>
      <c r="X61" s="718" t="s">
        <v>864</v>
      </c>
      <c r="Y61" s="232"/>
      <c r="Z61" s="719"/>
      <c r="AA61" s="714" t="s">
        <v>1163</v>
      </c>
      <c r="AB61" s="720"/>
      <c r="AC61" s="714"/>
      <c r="AD61" s="717"/>
      <c r="AE61" s="717">
        <v>1</v>
      </c>
    </row>
    <row r="62" spans="1:31" s="224" customFormat="1" ht="13.5" customHeight="1">
      <c r="A62" s="225">
        <v>57</v>
      </c>
      <c r="B62" s="217"/>
      <c r="C62" s="217"/>
      <c r="D62" s="217" t="s">
        <v>1164</v>
      </c>
      <c r="E62" s="217"/>
      <c r="F62" s="217"/>
      <c r="G62" s="217"/>
      <c r="H62" s="714" t="s">
        <v>1165</v>
      </c>
      <c r="I62" s="715"/>
      <c r="J62" s="714" t="s">
        <v>1166</v>
      </c>
      <c r="K62" s="715" t="s">
        <v>1166</v>
      </c>
      <c r="L62" s="714"/>
      <c r="M62" s="714"/>
      <c r="N62" s="714"/>
      <c r="O62" s="714"/>
      <c r="P62" s="252"/>
      <c r="Q62" s="714" t="s">
        <v>817</v>
      </c>
      <c r="R62" s="714" t="s">
        <v>864</v>
      </c>
      <c r="S62" s="243" t="s">
        <v>1166</v>
      </c>
      <c r="T62" s="717"/>
      <c r="U62" s="714"/>
      <c r="V62" s="718" t="s">
        <v>864</v>
      </c>
      <c r="W62" s="718" t="s">
        <v>864</v>
      </c>
      <c r="X62" s="718" t="s">
        <v>864</v>
      </c>
      <c r="Y62" s="232"/>
      <c r="Z62" s="719"/>
      <c r="AA62" s="714"/>
      <c r="AB62" s="720"/>
      <c r="AC62" s="714"/>
      <c r="AD62" s="717">
        <v>1</v>
      </c>
      <c r="AE62" s="717">
        <v>1</v>
      </c>
    </row>
    <row r="63" spans="1:31" s="224" customFormat="1" ht="13.5" customHeight="1">
      <c r="A63" s="225">
        <v>58</v>
      </c>
      <c r="B63" s="217"/>
      <c r="C63" s="217"/>
      <c r="D63" s="217"/>
      <c r="E63" s="217" t="s">
        <v>1167</v>
      </c>
      <c r="F63" s="217"/>
      <c r="G63" s="217"/>
      <c r="H63" s="714" t="s">
        <v>1168</v>
      </c>
      <c r="I63" s="715"/>
      <c r="J63" s="714" t="s">
        <v>1169</v>
      </c>
      <c r="K63" s="715" t="s">
        <v>1169</v>
      </c>
      <c r="L63" s="714"/>
      <c r="M63" s="714"/>
      <c r="N63" s="714"/>
      <c r="O63" s="714"/>
      <c r="P63" s="252"/>
      <c r="Q63" s="714" t="s">
        <v>820</v>
      </c>
      <c r="R63" s="714" t="s">
        <v>864</v>
      </c>
      <c r="S63" s="243" t="s">
        <v>1169</v>
      </c>
      <c r="T63" s="717"/>
      <c r="U63" s="714"/>
      <c r="V63" s="718" t="s">
        <v>864</v>
      </c>
      <c r="W63" s="718" t="s">
        <v>864</v>
      </c>
      <c r="X63" s="718" t="s">
        <v>864</v>
      </c>
      <c r="Y63" s="232"/>
      <c r="Z63" s="719"/>
      <c r="AA63" s="714"/>
      <c r="AB63" s="720"/>
      <c r="AC63" s="714"/>
      <c r="AD63" s="717">
        <v>1</v>
      </c>
      <c r="AE63" s="717">
        <v>1</v>
      </c>
    </row>
    <row r="64" spans="1:31" s="224" customFormat="1" ht="13.5" customHeight="1">
      <c r="A64" s="225">
        <v>59</v>
      </c>
      <c r="B64" s="217"/>
      <c r="C64" s="217"/>
      <c r="D64" s="217"/>
      <c r="E64" s="217"/>
      <c r="F64" s="217" t="s">
        <v>1170</v>
      </c>
      <c r="G64" s="217"/>
      <c r="H64" s="714" t="s">
        <v>1171</v>
      </c>
      <c r="I64" s="715" t="s">
        <v>1172</v>
      </c>
      <c r="J64" s="714" t="s">
        <v>1173</v>
      </c>
      <c r="K64" s="715" t="s">
        <v>1173</v>
      </c>
      <c r="L64" s="714"/>
      <c r="M64" s="714"/>
      <c r="N64" s="714"/>
      <c r="O64" s="714"/>
      <c r="P64" s="252"/>
      <c r="Q64" s="714" t="s">
        <v>820</v>
      </c>
      <c r="R64" s="714"/>
      <c r="S64" s="714" t="s">
        <v>1092</v>
      </c>
      <c r="T64" s="717"/>
      <c r="U64" s="714"/>
      <c r="V64" s="718" t="s">
        <v>864</v>
      </c>
      <c r="W64" s="718" t="s">
        <v>864</v>
      </c>
      <c r="X64" s="718" t="s">
        <v>864</v>
      </c>
      <c r="Y64" s="232"/>
      <c r="Z64" s="714" t="s">
        <v>1174</v>
      </c>
      <c r="AA64" s="714"/>
      <c r="AB64" s="245" t="s">
        <v>1175</v>
      </c>
      <c r="AC64" s="714"/>
      <c r="AD64" s="717">
        <v>1</v>
      </c>
      <c r="AE64" s="717">
        <v>1</v>
      </c>
    </row>
    <row r="65" spans="1:1018" s="256" customFormat="1" ht="13.5" customHeight="1">
      <c r="A65" s="225">
        <v>60</v>
      </c>
      <c r="B65" s="217"/>
      <c r="C65" s="217"/>
      <c r="D65" s="217"/>
      <c r="E65" s="217"/>
      <c r="F65" s="217" t="s">
        <v>1176</v>
      </c>
      <c r="G65" s="217"/>
      <c r="H65" s="714" t="s">
        <v>1177</v>
      </c>
      <c r="I65" s="715" t="s">
        <v>1178</v>
      </c>
      <c r="J65" s="714" t="s">
        <v>1179</v>
      </c>
      <c r="K65" s="715" t="s">
        <v>1179</v>
      </c>
      <c r="L65" s="714"/>
      <c r="M65" s="714"/>
      <c r="N65" s="714"/>
      <c r="O65" s="714"/>
      <c r="P65" s="252"/>
      <c r="Q65" s="714" t="s">
        <v>820</v>
      </c>
      <c r="R65" s="714"/>
      <c r="S65" s="714" t="s">
        <v>1092</v>
      </c>
      <c r="T65" s="717"/>
      <c r="U65" s="714"/>
      <c r="V65" s="718" t="s">
        <v>864</v>
      </c>
      <c r="W65" s="718" t="s">
        <v>864</v>
      </c>
      <c r="X65" s="718" t="s">
        <v>864</v>
      </c>
      <c r="Y65" s="232"/>
      <c r="Z65" s="714" t="s">
        <v>1174</v>
      </c>
      <c r="AA65" s="714"/>
      <c r="AB65" s="245" t="s">
        <v>1175</v>
      </c>
      <c r="AC65" s="714"/>
      <c r="AD65" s="717">
        <v>1</v>
      </c>
      <c r="AE65" s="717">
        <v>1</v>
      </c>
    </row>
    <row r="66" spans="1:1018" s="244" customFormat="1" ht="13.5" customHeight="1">
      <c r="A66" s="225">
        <v>61</v>
      </c>
      <c r="B66" s="217"/>
      <c r="C66" s="222"/>
      <c r="D66" s="222"/>
      <c r="E66" s="222"/>
      <c r="F66" s="222" t="s">
        <v>1180</v>
      </c>
      <c r="G66" s="221"/>
      <c r="H66" s="714" t="s">
        <v>1181</v>
      </c>
      <c r="I66" s="715">
        <v>120</v>
      </c>
      <c r="J66" s="714"/>
      <c r="K66" s="714" t="s">
        <v>1182</v>
      </c>
      <c r="L66" s="714"/>
      <c r="M66" s="714"/>
      <c r="N66" s="714"/>
      <c r="O66" s="714"/>
      <c r="P66" s="716"/>
      <c r="Q66" s="714" t="s">
        <v>817</v>
      </c>
      <c r="R66" s="714"/>
      <c r="S66" s="714" t="s">
        <v>1092</v>
      </c>
      <c r="T66" s="717"/>
      <c r="U66" s="714"/>
      <c r="V66" s="718" t="s">
        <v>864</v>
      </c>
      <c r="W66" s="718" t="s">
        <v>864</v>
      </c>
      <c r="X66" s="718" t="s">
        <v>864</v>
      </c>
      <c r="Y66" s="232"/>
      <c r="Z66" s="714" t="s">
        <v>1183</v>
      </c>
      <c r="AA66" s="714"/>
      <c r="AB66" s="720"/>
      <c r="AC66" s="714"/>
      <c r="AD66" s="717">
        <v>1</v>
      </c>
      <c r="AE66" s="717">
        <v>1</v>
      </c>
    </row>
    <row r="67" spans="1:1018" s="256" customFormat="1" ht="13.5" customHeight="1">
      <c r="A67" s="225">
        <v>62</v>
      </c>
      <c r="B67" s="217"/>
      <c r="C67" s="217"/>
      <c r="D67" s="241"/>
      <c r="E67" s="241"/>
      <c r="F67" s="241" t="s">
        <v>1184</v>
      </c>
      <c r="G67" s="221"/>
      <c r="H67" s="714" t="s">
        <v>1185</v>
      </c>
      <c r="I67" s="715">
        <v>96</v>
      </c>
      <c r="J67" s="714"/>
      <c r="K67" s="714" t="s">
        <v>1186</v>
      </c>
      <c r="L67" s="714"/>
      <c r="M67" s="714"/>
      <c r="N67" s="714"/>
      <c r="O67" s="714"/>
      <c r="P67" s="716"/>
      <c r="Q67" s="714" t="s">
        <v>817</v>
      </c>
      <c r="R67" s="714"/>
      <c r="S67" s="714" t="s">
        <v>1092</v>
      </c>
      <c r="T67" s="717"/>
      <c r="U67" s="714"/>
      <c r="V67" s="718" t="s">
        <v>864</v>
      </c>
      <c r="W67" s="718" t="s">
        <v>864</v>
      </c>
      <c r="X67" s="718" t="s">
        <v>864</v>
      </c>
      <c r="Y67" s="232"/>
      <c r="Z67" s="714" t="s">
        <v>1187</v>
      </c>
      <c r="AA67" s="714"/>
      <c r="AB67" s="720"/>
      <c r="AC67" s="714"/>
      <c r="AD67" s="717">
        <v>1</v>
      </c>
      <c r="AE67" s="717">
        <v>1</v>
      </c>
    </row>
    <row r="68" spans="1:1018" s="256" customFormat="1" ht="13.5" customHeight="1">
      <c r="A68" s="225">
        <v>63</v>
      </c>
      <c r="B68" s="217"/>
      <c r="C68" s="217"/>
      <c r="D68" s="241"/>
      <c r="E68" s="241"/>
      <c r="F68" s="241" t="s">
        <v>1188</v>
      </c>
      <c r="G68" s="221"/>
      <c r="H68" s="714" t="s">
        <v>1189</v>
      </c>
      <c r="I68" s="715">
        <v>34</v>
      </c>
      <c r="J68" s="714"/>
      <c r="K68" s="714" t="s">
        <v>1190</v>
      </c>
      <c r="L68" s="714"/>
      <c r="M68" s="714"/>
      <c r="N68" s="714"/>
      <c r="O68" s="714"/>
      <c r="P68" s="716"/>
      <c r="Q68" s="714" t="s">
        <v>817</v>
      </c>
      <c r="R68" s="714"/>
      <c r="S68" s="714" t="s">
        <v>1092</v>
      </c>
      <c r="T68" s="717"/>
      <c r="U68" s="714"/>
      <c r="V68" s="718" t="s">
        <v>864</v>
      </c>
      <c r="W68" s="718" t="s">
        <v>864</v>
      </c>
      <c r="X68" s="718" t="s">
        <v>864</v>
      </c>
      <c r="Y68" s="232"/>
      <c r="Z68" s="714" t="s">
        <v>1191</v>
      </c>
      <c r="AA68" s="714"/>
      <c r="AB68" s="720"/>
      <c r="AC68" s="714"/>
      <c r="AD68" s="717">
        <v>1</v>
      </c>
      <c r="AE68" s="717">
        <v>1</v>
      </c>
    </row>
    <row r="69" spans="1:1018" s="244" customFormat="1" ht="13.5" customHeight="1">
      <c r="A69" s="225">
        <v>64</v>
      </c>
      <c r="B69" s="217"/>
      <c r="C69" s="222"/>
      <c r="D69" s="241"/>
      <c r="E69" s="241"/>
      <c r="F69" s="241" t="s">
        <v>1192</v>
      </c>
      <c r="G69" s="241"/>
      <c r="H69" s="714" t="s">
        <v>1193</v>
      </c>
      <c r="I69" s="715" t="s">
        <v>1194</v>
      </c>
      <c r="J69" s="714"/>
      <c r="K69" s="715" t="s">
        <v>1195</v>
      </c>
      <c r="L69" s="714"/>
      <c r="M69" s="714"/>
      <c r="N69" s="714"/>
      <c r="O69" s="714"/>
      <c r="P69" s="716"/>
      <c r="Q69" s="714" t="s">
        <v>820</v>
      </c>
      <c r="R69" s="714"/>
      <c r="S69" s="714" t="s">
        <v>863</v>
      </c>
      <c r="T69" s="717" t="s">
        <v>864</v>
      </c>
      <c r="U69" s="714" t="s">
        <v>1196</v>
      </c>
      <c r="V69" s="718" t="s">
        <v>864</v>
      </c>
      <c r="W69" s="718" t="s">
        <v>864</v>
      </c>
      <c r="X69" s="718" t="s">
        <v>864</v>
      </c>
      <c r="Y69" s="232"/>
      <c r="Z69" s="719"/>
      <c r="AA69" s="714"/>
      <c r="AB69" s="720"/>
      <c r="AC69" s="714"/>
      <c r="AD69" s="717"/>
      <c r="AE69" s="717">
        <v>1</v>
      </c>
    </row>
    <row r="70" spans="1:1018" s="256" customFormat="1" ht="13.5" customHeight="1">
      <c r="A70" s="225">
        <v>65</v>
      </c>
      <c r="B70" s="217"/>
      <c r="C70" s="217"/>
      <c r="D70" s="217"/>
      <c r="E70" s="217" t="s">
        <v>1197</v>
      </c>
      <c r="F70" s="217"/>
      <c r="G70" s="217"/>
      <c r="H70" s="714" t="s">
        <v>1198</v>
      </c>
      <c r="I70" s="715" t="s">
        <v>1199</v>
      </c>
      <c r="J70" s="714" t="s">
        <v>1200</v>
      </c>
      <c r="K70" s="715" t="s">
        <v>1201</v>
      </c>
      <c r="L70" s="714"/>
      <c r="M70" s="714"/>
      <c r="N70" s="714"/>
      <c r="O70" s="714"/>
      <c r="P70" s="716">
        <v>1</v>
      </c>
      <c r="Q70" s="714" t="s">
        <v>817</v>
      </c>
      <c r="R70" s="714"/>
      <c r="S70" s="714" t="s">
        <v>863</v>
      </c>
      <c r="T70" s="717"/>
      <c r="U70" s="714"/>
      <c r="V70" s="718" t="s">
        <v>864</v>
      </c>
      <c r="W70" s="718" t="s">
        <v>864</v>
      </c>
      <c r="X70" s="718" t="s">
        <v>864</v>
      </c>
      <c r="Y70" s="232"/>
      <c r="Z70" s="719"/>
      <c r="AA70" s="714"/>
      <c r="AB70" s="720"/>
      <c r="AC70" s="714"/>
      <c r="AD70" s="717">
        <v>1</v>
      </c>
      <c r="AE70" s="717">
        <v>1</v>
      </c>
    </row>
    <row r="71" spans="1:1018" s="256" customFormat="1" ht="12.95" customHeight="1">
      <c r="A71" s="225">
        <v>66</v>
      </c>
      <c r="B71" s="217"/>
      <c r="C71" s="217"/>
      <c r="D71" s="217" t="s">
        <v>1202</v>
      </c>
      <c r="E71" s="217"/>
      <c r="F71" s="217"/>
      <c r="G71" s="217"/>
      <c r="H71" s="714" t="s">
        <v>1203</v>
      </c>
      <c r="I71" s="715"/>
      <c r="J71" s="714" t="s">
        <v>1204</v>
      </c>
      <c r="K71" s="715" t="s">
        <v>1204</v>
      </c>
      <c r="L71" s="714"/>
      <c r="M71" s="714"/>
      <c r="N71" s="714"/>
      <c r="O71" s="714"/>
      <c r="P71" s="252"/>
      <c r="Q71" s="714" t="s">
        <v>817</v>
      </c>
      <c r="R71" s="714"/>
      <c r="S71" s="714" t="s">
        <v>863</v>
      </c>
      <c r="T71" s="717"/>
      <c r="U71" s="714"/>
      <c r="V71" s="718" t="s">
        <v>864</v>
      </c>
      <c r="W71" s="718" t="s">
        <v>864</v>
      </c>
      <c r="X71" s="718" t="s">
        <v>864</v>
      </c>
      <c r="Y71" s="232"/>
      <c r="Z71" s="719"/>
      <c r="AA71" s="714"/>
      <c r="AB71" s="720"/>
      <c r="AC71" s="714"/>
      <c r="AD71" s="717">
        <v>1</v>
      </c>
      <c r="AE71" s="717"/>
    </row>
    <row r="72" spans="1:1018" s="224" customFormat="1" ht="13.5" customHeight="1">
      <c r="A72" s="225">
        <v>67</v>
      </c>
      <c r="B72" s="217"/>
      <c r="C72" s="217" t="s">
        <v>1205</v>
      </c>
      <c r="D72" s="217"/>
      <c r="E72" s="217"/>
      <c r="F72" s="217"/>
      <c r="G72" s="217"/>
      <c r="H72" s="714" t="s">
        <v>1206</v>
      </c>
      <c r="I72" s="715"/>
      <c r="J72" s="714" t="s">
        <v>942</v>
      </c>
      <c r="K72" s="715" t="s">
        <v>1207</v>
      </c>
      <c r="L72" s="714"/>
      <c r="M72" s="714"/>
      <c r="N72" s="714"/>
      <c r="O72" s="714"/>
      <c r="P72" s="252"/>
      <c r="Q72" s="714" t="s">
        <v>823</v>
      </c>
      <c r="R72" s="714" t="s">
        <v>864</v>
      </c>
      <c r="S72" s="243" t="s">
        <v>1207</v>
      </c>
      <c r="T72" s="717"/>
      <c r="U72" s="714"/>
      <c r="V72" s="718" t="s">
        <v>864</v>
      </c>
      <c r="W72" s="718" t="s">
        <v>864</v>
      </c>
      <c r="X72" s="718" t="s">
        <v>864</v>
      </c>
      <c r="Y72" s="232"/>
      <c r="Z72" s="719"/>
      <c r="AA72" s="714"/>
      <c r="AB72" s="720"/>
      <c r="AC72" s="714"/>
      <c r="AD72" s="717">
        <v>1</v>
      </c>
      <c r="AE72" s="717">
        <v>1</v>
      </c>
    </row>
    <row r="73" spans="1:1018" s="224" customFormat="1" ht="13.5" customHeight="1">
      <c r="A73" s="225">
        <v>68</v>
      </c>
      <c r="B73" s="217"/>
      <c r="C73" s="217"/>
      <c r="D73" s="217" t="s">
        <v>1208</v>
      </c>
      <c r="E73" s="217"/>
      <c r="F73" s="217"/>
      <c r="G73" s="217"/>
      <c r="H73" s="714" t="s">
        <v>1209</v>
      </c>
      <c r="I73" s="715" t="s">
        <v>1210</v>
      </c>
      <c r="J73" s="714" t="s">
        <v>908</v>
      </c>
      <c r="K73" s="715" t="s">
        <v>939</v>
      </c>
      <c r="L73" s="714"/>
      <c r="M73" s="714"/>
      <c r="N73" s="714"/>
      <c r="O73" s="714"/>
      <c r="P73" s="252"/>
      <c r="Q73" s="714" t="s">
        <v>820</v>
      </c>
      <c r="R73" s="714"/>
      <c r="S73" s="714" t="s">
        <v>863</v>
      </c>
      <c r="T73" s="717" t="s">
        <v>864</v>
      </c>
      <c r="U73" s="714" t="s">
        <v>1211</v>
      </c>
      <c r="V73" s="718" t="s">
        <v>864</v>
      </c>
      <c r="W73" s="718" t="s">
        <v>864</v>
      </c>
      <c r="X73" s="718" t="s">
        <v>864</v>
      </c>
      <c r="Y73" s="232"/>
      <c r="Z73" s="719"/>
      <c r="AA73" s="714"/>
      <c r="AB73" s="720"/>
      <c r="AC73" s="714"/>
      <c r="AD73" s="717">
        <v>1</v>
      </c>
      <c r="AE73" s="717">
        <v>1</v>
      </c>
    </row>
    <row r="74" spans="1:1018" s="224" customFormat="1" ht="13.5" customHeight="1">
      <c r="A74" s="225">
        <v>69</v>
      </c>
      <c r="B74" s="217"/>
      <c r="C74" s="217"/>
      <c r="D74" s="217" t="s">
        <v>1212</v>
      </c>
      <c r="E74" s="217"/>
      <c r="F74" s="217"/>
      <c r="G74" s="217"/>
      <c r="H74" s="714" t="s">
        <v>1213</v>
      </c>
      <c r="I74" s="715" t="s">
        <v>1214</v>
      </c>
      <c r="J74" s="714" t="s">
        <v>970</v>
      </c>
      <c r="K74" s="715" t="s">
        <v>970</v>
      </c>
      <c r="L74" s="714"/>
      <c r="M74" s="714"/>
      <c r="N74" s="714"/>
      <c r="O74" s="714"/>
      <c r="P74" s="252"/>
      <c r="Q74" s="714" t="s">
        <v>820</v>
      </c>
      <c r="R74" s="714"/>
      <c r="S74" s="714" t="s">
        <v>863</v>
      </c>
      <c r="T74" s="717" t="s">
        <v>864</v>
      </c>
      <c r="U74" s="714" t="s">
        <v>1215</v>
      </c>
      <c r="V74" s="718" t="s">
        <v>864</v>
      </c>
      <c r="W74" s="718" t="s">
        <v>864</v>
      </c>
      <c r="X74" s="718" t="s">
        <v>864</v>
      </c>
      <c r="Y74" s="232"/>
      <c r="Z74" s="719"/>
      <c r="AA74" s="714"/>
      <c r="AB74" s="720"/>
      <c r="AC74" s="714"/>
      <c r="AD74" s="717">
        <v>1</v>
      </c>
      <c r="AE74" s="717">
        <v>1</v>
      </c>
    </row>
    <row r="75" spans="1:1018" s="231" customFormat="1" ht="12.95" customHeight="1">
      <c r="A75" s="225">
        <v>70</v>
      </c>
      <c r="B75" s="217"/>
      <c r="C75" s="217"/>
      <c r="D75" s="217" t="s">
        <v>1077</v>
      </c>
      <c r="E75" s="217"/>
      <c r="F75" s="217"/>
      <c r="G75" s="217"/>
      <c r="H75" s="714" t="s">
        <v>1216</v>
      </c>
      <c r="I75" s="715" t="s">
        <v>1217</v>
      </c>
      <c r="J75" s="714" t="s">
        <v>1218</v>
      </c>
      <c r="K75" s="715" t="s">
        <v>1219</v>
      </c>
      <c r="L75" s="714"/>
      <c r="M75" s="714"/>
      <c r="N75" s="714"/>
      <c r="O75" s="714"/>
      <c r="P75" s="252"/>
      <c r="Q75" s="714" t="s">
        <v>820</v>
      </c>
      <c r="R75" s="714"/>
      <c r="S75" s="721" t="s">
        <v>863</v>
      </c>
      <c r="T75" s="282"/>
      <c r="U75" s="714"/>
      <c r="V75" s="718" t="s">
        <v>864</v>
      </c>
      <c r="W75" s="718" t="s">
        <v>864</v>
      </c>
      <c r="X75" s="718" t="s">
        <v>864</v>
      </c>
      <c r="Y75" s="232"/>
      <c r="Z75" s="719"/>
      <c r="AA75" s="714"/>
      <c r="AB75" s="720"/>
      <c r="AC75" s="714"/>
      <c r="AD75" s="717">
        <v>1</v>
      </c>
      <c r="AE75" s="717">
        <v>1</v>
      </c>
      <c r="AF75" s="725"/>
      <c r="AG75" s="725"/>
      <c r="AH75" s="725"/>
      <c r="AI75" s="725"/>
      <c r="AJ75" s="725"/>
      <c r="AK75" s="725"/>
      <c r="AL75" s="725"/>
      <c r="AM75" s="725"/>
      <c r="AN75" s="725"/>
      <c r="AO75" s="725"/>
      <c r="AP75" s="725"/>
      <c r="AQ75" s="725"/>
      <c r="AR75" s="725"/>
      <c r="AS75" s="725"/>
      <c r="AT75" s="725"/>
      <c r="AU75" s="725"/>
      <c r="AV75" s="725"/>
      <c r="AW75" s="725"/>
      <c r="AX75" s="725"/>
      <c r="AY75" s="725"/>
      <c r="AZ75" s="725"/>
      <c r="BA75" s="725"/>
      <c r="BB75" s="725"/>
      <c r="BC75" s="725"/>
      <c r="BD75" s="725"/>
      <c r="BE75" s="725"/>
      <c r="BF75" s="725"/>
      <c r="BG75" s="725"/>
      <c r="BH75" s="725"/>
      <c r="BI75" s="725"/>
      <c r="BJ75" s="725"/>
      <c r="BK75" s="725"/>
      <c r="BL75" s="725"/>
      <c r="BM75" s="725"/>
      <c r="BN75" s="725"/>
      <c r="BO75" s="725"/>
      <c r="BP75" s="725"/>
      <c r="BQ75" s="725"/>
      <c r="BR75" s="725"/>
      <c r="BS75" s="725"/>
      <c r="BT75" s="725"/>
      <c r="BU75" s="725"/>
      <c r="BV75" s="725"/>
      <c r="BW75" s="725"/>
      <c r="BX75" s="725"/>
      <c r="BY75" s="725"/>
      <c r="BZ75" s="725"/>
      <c r="CA75" s="725"/>
      <c r="CB75" s="725"/>
      <c r="CC75" s="725"/>
      <c r="CD75" s="725"/>
      <c r="CE75" s="725"/>
      <c r="CF75" s="725"/>
      <c r="CG75" s="725"/>
      <c r="CH75" s="725"/>
      <c r="CI75" s="725"/>
      <c r="CJ75" s="725"/>
      <c r="CK75" s="725"/>
      <c r="CL75" s="725"/>
      <c r="CM75" s="725"/>
      <c r="CN75" s="725"/>
      <c r="CO75" s="725"/>
      <c r="CP75" s="725"/>
      <c r="CQ75" s="725"/>
      <c r="CR75" s="725"/>
      <c r="CS75" s="725"/>
      <c r="CT75" s="725"/>
      <c r="CU75" s="725"/>
      <c r="CV75" s="725"/>
      <c r="CW75" s="725"/>
      <c r="CX75" s="725"/>
      <c r="CY75" s="725"/>
      <c r="CZ75" s="725"/>
      <c r="DA75" s="725"/>
      <c r="DB75" s="725"/>
      <c r="DC75" s="725"/>
      <c r="DD75" s="725"/>
      <c r="DE75" s="725"/>
      <c r="DF75" s="725"/>
      <c r="DG75" s="725"/>
      <c r="DH75" s="725"/>
      <c r="DI75" s="725"/>
      <c r="DJ75" s="725"/>
      <c r="DK75" s="725"/>
      <c r="DL75" s="725"/>
      <c r="DM75" s="725"/>
      <c r="DN75" s="725"/>
      <c r="DO75" s="725"/>
      <c r="DP75" s="725"/>
      <c r="DQ75" s="725"/>
      <c r="DR75" s="725"/>
      <c r="DS75" s="725"/>
      <c r="DT75" s="725"/>
      <c r="DU75" s="725"/>
      <c r="DV75" s="725"/>
      <c r="DW75" s="725"/>
      <c r="DX75" s="725"/>
      <c r="DY75" s="725"/>
      <c r="DZ75" s="725"/>
      <c r="EA75" s="725"/>
      <c r="EB75" s="725"/>
      <c r="EC75" s="725"/>
      <c r="ED75" s="725"/>
      <c r="EE75" s="725"/>
      <c r="EF75" s="725"/>
      <c r="EG75" s="725"/>
      <c r="EH75" s="725"/>
      <c r="EI75" s="725"/>
      <c r="EJ75" s="725"/>
      <c r="EK75" s="725"/>
      <c r="EL75" s="725"/>
      <c r="EM75" s="725"/>
      <c r="EN75" s="725"/>
      <c r="EO75" s="725"/>
      <c r="EP75" s="725"/>
      <c r="EQ75" s="725"/>
      <c r="ER75" s="725"/>
      <c r="ES75" s="725"/>
      <c r="ET75" s="725"/>
      <c r="EU75" s="725"/>
      <c r="EV75" s="725"/>
      <c r="EW75" s="725"/>
      <c r="EX75" s="725"/>
      <c r="EY75" s="725"/>
      <c r="EZ75" s="725"/>
      <c r="FA75" s="725"/>
      <c r="FB75" s="725"/>
      <c r="FC75" s="725"/>
      <c r="FD75" s="725"/>
      <c r="FE75" s="725"/>
      <c r="FF75" s="725"/>
      <c r="FG75" s="725"/>
      <c r="FH75" s="725"/>
      <c r="FI75" s="725"/>
      <c r="FJ75" s="725"/>
      <c r="FK75" s="725"/>
      <c r="FL75" s="725"/>
      <c r="FM75" s="725"/>
      <c r="FN75" s="725"/>
      <c r="FO75" s="725"/>
      <c r="FP75" s="725"/>
      <c r="FQ75" s="725"/>
      <c r="FR75" s="725"/>
      <c r="FS75" s="725"/>
      <c r="FT75" s="725"/>
      <c r="FU75" s="725"/>
      <c r="FV75" s="725"/>
      <c r="FW75" s="725"/>
      <c r="FX75" s="725"/>
      <c r="FY75" s="725"/>
      <c r="FZ75" s="725"/>
      <c r="GA75" s="725"/>
      <c r="GB75" s="725"/>
      <c r="GC75" s="725"/>
      <c r="GD75" s="725"/>
      <c r="GE75" s="725"/>
      <c r="GF75" s="725"/>
      <c r="GG75" s="725"/>
      <c r="GH75" s="725"/>
      <c r="GI75" s="725"/>
      <c r="GJ75" s="725"/>
      <c r="GK75" s="725"/>
      <c r="GL75" s="725"/>
      <c r="GM75" s="725"/>
      <c r="GN75" s="725"/>
      <c r="GO75" s="725"/>
      <c r="GP75" s="725"/>
      <c r="GQ75" s="725"/>
      <c r="GR75" s="725"/>
      <c r="GS75" s="725"/>
      <c r="GT75" s="725"/>
      <c r="GU75" s="725"/>
      <c r="GV75" s="725"/>
      <c r="GW75" s="725"/>
      <c r="GX75" s="725"/>
      <c r="GY75" s="725"/>
      <c r="GZ75" s="725"/>
      <c r="HA75" s="725"/>
      <c r="HB75" s="725"/>
      <c r="HC75" s="725"/>
      <c r="HD75" s="725"/>
      <c r="HE75" s="725"/>
      <c r="HF75" s="725"/>
      <c r="HG75" s="725"/>
      <c r="HH75" s="725"/>
      <c r="HI75" s="725"/>
      <c r="HJ75" s="725"/>
      <c r="HK75" s="725"/>
      <c r="HL75" s="725"/>
      <c r="HM75" s="725"/>
      <c r="HN75" s="725"/>
      <c r="HO75" s="725"/>
      <c r="HP75" s="725"/>
      <c r="HQ75" s="725"/>
      <c r="HR75" s="725"/>
      <c r="HS75" s="725"/>
      <c r="HT75" s="725"/>
      <c r="HU75" s="725"/>
      <c r="HV75" s="725"/>
      <c r="HW75" s="725"/>
      <c r="HX75" s="725"/>
      <c r="HY75" s="725"/>
      <c r="HZ75" s="725"/>
      <c r="IA75" s="725"/>
      <c r="IB75" s="725"/>
      <c r="IC75" s="725"/>
      <c r="ID75" s="725"/>
      <c r="IE75" s="725"/>
      <c r="IF75" s="725"/>
      <c r="IG75" s="725"/>
      <c r="IH75" s="725"/>
      <c r="II75" s="725"/>
      <c r="IJ75" s="725"/>
      <c r="IK75" s="725"/>
      <c r="IL75" s="725"/>
      <c r="IM75" s="725"/>
      <c r="IN75" s="725"/>
      <c r="IO75" s="725"/>
      <c r="IP75" s="725"/>
      <c r="IQ75" s="725"/>
      <c r="IR75" s="725"/>
      <c r="IS75" s="725"/>
      <c r="IT75" s="725"/>
      <c r="IU75" s="725"/>
      <c r="IV75" s="725"/>
      <c r="IW75" s="725"/>
      <c r="IX75" s="725"/>
      <c r="IY75" s="725"/>
      <c r="IZ75" s="725"/>
      <c r="JA75" s="725"/>
      <c r="JB75" s="725"/>
      <c r="JC75" s="725"/>
      <c r="JD75" s="725"/>
      <c r="JE75" s="725"/>
      <c r="JF75" s="725"/>
      <c r="JG75" s="725"/>
      <c r="JH75" s="725"/>
      <c r="JI75" s="725"/>
      <c r="JJ75" s="725"/>
      <c r="JK75" s="725"/>
      <c r="JL75" s="725"/>
      <c r="JM75" s="725"/>
      <c r="JN75" s="725"/>
      <c r="JO75" s="725"/>
      <c r="JP75" s="725"/>
      <c r="JQ75" s="725"/>
      <c r="JR75" s="725"/>
      <c r="JS75" s="725"/>
      <c r="JT75" s="725"/>
      <c r="JU75" s="725"/>
      <c r="JV75" s="725"/>
      <c r="JW75" s="725"/>
      <c r="JX75" s="725"/>
      <c r="JY75" s="725"/>
      <c r="JZ75" s="725"/>
      <c r="KA75" s="725"/>
      <c r="KB75" s="725"/>
      <c r="KC75" s="725"/>
      <c r="KD75" s="725"/>
      <c r="KE75" s="725"/>
      <c r="KF75" s="725"/>
      <c r="KG75" s="725"/>
      <c r="KH75" s="725"/>
      <c r="KI75" s="725"/>
      <c r="KJ75" s="725"/>
      <c r="KK75" s="725"/>
      <c r="KL75" s="725"/>
      <c r="KM75" s="725"/>
      <c r="KN75" s="725"/>
      <c r="KO75" s="725"/>
      <c r="KP75" s="725"/>
      <c r="KQ75" s="725"/>
      <c r="KR75" s="725"/>
      <c r="KS75" s="725"/>
      <c r="KT75" s="725"/>
      <c r="KU75" s="725"/>
      <c r="KV75" s="725"/>
      <c r="KW75" s="725"/>
      <c r="KX75" s="725"/>
      <c r="KY75" s="725"/>
      <c r="KZ75" s="725"/>
      <c r="LA75" s="725"/>
      <c r="LB75" s="725"/>
      <c r="LC75" s="725"/>
      <c r="LD75" s="725"/>
      <c r="LE75" s="725"/>
      <c r="LF75" s="725"/>
      <c r="LG75" s="725"/>
      <c r="LH75" s="725"/>
      <c r="LI75" s="725"/>
      <c r="LJ75" s="725"/>
      <c r="LK75" s="725"/>
      <c r="LL75" s="725"/>
      <c r="LM75" s="725"/>
      <c r="LN75" s="725"/>
      <c r="LO75" s="725"/>
      <c r="LP75" s="725"/>
      <c r="LQ75" s="725"/>
      <c r="LR75" s="725"/>
      <c r="LS75" s="725"/>
      <c r="LT75" s="725"/>
      <c r="LU75" s="725"/>
      <c r="LV75" s="725"/>
      <c r="LW75" s="725"/>
      <c r="LX75" s="725"/>
      <c r="LY75" s="725"/>
      <c r="LZ75" s="725"/>
      <c r="MA75" s="725"/>
      <c r="MB75" s="725"/>
      <c r="MC75" s="725"/>
      <c r="MD75" s="725"/>
      <c r="ME75" s="725"/>
      <c r="MF75" s="725"/>
      <c r="MG75" s="725"/>
      <c r="MH75" s="725"/>
      <c r="MI75" s="725"/>
      <c r="MJ75" s="725"/>
      <c r="MK75" s="725"/>
      <c r="ML75" s="725"/>
      <c r="MM75" s="725"/>
      <c r="MN75" s="725"/>
      <c r="MO75" s="725"/>
      <c r="MP75" s="725"/>
      <c r="MQ75" s="725"/>
      <c r="MR75" s="725"/>
      <c r="MS75" s="725"/>
      <c r="MT75" s="725"/>
      <c r="MU75" s="725"/>
      <c r="MV75" s="725"/>
      <c r="MW75" s="725"/>
      <c r="MX75" s="725"/>
      <c r="MY75" s="725"/>
      <c r="MZ75" s="725"/>
      <c r="NA75" s="725"/>
      <c r="NB75" s="725"/>
      <c r="NC75" s="725"/>
      <c r="ND75" s="725"/>
      <c r="NE75" s="725"/>
      <c r="NF75" s="725"/>
      <c r="NG75" s="725"/>
      <c r="NH75" s="725"/>
      <c r="NI75" s="725"/>
      <c r="NJ75" s="725"/>
      <c r="NK75" s="725"/>
      <c r="NL75" s="725"/>
      <c r="NM75" s="725"/>
      <c r="NN75" s="725"/>
      <c r="NO75" s="725"/>
      <c r="NP75" s="725"/>
      <c r="NQ75" s="725"/>
      <c r="NR75" s="725"/>
      <c r="NS75" s="725"/>
      <c r="NT75" s="725"/>
      <c r="NU75" s="725"/>
      <c r="NV75" s="725"/>
      <c r="NW75" s="725"/>
      <c r="NX75" s="725"/>
      <c r="NY75" s="725"/>
      <c r="NZ75" s="725"/>
      <c r="OA75" s="725"/>
      <c r="OB75" s="725"/>
      <c r="OC75" s="725"/>
      <c r="OD75" s="725"/>
      <c r="OE75" s="725"/>
      <c r="OF75" s="725"/>
      <c r="OG75" s="725"/>
      <c r="OH75" s="725"/>
      <c r="OI75" s="725"/>
      <c r="OJ75" s="725"/>
      <c r="OK75" s="725"/>
      <c r="OL75" s="725"/>
      <c r="OM75" s="725"/>
      <c r="ON75" s="725"/>
      <c r="OO75" s="725"/>
      <c r="OP75" s="725"/>
      <c r="OQ75" s="725"/>
      <c r="OR75" s="725"/>
      <c r="OS75" s="725"/>
      <c r="OT75" s="725"/>
      <c r="OU75" s="725"/>
      <c r="OV75" s="725"/>
      <c r="OW75" s="725"/>
      <c r="OX75" s="725"/>
      <c r="OY75" s="725"/>
      <c r="OZ75" s="725"/>
      <c r="PA75" s="725"/>
      <c r="PB75" s="725"/>
      <c r="PC75" s="725"/>
      <c r="PD75" s="725"/>
      <c r="PE75" s="725"/>
      <c r="PF75" s="725"/>
      <c r="PG75" s="725"/>
      <c r="PH75" s="725"/>
      <c r="PI75" s="725"/>
      <c r="PJ75" s="725"/>
      <c r="PK75" s="725"/>
      <c r="PL75" s="725"/>
      <c r="PM75" s="725"/>
      <c r="PN75" s="725"/>
      <c r="PO75" s="725"/>
      <c r="PP75" s="725"/>
      <c r="PQ75" s="725"/>
      <c r="PR75" s="725"/>
      <c r="PS75" s="725"/>
      <c r="PT75" s="725"/>
      <c r="PU75" s="725"/>
      <c r="PV75" s="725"/>
      <c r="PW75" s="725"/>
      <c r="PX75" s="725"/>
      <c r="PY75" s="725"/>
      <c r="PZ75" s="725"/>
      <c r="QA75" s="725"/>
      <c r="QB75" s="725"/>
      <c r="QC75" s="725"/>
      <c r="QD75" s="725"/>
      <c r="QE75" s="725"/>
      <c r="QF75" s="725"/>
      <c r="QG75" s="725"/>
      <c r="QH75" s="725"/>
      <c r="QI75" s="725"/>
      <c r="QJ75" s="725"/>
      <c r="QK75" s="725"/>
      <c r="QL75" s="725"/>
      <c r="QM75" s="725"/>
      <c r="QN75" s="725"/>
      <c r="QO75" s="725"/>
      <c r="QP75" s="725"/>
      <c r="QQ75" s="725"/>
      <c r="QR75" s="725"/>
      <c r="QS75" s="725"/>
      <c r="QT75" s="725"/>
      <c r="QU75" s="725"/>
      <c r="QV75" s="725"/>
      <c r="QW75" s="725"/>
      <c r="QX75" s="725"/>
      <c r="QY75" s="725"/>
      <c r="QZ75" s="725"/>
      <c r="RA75" s="725"/>
      <c r="RB75" s="725"/>
      <c r="RC75" s="725"/>
      <c r="RD75" s="725"/>
      <c r="RE75" s="725"/>
      <c r="RF75" s="725"/>
      <c r="RG75" s="725"/>
      <c r="RH75" s="725"/>
      <c r="RI75" s="725"/>
      <c r="RJ75" s="725"/>
      <c r="RK75" s="725"/>
      <c r="RL75" s="725"/>
      <c r="RM75" s="725"/>
      <c r="RN75" s="725"/>
      <c r="RO75" s="725"/>
      <c r="RP75" s="725"/>
      <c r="RQ75" s="725"/>
      <c r="RR75" s="725"/>
      <c r="RS75" s="725"/>
      <c r="RT75" s="725"/>
      <c r="RU75" s="725"/>
      <c r="RV75" s="725"/>
      <c r="RW75" s="725"/>
      <c r="RX75" s="725"/>
      <c r="RY75" s="725"/>
      <c r="RZ75" s="725"/>
      <c r="SA75" s="725"/>
      <c r="SB75" s="725"/>
      <c r="SC75" s="725"/>
      <c r="SD75" s="725"/>
      <c r="SE75" s="725"/>
      <c r="SF75" s="725"/>
      <c r="SG75" s="725"/>
      <c r="SH75" s="725"/>
      <c r="SI75" s="725"/>
      <c r="SJ75" s="725"/>
      <c r="SK75" s="725"/>
      <c r="SL75" s="725"/>
      <c r="SM75" s="725"/>
      <c r="SN75" s="725"/>
      <c r="SO75" s="725"/>
      <c r="SP75" s="725"/>
      <c r="SQ75" s="725"/>
      <c r="SR75" s="725"/>
      <c r="SS75" s="725"/>
      <c r="ST75" s="725"/>
      <c r="SU75" s="725"/>
      <c r="SV75" s="725"/>
      <c r="SW75" s="725"/>
      <c r="SX75" s="725"/>
      <c r="SY75" s="725"/>
      <c r="SZ75" s="725"/>
      <c r="TA75" s="725"/>
      <c r="TB75" s="725"/>
      <c r="TC75" s="725"/>
      <c r="TD75" s="725"/>
      <c r="TE75" s="725"/>
      <c r="TF75" s="725"/>
      <c r="TG75" s="725"/>
      <c r="TH75" s="725"/>
      <c r="TI75" s="725"/>
      <c r="TJ75" s="725"/>
      <c r="TK75" s="725"/>
      <c r="TL75" s="725"/>
      <c r="TM75" s="725"/>
      <c r="TN75" s="725"/>
      <c r="TO75" s="725"/>
      <c r="TP75" s="725"/>
      <c r="TQ75" s="725"/>
      <c r="TR75" s="725"/>
      <c r="TS75" s="725"/>
      <c r="TT75" s="725"/>
      <c r="TU75" s="725"/>
      <c r="TV75" s="725"/>
      <c r="TW75" s="725"/>
      <c r="TX75" s="725"/>
      <c r="TY75" s="725"/>
      <c r="TZ75" s="725"/>
      <c r="UA75" s="725"/>
      <c r="UB75" s="725"/>
      <c r="UC75" s="725"/>
      <c r="UD75" s="725"/>
      <c r="UE75" s="725"/>
      <c r="UF75" s="725"/>
      <c r="UG75" s="725"/>
      <c r="UH75" s="725"/>
      <c r="UI75" s="725"/>
      <c r="UJ75" s="725"/>
      <c r="UK75" s="725"/>
      <c r="UL75" s="725"/>
      <c r="UM75" s="725"/>
      <c r="UN75" s="725"/>
      <c r="UO75" s="725"/>
      <c r="UP75" s="725"/>
      <c r="UQ75" s="725"/>
      <c r="UR75" s="725"/>
      <c r="US75" s="725"/>
      <c r="UT75" s="725"/>
      <c r="UU75" s="725"/>
      <c r="UV75" s="725"/>
      <c r="UW75" s="725"/>
      <c r="UX75" s="725"/>
      <c r="UY75" s="725"/>
      <c r="UZ75" s="725"/>
      <c r="VA75" s="725"/>
      <c r="VB75" s="725"/>
      <c r="VC75" s="725"/>
      <c r="VD75" s="725"/>
      <c r="VE75" s="725"/>
      <c r="VF75" s="725"/>
      <c r="VG75" s="725"/>
      <c r="VH75" s="725"/>
      <c r="VI75" s="725"/>
      <c r="VJ75" s="725"/>
      <c r="VK75" s="725"/>
      <c r="VL75" s="725"/>
      <c r="VM75" s="725"/>
      <c r="VN75" s="725"/>
      <c r="VO75" s="725"/>
      <c r="VP75" s="725"/>
      <c r="VQ75" s="725"/>
      <c r="VR75" s="725"/>
      <c r="VS75" s="725"/>
      <c r="VT75" s="725"/>
      <c r="VU75" s="725"/>
      <c r="VV75" s="725"/>
      <c r="VW75" s="725"/>
      <c r="VX75" s="725"/>
      <c r="VY75" s="725"/>
      <c r="VZ75" s="725"/>
      <c r="WA75" s="725"/>
      <c r="WB75" s="725"/>
      <c r="WC75" s="725"/>
      <c r="WD75" s="725"/>
      <c r="WE75" s="725"/>
      <c r="WF75" s="725"/>
      <c r="WG75" s="725"/>
      <c r="WH75" s="725"/>
      <c r="WI75" s="725"/>
      <c r="WJ75" s="725"/>
      <c r="WK75" s="725"/>
      <c r="WL75" s="725"/>
      <c r="WM75" s="725"/>
      <c r="WN75" s="725"/>
      <c r="WO75" s="725"/>
      <c r="WP75" s="725"/>
      <c r="WQ75" s="725"/>
      <c r="WR75" s="725"/>
      <c r="WS75" s="725"/>
      <c r="WT75" s="725"/>
      <c r="WU75" s="725"/>
      <c r="WV75" s="725"/>
      <c r="WW75" s="725"/>
      <c r="WX75" s="725"/>
      <c r="WY75" s="725"/>
      <c r="WZ75" s="725"/>
      <c r="XA75" s="725"/>
      <c r="XB75" s="725"/>
      <c r="XC75" s="725"/>
      <c r="XD75" s="725"/>
      <c r="XE75" s="725"/>
      <c r="XF75" s="725"/>
      <c r="XG75" s="725"/>
      <c r="XH75" s="725"/>
      <c r="XI75" s="725"/>
      <c r="XJ75" s="725"/>
      <c r="XK75" s="725"/>
      <c r="XL75" s="725"/>
      <c r="XM75" s="725"/>
      <c r="XN75" s="725"/>
      <c r="XO75" s="725"/>
      <c r="XP75" s="725"/>
      <c r="XQ75" s="725"/>
      <c r="XR75" s="725"/>
      <c r="XS75" s="725"/>
      <c r="XT75" s="725"/>
      <c r="XU75" s="725"/>
      <c r="XV75" s="725"/>
      <c r="XW75" s="725"/>
      <c r="XX75" s="725"/>
      <c r="XY75" s="725"/>
      <c r="XZ75" s="725"/>
      <c r="YA75" s="725"/>
      <c r="YB75" s="725"/>
      <c r="YC75" s="725"/>
      <c r="YD75" s="725"/>
      <c r="YE75" s="725"/>
      <c r="YF75" s="725"/>
      <c r="YG75" s="725"/>
      <c r="YH75" s="725"/>
      <c r="YI75" s="725"/>
      <c r="YJ75" s="725"/>
      <c r="YK75" s="725"/>
      <c r="YL75" s="725"/>
      <c r="YM75" s="725"/>
      <c r="YN75" s="725"/>
      <c r="YO75" s="725"/>
      <c r="YP75" s="725"/>
      <c r="YQ75" s="725"/>
      <c r="YR75" s="725"/>
      <c r="YS75" s="725"/>
      <c r="YT75" s="725"/>
      <c r="YU75" s="725"/>
      <c r="YV75" s="725"/>
      <c r="YW75" s="725"/>
      <c r="YX75" s="725"/>
      <c r="YY75" s="725"/>
      <c r="YZ75" s="725"/>
      <c r="ZA75" s="725"/>
      <c r="ZB75" s="725"/>
      <c r="ZC75" s="725"/>
      <c r="ZD75" s="725"/>
      <c r="ZE75" s="725"/>
      <c r="ZF75" s="725"/>
      <c r="ZG75" s="725"/>
      <c r="ZH75" s="725"/>
      <c r="ZI75" s="725"/>
      <c r="ZJ75" s="725"/>
      <c r="ZK75" s="725"/>
      <c r="ZL75" s="725"/>
      <c r="ZM75" s="725"/>
      <c r="ZN75" s="725"/>
      <c r="ZO75" s="725"/>
      <c r="ZP75" s="725"/>
      <c r="ZQ75" s="725"/>
      <c r="ZR75" s="725"/>
      <c r="ZS75" s="725"/>
      <c r="ZT75" s="725"/>
      <c r="ZU75" s="725"/>
      <c r="ZV75" s="725"/>
      <c r="ZW75" s="725"/>
      <c r="ZX75" s="725"/>
      <c r="ZY75" s="725"/>
      <c r="ZZ75" s="725"/>
      <c r="AAA75" s="725"/>
      <c r="AAB75" s="725"/>
      <c r="AAC75" s="725"/>
      <c r="AAD75" s="725"/>
      <c r="AAE75" s="725"/>
      <c r="AAF75" s="725"/>
      <c r="AAG75" s="725"/>
      <c r="AAH75" s="725"/>
      <c r="AAI75" s="725"/>
      <c r="AAJ75" s="725"/>
      <c r="AAK75" s="725"/>
      <c r="AAL75" s="725"/>
      <c r="AAM75" s="725"/>
      <c r="AAN75" s="725"/>
      <c r="AAO75" s="725"/>
      <c r="AAP75" s="725"/>
      <c r="AAQ75" s="725"/>
      <c r="AAR75" s="725"/>
      <c r="AAS75" s="725"/>
      <c r="AAT75" s="725"/>
      <c r="AAU75" s="725"/>
      <c r="AAV75" s="725"/>
      <c r="AAW75" s="725"/>
      <c r="AAX75" s="725"/>
      <c r="AAY75" s="725"/>
      <c r="AAZ75" s="725"/>
      <c r="ABA75" s="725"/>
      <c r="ABB75" s="725"/>
      <c r="ABC75" s="725"/>
      <c r="ABD75" s="725"/>
      <c r="ABE75" s="725"/>
      <c r="ABF75" s="725"/>
      <c r="ABG75" s="725"/>
      <c r="ABH75" s="725"/>
      <c r="ABI75" s="725"/>
      <c r="ABJ75" s="725"/>
      <c r="ABK75" s="725"/>
      <c r="ABL75" s="725"/>
      <c r="ABM75" s="725"/>
      <c r="ABN75" s="725"/>
      <c r="ABO75" s="725"/>
      <c r="ABP75" s="725"/>
      <c r="ABQ75" s="725"/>
      <c r="ABR75" s="725"/>
      <c r="ABS75" s="725"/>
      <c r="ABT75" s="725"/>
      <c r="ABU75" s="725"/>
      <c r="ABV75" s="725"/>
      <c r="ABW75" s="725"/>
      <c r="ABX75" s="725"/>
      <c r="ABY75" s="725"/>
      <c r="ABZ75" s="725"/>
      <c r="ACA75" s="725"/>
      <c r="ACB75" s="725"/>
      <c r="ACC75" s="725"/>
      <c r="ACD75" s="725"/>
      <c r="ACE75" s="725"/>
      <c r="ACF75" s="725"/>
      <c r="ACG75" s="725"/>
      <c r="ACH75" s="725"/>
      <c r="ACI75" s="725"/>
      <c r="ACJ75" s="725"/>
      <c r="ACK75" s="725"/>
      <c r="ACL75" s="725"/>
      <c r="ACM75" s="725"/>
      <c r="ACN75" s="725"/>
      <c r="ACO75" s="725"/>
      <c r="ACP75" s="725"/>
      <c r="ACQ75" s="725"/>
      <c r="ACR75" s="725"/>
      <c r="ACS75" s="725"/>
      <c r="ACT75" s="725"/>
      <c r="ACU75" s="725"/>
      <c r="ACV75" s="725"/>
      <c r="ACW75" s="725"/>
      <c r="ACX75" s="725"/>
      <c r="ACY75" s="725"/>
      <c r="ACZ75" s="725"/>
      <c r="ADA75" s="725"/>
      <c r="ADB75" s="725"/>
      <c r="ADC75" s="725"/>
      <c r="ADD75" s="725"/>
      <c r="ADE75" s="725"/>
      <c r="ADF75" s="725"/>
      <c r="ADG75" s="725"/>
      <c r="ADH75" s="725"/>
      <c r="ADI75" s="725"/>
      <c r="ADJ75" s="725"/>
      <c r="ADK75" s="725"/>
      <c r="ADL75" s="725"/>
      <c r="ADM75" s="725"/>
      <c r="ADN75" s="725"/>
      <c r="ADO75" s="725"/>
      <c r="ADP75" s="725"/>
      <c r="ADQ75" s="725"/>
      <c r="ADR75" s="725"/>
      <c r="ADS75" s="725"/>
      <c r="ADT75" s="725"/>
      <c r="ADU75" s="725"/>
      <c r="ADV75" s="725"/>
      <c r="ADW75" s="725"/>
      <c r="ADX75" s="725"/>
      <c r="ADY75" s="725"/>
      <c r="ADZ75" s="725"/>
      <c r="AEA75" s="725"/>
      <c r="AEB75" s="725"/>
      <c r="AEC75" s="725"/>
      <c r="AED75" s="725"/>
      <c r="AEE75" s="725"/>
      <c r="AEF75" s="725"/>
      <c r="AEG75" s="725"/>
      <c r="AEH75" s="725"/>
      <c r="AEI75" s="725"/>
      <c r="AEJ75" s="725"/>
      <c r="AEK75" s="725"/>
      <c r="AEL75" s="725"/>
      <c r="AEM75" s="725"/>
      <c r="AEN75" s="725"/>
      <c r="AEO75" s="725"/>
      <c r="AEP75" s="725"/>
      <c r="AEQ75" s="725"/>
      <c r="AER75" s="725"/>
      <c r="AES75" s="725"/>
      <c r="AET75" s="725"/>
      <c r="AEU75" s="725"/>
      <c r="AEV75" s="725"/>
      <c r="AEW75" s="725"/>
      <c r="AEX75" s="725"/>
      <c r="AEY75" s="725"/>
      <c r="AEZ75" s="725"/>
      <c r="AFA75" s="725"/>
      <c r="AFB75" s="725"/>
      <c r="AFC75" s="725"/>
      <c r="AFD75" s="725"/>
      <c r="AFE75" s="725"/>
      <c r="AFF75" s="725"/>
      <c r="AFG75" s="725"/>
      <c r="AFH75" s="725"/>
      <c r="AFI75" s="725"/>
      <c r="AFJ75" s="725"/>
      <c r="AFK75" s="725"/>
      <c r="AFL75" s="725"/>
      <c r="AFM75" s="725"/>
      <c r="AFN75" s="725"/>
      <c r="AFO75" s="725"/>
      <c r="AFP75" s="725"/>
      <c r="AFQ75" s="725"/>
      <c r="AFR75" s="725"/>
      <c r="AFS75" s="725"/>
      <c r="AFT75" s="725"/>
      <c r="AFU75" s="725"/>
      <c r="AFV75" s="725"/>
      <c r="AFW75" s="725"/>
      <c r="AFX75" s="725"/>
      <c r="AFY75" s="725"/>
      <c r="AFZ75" s="725"/>
      <c r="AGA75" s="725"/>
      <c r="AGB75" s="725"/>
      <c r="AGC75" s="725"/>
      <c r="AGD75" s="725"/>
      <c r="AGE75" s="725"/>
      <c r="AGF75" s="725"/>
      <c r="AGG75" s="725"/>
      <c r="AGH75" s="725"/>
      <c r="AGI75" s="725"/>
      <c r="AGJ75" s="725"/>
      <c r="AGK75" s="725"/>
      <c r="AGL75" s="725"/>
      <c r="AGM75" s="725"/>
      <c r="AGN75" s="725"/>
      <c r="AGO75" s="725"/>
      <c r="AGP75" s="725"/>
      <c r="AGQ75" s="725"/>
      <c r="AGR75" s="725"/>
      <c r="AGS75" s="725"/>
      <c r="AGT75" s="725"/>
      <c r="AGU75" s="725"/>
      <c r="AGV75" s="725"/>
      <c r="AGW75" s="725"/>
      <c r="AGX75" s="725"/>
      <c r="AGY75" s="725"/>
      <c r="AGZ75" s="725"/>
      <c r="AHA75" s="725"/>
      <c r="AHB75" s="725"/>
      <c r="AHC75" s="725"/>
      <c r="AHD75" s="725"/>
      <c r="AHE75" s="725"/>
      <c r="AHF75" s="725"/>
      <c r="AHG75" s="725"/>
      <c r="AHH75" s="725"/>
      <c r="AHI75" s="725"/>
      <c r="AHJ75" s="725"/>
      <c r="AHK75" s="725"/>
      <c r="AHL75" s="725"/>
      <c r="AHM75" s="725"/>
      <c r="AHN75" s="725"/>
      <c r="AHO75" s="725"/>
      <c r="AHP75" s="725"/>
      <c r="AHQ75" s="725"/>
      <c r="AHR75" s="725"/>
      <c r="AHS75" s="725"/>
      <c r="AHT75" s="725"/>
      <c r="AHU75" s="725"/>
      <c r="AHV75" s="725"/>
      <c r="AHW75" s="725"/>
      <c r="AHX75" s="725"/>
      <c r="AHY75" s="725"/>
      <c r="AHZ75" s="725"/>
      <c r="AIA75" s="725"/>
      <c r="AIB75" s="725"/>
      <c r="AIC75" s="725"/>
      <c r="AID75" s="725"/>
      <c r="AIE75" s="725"/>
      <c r="AIF75" s="725"/>
      <c r="AIG75" s="725"/>
      <c r="AIH75" s="725"/>
      <c r="AII75" s="725"/>
      <c r="AIJ75" s="725"/>
      <c r="AIK75" s="725"/>
      <c r="AIL75" s="725"/>
      <c r="AIM75" s="725"/>
      <c r="AIN75" s="725"/>
      <c r="AIO75" s="725"/>
      <c r="AIP75" s="725"/>
      <c r="AIQ75" s="725"/>
      <c r="AIR75" s="725"/>
      <c r="AIS75" s="725"/>
      <c r="AIT75" s="725"/>
      <c r="AIU75" s="725"/>
      <c r="AIV75" s="725"/>
      <c r="AIW75" s="725"/>
      <c r="AIX75" s="725"/>
      <c r="AIY75" s="725"/>
      <c r="AIZ75" s="725"/>
      <c r="AJA75" s="725"/>
      <c r="AJB75" s="725"/>
      <c r="AJC75" s="725"/>
      <c r="AJD75" s="725"/>
      <c r="AJE75" s="725"/>
      <c r="AJF75" s="725"/>
      <c r="AJG75" s="725"/>
      <c r="AJH75" s="725"/>
      <c r="AJI75" s="725"/>
      <c r="AJJ75" s="725"/>
      <c r="AJK75" s="725"/>
      <c r="AJL75" s="725"/>
      <c r="AJM75" s="725"/>
      <c r="AJN75" s="725"/>
      <c r="AJO75" s="725"/>
      <c r="AJP75" s="725"/>
      <c r="AJQ75" s="725"/>
      <c r="AJR75" s="725"/>
      <c r="AJS75" s="725"/>
      <c r="AJT75" s="725"/>
      <c r="AJU75" s="725"/>
      <c r="AJV75" s="725"/>
      <c r="AJW75" s="725"/>
      <c r="AJX75" s="725"/>
      <c r="AJY75" s="725"/>
      <c r="AJZ75" s="725"/>
      <c r="AKA75" s="725"/>
      <c r="AKB75" s="725"/>
      <c r="AKC75" s="725"/>
      <c r="AKD75" s="725"/>
      <c r="AKE75" s="725"/>
      <c r="AKF75" s="725"/>
      <c r="AKG75" s="725"/>
      <c r="AKH75" s="725"/>
      <c r="AKI75" s="725"/>
      <c r="AKJ75" s="725"/>
      <c r="AKK75" s="725"/>
      <c r="AKL75" s="725"/>
      <c r="AKM75" s="725"/>
      <c r="AKN75" s="725"/>
      <c r="AKO75" s="725"/>
      <c r="AKP75" s="725"/>
      <c r="AKQ75" s="725"/>
      <c r="AKR75" s="725"/>
      <c r="AKS75" s="725"/>
      <c r="AKT75" s="725"/>
      <c r="AKU75" s="725"/>
      <c r="AKV75" s="725"/>
      <c r="AKW75" s="725"/>
      <c r="AKX75" s="725"/>
      <c r="AKY75" s="725"/>
      <c r="AKZ75" s="725"/>
      <c r="ALA75" s="725"/>
      <c r="ALB75" s="725"/>
      <c r="ALC75" s="725"/>
      <c r="ALD75" s="725"/>
      <c r="ALE75" s="725"/>
      <c r="ALF75" s="725"/>
      <c r="ALG75" s="725"/>
      <c r="ALH75" s="725"/>
      <c r="ALI75" s="725"/>
      <c r="ALJ75" s="725"/>
      <c r="ALK75" s="725"/>
      <c r="ALL75" s="725"/>
      <c r="ALM75" s="725"/>
      <c r="ALN75" s="725"/>
      <c r="ALO75" s="725"/>
      <c r="ALP75" s="725"/>
      <c r="ALQ75" s="725"/>
      <c r="ALR75" s="725"/>
      <c r="ALS75" s="725"/>
      <c r="ALT75" s="725"/>
      <c r="ALU75" s="725"/>
      <c r="ALV75" s="725"/>
      <c r="ALW75" s="725"/>
      <c r="ALX75" s="725"/>
      <c r="ALY75" s="725"/>
      <c r="ALZ75" s="725"/>
      <c r="AMA75" s="725"/>
      <c r="AMB75" s="725"/>
      <c r="AMC75" s="725"/>
      <c r="AMD75" s="725"/>
    </row>
    <row r="76" spans="1:1018" s="224" customFormat="1" ht="13.5" customHeight="1">
      <c r="A76" s="225">
        <v>71</v>
      </c>
      <c r="B76" s="217"/>
      <c r="C76" s="217" t="s">
        <v>264</v>
      </c>
      <c r="D76" s="217"/>
      <c r="E76" s="217"/>
      <c r="F76" s="217"/>
      <c r="G76" s="217"/>
      <c r="H76" s="714"/>
      <c r="I76" s="715" t="s">
        <v>1220</v>
      </c>
      <c r="J76" s="714" t="s">
        <v>1221</v>
      </c>
      <c r="K76" s="715"/>
      <c r="L76" s="714"/>
      <c r="M76" s="714"/>
      <c r="N76" s="714"/>
      <c r="O76" s="714"/>
      <c r="P76" s="252"/>
      <c r="Q76" s="714" t="s">
        <v>820</v>
      </c>
      <c r="R76" s="714"/>
      <c r="S76" s="721" t="s">
        <v>863</v>
      </c>
      <c r="T76" s="282" t="s">
        <v>864</v>
      </c>
      <c r="U76" s="714" t="s">
        <v>1222</v>
      </c>
      <c r="V76" s="718" t="s">
        <v>864</v>
      </c>
      <c r="W76" s="718" t="s">
        <v>864</v>
      </c>
      <c r="X76" s="724"/>
      <c r="Y76" s="232"/>
      <c r="Z76" s="719"/>
      <c r="AA76" s="714" t="s">
        <v>1223</v>
      </c>
      <c r="AB76" s="245" t="s">
        <v>1224</v>
      </c>
      <c r="AC76" s="714"/>
      <c r="AD76" s="717"/>
      <c r="AE76" s="717">
        <v>1</v>
      </c>
    </row>
    <row r="77" spans="1:1018" s="224" customFormat="1" ht="13.5" customHeight="1">
      <c r="A77" s="225">
        <v>72</v>
      </c>
      <c r="B77" s="217"/>
      <c r="C77" s="217" t="s">
        <v>1638</v>
      </c>
      <c r="D77" s="217"/>
      <c r="E77" s="217"/>
      <c r="F77" s="217"/>
      <c r="G77" s="217"/>
      <c r="H77" s="714" t="s">
        <v>1225</v>
      </c>
      <c r="I77" s="715" t="s">
        <v>1226</v>
      </c>
      <c r="J77" s="714" t="s">
        <v>1227</v>
      </c>
      <c r="K77" s="715" t="s">
        <v>939</v>
      </c>
      <c r="L77" s="714" t="s">
        <v>1228</v>
      </c>
      <c r="M77" s="714" t="s">
        <v>1229</v>
      </c>
      <c r="N77" s="714"/>
      <c r="O77" s="714"/>
      <c r="P77" s="252"/>
      <c r="Q77" s="714" t="s">
        <v>817</v>
      </c>
      <c r="R77" s="714"/>
      <c r="S77" s="714" t="s">
        <v>863</v>
      </c>
      <c r="T77" s="717"/>
      <c r="U77" s="714"/>
      <c r="V77" s="718" t="s">
        <v>864</v>
      </c>
      <c r="W77" s="718" t="s">
        <v>864</v>
      </c>
      <c r="X77" s="718"/>
      <c r="Y77" s="232"/>
      <c r="Z77" s="719"/>
      <c r="AA77" s="714"/>
      <c r="AB77" s="720"/>
      <c r="AC77" s="714"/>
      <c r="AD77" s="717">
        <v>1</v>
      </c>
      <c r="AE77" s="717">
        <v>1</v>
      </c>
    </row>
    <row r="78" spans="1:1018" s="224" customFormat="1" ht="13.5" customHeight="1">
      <c r="A78" s="225">
        <v>73</v>
      </c>
      <c r="B78" s="217" t="s">
        <v>1230</v>
      </c>
      <c r="C78" s="242"/>
      <c r="D78" s="241"/>
      <c r="E78" s="241"/>
      <c r="F78" s="241"/>
      <c r="G78" s="241"/>
      <c r="H78" s="714" t="s">
        <v>1639</v>
      </c>
      <c r="I78" s="715"/>
      <c r="J78" s="714" t="s">
        <v>1232</v>
      </c>
      <c r="K78" s="715" t="s">
        <v>1233</v>
      </c>
      <c r="L78" s="714"/>
      <c r="M78" s="714"/>
      <c r="N78" s="714"/>
      <c r="O78" s="714"/>
      <c r="P78" s="716"/>
      <c r="Q78" s="714" t="s">
        <v>817</v>
      </c>
      <c r="R78" s="714" t="s">
        <v>864</v>
      </c>
      <c r="S78" s="243" t="s">
        <v>1234</v>
      </c>
      <c r="T78" s="283"/>
      <c r="U78" s="714"/>
      <c r="V78" s="718" t="s">
        <v>864</v>
      </c>
      <c r="W78" s="718" t="s">
        <v>864</v>
      </c>
      <c r="X78" s="718" t="s">
        <v>864</v>
      </c>
      <c r="Y78" s="232"/>
      <c r="Z78" s="719"/>
      <c r="AA78" s="714"/>
      <c r="AB78" s="720"/>
      <c r="AC78" s="714"/>
      <c r="AD78" s="717">
        <v>1</v>
      </c>
      <c r="AE78" s="717">
        <v>1</v>
      </c>
    </row>
    <row r="79" spans="1:1018" s="231" customFormat="1" ht="13.5" customHeight="1">
      <c r="A79" s="225">
        <v>74</v>
      </c>
      <c r="B79" s="217"/>
      <c r="C79" s="678" t="s">
        <v>1235</v>
      </c>
      <c r="D79" s="678"/>
      <c r="E79" s="678"/>
      <c r="F79" s="678"/>
      <c r="G79" s="678"/>
      <c r="H79" s="714" t="s">
        <v>1236</v>
      </c>
      <c r="I79" s="715" t="s">
        <v>1237</v>
      </c>
      <c r="J79" s="714" t="s">
        <v>1238</v>
      </c>
      <c r="K79" s="715" t="s">
        <v>1218</v>
      </c>
      <c r="L79" s="714"/>
      <c r="M79" s="714"/>
      <c r="N79" s="714"/>
      <c r="O79" s="714"/>
      <c r="P79" s="716">
        <v>1</v>
      </c>
      <c r="Q79" s="714" t="s">
        <v>820</v>
      </c>
      <c r="R79" s="714"/>
      <c r="S79" s="714" t="s">
        <v>863</v>
      </c>
      <c r="T79" s="717"/>
      <c r="U79" s="714"/>
      <c r="V79" s="718" t="s">
        <v>864</v>
      </c>
      <c r="W79" s="718" t="s">
        <v>864</v>
      </c>
      <c r="X79" s="718" t="s">
        <v>864</v>
      </c>
      <c r="Y79" s="232"/>
      <c r="Z79" s="719"/>
      <c r="AA79" s="714"/>
      <c r="AB79" s="720"/>
      <c r="AC79" s="714"/>
      <c r="AD79" s="717">
        <v>1</v>
      </c>
      <c r="AE79" s="717">
        <v>1</v>
      </c>
      <c r="AF79" s="725"/>
      <c r="AG79" s="725"/>
      <c r="AH79" s="725"/>
      <c r="AI79" s="725"/>
      <c r="AJ79" s="725"/>
      <c r="AK79" s="725"/>
      <c r="AL79" s="725"/>
      <c r="AM79" s="725"/>
      <c r="AN79" s="725"/>
      <c r="AO79" s="725"/>
      <c r="AP79" s="725"/>
      <c r="AQ79" s="725"/>
      <c r="AR79" s="725"/>
      <c r="AS79" s="725"/>
      <c r="AT79" s="725"/>
      <c r="AU79" s="725"/>
      <c r="AV79" s="725"/>
      <c r="AW79" s="725"/>
      <c r="AX79" s="725"/>
      <c r="AY79" s="725"/>
      <c r="AZ79" s="725"/>
      <c r="BA79" s="725"/>
      <c r="BB79" s="725"/>
      <c r="BC79" s="725"/>
      <c r="BD79" s="725"/>
      <c r="BE79" s="725"/>
      <c r="BF79" s="725"/>
      <c r="BG79" s="725"/>
      <c r="BH79" s="725"/>
      <c r="BI79" s="725"/>
      <c r="BJ79" s="725"/>
      <c r="BK79" s="725"/>
      <c r="BL79" s="725"/>
      <c r="BM79" s="725"/>
      <c r="BN79" s="725"/>
      <c r="BO79" s="725"/>
      <c r="BP79" s="725"/>
      <c r="BQ79" s="725"/>
      <c r="BR79" s="725"/>
      <c r="BS79" s="725"/>
      <c r="BT79" s="725"/>
      <c r="BU79" s="725"/>
      <c r="BV79" s="725"/>
      <c r="BW79" s="725"/>
      <c r="BX79" s="725"/>
      <c r="BY79" s="725"/>
      <c r="BZ79" s="725"/>
      <c r="CA79" s="725"/>
      <c r="CB79" s="725"/>
      <c r="CC79" s="725"/>
      <c r="CD79" s="725"/>
      <c r="CE79" s="725"/>
      <c r="CF79" s="725"/>
      <c r="CG79" s="725"/>
      <c r="CH79" s="725"/>
      <c r="CI79" s="725"/>
      <c r="CJ79" s="725"/>
      <c r="CK79" s="725"/>
      <c r="CL79" s="725"/>
      <c r="CM79" s="725"/>
      <c r="CN79" s="725"/>
      <c r="CO79" s="725"/>
      <c r="CP79" s="725"/>
      <c r="CQ79" s="725"/>
      <c r="CR79" s="725"/>
      <c r="CS79" s="725"/>
      <c r="CT79" s="725"/>
      <c r="CU79" s="725"/>
      <c r="CV79" s="725"/>
      <c r="CW79" s="725"/>
      <c r="CX79" s="725"/>
      <c r="CY79" s="725"/>
      <c r="CZ79" s="725"/>
      <c r="DA79" s="725"/>
      <c r="DB79" s="725"/>
      <c r="DC79" s="725"/>
      <c r="DD79" s="725"/>
      <c r="DE79" s="725"/>
      <c r="DF79" s="725"/>
      <c r="DG79" s="725"/>
      <c r="DH79" s="725"/>
      <c r="DI79" s="725"/>
      <c r="DJ79" s="725"/>
      <c r="DK79" s="725"/>
      <c r="DL79" s="725"/>
      <c r="DM79" s="725"/>
      <c r="DN79" s="725"/>
      <c r="DO79" s="725"/>
      <c r="DP79" s="725"/>
      <c r="DQ79" s="725"/>
      <c r="DR79" s="725"/>
      <c r="DS79" s="725"/>
      <c r="DT79" s="725"/>
      <c r="DU79" s="725"/>
      <c r="DV79" s="725"/>
      <c r="DW79" s="725"/>
      <c r="DX79" s="725"/>
      <c r="DY79" s="725"/>
      <c r="DZ79" s="725"/>
      <c r="EA79" s="725"/>
      <c r="EB79" s="725"/>
      <c r="EC79" s="725"/>
      <c r="ED79" s="725"/>
      <c r="EE79" s="725"/>
      <c r="EF79" s="725"/>
      <c r="EG79" s="725"/>
      <c r="EH79" s="725"/>
      <c r="EI79" s="725"/>
      <c r="EJ79" s="725"/>
      <c r="EK79" s="725"/>
      <c r="EL79" s="725"/>
      <c r="EM79" s="725"/>
      <c r="EN79" s="725"/>
      <c r="EO79" s="725"/>
      <c r="EP79" s="725"/>
      <c r="EQ79" s="725"/>
      <c r="ER79" s="725"/>
      <c r="ES79" s="725"/>
      <c r="ET79" s="725"/>
      <c r="EU79" s="725"/>
      <c r="EV79" s="725"/>
      <c r="EW79" s="725"/>
      <c r="EX79" s="725"/>
      <c r="EY79" s="725"/>
      <c r="EZ79" s="725"/>
      <c r="FA79" s="725"/>
      <c r="FB79" s="725"/>
      <c r="FC79" s="725"/>
      <c r="FD79" s="725"/>
      <c r="FE79" s="725"/>
      <c r="FF79" s="725"/>
      <c r="FG79" s="725"/>
      <c r="FH79" s="725"/>
      <c r="FI79" s="725"/>
      <c r="FJ79" s="725"/>
      <c r="FK79" s="725"/>
      <c r="FL79" s="725"/>
      <c r="FM79" s="725"/>
      <c r="FN79" s="725"/>
      <c r="FO79" s="725"/>
      <c r="FP79" s="725"/>
      <c r="FQ79" s="725"/>
      <c r="FR79" s="725"/>
      <c r="FS79" s="725"/>
      <c r="FT79" s="725"/>
      <c r="FU79" s="725"/>
      <c r="FV79" s="725"/>
      <c r="FW79" s="725"/>
      <c r="FX79" s="725"/>
      <c r="FY79" s="725"/>
      <c r="FZ79" s="725"/>
      <c r="GA79" s="725"/>
      <c r="GB79" s="725"/>
      <c r="GC79" s="725"/>
      <c r="GD79" s="725"/>
      <c r="GE79" s="725"/>
      <c r="GF79" s="725"/>
      <c r="GG79" s="725"/>
      <c r="GH79" s="725"/>
      <c r="GI79" s="725"/>
      <c r="GJ79" s="725"/>
      <c r="GK79" s="725"/>
      <c r="GL79" s="725"/>
      <c r="GM79" s="725"/>
      <c r="GN79" s="725"/>
      <c r="GO79" s="725"/>
      <c r="GP79" s="725"/>
      <c r="GQ79" s="725"/>
      <c r="GR79" s="725"/>
      <c r="GS79" s="725"/>
      <c r="GT79" s="725"/>
      <c r="GU79" s="725"/>
      <c r="GV79" s="725"/>
      <c r="GW79" s="725"/>
      <c r="GX79" s="725"/>
      <c r="GY79" s="725"/>
      <c r="GZ79" s="725"/>
      <c r="HA79" s="725"/>
      <c r="HB79" s="725"/>
      <c r="HC79" s="725"/>
      <c r="HD79" s="725"/>
      <c r="HE79" s="725"/>
      <c r="HF79" s="725"/>
      <c r="HG79" s="725"/>
      <c r="HH79" s="725"/>
      <c r="HI79" s="725"/>
      <c r="HJ79" s="725"/>
      <c r="HK79" s="725"/>
      <c r="HL79" s="725"/>
      <c r="HM79" s="725"/>
      <c r="HN79" s="725"/>
      <c r="HO79" s="725"/>
      <c r="HP79" s="725"/>
      <c r="HQ79" s="725"/>
      <c r="HR79" s="725"/>
      <c r="HS79" s="725"/>
      <c r="HT79" s="725"/>
      <c r="HU79" s="725"/>
      <c r="HV79" s="725"/>
      <c r="HW79" s="725"/>
      <c r="HX79" s="725"/>
      <c r="HY79" s="725"/>
      <c r="HZ79" s="725"/>
      <c r="IA79" s="725"/>
      <c r="IB79" s="725"/>
      <c r="IC79" s="725"/>
      <c r="ID79" s="725"/>
      <c r="IE79" s="725"/>
      <c r="IF79" s="725"/>
      <c r="IG79" s="725"/>
      <c r="IH79" s="725"/>
      <c r="II79" s="725"/>
      <c r="IJ79" s="725"/>
      <c r="IK79" s="725"/>
      <c r="IL79" s="725"/>
      <c r="IM79" s="725"/>
      <c r="IN79" s="725"/>
      <c r="IO79" s="725"/>
      <c r="IP79" s="725"/>
      <c r="IQ79" s="725"/>
      <c r="IR79" s="725"/>
      <c r="IS79" s="725"/>
      <c r="IT79" s="725"/>
      <c r="IU79" s="725"/>
      <c r="IV79" s="725"/>
      <c r="IW79" s="725"/>
      <c r="IX79" s="725"/>
      <c r="IY79" s="725"/>
      <c r="IZ79" s="725"/>
      <c r="JA79" s="725"/>
      <c r="JB79" s="725"/>
      <c r="JC79" s="725"/>
      <c r="JD79" s="725"/>
      <c r="JE79" s="725"/>
      <c r="JF79" s="725"/>
      <c r="JG79" s="725"/>
      <c r="JH79" s="725"/>
      <c r="JI79" s="725"/>
      <c r="JJ79" s="725"/>
      <c r="JK79" s="725"/>
      <c r="JL79" s="725"/>
      <c r="JM79" s="725"/>
      <c r="JN79" s="725"/>
      <c r="JO79" s="725"/>
      <c r="JP79" s="725"/>
      <c r="JQ79" s="725"/>
      <c r="JR79" s="725"/>
      <c r="JS79" s="725"/>
      <c r="JT79" s="725"/>
      <c r="JU79" s="725"/>
      <c r="JV79" s="725"/>
      <c r="JW79" s="725"/>
      <c r="JX79" s="725"/>
      <c r="JY79" s="725"/>
      <c r="JZ79" s="725"/>
      <c r="KA79" s="725"/>
      <c r="KB79" s="725"/>
      <c r="KC79" s="725"/>
      <c r="KD79" s="725"/>
      <c r="KE79" s="725"/>
      <c r="KF79" s="725"/>
      <c r="KG79" s="725"/>
      <c r="KH79" s="725"/>
      <c r="KI79" s="725"/>
      <c r="KJ79" s="725"/>
      <c r="KK79" s="725"/>
      <c r="KL79" s="725"/>
      <c r="KM79" s="725"/>
      <c r="KN79" s="725"/>
      <c r="KO79" s="725"/>
      <c r="KP79" s="725"/>
      <c r="KQ79" s="725"/>
      <c r="KR79" s="725"/>
      <c r="KS79" s="725"/>
      <c r="KT79" s="725"/>
      <c r="KU79" s="725"/>
      <c r="KV79" s="725"/>
      <c r="KW79" s="725"/>
      <c r="KX79" s="725"/>
      <c r="KY79" s="725"/>
      <c r="KZ79" s="725"/>
      <c r="LA79" s="725"/>
      <c r="LB79" s="725"/>
      <c r="LC79" s="725"/>
      <c r="LD79" s="725"/>
      <c r="LE79" s="725"/>
      <c r="LF79" s="725"/>
      <c r="LG79" s="725"/>
      <c r="LH79" s="725"/>
      <c r="LI79" s="725"/>
      <c r="LJ79" s="725"/>
      <c r="LK79" s="725"/>
      <c r="LL79" s="725"/>
      <c r="LM79" s="725"/>
      <c r="LN79" s="725"/>
      <c r="LO79" s="725"/>
      <c r="LP79" s="725"/>
      <c r="LQ79" s="725"/>
      <c r="LR79" s="725"/>
      <c r="LS79" s="725"/>
      <c r="LT79" s="725"/>
      <c r="LU79" s="725"/>
      <c r="LV79" s="725"/>
      <c r="LW79" s="725"/>
      <c r="LX79" s="725"/>
      <c r="LY79" s="725"/>
      <c r="LZ79" s="725"/>
      <c r="MA79" s="725"/>
      <c r="MB79" s="725"/>
      <c r="MC79" s="725"/>
      <c r="MD79" s="725"/>
      <c r="ME79" s="725"/>
      <c r="MF79" s="725"/>
      <c r="MG79" s="725"/>
      <c r="MH79" s="725"/>
      <c r="MI79" s="725"/>
      <c r="MJ79" s="725"/>
      <c r="MK79" s="725"/>
      <c r="ML79" s="725"/>
      <c r="MM79" s="725"/>
      <c r="MN79" s="725"/>
      <c r="MO79" s="725"/>
      <c r="MP79" s="725"/>
      <c r="MQ79" s="725"/>
      <c r="MR79" s="725"/>
      <c r="MS79" s="725"/>
      <c r="MT79" s="725"/>
      <c r="MU79" s="725"/>
      <c r="MV79" s="725"/>
      <c r="MW79" s="725"/>
      <c r="MX79" s="725"/>
      <c r="MY79" s="725"/>
      <c r="MZ79" s="725"/>
      <c r="NA79" s="725"/>
      <c r="NB79" s="725"/>
      <c r="NC79" s="725"/>
      <c r="ND79" s="725"/>
      <c r="NE79" s="725"/>
      <c r="NF79" s="725"/>
      <c r="NG79" s="725"/>
      <c r="NH79" s="725"/>
      <c r="NI79" s="725"/>
      <c r="NJ79" s="725"/>
      <c r="NK79" s="725"/>
      <c r="NL79" s="725"/>
      <c r="NM79" s="725"/>
      <c r="NN79" s="725"/>
      <c r="NO79" s="725"/>
      <c r="NP79" s="725"/>
      <c r="NQ79" s="725"/>
      <c r="NR79" s="725"/>
      <c r="NS79" s="725"/>
      <c r="NT79" s="725"/>
      <c r="NU79" s="725"/>
      <c r="NV79" s="725"/>
      <c r="NW79" s="725"/>
      <c r="NX79" s="725"/>
      <c r="NY79" s="725"/>
      <c r="NZ79" s="725"/>
      <c r="OA79" s="725"/>
      <c r="OB79" s="725"/>
      <c r="OC79" s="725"/>
      <c r="OD79" s="725"/>
      <c r="OE79" s="725"/>
      <c r="OF79" s="725"/>
      <c r="OG79" s="725"/>
      <c r="OH79" s="725"/>
      <c r="OI79" s="725"/>
      <c r="OJ79" s="725"/>
      <c r="OK79" s="725"/>
      <c r="OL79" s="725"/>
      <c r="OM79" s="725"/>
      <c r="ON79" s="725"/>
      <c r="OO79" s="725"/>
      <c r="OP79" s="725"/>
      <c r="OQ79" s="725"/>
      <c r="OR79" s="725"/>
      <c r="OS79" s="725"/>
      <c r="OT79" s="725"/>
      <c r="OU79" s="725"/>
      <c r="OV79" s="725"/>
      <c r="OW79" s="725"/>
      <c r="OX79" s="725"/>
      <c r="OY79" s="725"/>
      <c r="OZ79" s="725"/>
      <c r="PA79" s="725"/>
      <c r="PB79" s="725"/>
      <c r="PC79" s="725"/>
      <c r="PD79" s="725"/>
      <c r="PE79" s="725"/>
      <c r="PF79" s="725"/>
      <c r="PG79" s="725"/>
      <c r="PH79" s="725"/>
      <c r="PI79" s="725"/>
      <c r="PJ79" s="725"/>
      <c r="PK79" s="725"/>
      <c r="PL79" s="725"/>
      <c r="PM79" s="725"/>
      <c r="PN79" s="725"/>
      <c r="PO79" s="725"/>
      <c r="PP79" s="725"/>
      <c r="PQ79" s="725"/>
      <c r="PR79" s="725"/>
      <c r="PS79" s="725"/>
      <c r="PT79" s="725"/>
      <c r="PU79" s="725"/>
      <c r="PV79" s="725"/>
      <c r="PW79" s="725"/>
      <c r="PX79" s="725"/>
      <c r="PY79" s="725"/>
      <c r="PZ79" s="725"/>
      <c r="QA79" s="725"/>
      <c r="QB79" s="725"/>
      <c r="QC79" s="725"/>
      <c r="QD79" s="725"/>
      <c r="QE79" s="725"/>
      <c r="QF79" s="725"/>
      <c r="QG79" s="725"/>
      <c r="QH79" s="725"/>
      <c r="QI79" s="725"/>
      <c r="QJ79" s="725"/>
      <c r="QK79" s="725"/>
      <c r="QL79" s="725"/>
      <c r="QM79" s="725"/>
      <c r="QN79" s="725"/>
      <c r="QO79" s="725"/>
      <c r="QP79" s="725"/>
      <c r="QQ79" s="725"/>
      <c r="QR79" s="725"/>
      <c r="QS79" s="725"/>
      <c r="QT79" s="725"/>
      <c r="QU79" s="725"/>
      <c r="QV79" s="725"/>
      <c r="QW79" s="725"/>
      <c r="QX79" s="725"/>
      <c r="QY79" s="725"/>
      <c r="QZ79" s="725"/>
      <c r="RA79" s="725"/>
      <c r="RB79" s="725"/>
      <c r="RC79" s="725"/>
      <c r="RD79" s="725"/>
      <c r="RE79" s="725"/>
      <c r="RF79" s="725"/>
      <c r="RG79" s="725"/>
      <c r="RH79" s="725"/>
      <c r="RI79" s="725"/>
      <c r="RJ79" s="725"/>
      <c r="RK79" s="725"/>
      <c r="RL79" s="725"/>
      <c r="RM79" s="725"/>
      <c r="RN79" s="725"/>
      <c r="RO79" s="725"/>
      <c r="RP79" s="725"/>
      <c r="RQ79" s="725"/>
      <c r="RR79" s="725"/>
      <c r="RS79" s="725"/>
      <c r="RT79" s="725"/>
      <c r="RU79" s="725"/>
      <c r="RV79" s="725"/>
      <c r="RW79" s="725"/>
      <c r="RX79" s="725"/>
      <c r="RY79" s="725"/>
      <c r="RZ79" s="725"/>
      <c r="SA79" s="725"/>
      <c r="SB79" s="725"/>
      <c r="SC79" s="725"/>
      <c r="SD79" s="725"/>
      <c r="SE79" s="725"/>
      <c r="SF79" s="725"/>
      <c r="SG79" s="725"/>
      <c r="SH79" s="725"/>
      <c r="SI79" s="725"/>
      <c r="SJ79" s="725"/>
      <c r="SK79" s="725"/>
      <c r="SL79" s="725"/>
      <c r="SM79" s="725"/>
      <c r="SN79" s="725"/>
      <c r="SO79" s="725"/>
      <c r="SP79" s="725"/>
      <c r="SQ79" s="725"/>
      <c r="SR79" s="725"/>
      <c r="SS79" s="725"/>
      <c r="ST79" s="725"/>
      <c r="SU79" s="725"/>
      <c r="SV79" s="725"/>
      <c r="SW79" s="725"/>
      <c r="SX79" s="725"/>
      <c r="SY79" s="725"/>
      <c r="SZ79" s="725"/>
      <c r="TA79" s="725"/>
      <c r="TB79" s="725"/>
      <c r="TC79" s="725"/>
      <c r="TD79" s="725"/>
      <c r="TE79" s="725"/>
      <c r="TF79" s="725"/>
      <c r="TG79" s="725"/>
      <c r="TH79" s="725"/>
      <c r="TI79" s="725"/>
      <c r="TJ79" s="725"/>
      <c r="TK79" s="725"/>
      <c r="TL79" s="725"/>
      <c r="TM79" s="725"/>
      <c r="TN79" s="725"/>
      <c r="TO79" s="725"/>
      <c r="TP79" s="725"/>
      <c r="TQ79" s="725"/>
      <c r="TR79" s="725"/>
      <c r="TS79" s="725"/>
      <c r="TT79" s="725"/>
      <c r="TU79" s="725"/>
      <c r="TV79" s="725"/>
      <c r="TW79" s="725"/>
      <c r="TX79" s="725"/>
      <c r="TY79" s="725"/>
      <c r="TZ79" s="725"/>
      <c r="UA79" s="725"/>
      <c r="UB79" s="725"/>
      <c r="UC79" s="725"/>
      <c r="UD79" s="725"/>
      <c r="UE79" s="725"/>
      <c r="UF79" s="725"/>
      <c r="UG79" s="725"/>
      <c r="UH79" s="725"/>
      <c r="UI79" s="725"/>
      <c r="UJ79" s="725"/>
      <c r="UK79" s="725"/>
      <c r="UL79" s="725"/>
      <c r="UM79" s="725"/>
      <c r="UN79" s="725"/>
      <c r="UO79" s="725"/>
      <c r="UP79" s="725"/>
      <c r="UQ79" s="725"/>
      <c r="UR79" s="725"/>
      <c r="US79" s="725"/>
      <c r="UT79" s="725"/>
      <c r="UU79" s="725"/>
      <c r="UV79" s="725"/>
      <c r="UW79" s="725"/>
      <c r="UX79" s="725"/>
      <c r="UY79" s="725"/>
      <c r="UZ79" s="725"/>
      <c r="VA79" s="725"/>
      <c r="VB79" s="725"/>
      <c r="VC79" s="725"/>
      <c r="VD79" s="725"/>
      <c r="VE79" s="725"/>
      <c r="VF79" s="725"/>
      <c r="VG79" s="725"/>
      <c r="VH79" s="725"/>
      <c r="VI79" s="725"/>
      <c r="VJ79" s="725"/>
      <c r="VK79" s="725"/>
      <c r="VL79" s="725"/>
      <c r="VM79" s="725"/>
      <c r="VN79" s="725"/>
      <c r="VO79" s="725"/>
      <c r="VP79" s="725"/>
      <c r="VQ79" s="725"/>
      <c r="VR79" s="725"/>
      <c r="VS79" s="725"/>
      <c r="VT79" s="725"/>
      <c r="VU79" s="725"/>
      <c r="VV79" s="725"/>
      <c r="VW79" s="725"/>
      <c r="VX79" s="725"/>
      <c r="VY79" s="725"/>
      <c r="VZ79" s="725"/>
      <c r="WA79" s="725"/>
      <c r="WB79" s="725"/>
      <c r="WC79" s="725"/>
      <c r="WD79" s="725"/>
      <c r="WE79" s="725"/>
      <c r="WF79" s="725"/>
      <c r="WG79" s="725"/>
      <c r="WH79" s="725"/>
      <c r="WI79" s="725"/>
      <c r="WJ79" s="725"/>
      <c r="WK79" s="725"/>
      <c r="WL79" s="725"/>
      <c r="WM79" s="725"/>
      <c r="WN79" s="725"/>
      <c r="WO79" s="725"/>
      <c r="WP79" s="725"/>
      <c r="WQ79" s="725"/>
      <c r="WR79" s="725"/>
      <c r="WS79" s="725"/>
      <c r="WT79" s="725"/>
      <c r="WU79" s="725"/>
      <c r="WV79" s="725"/>
      <c r="WW79" s="725"/>
      <c r="WX79" s="725"/>
      <c r="WY79" s="725"/>
      <c r="WZ79" s="725"/>
      <c r="XA79" s="725"/>
      <c r="XB79" s="725"/>
      <c r="XC79" s="725"/>
      <c r="XD79" s="725"/>
      <c r="XE79" s="725"/>
      <c r="XF79" s="725"/>
      <c r="XG79" s="725"/>
      <c r="XH79" s="725"/>
      <c r="XI79" s="725"/>
      <c r="XJ79" s="725"/>
      <c r="XK79" s="725"/>
      <c r="XL79" s="725"/>
      <c r="XM79" s="725"/>
      <c r="XN79" s="725"/>
      <c r="XO79" s="725"/>
      <c r="XP79" s="725"/>
      <c r="XQ79" s="725"/>
      <c r="XR79" s="725"/>
      <c r="XS79" s="725"/>
      <c r="XT79" s="725"/>
      <c r="XU79" s="725"/>
      <c r="XV79" s="725"/>
      <c r="XW79" s="725"/>
      <c r="XX79" s="725"/>
      <c r="XY79" s="725"/>
      <c r="XZ79" s="725"/>
      <c r="YA79" s="725"/>
      <c r="YB79" s="725"/>
      <c r="YC79" s="725"/>
      <c r="YD79" s="725"/>
      <c r="YE79" s="725"/>
      <c r="YF79" s="725"/>
      <c r="YG79" s="725"/>
      <c r="YH79" s="725"/>
      <c r="YI79" s="725"/>
      <c r="YJ79" s="725"/>
      <c r="YK79" s="725"/>
      <c r="YL79" s="725"/>
      <c r="YM79" s="725"/>
      <c r="YN79" s="725"/>
      <c r="YO79" s="725"/>
      <c r="YP79" s="725"/>
      <c r="YQ79" s="725"/>
      <c r="YR79" s="725"/>
      <c r="YS79" s="725"/>
      <c r="YT79" s="725"/>
      <c r="YU79" s="725"/>
      <c r="YV79" s="725"/>
      <c r="YW79" s="725"/>
      <c r="YX79" s="725"/>
      <c r="YY79" s="725"/>
      <c r="YZ79" s="725"/>
      <c r="ZA79" s="725"/>
      <c r="ZB79" s="725"/>
      <c r="ZC79" s="725"/>
      <c r="ZD79" s="725"/>
      <c r="ZE79" s="725"/>
      <c r="ZF79" s="725"/>
      <c r="ZG79" s="725"/>
      <c r="ZH79" s="725"/>
      <c r="ZI79" s="725"/>
      <c r="ZJ79" s="725"/>
      <c r="ZK79" s="725"/>
      <c r="ZL79" s="725"/>
      <c r="ZM79" s="725"/>
      <c r="ZN79" s="725"/>
      <c r="ZO79" s="725"/>
      <c r="ZP79" s="725"/>
      <c r="ZQ79" s="725"/>
      <c r="ZR79" s="725"/>
      <c r="ZS79" s="725"/>
      <c r="ZT79" s="725"/>
      <c r="ZU79" s="725"/>
      <c r="ZV79" s="725"/>
      <c r="ZW79" s="725"/>
      <c r="ZX79" s="725"/>
      <c r="ZY79" s="725"/>
      <c r="ZZ79" s="725"/>
      <c r="AAA79" s="725"/>
      <c r="AAB79" s="725"/>
      <c r="AAC79" s="725"/>
      <c r="AAD79" s="725"/>
      <c r="AAE79" s="725"/>
      <c r="AAF79" s="725"/>
      <c r="AAG79" s="725"/>
      <c r="AAH79" s="725"/>
      <c r="AAI79" s="725"/>
      <c r="AAJ79" s="725"/>
      <c r="AAK79" s="725"/>
      <c r="AAL79" s="725"/>
      <c r="AAM79" s="725"/>
      <c r="AAN79" s="725"/>
      <c r="AAO79" s="725"/>
      <c r="AAP79" s="725"/>
      <c r="AAQ79" s="725"/>
      <c r="AAR79" s="725"/>
      <c r="AAS79" s="725"/>
      <c r="AAT79" s="725"/>
      <c r="AAU79" s="725"/>
      <c r="AAV79" s="725"/>
      <c r="AAW79" s="725"/>
      <c r="AAX79" s="725"/>
      <c r="AAY79" s="725"/>
      <c r="AAZ79" s="725"/>
      <c r="ABA79" s="725"/>
      <c r="ABB79" s="725"/>
      <c r="ABC79" s="725"/>
      <c r="ABD79" s="725"/>
      <c r="ABE79" s="725"/>
      <c r="ABF79" s="725"/>
      <c r="ABG79" s="725"/>
      <c r="ABH79" s="725"/>
      <c r="ABI79" s="725"/>
      <c r="ABJ79" s="725"/>
      <c r="ABK79" s="725"/>
      <c r="ABL79" s="725"/>
      <c r="ABM79" s="725"/>
      <c r="ABN79" s="725"/>
      <c r="ABO79" s="725"/>
      <c r="ABP79" s="725"/>
      <c r="ABQ79" s="725"/>
      <c r="ABR79" s="725"/>
      <c r="ABS79" s="725"/>
      <c r="ABT79" s="725"/>
      <c r="ABU79" s="725"/>
      <c r="ABV79" s="725"/>
      <c r="ABW79" s="725"/>
      <c r="ABX79" s="725"/>
      <c r="ABY79" s="725"/>
      <c r="ABZ79" s="725"/>
      <c r="ACA79" s="725"/>
      <c r="ACB79" s="725"/>
      <c r="ACC79" s="725"/>
      <c r="ACD79" s="725"/>
      <c r="ACE79" s="725"/>
      <c r="ACF79" s="725"/>
      <c r="ACG79" s="725"/>
      <c r="ACH79" s="725"/>
      <c r="ACI79" s="725"/>
      <c r="ACJ79" s="725"/>
      <c r="ACK79" s="725"/>
      <c r="ACL79" s="725"/>
      <c r="ACM79" s="725"/>
      <c r="ACN79" s="725"/>
      <c r="ACO79" s="725"/>
      <c r="ACP79" s="725"/>
      <c r="ACQ79" s="725"/>
      <c r="ACR79" s="725"/>
      <c r="ACS79" s="725"/>
      <c r="ACT79" s="725"/>
      <c r="ACU79" s="725"/>
      <c r="ACV79" s="725"/>
      <c r="ACW79" s="725"/>
      <c r="ACX79" s="725"/>
      <c r="ACY79" s="725"/>
      <c r="ACZ79" s="725"/>
      <c r="ADA79" s="725"/>
      <c r="ADB79" s="725"/>
      <c r="ADC79" s="725"/>
      <c r="ADD79" s="725"/>
      <c r="ADE79" s="725"/>
      <c r="ADF79" s="725"/>
      <c r="ADG79" s="725"/>
      <c r="ADH79" s="725"/>
      <c r="ADI79" s="725"/>
      <c r="ADJ79" s="725"/>
      <c r="ADK79" s="725"/>
      <c r="ADL79" s="725"/>
      <c r="ADM79" s="725"/>
      <c r="ADN79" s="725"/>
      <c r="ADO79" s="725"/>
      <c r="ADP79" s="725"/>
      <c r="ADQ79" s="725"/>
      <c r="ADR79" s="725"/>
      <c r="ADS79" s="725"/>
      <c r="ADT79" s="725"/>
      <c r="ADU79" s="725"/>
      <c r="ADV79" s="725"/>
      <c r="ADW79" s="725"/>
      <c r="ADX79" s="725"/>
      <c r="ADY79" s="725"/>
      <c r="ADZ79" s="725"/>
      <c r="AEA79" s="725"/>
      <c r="AEB79" s="725"/>
      <c r="AEC79" s="725"/>
      <c r="AED79" s="725"/>
      <c r="AEE79" s="725"/>
      <c r="AEF79" s="725"/>
      <c r="AEG79" s="725"/>
      <c r="AEH79" s="725"/>
      <c r="AEI79" s="725"/>
      <c r="AEJ79" s="725"/>
      <c r="AEK79" s="725"/>
      <c r="AEL79" s="725"/>
      <c r="AEM79" s="725"/>
      <c r="AEN79" s="725"/>
      <c r="AEO79" s="725"/>
      <c r="AEP79" s="725"/>
      <c r="AEQ79" s="725"/>
      <c r="AER79" s="725"/>
      <c r="AES79" s="725"/>
      <c r="AET79" s="725"/>
      <c r="AEU79" s="725"/>
      <c r="AEV79" s="725"/>
      <c r="AEW79" s="725"/>
      <c r="AEX79" s="725"/>
      <c r="AEY79" s="725"/>
      <c r="AEZ79" s="725"/>
      <c r="AFA79" s="725"/>
      <c r="AFB79" s="725"/>
      <c r="AFC79" s="725"/>
      <c r="AFD79" s="725"/>
      <c r="AFE79" s="725"/>
      <c r="AFF79" s="725"/>
      <c r="AFG79" s="725"/>
      <c r="AFH79" s="725"/>
      <c r="AFI79" s="725"/>
      <c r="AFJ79" s="725"/>
      <c r="AFK79" s="725"/>
      <c r="AFL79" s="725"/>
      <c r="AFM79" s="725"/>
      <c r="AFN79" s="725"/>
      <c r="AFO79" s="725"/>
      <c r="AFP79" s="725"/>
      <c r="AFQ79" s="725"/>
      <c r="AFR79" s="725"/>
      <c r="AFS79" s="725"/>
      <c r="AFT79" s="725"/>
      <c r="AFU79" s="725"/>
      <c r="AFV79" s="725"/>
      <c r="AFW79" s="725"/>
      <c r="AFX79" s="725"/>
      <c r="AFY79" s="725"/>
      <c r="AFZ79" s="725"/>
      <c r="AGA79" s="725"/>
      <c r="AGB79" s="725"/>
      <c r="AGC79" s="725"/>
      <c r="AGD79" s="725"/>
      <c r="AGE79" s="725"/>
      <c r="AGF79" s="725"/>
      <c r="AGG79" s="725"/>
      <c r="AGH79" s="725"/>
      <c r="AGI79" s="725"/>
      <c r="AGJ79" s="725"/>
      <c r="AGK79" s="725"/>
      <c r="AGL79" s="725"/>
      <c r="AGM79" s="725"/>
      <c r="AGN79" s="725"/>
      <c r="AGO79" s="725"/>
      <c r="AGP79" s="725"/>
      <c r="AGQ79" s="725"/>
      <c r="AGR79" s="725"/>
      <c r="AGS79" s="725"/>
      <c r="AGT79" s="725"/>
      <c r="AGU79" s="725"/>
      <c r="AGV79" s="725"/>
      <c r="AGW79" s="725"/>
      <c r="AGX79" s="725"/>
      <c r="AGY79" s="725"/>
      <c r="AGZ79" s="725"/>
      <c r="AHA79" s="725"/>
      <c r="AHB79" s="725"/>
      <c r="AHC79" s="725"/>
      <c r="AHD79" s="725"/>
      <c r="AHE79" s="725"/>
      <c r="AHF79" s="725"/>
      <c r="AHG79" s="725"/>
      <c r="AHH79" s="725"/>
      <c r="AHI79" s="725"/>
      <c r="AHJ79" s="725"/>
      <c r="AHK79" s="725"/>
      <c r="AHL79" s="725"/>
      <c r="AHM79" s="725"/>
      <c r="AHN79" s="725"/>
      <c r="AHO79" s="725"/>
      <c r="AHP79" s="725"/>
      <c r="AHQ79" s="725"/>
      <c r="AHR79" s="725"/>
      <c r="AHS79" s="725"/>
      <c r="AHT79" s="725"/>
      <c r="AHU79" s="725"/>
      <c r="AHV79" s="725"/>
      <c r="AHW79" s="725"/>
      <c r="AHX79" s="725"/>
      <c r="AHY79" s="725"/>
      <c r="AHZ79" s="725"/>
      <c r="AIA79" s="725"/>
      <c r="AIB79" s="725"/>
      <c r="AIC79" s="725"/>
      <c r="AID79" s="725"/>
      <c r="AIE79" s="725"/>
      <c r="AIF79" s="725"/>
      <c r="AIG79" s="725"/>
      <c r="AIH79" s="725"/>
      <c r="AII79" s="725"/>
      <c r="AIJ79" s="725"/>
      <c r="AIK79" s="725"/>
      <c r="AIL79" s="725"/>
      <c r="AIM79" s="725"/>
      <c r="AIN79" s="725"/>
      <c r="AIO79" s="725"/>
      <c r="AIP79" s="725"/>
      <c r="AIQ79" s="725"/>
      <c r="AIR79" s="725"/>
      <c r="AIS79" s="725"/>
      <c r="AIT79" s="725"/>
      <c r="AIU79" s="725"/>
      <c r="AIV79" s="725"/>
      <c r="AIW79" s="725"/>
      <c r="AIX79" s="725"/>
      <c r="AIY79" s="725"/>
      <c r="AIZ79" s="725"/>
      <c r="AJA79" s="725"/>
      <c r="AJB79" s="725"/>
      <c r="AJC79" s="725"/>
      <c r="AJD79" s="725"/>
      <c r="AJE79" s="725"/>
      <c r="AJF79" s="725"/>
      <c r="AJG79" s="725"/>
      <c r="AJH79" s="725"/>
      <c r="AJI79" s="725"/>
      <c r="AJJ79" s="725"/>
      <c r="AJK79" s="725"/>
      <c r="AJL79" s="725"/>
      <c r="AJM79" s="725"/>
      <c r="AJN79" s="725"/>
      <c r="AJO79" s="725"/>
      <c r="AJP79" s="725"/>
      <c r="AJQ79" s="725"/>
      <c r="AJR79" s="725"/>
      <c r="AJS79" s="725"/>
      <c r="AJT79" s="725"/>
      <c r="AJU79" s="725"/>
      <c r="AJV79" s="725"/>
      <c r="AJW79" s="725"/>
      <c r="AJX79" s="725"/>
      <c r="AJY79" s="725"/>
      <c r="AJZ79" s="725"/>
      <c r="AKA79" s="725"/>
      <c r="AKB79" s="725"/>
      <c r="AKC79" s="725"/>
      <c r="AKD79" s="725"/>
      <c r="AKE79" s="725"/>
      <c r="AKF79" s="725"/>
      <c r="AKG79" s="725"/>
      <c r="AKH79" s="725"/>
      <c r="AKI79" s="725"/>
      <c r="AKJ79" s="725"/>
      <c r="AKK79" s="725"/>
      <c r="AKL79" s="725"/>
      <c r="AKM79" s="725"/>
      <c r="AKN79" s="725"/>
      <c r="AKO79" s="725"/>
      <c r="AKP79" s="725"/>
      <c r="AKQ79" s="725"/>
      <c r="AKR79" s="725"/>
      <c r="AKS79" s="725"/>
      <c r="AKT79" s="725"/>
      <c r="AKU79" s="725"/>
      <c r="AKV79" s="725"/>
      <c r="AKW79" s="725"/>
      <c r="AKX79" s="725"/>
      <c r="AKY79" s="725"/>
      <c r="AKZ79" s="725"/>
      <c r="ALA79" s="725"/>
      <c r="ALB79" s="725"/>
      <c r="ALC79" s="725"/>
      <c r="ALD79" s="725"/>
      <c r="ALE79" s="725"/>
      <c r="ALF79" s="725"/>
      <c r="ALG79" s="725"/>
      <c r="ALH79" s="725"/>
      <c r="ALI79" s="725"/>
      <c r="ALJ79" s="725"/>
      <c r="ALK79" s="725"/>
      <c r="ALL79" s="725"/>
      <c r="ALM79" s="725"/>
      <c r="ALN79" s="725"/>
      <c r="ALO79" s="725"/>
      <c r="ALP79" s="725"/>
      <c r="ALQ79" s="725"/>
      <c r="ALR79" s="725"/>
      <c r="ALS79" s="725"/>
      <c r="ALT79" s="725"/>
      <c r="ALU79" s="725"/>
      <c r="ALV79" s="725"/>
      <c r="ALW79" s="725"/>
      <c r="ALX79" s="725"/>
      <c r="ALY79" s="725"/>
      <c r="ALZ79" s="725"/>
      <c r="AMA79" s="725"/>
      <c r="AMB79" s="725"/>
      <c r="AMC79" s="725"/>
      <c r="AMD79" s="725"/>
    </row>
    <row r="80" spans="1:1018" s="224" customFormat="1" ht="13.5" customHeight="1">
      <c r="A80" s="225">
        <v>75</v>
      </c>
      <c r="B80" s="217"/>
      <c r="C80" s="241" t="s">
        <v>1239</v>
      </c>
      <c r="D80" s="217"/>
      <c r="E80" s="217"/>
      <c r="F80" s="217"/>
      <c r="G80" s="217"/>
      <c r="H80" s="714" t="s">
        <v>1240</v>
      </c>
      <c r="I80" s="715" t="s">
        <v>1241</v>
      </c>
      <c r="J80" s="714" t="s">
        <v>1242</v>
      </c>
      <c r="K80" s="715" t="s">
        <v>1243</v>
      </c>
      <c r="L80" s="714" t="s">
        <v>1244</v>
      </c>
      <c r="M80" s="726" t="s">
        <v>1245</v>
      </c>
      <c r="N80" s="726"/>
      <c r="O80" s="714"/>
      <c r="P80" s="716"/>
      <c r="Q80" s="714" t="s">
        <v>820</v>
      </c>
      <c r="R80" s="714"/>
      <c r="S80" s="714" t="s">
        <v>879</v>
      </c>
      <c r="T80" s="717"/>
      <c r="U80" s="714" t="s">
        <v>932</v>
      </c>
      <c r="V80" s="718" t="s">
        <v>864</v>
      </c>
      <c r="W80" s="718" t="s">
        <v>864</v>
      </c>
      <c r="X80" s="718" t="s">
        <v>864</v>
      </c>
      <c r="Y80" s="232"/>
      <c r="Z80" s="719"/>
      <c r="AA80" s="714" t="s">
        <v>1163</v>
      </c>
      <c r="AB80" s="720"/>
      <c r="AC80" s="714"/>
      <c r="AD80" s="717">
        <v>1</v>
      </c>
      <c r="AE80" s="717">
        <v>1</v>
      </c>
    </row>
    <row r="81" spans="1:32" s="244" customFormat="1" ht="13.5" customHeight="1">
      <c r="A81" s="225">
        <v>76</v>
      </c>
      <c r="B81" s="217"/>
      <c r="C81" s="241" t="s">
        <v>1246</v>
      </c>
      <c r="D81" s="217"/>
      <c r="E81" s="221"/>
      <c r="F81" s="222"/>
      <c r="G81" s="222"/>
      <c r="H81" s="714" t="s">
        <v>1247</v>
      </c>
      <c r="I81" s="715" t="s">
        <v>1248</v>
      </c>
      <c r="J81" s="714"/>
      <c r="K81" s="715" t="s">
        <v>1249</v>
      </c>
      <c r="L81" s="714"/>
      <c r="M81" s="714"/>
      <c r="N81" s="714"/>
      <c r="O81" s="714"/>
      <c r="P81" s="716">
        <v>1</v>
      </c>
      <c r="Q81" s="714" t="s">
        <v>820</v>
      </c>
      <c r="R81" s="714"/>
      <c r="S81" s="714" t="s">
        <v>863</v>
      </c>
      <c r="T81" s="717" t="s">
        <v>864</v>
      </c>
      <c r="U81" s="714" t="s">
        <v>1250</v>
      </c>
      <c r="V81" s="718" t="s">
        <v>864</v>
      </c>
      <c r="W81" s="718" t="s">
        <v>864</v>
      </c>
      <c r="X81" s="718" t="s">
        <v>864</v>
      </c>
      <c r="Y81" s="232"/>
      <c r="Z81" s="719"/>
      <c r="AA81" s="714" t="s">
        <v>992</v>
      </c>
      <c r="AB81" s="720"/>
      <c r="AC81" s="714"/>
      <c r="AD81" s="717">
        <v>1</v>
      </c>
      <c r="AE81" s="717">
        <v>1</v>
      </c>
    </row>
    <row r="82" spans="1:32" s="224" customFormat="1" ht="13.5" customHeight="1">
      <c r="A82" s="225">
        <v>77</v>
      </c>
      <c r="B82" s="217"/>
      <c r="C82" s="217" t="s">
        <v>1640</v>
      </c>
      <c r="D82" s="217"/>
      <c r="E82" s="217"/>
      <c r="F82" s="217"/>
      <c r="G82" s="217"/>
      <c r="H82" s="714" t="s">
        <v>1641</v>
      </c>
      <c r="I82" s="715" t="s">
        <v>1253</v>
      </c>
      <c r="J82" s="714" t="s">
        <v>1227</v>
      </c>
      <c r="K82" s="715" t="s">
        <v>1642</v>
      </c>
      <c r="L82" s="714" t="s">
        <v>1254</v>
      </c>
      <c r="M82" s="714" t="s">
        <v>1255</v>
      </c>
      <c r="N82" s="714"/>
      <c r="O82" s="714"/>
      <c r="P82" s="716">
        <v>1</v>
      </c>
      <c r="Q82" s="714" t="s">
        <v>823</v>
      </c>
      <c r="R82" s="714" t="s">
        <v>864</v>
      </c>
      <c r="S82" s="243" t="s">
        <v>1642</v>
      </c>
      <c r="T82" s="717"/>
      <c r="U82" s="714"/>
      <c r="V82" s="718" t="s">
        <v>864</v>
      </c>
      <c r="W82" s="718" t="s">
        <v>864</v>
      </c>
      <c r="X82" s="718"/>
      <c r="Y82" s="232"/>
      <c r="Z82" s="719"/>
      <c r="AA82" s="714"/>
      <c r="AB82" s="720"/>
      <c r="AC82" s="714"/>
      <c r="AD82" s="717">
        <v>1</v>
      </c>
      <c r="AE82" s="717">
        <v>1</v>
      </c>
    </row>
    <row r="83" spans="1:32" s="224" customFormat="1" ht="13.5" customHeight="1">
      <c r="A83" s="225">
        <v>78</v>
      </c>
      <c r="B83" s="217"/>
      <c r="C83" s="217"/>
      <c r="D83" s="678" t="s">
        <v>1643</v>
      </c>
      <c r="E83" s="241"/>
      <c r="F83" s="241"/>
      <c r="G83" s="241"/>
      <c r="H83" s="714" t="s">
        <v>1644</v>
      </c>
      <c r="I83" s="715"/>
      <c r="J83" s="714"/>
      <c r="K83" s="715" t="s">
        <v>931</v>
      </c>
      <c r="L83" s="714"/>
      <c r="M83" s="714"/>
      <c r="N83" s="714"/>
      <c r="O83" s="714"/>
      <c r="P83" s="716"/>
      <c r="Q83" s="714" t="s">
        <v>820</v>
      </c>
      <c r="R83" s="714"/>
      <c r="S83" s="714" t="s">
        <v>879</v>
      </c>
      <c r="T83" s="717"/>
      <c r="U83" s="714" t="s">
        <v>932</v>
      </c>
      <c r="V83" s="718" t="s">
        <v>864</v>
      </c>
      <c r="W83" s="718" t="s">
        <v>864</v>
      </c>
      <c r="X83" s="718"/>
      <c r="Y83" s="232"/>
      <c r="Z83" s="719"/>
      <c r="AA83" s="714"/>
      <c r="AB83" s="720"/>
      <c r="AC83" s="714"/>
      <c r="AD83" s="717"/>
      <c r="AE83" s="717"/>
    </row>
    <row r="84" spans="1:32" s="224" customFormat="1" ht="13.5" customHeight="1">
      <c r="A84" s="225">
        <v>79</v>
      </c>
      <c r="B84" s="217"/>
      <c r="C84" s="217"/>
      <c r="D84" s="678" t="s">
        <v>1645</v>
      </c>
      <c r="E84" s="241"/>
      <c r="F84" s="241"/>
      <c r="G84" s="241"/>
      <c r="H84" s="714" t="s">
        <v>1646</v>
      </c>
      <c r="I84" s="715" t="s">
        <v>1647</v>
      </c>
      <c r="J84" s="714"/>
      <c r="K84" s="715" t="s">
        <v>939</v>
      </c>
      <c r="L84" s="714"/>
      <c r="M84" s="714"/>
      <c r="N84" s="714"/>
      <c r="O84" s="714"/>
      <c r="P84" s="716"/>
      <c r="Q84" s="714" t="s">
        <v>817</v>
      </c>
      <c r="R84" s="714"/>
      <c r="S84" s="714" t="s">
        <v>863</v>
      </c>
      <c r="T84" s="717"/>
      <c r="U84" s="714"/>
      <c r="V84" s="718" t="s">
        <v>864</v>
      </c>
      <c r="W84" s="718" t="s">
        <v>864</v>
      </c>
      <c r="X84" s="718"/>
      <c r="Y84" s="232"/>
      <c r="Z84" s="719"/>
      <c r="AA84" s="714"/>
      <c r="AB84" s="720"/>
      <c r="AC84" s="714"/>
      <c r="AD84" s="717"/>
      <c r="AE84" s="717"/>
    </row>
    <row r="85" spans="1:32" s="224" customFormat="1" ht="13.5" customHeight="1">
      <c r="A85" s="225">
        <v>80</v>
      </c>
      <c r="B85" s="217"/>
      <c r="C85" s="241" t="s">
        <v>1648</v>
      </c>
      <c r="D85" s="217"/>
      <c r="E85" s="217"/>
      <c r="F85" s="217"/>
      <c r="G85" s="217"/>
      <c r="H85" s="714" t="s">
        <v>1257</v>
      </c>
      <c r="I85" s="715"/>
      <c r="J85" s="714" t="s">
        <v>1258</v>
      </c>
      <c r="K85" s="715"/>
      <c r="L85" s="714"/>
      <c r="M85" s="714"/>
      <c r="N85" s="714"/>
      <c r="O85" s="714"/>
      <c r="P85" s="716"/>
      <c r="Q85" s="714" t="s">
        <v>820</v>
      </c>
      <c r="R85" s="714" t="s">
        <v>864</v>
      </c>
      <c r="S85" s="243" t="s">
        <v>1258</v>
      </c>
      <c r="T85" s="717"/>
      <c r="U85" s="714"/>
      <c r="V85" s="718" t="s">
        <v>864</v>
      </c>
      <c r="W85" s="718" t="s">
        <v>864</v>
      </c>
      <c r="X85" s="718" t="s">
        <v>864</v>
      </c>
      <c r="Y85" s="232"/>
      <c r="Z85" s="719"/>
      <c r="AA85" s="714"/>
      <c r="AB85" s="720"/>
      <c r="AC85" s="714"/>
      <c r="AD85" s="717"/>
      <c r="AE85" s="717">
        <v>1</v>
      </c>
    </row>
    <row r="86" spans="1:32" s="224" customFormat="1" ht="13.5" customHeight="1">
      <c r="A86" s="225">
        <v>81</v>
      </c>
      <c r="B86" s="217"/>
      <c r="C86" s="678"/>
      <c r="D86" s="678" t="s">
        <v>1259</v>
      </c>
      <c r="E86" s="219"/>
      <c r="F86" s="678"/>
      <c r="G86" s="678"/>
      <c r="H86" s="714" t="s">
        <v>1260</v>
      </c>
      <c r="I86" s="715"/>
      <c r="J86" s="714" t="s">
        <v>1261</v>
      </c>
      <c r="K86" s="715" t="s">
        <v>1262</v>
      </c>
      <c r="L86" s="714" t="s">
        <v>1263</v>
      </c>
      <c r="M86" s="714" t="s">
        <v>262</v>
      </c>
      <c r="N86" s="714"/>
      <c r="O86" s="714"/>
      <c r="P86" s="716">
        <v>1</v>
      </c>
      <c r="Q86" s="714" t="s">
        <v>820</v>
      </c>
      <c r="R86" s="714" t="s">
        <v>864</v>
      </c>
      <c r="S86" s="243" t="s">
        <v>1264</v>
      </c>
      <c r="T86" s="717"/>
      <c r="U86" s="714"/>
      <c r="V86" s="718" t="s">
        <v>864</v>
      </c>
      <c r="W86" s="718" t="s">
        <v>864</v>
      </c>
      <c r="X86" s="718" t="s">
        <v>864</v>
      </c>
      <c r="Y86" s="232"/>
      <c r="Z86" s="719"/>
      <c r="AA86" s="714"/>
      <c r="AB86" s="245" t="s">
        <v>1265</v>
      </c>
      <c r="AC86" s="714"/>
      <c r="AD86" s="717"/>
      <c r="AE86" s="717">
        <v>1</v>
      </c>
    </row>
    <row r="87" spans="1:32" s="224" customFormat="1" ht="13.5" customHeight="1">
      <c r="A87" s="225">
        <v>82</v>
      </c>
      <c r="B87" s="217"/>
      <c r="C87" s="241"/>
      <c r="D87" s="241"/>
      <c r="E87" s="241" t="s">
        <v>1320</v>
      </c>
      <c r="F87" s="241"/>
      <c r="G87" s="241"/>
      <c r="H87" s="714" t="s">
        <v>1321</v>
      </c>
      <c r="I87" s="715" t="s">
        <v>1322</v>
      </c>
      <c r="J87" s="714"/>
      <c r="K87" s="715" t="s">
        <v>1323</v>
      </c>
      <c r="L87" s="714"/>
      <c r="M87" s="714"/>
      <c r="N87" s="714"/>
      <c r="O87" s="714"/>
      <c r="P87" s="716"/>
      <c r="Q87" s="714" t="s">
        <v>820</v>
      </c>
      <c r="R87" s="714"/>
      <c r="S87" s="714" t="s">
        <v>863</v>
      </c>
      <c r="T87" s="717"/>
      <c r="U87" s="714"/>
      <c r="V87" s="718" t="s">
        <v>864</v>
      </c>
      <c r="W87" s="718" t="s">
        <v>864</v>
      </c>
      <c r="X87" s="718" t="s">
        <v>864</v>
      </c>
      <c r="Y87" s="232"/>
      <c r="Z87" s="719"/>
      <c r="AA87" s="714" t="s">
        <v>1076</v>
      </c>
      <c r="AB87" s="720"/>
      <c r="AC87" s="714"/>
      <c r="AD87" s="717">
        <v>1</v>
      </c>
      <c r="AE87" s="717"/>
    </row>
    <row r="88" spans="1:32" s="224" customFormat="1" ht="13.5" customHeight="1">
      <c r="A88" s="225">
        <v>83</v>
      </c>
      <c r="B88" s="217"/>
      <c r="C88" s="678"/>
      <c r="D88" s="241"/>
      <c r="E88" s="241" t="s">
        <v>1266</v>
      </c>
      <c r="F88" s="241"/>
      <c r="G88" s="241"/>
      <c r="H88" s="714" t="s">
        <v>1267</v>
      </c>
      <c r="I88" s="715" t="s">
        <v>1268</v>
      </c>
      <c r="J88" s="714"/>
      <c r="K88" s="715" t="s">
        <v>970</v>
      </c>
      <c r="L88" s="714"/>
      <c r="M88" s="714"/>
      <c r="N88" s="714"/>
      <c r="O88" s="714"/>
      <c r="P88" s="716"/>
      <c r="Q88" s="714" t="s">
        <v>820</v>
      </c>
      <c r="R88" s="714"/>
      <c r="S88" s="714" t="s">
        <v>863</v>
      </c>
      <c r="T88" s="717" t="s">
        <v>864</v>
      </c>
      <c r="U88" s="714" t="s">
        <v>1269</v>
      </c>
      <c r="V88" s="718" t="s">
        <v>864</v>
      </c>
      <c r="W88" s="718" t="s">
        <v>864</v>
      </c>
      <c r="X88" s="718" t="s">
        <v>864</v>
      </c>
      <c r="Y88" s="232"/>
      <c r="Z88" s="719"/>
      <c r="AA88" s="391" t="s">
        <v>1270</v>
      </c>
      <c r="AB88" s="720"/>
      <c r="AC88" s="714"/>
      <c r="AD88" s="717"/>
      <c r="AE88" s="717">
        <v>1</v>
      </c>
    </row>
    <row r="89" spans="1:32" ht="12" customHeight="1">
      <c r="A89" s="225">
        <v>84</v>
      </c>
      <c r="C89" s="224"/>
      <c r="D89" s="224"/>
      <c r="E89" s="224" t="s">
        <v>1271</v>
      </c>
      <c r="F89" s="224"/>
      <c r="G89" s="225"/>
      <c r="H89" s="225" t="s">
        <v>1272</v>
      </c>
      <c r="I89" s="273" t="s">
        <v>1273</v>
      </c>
      <c r="J89" s="225"/>
      <c r="K89" s="715" t="s">
        <v>1120</v>
      </c>
      <c r="L89" s="714"/>
      <c r="M89" s="714"/>
      <c r="N89" s="714"/>
      <c r="O89" s="714"/>
      <c r="P89" s="716"/>
      <c r="Q89" s="714" t="s">
        <v>820</v>
      </c>
      <c r="R89" s="714"/>
      <c r="S89" s="714" t="s">
        <v>863</v>
      </c>
      <c r="U89" s="714"/>
      <c r="V89" s="274" t="s">
        <v>864</v>
      </c>
      <c r="W89" s="274" t="s">
        <v>864</v>
      </c>
      <c r="X89" s="718" t="s">
        <v>864</v>
      </c>
      <c r="Y89" s="232"/>
      <c r="AE89" s="274">
        <v>1</v>
      </c>
    </row>
    <row r="90" spans="1:32" s="224" customFormat="1" ht="13.5" customHeight="1">
      <c r="A90" s="225">
        <v>85</v>
      </c>
      <c r="B90" s="217"/>
      <c r="C90" s="678"/>
      <c r="D90" s="678" t="s">
        <v>1274</v>
      </c>
      <c r="E90" s="219" t="s">
        <v>1275</v>
      </c>
      <c r="F90" s="678"/>
      <c r="G90" s="678"/>
      <c r="H90" s="714" t="s">
        <v>1649</v>
      </c>
      <c r="I90" s="715"/>
      <c r="J90" s="714"/>
      <c r="K90" s="715" t="s">
        <v>1277</v>
      </c>
      <c r="L90" s="714" t="s">
        <v>1278</v>
      </c>
      <c r="M90" s="714" t="s">
        <v>1279</v>
      </c>
      <c r="N90" s="714"/>
      <c r="O90" s="714"/>
      <c r="P90" s="716">
        <v>1</v>
      </c>
      <c r="Q90" s="714" t="s">
        <v>817</v>
      </c>
      <c r="R90" s="714" t="s">
        <v>864</v>
      </c>
      <c r="S90" s="243" t="s">
        <v>1264</v>
      </c>
      <c r="T90" s="717"/>
      <c r="U90" s="714"/>
      <c r="V90" s="718" t="s">
        <v>864</v>
      </c>
      <c r="W90" s="718" t="s">
        <v>864</v>
      </c>
      <c r="X90" s="718" t="s">
        <v>864</v>
      </c>
      <c r="Y90" s="232"/>
      <c r="Z90" s="719"/>
      <c r="AA90" s="714"/>
      <c r="AB90" s="245" t="s">
        <v>1265</v>
      </c>
      <c r="AC90" s="714"/>
      <c r="AD90" s="717"/>
      <c r="AE90" s="717">
        <v>1</v>
      </c>
    </row>
    <row r="91" spans="1:32" s="224" customFormat="1" ht="13.5" customHeight="1">
      <c r="A91" s="225">
        <v>86</v>
      </c>
      <c r="B91" s="217"/>
      <c r="C91" s="678"/>
      <c r="D91" s="678" t="s">
        <v>1280</v>
      </c>
      <c r="E91" s="678"/>
      <c r="F91" s="678"/>
      <c r="G91" s="678"/>
      <c r="H91" s="714" t="s">
        <v>1281</v>
      </c>
      <c r="I91" s="715" t="s">
        <v>1282</v>
      </c>
      <c r="J91" s="714" t="s">
        <v>1283</v>
      </c>
      <c r="K91" s="715" t="s">
        <v>1284</v>
      </c>
      <c r="L91" s="714"/>
      <c r="M91" s="714"/>
      <c r="N91" s="714"/>
      <c r="O91" s="714"/>
      <c r="P91" s="716"/>
      <c r="Q91" s="714" t="s">
        <v>817</v>
      </c>
      <c r="R91" s="714"/>
      <c r="S91" s="714" t="s">
        <v>863</v>
      </c>
      <c r="T91" s="717" t="s">
        <v>864</v>
      </c>
      <c r="U91" s="714" t="s">
        <v>1222</v>
      </c>
      <c r="V91" s="718" t="s">
        <v>864</v>
      </c>
      <c r="W91" s="718" t="s">
        <v>864</v>
      </c>
      <c r="X91" s="718" t="s">
        <v>864</v>
      </c>
      <c r="Y91" s="232"/>
      <c r="Z91" s="719"/>
      <c r="AA91" s="714"/>
      <c r="AB91" s="245" t="s">
        <v>1285</v>
      </c>
      <c r="AC91" s="714"/>
      <c r="AD91" s="717"/>
      <c r="AE91" s="717">
        <v>1</v>
      </c>
      <c r="AF91" s="246"/>
    </row>
    <row r="92" spans="1:32" s="224" customFormat="1" ht="13.5" customHeight="1">
      <c r="A92" s="225">
        <v>87</v>
      </c>
      <c r="B92" s="217"/>
      <c r="C92" s="678"/>
      <c r="D92" s="241" t="s">
        <v>1650</v>
      </c>
      <c r="E92" s="241"/>
      <c r="F92" s="241"/>
      <c r="G92" s="241"/>
      <c r="H92" s="714" t="s">
        <v>1287</v>
      </c>
      <c r="I92" s="715" t="s">
        <v>1288</v>
      </c>
      <c r="J92" s="714"/>
      <c r="K92" s="715" t="s">
        <v>970</v>
      </c>
      <c r="L92" s="714"/>
      <c r="M92" s="714"/>
      <c r="N92" s="714"/>
      <c r="O92" s="714"/>
      <c r="P92" s="716"/>
      <c r="Q92" s="714" t="s">
        <v>817</v>
      </c>
      <c r="R92" s="714"/>
      <c r="S92" s="714" t="s">
        <v>863</v>
      </c>
      <c r="T92" s="374"/>
      <c r="U92" s="714" t="s">
        <v>1651</v>
      </c>
      <c r="V92" s="375" t="s">
        <v>864</v>
      </c>
      <c r="W92" s="718" t="s">
        <v>864</v>
      </c>
      <c r="X92" s="718" t="s">
        <v>864</v>
      </c>
      <c r="Y92" s="232"/>
      <c r="Z92" s="380" t="s">
        <v>1289</v>
      </c>
      <c r="AA92" s="714" t="s">
        <v>1290</v>
      </c>
      <c r="AB92" s="245" t="s">
        <v>1291</v>
      </c>
      <c r="AC92" s="714"/>
      <c r="AD92" s="717"/>
      <c r="AE92" s="717">
        <v>1</v>
      </c>
      <c r="AF92" s="246"/>
    </row>
    <row r="93" spans="1:32" s="224" customFormat="1" ht="13.5" customHeight="1">
      <c r="A93" s="225">
        <v>88</v>
      </c>
      <c r="B93" s="217"/>
      <c r="C93" s="678"/>
      <c r="D93" s="241" t="s">
        <v>1292</v>
      </c>
      <c r="E93" s="241"/>
      <c r="F93" s="241"/>
      <c r="G93" s="241"/>
      <c r="H93" s="714" t="s">
        <v>1293</v>
      </c>
      <c r="I93" s="715" t="s">
        <v>1294</v>
      </c>
      <c r="J93" s="714"/>
      <c r="K93" s="715" t="s">
        <v>910</v>
      </c>
      <c r="L93" s="714"/>
      <c r="M93" s="714"/>
      <c r="N93" s="714"/>
      <c r="O93" s="714"/>
      <c r="P93" s="716"/>
      <c r="Q93" s="714" t="s">
        <v>817</v>
      </c>
      <c r="R93" s="714"/>
      <c r="S93" s="714" t="s">
        <v>863</v>
      </c>
      <c r="T93" s="374"/>
      <c r="U93" s="714" t="s">
        <v>1652</v>
      </c>
      <c r="V93" s="375" t="s">
        <v>864</v>
      </c>
      <c r="W93" s="718" t="s">
        <v>864</v>
      </c>
      <c r="X93" s="718" t="s">
        <v>864</v>
      </c>
      <c r="Y93" s="232"/>
      <c r="Z93" s="387" t="s">
        <v>1295</v>
      </c>
      <c r="AA93" s="714" t="s">
        <v>1290</v>
      </c>
      <c r="AB93" s="720"/>
      <c r="AC93" s="714"/>
      <c r="AD93" s="717"/>
      <c r="AE93" s="717">
        <v>1</v>
      </c>
      <c r="AF93" s="246"/>
    </row>
    <row r="94" spans="1:32" s="224" customFormat="1" ht="13.5" customHeight="1">
      <c r="A94" s="225">
        <v>89</v>
      </c>
      <c r="B94" s="217"/>
      <c r="C94" s="678"/>
      <c r="D94" s="678" t="s">
        <v>1296</v>
      </c>
      <c r="E94" s="678"/>
      <c r="F94" s="678"/>
      <c r="G94" s="678"/>
      <c r="H94" s="714" t="s">
        <v>1297</v>
      </c>
      <c r="I94" s="715" t="s">
        <v>1298</v>
      </c>
      <c r="J94" s="714" t="s">
        <v>939</v>
      </c>
      <c r="K94" s="715" t="s">
        <v>939</v>
      </c>
      <c r="L94" s="714" t="s">
        <v>1299</v>
      </c>
      <c r="M94" s="714" t="s">
        <v>1300</v>
      </c>
      <c r="N94" s="714"/>
      <c r="O94" s="714"/>
      <c r="P94" s="716">
        <v>1</v>
      </c>
      <c r="Q94" s="714" t="s">
        <v>817</v>
      </c>
      <c r="R94" s="714"/>
      <c r="S94" s="714" t="s">
        <v>863</v>
      </c>
      <c r="T94" s="717"/>
      <c r="U94" s="255"/>
      <c r="V94" s="718" t="s">
        <v>864</v>
      </c>
      <c r="W94" s="718" t="s">
        <v>864</v>
      </c>
      <c r="X94" s="718" t="s">
        <v>864</v>
      </c>
      <c r="Y94" s="232"/>
      <c r="Z94" s="719"/>
      <c r="AA94" s="714"/>
      <c r="AB94" s="720"/>
      <c r="AC94" s="714"/>
      <c r="AD94" s="717"/>
      <c r="AE94" s="717">
        <v>1</v>
      </c>
    </row>
    <row r="95" spans="1:32" s="224" customFormat="1" ht="13.5" customHeight="1">
      <c r="A95" s="225">
        <v>90</v>
      </c>
      <c r="B95" s="217"/>
      <c r="C95" s="678"/>
      <c r="D95" s="241" t="s">
        <v>1301</v>
      </c>
      <c r="E95" s="678"/>
      <c r="F95" s="241"/>
      <c r="G95" s="241"/>
      <c r="H95" s="714"/>
      <c r="I95" s="715"/>
      <c r="J95" s="714" t="s">
        <v>1302</v>
      </c>
      <c r="K95" s="715" t="s">
        <v>1303</v>
      </c>
      <c r="L95" s="714"/>
      <c r="M95" s="714"/>
      <c r="N95" s="714"/>
      <c r="O95" s="714"/>
      <c r="P95" s="716"/>
      <c r="Q95" s="714" t="s">
        <v>817</v>
      </c>
      <c r="R95" s="714" t="s">
        <v>864</v>
      </c>
      <c r="S95" s="714" t="s">
        <v>1303</v>
      </c>
      <c r="T95" s="717"/>
      <c r="U95" s="714"/>
      <c r="V95" s="718" t="s">
        <v>864</v>
      </c>
      <c r="W95" s="718" t="s">
        <v>864</v>
      </c>
      <c r="X95" s="718" t="s">
        <v>864</v>
      </c>
      <c r="Y95" s="232"/>
      <c r="Z95" s="719"/>
      <c r="AA95" s="714"/>
      <c r="AB95" s="720"/>
      <c r="AC95" s="714"/>
      <c r="AD95" s="717">
        <v>1</v>
      </c>
      <c r="AE95" s="717">
        <v>1</v>
      </c>
    </row>
    <row r="96" spans="1:32" s="224" customFormat="1" ht="13.5" customHeight="1">
      <c r="A96" s="225">
        <v>91</v>
      </c>
      <c r="B96" s="217"/>
      <c r="C96" s="678"/>
      <c r="D96" s="678"/>
      <c r="E96" s="678" t="s">
        <v>1304</v>
      </c>
      <c r="F96" s="678"/>
      <c r="G96" s="678"/>
      <c r="H96" s="714" t="s">
        <v>1305</v>
      </c>
      <c r="I96" s="715" t="s">
        <v>1306</v>
      </c>
      <c r="J96" s="714"/>
      <c r="K96" s="715" t="s">
        <v>1087</v>
      </c>
      <c r="L96" s="714" t="s">
        <v>1307</v>
      </c>
      <c r="M96" s="714" t="s">
        <v>1308</v>
      </c>
      <c r="N96" s="714"/>
      <c r="O96" s="714"/>
      <c r="P96" s="716"/>
      <c r="Q96" s="714" t="s">
        <v>820</v>
      </c>
      <c r="R96" s="714"/>
      <c r="S96" s="714" t="s">
        <v>863</v>
      </c>
      <c r="T96" s="717"/>
      <c r="U96" s="714" t="s">
        <v>1309</v>
      </c>
      <c r="V96" s="718" t="s">
        <v>864</v>
      </c>
      <c r="W96" s="718" t="s">
        <v>864</v>
      </c>
      <c r="X96" s="718" t="s">
        <v>864</v>
      </c>
      <c r="Y96" s="232"/>
      <c r="Z96" s="719"/>
      <c r="AA96" s="714"/>
      <c r="AB96" s="720"/>
      <c r="AC96" s="714"/>
      <c r="AD96" s="717">
        <v>1</v>
      </c>
      <c r="AE96" s="717">
        <v>1</v>
      </c>
    </row>
    <row r="97" spans="1:1018" s="224" customFormat="1" ht="13.5" customHeight="1">
      <c r="A97" s="225">
        <v>92</v>
      </c>
      <c r="B97" s="217"/>
      <c r="C97" s="678"/>
      <c r="D97" s="241"/>
      <c r="E97" s="678" t="s">
        <v>1104</v>
      </c>
      <c r="F97" s="221"/>
      <c r="G97" s="221"/>
      <c r="H97" s="714" t="s">
        <v>1310</v>
      </c>
      <c r="I97" s="714" t="s">
        <v>1134</v>
      </c>
      <c r="J97" s="714"/>
      <c r="K97" s="715" t="s">
        <v>1311</v>
      </c>
      <c r="L97" s="714"/>
      <c r="M97" s="714"/>
      <c r="N97" s="714"/>
      <c r="O97" s="714"/>
      <c r="P97" s="716"/>
      <c r="Q97" s="714" t="s">
        <v>817</v>
      </c>
      <c r="R97" s="714"/>
      <c r="S97" s="714" t="s">
        <v>863</v>
      </c>
      <c r="T97" s="717"/>
      <c r="U97" s="714"/>
      <c r="V97" s="718" t="s">
        <v>864</v>
      </c>
      <c r="W97" s="718" t="s">
        <v>864</v>
      </c>
      <c r="X97" s="718" t="s">
        <v>864</v>
      </c>
      <c r="Y97" s="232"/>
      <c r="Z97" s="719"/>
      <c r="AA97" s="714"/>
      <c r="AB97" s="720"/>
      <c r="AC97" s="714"/>
      <c r="AD97" s="717">
        <v>1</v>
      </c>
      <c r="AE97" s="717">
        <v>1</v>
      </c>
    </row>
    <row r="98" spans="1:1018" s="244" customFormat="1" ht="14.25" customHeight="1">
      <c r="A98" s="225">
        <v>93</v>
      </c>
      <c r="B98" s="217"/>
      <c r="C98" s="221"/>
      <c r="D98" s="221"/>
      <c r="E98" s="678" t="s">
        <v>1312</v>
      </c>
      <c r="F98" s="221"/>
      <c r="G98" s="221"/>
      <c r="H98" s="714" t="s">
        <v>1313</v>
      </c>
      <c r="I98" s="715" t="s">
        <v>1314</v>
      </c>
      <c r="J98" s="714"/>
      <c r="K98" s="715" t="s">
        <v>1315</v>
      </c>
      <c r="L98" s="714"/>
      <c r="M98" s="714"/>
      <c r="N98" s="714"/>
      <c r="O98" s="714"/>
      <c r="P98" s="716"/>
      <c r="Q98" s="714" t="s">
        <v>817</v>
      </c>
      <c r="R98" s="714"/>
      <c r="S98" s="714" t="s">
        <v>863</v>
      </c>
      <c r="T98" s="717"/>
      <c r="U98" s="714"/>
      <c r="V98" s="718" t="s">
        <v>864</v>
      </c>
      <c r="W98" s="718" t="s">
        <v>864</v>
      </c>
      <c r="X98" s="718" t="s">
        <v>864</v>
      </c>
      <c r="Y98" s="232"/>
      <c r="Z98" s="719"/>
      <c r="AA98" s="714"/>
      <c r="AB98" s="720"/>
      <c r="AC98" s="714"/>
      <c r="AD98" s="717">
        <v>1</v>
      </c>
      <c r="AE98" s="717">
        <v>1</v>
      </c>
    </row>
    <row r="99" spans="1:1018" s="224" customFormat="1" ht="13.5" customHeight="1">
      <c r="A99" s="225">
        <v>94</v>
      </c>
      <c r="B99" s="217"/>
      <c r="C99" s="241" t="s">
        <v>1328</v>
      </c>
      <c r="D99" s="217" t="s">
        <v>1329</v>
      </c>
      <c r="E99" s="247"/>
      <c r="F99" s="217"/>
      <c r="G99" s="217"/>
      <c r="H99" s="714" t="s">
        <v>1330</v>
      </c>
      <c r="I99" s="715"/>
      <c r="J99" s="714" t="s">
        <v>1331</v>
      </c>
      <c r="K99" s="715" t="s">
        <v>1054</v>
      </c>
      <c r="L99" s="714" t="s">
        <v>1332</v>
      </c>
      <c r="M99" s="714" t="s">
        <v>1333</v>
      </c>
      <c r="N99" s="714"/>
      <c r="O99" s="714"/>
      <c r="P99" s="716"/>
      <c r="Q99" s="714" t="s">
        <v>820</v>
      </c>
      <c r="R99" s="714" t="s">
        <v>864</v>
      </c>
      <c r="S99" s="243" t="s">
        <v>1054</v>
      </c>
      <c r="T99" s="283"/>
      <c r="U99" s="714"/>
      <c r="V99" s="718" t="s">
        <v>864</v>
      </c>
      <c r="W99" s="718"/>
      <c r="X99" s="718"/>
      <c r="Y99" s="232"/>
      <c r="Z99" s="248"/>
      <c r="AA99" s="714"/>
      <c r="AB99" s="720"/>
      <c r="AC99" s="714"/>
      <c r="AD99" s="717">
        <v>1</v>
      </c>
      <c r="AE99" s="717">
        <v>1</v>
      </c>
    </row>
    <row r="100" spans="1:1018" s="224" customFormat="1" ht="13.5" customHeight="1">
      <c r="A100" s="225">
        <v>95</v>
      </c>
      <c r="B100" s="217"/>
      <c r="C100" s="241" t="s">
        <v>972</v>
      </c>
      <c r="D100" s="217" t="s">
        <v>1334</v>
      </c>
      <c r="E100" s="217"/>
      <c r="F100" s="217"/>
      <c r="G100" s="217"/>
      <c r="H100" s="714" t="s">
        <v>1335</v>
      </c>
      <c r="I100" s="715"/>
      <c r="J100" s="714" t="s">
        <v>974</v>
      </c>
      <c r="K100" s="715" t="s">
        <v>975</v>
      </c>
      <c r="L100" s="714"/>
      <c r="M100" s="714"/>
      <c r="N100" s="714"/>
      <c r="O100" s="714"/>
      <c r="P100" s="716"/>
      <c r="Q100" s="714" t="s">
        <v>820</v>
      </c>
      <c r="R100" s="714" t="s">
        <v>864</v>
      </c>
      <c r="S100" s="243" t="s">
        <v>975</v>
      </c>
      <c r="T100" s="717"/>
      <c r="U100" s="714"/>
      <c r="V100" s="718" t="s">
        <v>864</v>
      </c>
      <c r="W100" s="718"/>
      <c r="X100" s="718"/>
      <c r="Y100" s="232"/>
      <c r="Z100" s="719"/>
      <c r="AA100" s="714"/>
      <c r="AB100" s="720"/>
      <c r="AC100" s="714"/>
      <c r="AD100" s="717">
        <v>1</v>
      </c>
      <c r="AE100" s="717">
        <v>1</v>
      </c>
    </row>
    <row r="101" spans="1:1018" s="224" customFormat="1" ht="13.5" customHeight="1">
      <c r="A101" s="225">
        <v>96</v>
      </c>
      <c r="B101" s="217"/>
      <c r="C101" s="241" t="s">
        <v>1336</v>
      </c>
      <c r="D101" s="217"/>
      <c r="E101" s="217"/>
      <c r="F101" s="217"/>
      <c r="G101" s="217"/>
      <c r="H101" s="714" t="s">
        <v>1337</v>
      </c>
      <c r="I101" s="715"/>
      <c r="J101" s="714" t="s">
        <v>1338</v>
      </c>
      <c r="K101" s="715" t="s">
        <v>1338</v>
      </c>
      <c r="L101" s="714"/>
      <c r="M101" s="714"/>
      <c r="N101" s="714"/>
      <c r="O101" s="714"/>
      <c r="P101" s="716"/>
      <c r="Q101" s="714" t="s">
        <v>820</v>
      </c>
      <c r="R101" s="714" t="s">
        <v>864</v>
      </c>
      <c r="S101" s="243" t="s">
        <v>1338</v>
      </c>
      <c r="T101" s="717"/>
      <c r="U101" s="714"/>
      <c r="V101" s="718" t="s">
        <v>864</v>
      </c>
      <c r="W101" s="718" t="s">
        <v>864</v>
      </c>
      <c r="X101" s="724"/>
      <c r="Y101" s="232"/>
      <c r="Z101" s="719"/>
      <c r="AA101" s="714"/>
      <c r="AB101" s="720"/>
      <c r="AC101" s="714"/>
      <c r="AD101" s="717">
        <v>1</v>
      </c>
      <c r="AE101" s="717">
        <v>1</v>
      </c>
    </row>
    <row r="102" spans="1:1018" s="224" customFormat="1" ht="13.5" customHeight="1">
      <c r="A102" s="225">
        <v>97</v>
      </c>
      <c r="B102" s="217"/>
      <c r="C102" s="241"/>
      <c r="D102" s="217" t="s">
        <v>1339</v>
      </c>
      <c r="E102" s="217"/>
      <c r="F102" s="241"/>
      <c r="G102" s="241"/>
      <c r="H102" s="714" t="s">
        <v>1340</v>
      </c>
      <c r="I102" s="715" t="s">
        <v>1341</v>
      </c>
      <c r="J102" s="714" t="s">
        <v>1342</v>
      </c>
      <c r="K102" s="715"/>
      <c r="L102" s="714"/>
      <c r="M102" s="714"/>
      <c r="N102" s="714"/>
      <c r="O102" s="714"/>
      <c r="P102" s="716"/>
      <c r="Q102" s="714" t="s">
        <v>820</v>
      </c>
      <c r="R102" s="714"/>
      <c r="S102" s="714" t="s">
        <v>863</v>
      </c>
      <c r="T102" s="717"/>
      <c r="U102" s="714"/>
      <c r="V102" s="718" t="s">
        <v>864</v>
      </c>
      <c r="W102" s="718" t="s">
        <v>864</v>
      </c>
      <c r="X102" s="724"/>
      <c r="Y102" s="232"/>
      <c r="Z102" s="719"/>
      <c r="AA102" s="714" t="s">
        <v>1076</v>
      </c>
      <c r="AB102" s="720"/>
      <c r="AC102" s="714"/>
      <c r="AD102" s="717"/>
      <c r="AE102" s="717">
        <v>1</v>
      </c>
    </row>
    <row r="103" spans="1:1018" s="224" customFormat="1" ht="13.5" customHeight="1">
      <c r="A103" s="225">
        <v>98</v>
      </c>
      <c r="B103" s="217"/>
      <c r="C103" s="241"/>
      <c r="D103" s="217" t="s">
        <v>1343</v>
      </c>
      <c r="E103" s="217"/>
      <c r="F103" s="241"/>
      <c r="G103" s="241"/>
      <c r="H103" s="714" t="s">
        <v>1344</v>
      </c>
      <c r="I103" s="715" t="s">
        <v>1345</v>
      </c>
      <c r="J103" s="714" t="s">
        <v>1346</v>
      </c>
      <c r="K103" s="715"/>
      <c r="L103" s="714"/>
      <c r="M103" s="714"/>
      <c r="N103" s="714"/>
      <c r="O103" s="714"/>
      <c r="P103" s="716"/>
      <c r="Q103" s="714" t="s">
        <v>820</v>
      </c>
      <c r="R103" s="714"/>
      <c r="S103" s="714" t="s">
        <v>863</v>
      </c>
      <c r="T103" s="717"/>
      <c r="U103" s="714"/>
      <c r="V103" s="718" t="s">
        <v>864</v>
      </c>
      <c r="W103" s="718" t="s">
        <v>864</v>
      </c>
      <c r="X103" s="724"/>
      <c r="Y103" s="232"/>
      <c r="Z103" s="719"/>
      <c r="AA103" s="714" t="s">
        <v>1347</v>
      </c>
      <c r="AB103" s="720"/>
      <c r="AC103" s="714"/>
      <c r="AD103" s="717"/>
      <c r="AE103" s="717">
        <v>1</v>
      </c>
    </row>
    <row r="104" spans="1:1018" s="224" customFormat="1" ht="13.5" customHeight="1">
      <c r="A104" s="225">
        <v>99</v>
      </c>
      <c r="B104" s="217"/>
      <c r="C104" s="241"/>
      <c r="D104" s="241" t="s">
        <v>1348</v>
      </c>
      <c r="E104" s="241"/>
      <c r="F104" s="241"/>
      <c r="G104" s="241"/>
      <c r="H104" s="714" t="s">
        <v>1349</v>
      </c>
      <c r="I104" s="715" t="s">
        <v>1350</v>
      </c>
      <c r="J104" s="714" t="s">
        <v>1351</v>
      </c>
      <c r="K104" s="715" t="s">
        <v>1352</v>
      </c>
      <c r="L104" s="714"/>
      <c r="M104" s="714"/>
      <c r="N104" s="714"/>
      <c r="O104" s="714"/>
      <c r="P104" s="716"/>
      <c r="Q104" s="714" t="s">
        <v>817</v>
      </c>
      <c r="R104" s="714"/>
      <c r="S104" s="714" t="s">
        <v>863</v>
      </c>
      <c r="T104" s="717"/>
      <c r="U104" s="714"/>
      <c r="V104" s="718" t="s">
        <v>864</v>
      </c>
      <c r="W104" s="718" t="s">
        <v>864</v>
      </c>
      <c r="X104" s="718"/>
      <c r="Y104" s="232"/>
      <c r="Z104" s="719"/>
      <c r="AA104" s="714"/>
      <c r="AB104" s="720"/>
      <c r="AC104" s="714"/>
      <c r="AD104" s="717"/>
      <c r="AE104" s="717">
        <v>1</v>
      </c>
    </row>
    <row r="105" spans="1:1018" s="224" customFormat="1" ht="13.5" customHeight="1">
      <c r="A105" s="225">
        <v>100</v>
      </c>
      <c r="B105" s="217"/>
      <c r="C105" s="241"/>
      <c r="D105" s="217" t="s">
        <v>1353</v>
      </c>
      <c r="E105" s="219" t="s">
        <v>1275</v>
      </c>
      <c r="F105" s="217"/>
      <c r="G105" s="217"/>
      <c r="H105" s="714" t="s">
        <v>1354</v>
      </c>
      <c r="I105" s="722"/>
      <c r="J105" s="714" t="s">
        <v>1355</v>
      </c>
      <c r="K105" s="715" t="s">
        <v>1356</v>
      </c>
      <c r="L105" s="714"/>
      <c r="M105" s="714"/>
      <c r="N105" s="714"/>
      <c r="O105" s="714"/>
      <c r="P105" s="716"/>
      <c r="Q105" s="714" t="s">
        <v>817</v>
      </c>
      <c r="R105" s="714" t="s">
        <v>864</v>
      </c>
      <c r="S105" s="243" t="s">
        <v>1264</v>
      </c>
      <c r="T105" s="717"/>
      <c r="U105" s="714"/>
      <c r="V105" s="718" t="s">
        <v>864</v>
      </c>
      <c r="W105" s="718" t="s">
        <v>864</v>
      </c>
      <c r="X105" s="718"/>
      <c r="Y105" s="232"/>
      <c r="Z105" s="719"/>
      <c r="AA105" s="714"/>
      <c r="AB105" s="720"/>
      <c r="AC105" s="714"/>
      <c r="AD105" s="717">
        <v>1</v>
      </c>
      <c r="AE105" s="717">
        <v>1</v>
      </c>
    </row>
    <row r="106" spans="1:1018" s="224" customFormat="1" ht="13.5" customHeight="1">
      <c r="A106" s="225">
        <v>101</v>
      </c>
      <c r="B106" s="217"/>
      <c r="C106" s="241"/>
      <c r="D106" s="217" t="s">
        <v>1357</v>
      </c>
      <c r="E106" s="241"/>
      <c r="F106" s="241"/>
      <c r="G106" s="241"/>
      <c r="H106" s="714" t="s">
        <v>1358</v>
      </c>
      <c r="I106" s="715" t="s">
        <v>1359</v>
      </c>
      <c r="J106" s="714" t="s">
        <v>1360</v>
      </c>
      <c r="K106" s="715"/>
      <c r="L106" s="714" t="s">
        <v>1361</v>
      </c>
      <c r="M106" s="714" t="s">
        <v>1362</v>
      </c>
      <c r="N106" s="714"/>
      <c r="O106" s="714"/>
      <c r="P106" s="716"/>
      <c r="Q106" s="714" t="s">
        <v>817</v>
      </c>
      <c r="R106" s="714"/>
      <c r="S106" s="714" t="s">
        <v>863</v>
      </c>
      <c r="T106" s="717"/>
      <c r="U106" s="714"/>
      <c r="V106" s="718" t="s">
        <v>864</v>
      </c>
      <c r="W106" s="718" t="s">
        <v>864</v>
      </c>
      <c r="X106" s="718"/>
      <c r="Y106" s="232"/>
      <c r="Z106" s="719"/>
      <c r="AA106" s="714"/>
      <c r="AB106" s="720"/>
      <c r="AC106" s="714"/>
      <c r="AD106" s="717">
        <v>1</v>
      </c>
      <c r="AE106" s="717">
        <v>1</v>
      </c>
    </row>
    <row r="107" spans="1:1018" s="251" customFormat="1" ht="13.5" customHeight="1">
      <c r="A107" s="225">
        <v>102</v>
      </c>
      <c r="B107" s="217"/>
      <c r="C107" s="241" t="s">
        <v>1363</v>
      </c>
      <c r="D107" s="678"/>
      <c r="E107" s="250"/>
      <c r="F107" s="250"/>
      <c r="G107" s="250"/>
      <c r="H107" s="714" t="s">
        <v>1364</v>
      </c>
      <c r="I107" s="715"/>
      <c r="J107" s="714" t="s">
        <v>1365</v>
      </c>
      <c r="K107" s="715" t="s">
        <v>1366</v>
      </c>
      <c r="L107" s="714"/>
      <c r="M107" s="714"/>
      <c r="N107" s="714"/>
      <c r="O107" s="714"/>
      <c r="P107" s="716"/>
      <c r="Q107" s="714" t="s">
        <v>823</v>
      </c>
      <c r="R107" s="714" t="s">
        <v>864</v>
      </c>
      <c r="S107" s="243" t="s">
        <v>1366</v>
      </c>
      <c r="T107" s="283"/>
      <c r="U107" s="714"/>
      <c r="V107" s="718" t="s">
        <v>864</v>
      </c>
      <c r="W107" s="718" t="s">
        <v>864</v>
      </c>
      <c r="X107" s="718"/>
      <c r="Y107" s="232"/>
      <c r="Z107" s="248"/>
      <c r="AA107" s="714"/>
      <c r="AB107" s="720"/>
      <c r="AC107" s="714"/>
      <c r="AD107" s="717">
        <v>1</v>
      </c>
      <c r="AE107" s="717">
        <v>1</v>
      </c>
      <c r="AMD107" s="224"/>
    </row>
    <row r="108" spans="1:1018" s="251" customFormat="1" ht="13.5" customHeight="1">
      <c r="A108" s="225">
        <v>103</v>
      </c>
      <c r="B108" s="217"/>
      <c r="C108" s="241"/>
      <c r="D108" s="678" t="s">
        <v>1367</v>
      </c>
      <c r="E108" s="678"/>
      <c r="F108" s="241"/>
      <c r="G108" s="241"/>
      <c r="H108" s="714" t="s">
        <v>1368</v>
      </c>
      <c r="I108" s="715" t="s">
        <v>1369</v>
      </c>
      <c r="J108" s="714" t="s">
        <v>1370</v>
      </c>
      <c r="K108" s="715" t="s">
        <v>1371</v>
      </c>
      <c r="L108" s="714"/>
      <c r="M108" s="714"/>
      <c r="N108" s="714"/>
      <c r="O108" s="714"/>
      <c r="P108" s="716"/>
      <c r="Q108" s="714" t="s">
        <v>817</v>
      </c>
      <c r="R108" s="714"/>
      <c r="S108" s="714" t="s">
        <v>863</v>
      </c>
      <c r="T108" s="717" t="s">
        <v>864</v>
      </c>
      <c r="U108" s="714"/>
      <c r="V108" s="718" t="s">
        <v>864</v>
      </c>
      <c r="W108" s="718" t="s">
        <v>864</v>
      </c>
      <c r="X108" s="718"/>
      <c r="Y108" s="232"/>
      <c r="Z108" s="719"/>
      <c r="AA108" s="714" t="s">
        <v>1015</v>
      </c>
      <c r="AB108" s="720"/>
      <c r="AC108" s="714"/>
      <c r="AD108" s="717">
        <v>1</v>
      </c>
      <c r="AE108" s="717">
        <v>1</v>
      </c>
      <c r="AMD108" s="224"/>
    </row>
    <row r="109" spans="1:1018" s="251" customFormat="1" ht="13.5" customHeight="1">
      <c r="A109" s="225">
        <v>104</v>
      </c>
      <c r="B109" s="217"/>
      <c r="C109" s="241"/>
      <c r="D109" s="678" t="s">
        <v>1372</v>
      </c>
      <c r="E109" s="678"/>
      <c r="F109" s="241"/>
      <c r="G109" s="241"/>
      <c r="H109" s="714" t="s">
        <v>1373</v>
      </c>
      <c r="I109" s="715" t="s">
        <v>1374</v>
      </c>
      <c r="J109" s="714" t="s">
        <v>1375</v>
      </c>
      <c r="K109" s="715"/>
      <c r="L109" s="714"/>
      <c r="M109" s="714"/>
      <c r="N109" s="714"/>
      <c r="O109" s="714"/>
      <c r="P109" s="716"/>
      <c r="Q109" s="714" t="s">
        <v>817</v>
      </c>
      <c r="R109" s="714"/>
      <c r="S109" s="714" t="s">
        <v>863</v>
      </c>
      <c r="T109" s="717"/>
      <c r="U109" s="714"/>
      <c r="V109" s="718" t="s">
        <v>864</v>
      </c>
      <c r="W109" s="718" t="s">
        <v>864</v>
      </c>
      <c r="X109" s="718"/>
      <c r="Y109" s="232"/>
      <c r="Z109" s="719"/>
      <c r="AA109" s="714"/>
      <c r="AB109" s="720"/>
      <c r="AC109" s="714"/>
      <c r="AD109" s="717">
        <v>1</v>
      </c>
      <c r="AE109" s="717">
        <v>1</v>
      </c>
      <c r="AMD109" s="224"/>
    </row>
    <row r="110" spans="1:1018" s="251" customFormat="1" ht="13.5" customHeight="1">
      <c r="A110" s="225">
        <v>105</v>
      </c>
      <c r="B110" s="217"/>
      <c r="C110" s="241"/>
      <c r="D110" s="678" t="s">
        <v>1376</v>
      </c>
      <c r="E110" s="678"/>
      <c r="F110" s="241"/>
      <c r="G110" s="241"/>
      <c r="H110" s="714" t="s">
        <v>1377</v>
      </c>
      <c r="I110" s="715" t="s">
        <v>1378</v>
      </c>
      <c r="J110" s="714" t="s">
        <v>1379</v>
      </c>
      <c r="K110" s="715"/>
      <c r="L110" s="714"/>
      <c r="M110" s="714"/>
      <c r="N110" s="714"/>
      <c r="O110" s="714"/>
      <c r="P110" s="716"/>
      <c r="Q110" s="714" t="s">
        <v>817</v>
      </c>
      <c r="R110" s="714"/>
      <c r="S110" s="714" t="s">
        <v>1380</v>
      </c>
      <c r="T110" s="717"/>
      <c r="U110" s="714"/>
      <c r="V110" s="718" t="s">
        <v>864</v>
      </c>
      <c r="W110" s="718" t="s">
        <v>864</v>
      </c>
      <c r="X110" s="718"/>
      <c r="Y110" s="232"/>
      <c r="Z110" s="719"/>
      <c r="AA110" s="714"/>
      <c r="AB110" s="720"/>
      <c r="AC110" s="714"/>
      <c r="AD110" s="717">
        <v>1</v>
      </c>
      <c r="AE110" s="717">
        <v>1</v>
      </c>
      <c r="AMD110" s="224"/>
    </row>
    <row r="111" spans="1:1018" s="251" customFormat="1" ht="13.5" customHeight="1">
      <c r="A111" s="225">
        <v>106</v>
      </c>
      <c r="B111" s="217"/>
      <c r="C111" s="241"/>
      <c r="D111" s="678" t="s">
        <v>875</v>
      </c>
      <c r="E111" s="678"/>
      <c r="F111" s="241"/>
      <c r="G111" s="241"/>
      <c r="H111" s="714" t="s">
        <v>1381</v>
      </c>
      <c r="I111" s="276" t="s">
        <v>1382</v>
      </c>
      <c r="J111" s="714" t="s">
        <v>875</v>
      </c>
      <c r="K111" s="715"/>
      <c r="L111" s="714"/>
      <c r="M111" s="714"/>
      <c r="N111" s="714"/>
      <c r="O111" s="714"/>
      <c r="P111" s="716"/>
      <c r="Q111" s="714" t="s">
        <v>820</v>
      </c>
      <c r="R111" s="714"/>
      <c r="S111" s="714" t="s">
        <v>863</v>
      </c>
      <c r="T111" s="717"/>
      <c r="U111" s="714"/>
      <c r="V111" s="718" t="s">
        <v>864</v>
      </c>
      <c r="W111" s="718" t="s">
        <v>864</v>
      </c>
      <c r="X111" s="718"/>
      <c r="Y111" s="232"/>
      <c r="Z111" s="719"/>
      <c r="AA111" s="714"/>
      <c r="AB111" s="720"/>
      <c r="AC111" s="714"/>
      <c r="AD111" s="717">
        <v>1</v>
      </c>
      <c r="AE111" s="717">
        <v>1</v>
      </c>
      <c r="AMD111" s="224"/>
    </row>
    <row r="112" spans="1:1018" s="251" customFormat="1" ht="13.5" customHeight="1">
      <c r="A112" s="225">
        <v>107</v>
      </c>
      <c r="B112" s="217"/>
      <c r="C112" s="241"/>
      <c r="D112" s="678" t="s">
        <v>1383</v>
      </c>
      <c r="E112" s="678"/>
      <c r="F112" s="241"/>
      <c r="G112" s="241"/>
      <c r="H112" s="714" t="s">
        <v>1384</v>
      </c>
      <c r="I112" s="715"/>
      <c r="J112" s="714" t="s">
        <v>1385</v>
      </c>
      <c r="K112" s="715"/>
      <c r="L112" s="714"/>
      <c r="M112" s="714"/>
      <c r="N112" s="714"/>
      <c r="O112" s="714"/>
      <c r="P112" s="716"/>
      <c r="Q112" s="714" t="s">
        <v>817</v>
      </c>
      <c r="R112" s="714"/>
      <c r="S112" s="714" t="s">
        <v>863</v>
      </c>
      <c r="T112" s="717"/>
      <c r="U112" s="714"/>
      <c r="V112" s="718" t="s">
        <v>864</v>
      </c>
      <c r="W112" s="718" t="s">
        <v>864</v>
      </c>
      <c r="X112" s="718"/>
      <c r="Y112" s="232"/>
      <c r="Z112" s="719"/>
      <c r="AA112" s="714"/>
      <c r="AB112" s="720"/>
      <c r="AC112" s="714"/>
      <c r="AD112" s="717">
        <v>1</v>
      </c>
      <c r="AE112" s="717">
        <v>1</v>
      </c>
      <c r="AMD112" s="224"/>
    </row>
    <row r="113" spans="1:1018" s="251" customFormat="1" ht="12.95" customHeight="1">
      <c r="A113" s="225">
        <v>108</v>
      </c>
      <c r="B113" s="217"/>
      <c r="C113" s="241"/>
      <c r="D113" s="678" t="s">
        <v>1386</v>
      </c>
      <c r="E113" s="678"/>
      <c r="F113" s="241"/>
      <c r="G113" s="241"/>
      <c r="H113" s="714" t="s">
        <v>1387</v>
      </c>
      <c r="I113" s="715"/>
      <c r="J113" s="714" t="s">
        <v>1388</v>
      </c>
      <c r="K113" s="715"/>
      <c r="L113" s="714"/>
      <c r="M113" s="714"/>
      <c r="N113" s="714"/>
      <c r="O113" s="714"/>
      <c r="P113" s="716"/>
      <c r="Q113" s="714" t="s">
        <v>817</v>
      </c>
      <c r="R113" s="714"/>
      <c r="S113" s="714" t="s">
        <v>863</v>
      </c>
      <c r="T113" s="717"/>
      <c r="U113" s="714"/>
      <c r="V113" s="718" t="s">
        <v>864</v>
      </c>
      <c r="W113" s="718" t="s">
        <v>864</v>
      </c>
      <c r="X113" s="718"/>
      <c r="Y113" s="232"/>
      <c r="Z113" s="719"/>
      <c r="AA113" s="714"/>
      <c r="AB113" s="720"/>
      <c r="AC113" s="714"/>
      <c r="AD113" s="717">
        <v>1</v>
      </c>
      <c r="AE113" s="717">
        <v>1</v>
      </c>
      <c r="AMD113" s="224"/>
    </row>
    <row r="114" spans="1:1018" s="224" customFormat="1" ht="13.5" customHeight="1">
      <c r="A114" s="225">
        <v>109</v>
      </c>
      <c r="B114" s="217" t="s">
        <v>1389</v>
      </c>
      <c r="C114" s="216"/>
      <c r="D114" s="241"/>
      <c r="E114" s="241"/>
      <c r="F114" s="241"/>
      <c r="G114" s="241"/>
      <c r="H114" s="714" t="s">
        <v>1653</v>
      </c>
      <c r="I114" s="715" t="s">
        <v>1341</v>
      </c>
      <c r="J114" s="714"/>
      <c r="K114" s="715" t="s">
        <v>1391</v>
      </c>
      <c r="L114" s="714"/>
      <c r="M114" s="714"/>
      <c r="N114" s="714"/>
      <c r="O114" s="714"/>
      <c r="P114" s="716"/>
      <c r="Q114" s="714" t="s">
        <v>820</v>
      </c>
      <c r="R114" s="714"/>
      <c r="S114" s="714" t="s">
        <v>863</v>
      </c>
      <c r="T114" s="717"/>
      <c r="U114" s="721"/>
      <c r="V114" s="718"/>
      <c r="W114" s="718" t="s">
        <v>864</v>
      </c>
      <c r="X114" s="718" t="s">
        <v>864</v>
      </c>
      <c r="Y114" s="232"/>
      <c r="Z114" s="380" t="s">
        <v>1392</v>
      </c>
      <c r="AA114" s="386" t="s">
        <v>1347</v>
      </c>
      <c r="AB114" s="720"/>
      <c r="AC114" s="714"/>
      <c r="AD114" s="717"/>
      <c r="AE114" s="717">
        <v>1</v>
      </c>
    </row>
    <row r="115" spans="1:1018" s="224" customFormat="1" ht="13.5" customHeight="1">
      <c r="A115" s="225">
        <v>110</v>
      </c>
      <c r="B115" s="217" t="s">
        <v>1393</v>
      </c>
      <c r="C115" s="216"/>
      <c r="D115" s="216"/>
      <c r="E115" s="216"/>
      <c r="F115" s="216"/>
      <c r="G115" s="216"/>
      <c r="H115" s="714" t="s">
        <v>1394</v>
      </c>
      <c r="I115" s="722"/>
      <c r="J115" s="714"/>
      <c r="K115" s="715" t="s">
        <v>1395</v>
      </c>
      <c r="L115" s="714"/>
      <c r="M115" s="714"/>
      <c r="N115" s="714"/>
      <c r="O115" s="714"/>
      <c r="P115" s="716"/>
      <c r="Q115" s="714" t="s">
        <v>823</v>
      </c>
      <c r="R115" s="714" t="s">
        <v>864</v>
      </c>
      <c r="S115" s="379" t="s">
        <v>1395</v>
      </c>
      <c r="T115" s="717"/>
      <c r="U115" s="727"/>
      <c r="V115" s="718"/>
      <c r="W115" s="260"/>
      <c r="X115" s="260"/>
      <c r="Y115" s="232"/>
      <c r="Z115" s="719"/>
      <c r="AA115" s="714"/>
      <c r="AB115" s="720"/>
      <c r="AC115" s="714"/>
      <c r="AD115" s="717"/>
      <c r="AE115" s="717">
        <v>1</v>
      </c>
    </row>
    <row r="116" spans="1:1018" s="224" customFormat="1" ht="13.5" customHeight="1">
      <c r="A116" s="225">
        <v>111</v>
      </c>
      <c r="B116" s="216"/>
      <c r="C116" s="241" t="s">
        <v>1304</v>
      </c>
      <c r="D116" s="241"/>
      <c r="E116" s="241"/>
      <c r="F116" s="241"/>
      <c r="G116" s="241"/>
      <c r="H116" s="714" t="s">
        <v>1396</v>
      </c>
      <c r="I116" s="722"/>
      <c r="J116" s="714"/>
      <c r="K116" s="715" t="s">
        <v>1303</v>
      </c>
      <c r="L116" s="714"/>
      <c r="M116" s="714"/>
      <c r="N116" s="714"/>
      <c r="O116" s="714"/>
      <c r="P116" s="716"/>
      <c r="Q116" s="383" t="s">
        <v>817</v>
      </c>
      <c r="R116" s="714" t="s">
        <v>864</v>
      </c>
      <c r="S116" s="379" t="s">
        <v>1303</v>
      </c>
      <c r="T116" s="717"/>
      <c r="U116" s="717"/>
      <c r="V116" s="718"/>
      <c r="W116" s="260"/>
      <c r="X116" s="260"/>
      <c r="Y116" s="232"/>
      <c r="Z116" s="385" t="s">
        <v>1397</v>
      </c>
      <c r="AA116" s="714"/>
      <c r="AB116" s="720"/>
      <c r="AC116" s="714"/>
      <c r="AD116" s="717"/>
      <c r="AE116" s="717">
        <v>1</v>
      </c>
    </row>
    <row r="117" spans="1:1018" s="224" customFormat="1" ht="13.5" customHeight="1">
      <c r="A117" s="225">
        <v>112</v>
      </c>
      <c r="B117" s="216"/>
      <c r="C117" s="241" t="s">
        <v>831</v>
      </c>
      <c r="D117" s="241"/>
      <c r="E117" s="241"/>
      <c r="F117" s="241"/>
      <c r="G117" s="241"/>
      <c r="H117" s="714" t="s">
        <v>1398</v>
      </c>
      <c r="I117" s="722"/>
      <c r="J117" s="714"/>
      <c r="K117" s="715" t="s">
        <v>1218</v>
      </c>
      <c r="L117" s="714"/>
      <c r="M117" s="714"/>
      <c r="N117" s="714"/>
      <c r="O117" s="714"/>
      <c r="P117" s="716"/>
      <c r="Q117" s="714" t="s">
        <v>817</v>
      </c>
      <c r="R117" s="714"/>
      <c r="S117" s="714" t="s">
        <v>863</v>
      </c>
      <c r="T117" s="717"/>
      <c r="U117" s="727"/>
      <c r="V117" s="718"/>
      <c r="W117" s="260"/>
      <c r="X117" s="260"/>
      <c r="Y117" s="232"/>
      <c r="Z117" s="719"/>
      <c r="AA117" s="714"/>
      <c r="AB117" s="720"/>
      <c r="AC117" s="714"/>
      <c r="AD117" s="717"/>
      <c r="AE117" s="717">
        <v>1</v>
      </c>
    </row>
    <row r="118" spans="1:1018" s="224" customFormat="1" ht="13.5" customHeight="1">
      <c r="A118" s="225">
        <v>113</v>
      </c>
      <c r="B118" s="217"/>
      <c r="C118" s="241" t="s">
        <v>1399</v>
      </c>
      <c r="D118" s="241"/>
      <c r="E118" s="241"/>
      <c r="F118" s="241"/>
      <c r="G118" s="241"/>
      <c r="H118" s="714" t="s">
        <v>1400</v>
      </c>
      <c r="I118" s="722" t="s">
        <v>1401</v>
      </c>
      <c r="J118" s="714"/>
      <c r="K118" s="715" t="s">
        <v>1352</v>
      </c>
      <c r="L118" s="714"/>
      <c r="M118" s="714"/>
      <c r="N118" s="714"/>
      <c r="O118" s="714"/>
      <c r="P118" s="716"/>
      <c r="Q118" s="714" t="s">
        <v>820</v>
      </c>
      <c r="R118" s="714"/>
      <c r="S118" s="714" t="s">
        <v>863</v>
      </c>
      <c r="T118" s="717"/>
      <c r="U118" s="717"/>
      <c r="V118" s="718"/>
      <c r="W118" s="718"/>
      <c r="X118" s="718"/>
      <c r="Y118" s="232"/>
      <c r="Z118" s="719"/>
      <c r="AA118" s="714"/>
      <c r="AB118" s="720"/>
      <c r="AC118" s="714"/>
      <c r="AD118" s="717"/>
      <c r="AE118" s="717">
        <v>1</v>
      </c>
    </row>
    <row r="119" spans="1:1018" s="224" customFormat="1" ht="14.25" customHeight="1">
      <c r="A119" s="225">
        <v>114</v>
      </c>
      <c r="B119" s="217" t="s">
        <v>1654</v>
      </c>
      <c r="C119" s="217"/>
      <c r="D119" s="217"/>
      <c r="E119" s="217"/>
      <c r="F119" s="217"/>
      <c r="G119" s="217"/>
      <c r="H119" s="714" t="s">
        <v>1402</v>
      </c>
      <c r="I119" s="722"/>
      <c r="J119" s="714"/>
      <c r="K119" s="715" t="s">
        <v>1403</v>
      </c>
      <c r="L119" s="714"/>
      <c r="M119" s="714"/>
      <c r="N119" s="714"/>
      <c r="O119" s="714"/>
      <c r="P119" s="716"/>
      <c r="Q119" s="714" t="s">
        <v>823</v>
      </c>
      <c r="R119" s="714" t="s">
        <v>864</v>
      </c>
      <c r="S119" s="379" t="s">
        <v>1403</v>
      </c>
      <c r="T119" s="717"/>
      <c r="U119" s="259"/>
      <c r="V119" s="260" t="s">
        <v>864</v>
      </c>
      <c r="W119" s="260" t="s">
        <v>864</v>
      </c>
      <c r="X119" s="260" t="s">
        <v>864</v>
      </c>
      <c r="Y119" s="232"/>
      <c r="Z119" s="719"/>
      <c r="AA119" s="714"/>
      <c r="AB119" s="245"/>
      <c r="AC119" s="714"/>
      <c r="AD119" s="717"/>
      <c r="AE119" s="717">
        <v>1</v>
      </c>
    </row>
    <row r="120" spans="1:1018" s="224" customFormat="1" ht="13.5" customHeight="1">
      <c r="A120" s="225">
        <v>115</v>
      </c>
      <c r="B120" s="217"/>
      <c r="C120" s="217" t="s">
        <v>1404</v>
      </c>
      <c r="D120" s="241"/>
      <c r="E120" s="219"/>
      <c r="F120" s="241"/>
      <c r="G120" s="241"/>
      <c r="H120" s="714" t="s">
        <v>1405</v>
      </c>
      <c r="I120" s="722" t="s">
        <v>1655</v>
      </c>
      <c r="J120" s="714"/>
      <c r="K120" s="715" t="s">
        <v>1218</v>
      </c>
      <c r="L120" s="714"/>
      <c r="M120" s="714"/>
      <c r="N120" s="714"/>
      <c r="O120" s="714"/>
      <c r="P120" s="716"/>
      <c r="Q120" s="714" t="s">
        <v>820</v>
      </c>
      <c r="R120" s="714"/>
      <c r="S120" s="715" t="s">
        <v>863</v>
      </c>
      <c r="T120" s="717"/>
      <c r="U120" s="717"/>
      <c r="V120" s="718" t="s">
        <v>864</v>
      </c>
      <c r="W120" s="260" t="s">
        <v>864</v>
      </c>
      <c r="X120" s="260" t="s">
        <v>864</v>
      </c>
      <c r="Y120" s="232"/>
      <c r="Z120" s="266" t="s">
        <v>1406</v>
      </c>
      <c r="AA120" s="714" t="s">
        <v>1407</v>
      </c>
      <c r="AB120" s="720"/>
      <c r="AC120" s="714"/>
      <c r="AD120" s="717"/>
      <c r="AE120" s="717">
        <v>1</v>
      </c>
    </row>
    <row r="121" spans="1:1018" s="224" customFormat="1" ht="13.5" customHeight="1">
      <c r="A121" s="225">
        <v>116</v>
      </c>
      <c r="B121" s="217"/>
      <c r="C121" s="217" t="s">
        <v>1408</v>
      </c>
      <c r="D121" s="219"/>
      <c r="E121" s="219"/>
      <c r="F121" s="219"/>
      <c r="G121" s="219"/>
      <c r="H121" s="714"/>
      <c r="I121" s="722"/>
      <c r="J121" s="714"/>
      <c r="K121" s="715" t="s">
        <v>1656</v>
      </c>
      <c r="L121" s="714"/>
      <c r="M121" s="714"/>
      <c r="N121" s="714"/>
      <c r="O121" s="714"/>
      <c r="P121" s="716"/>
      <c r="Q121" s="714" t="s">
        <v>817</v>
      </c>
      <c r="R121" s="714" t="s">
        <v>864</v>
      </c>
      <c r="S121" s="243" t="s">
        <v>1656</v>
      </c>
      <c r="T121" s="717"/>
      <c r="U121" s="717"/>
      <c r="V121" s="260"/>
      <c r="W121" s="260" t="s">
        <v>864</v>
      </c>
      <c r="X121" s="260" t="s">
        <v>864</v>
      </c>
      <c r="Y121" s="232"/>
      <c r="Z121" s="719"/>
      <c r="AA121" s="714"/>
      <c r="AB121" s="245"/>
      <c r="AC121" s="714"/>
      <c r="AD121" s="717"/>
      <c r="AE121" s="717">
        <v>1</v>
      </c>
    </row>
    <row r="122" spans="1:1018" s="224" customFormat="1" ht="13.5" customHeight="1">
      <c r="A122" s="225">
        <v>117</v>
      </c>
      <c r="B122" s="217"/>
      <c r="C122" s="217"/>
      <c r="D122" s="241" t="s">
        <v>1410</v>
      </c>
      <c r="E122" s="219"/>
      <c r="F122" s="219"/>
      <c r="G122" s="219"/>
      <c r="H122" s="714" t="s">
        <v>1411</v>
      </c>
      <c r="I122" s="722"/>
      <c r="J122" s="714"/>
      <c r="K122" s="715" t="s">
        <v>1412</v>
      </c>
      <c r="L122" s="714"/>
      <c r="M122" s="714"/>
      <c r="N122" s="714"/>
      <c r="O122" s="714"/>
      <c r="P122" s="716"/>
      <c r="Q122" s="714" t="s">
        <v>823</v>
      </c>
      <c r="R122" s="714" t="s">
        <v>864</v>
      </c>
      <c r="S122" s="379" t="s">
        <v>1412</v>
      </c>
      <c r="T122" s="717"/>
      <c r="U122" s="717"/>
      <c r="V122" s="718"/>
      <c r="W122" s="260" t="s">
        <v>864</v>
      </c>
      <c r="X122" s="260" t="s">
        <v>864</v>
      </c>
      <c r="Y122" s="232"/>
      <c r="Z122" s="719"/>
      <c r="AA122" s="714"/>
      <c r="AB122" s="720"/>
      <c r="AC122" s="714"/>
      <c r="AD122" s="717"/>
      <c r="AE122" s="717">
        <v>1</v>
      </c>
    </row>
    <row r="123" spans="1:1018" s="224" customFormat="1" ht="13.5" customHeight="1">
      <c r="A123" s="225">
        <v>118</v>
      </c>
      <c r="B123" s="217"/>
      <c r="C123" s="217"/>
      <c r="D123" s="241"/>
      <c r="E123" s="241" t="s">
        <v>1071</v>
      </c>
      <c r="F123" s="241"/>
      <c r="G123" s="241"/>
      <c r="H123" s="714" t="s">
        <v>1072</v>
      </c>
      <c r="I123" s="722" t="s">
        <v>1413</v>
      </c>
      <c r="J123" s="714"/>
      <c r="K123" s="715" t="s">
        <v>908</v>
      </c>
      <c r="L123" s="714"/>
      <c r="M123" s="714"/>
      <c r="N123" s="714"/>
      <c r="O123" s="714"/>
      <c r="P123" s="716"/>
      <c r="Q123" s="714" t="s">
        <v>820</v>
      </c>
      <c r="R123" s="714"/>
      <c r="S123" s="714" t="s">
        <v>863</v>
      </c>
      <c r="T123" s="717" t="s">
        <v>864</v>
      </c>
      <c r="U123" s="717" t="s">
        <v>1414</v>
      </c>
      <c r="V123" s="260"/>
      <c r="W123" s="260" t="s">
        <v>864</v>
      </c>
      <c r="X123" s="260" t="s">
        <v>864</v>
      </c>
      <c r="Y123" s="232"/>
      <c r="Z123" s="266" t="s">
        <v>1075</v>
      </c>
      <c r="AA123" s="714" t="s">
        <v>1076</v>
      </c>
      <c r="AB123" s="245"/>
      <c r="AC123" s="714"/>
      <c r="AD123" s="717"/>
      <c r="AE123" s="717">
        <v>1</v>
      </c>
    </row>
    <row r="124" spans="1:1018" s="224" customFormat="1" ht="13.5" customHeight="1">
      <c r="A124" s="225">
        <v>119</v>
      </c>
      <c r="B124" s="217"/>
      <c r="C124" s="217"/>
      <c r="D124" s="241"/>
      <c r="E124" s="241" t="s">
        <v>1077</v>
      </c>
      <c r="F124" s="241"/>
      <c r="G124" s="241"/>
      <c r="H124" s="714" t="s">
        <v>1078</v>
      </c>
      <c r="I124" s="722" t="s">
        <v>1359</v>
      </c>
      <c r="J124" s="714"/>
      <c r="K124" s="715" t="s">
        <v>1080</v>
      </c>
      <c r="L124" s="714"/>
      <c r="M124" s="714"/>
      <c r="N124" s="714"/>
      <c r="O124" s="714"/>
      <c r="P124" s="716"/>
      <c r="Q124" s="714" t="s">
        <v>820</v>
      </c>
      <c r="R124" s="714"/>
      <c r="S124" s="714" t="s">
        <v>863</v>
      </c>
      <c r="T124" s="717"/>
      <c r="U124" s="717"/>
      <c r="V124" s="260"/>
      <c r="W124" s="260" t="s">
        <v>864</v>
      </c>
      <c r="X124" s="260" t="s">
        <v>864</v>
      </c>
      <c r="Y124" s="232"/>
      <c r="Z124" s="719"/>
      <c r="AA124" s="714"/>
      <c r="AB124" s="245"/>
      <c r="AC124" s="714"/>
      <c r="AD124" s="717"/>
      <c r="AE124" s="717">
        <v>1</v>
      </c>
    </row>
    <row r="125" spans="1:1018" s="224" customFormat="1" ht="13.5" customHeight="1">
      <c r="A125" s="225">
        <v>120</v>
      </c>
      <c r="B125" s="217"/>
      <c r="C125" s="217"/>
      <c r="D125" s="217" t="s">
        <v>1259</v>
      </c>
      <c r="E125" s="219" t="s">
        <v>1275</v>
      </c>
      <c r="F125" s="241"/>
      <c r="G125" s="241"/>
      <c r="H125" s="714" t="s">
        <v>1415</v>
      </c>
      <c r="I125" s="722"/>
      <c r="J125" s="714"/>
      <c r="K125" s="715" t="s">
        <v>1264</v>
      </c>
      <c r="L125" s="714"/>
      <c r="M125" s="714"/>
      <c r="N125" s="714"/>
      <c r="O125" s="714"/>
      <c r="P125" s="716"/>
      <c r="Q125" s="714" t="s">
        <v>823</v>
      </c>
      <c r="R125" s="714" t="s">
        <v>864</v>
      </c>
      <c r="S125" s="243" t="s">
        <v>1264</v>
      </c>
      <c r="T125" s="717"/>
      <c r="U125" s="717"/>
      <c r="V125" s="260"/>
      <c r="W125" s="260" t="s">
        <v>864</v>
      </c>
      <c r="X125" s="260" t="s">
        <v>864</v>
      </c>
      <c r="Y125" s="232"/>
      <c r="Z125" s="384" t="s">
        <v>1416</v>
      </c>
      <c r="AA125" s="390" t="s">
        <v>1417</v>
      </c>
      <c r="AB125" s="245" t="s">
        <v>1265</v>
      </c>
      <c r="AC125" s="714"/>
      <c r="AD125" s="717"/>
      <c r="AE125" s="717">
        <v>1</v>
      </c>
    </row>
    <row r="126" spans="1:1018" s="224" customFormat="1" ht="13.5" customHeight="1">
      <c r="A126" s="225">
        <v>121</v>
      </c>
      <c r="B126" s="217"/>
      <c r="C126" s="217"/>
      <c r="D126" s="217" t="s">
        <v>1051</v>
      </c>
      <c r="E126" s="241"/>
      <c r="F126" s="241"/>
      <c r="G126" s="241"/>
      <c r="H126" s="714" t="s">
        <v>1418</v>
      </c>
      <c r="I126" s="722"/>
      <c r="J126" s="714"/>
      <c r="K126" s="715" t="s">
        <v>1419</v>
      </c>
      <c r="L126" s="714"/>
      <c r="M126" s="714"/>
      <c r="N126" s="714"/>
      <c r="O126" s="714"/>
      <c r="P126" s="716"/>
      <c r="Q126" s="714" t="s">
        <v>817</v>
      </c>
      <c r="R126" s="714" t="s">
        <v>864</v>
      </c>
      <c r="S126" s="379" t="s">
        <v>1419</v>
      </c>
      <c r="T126" s="717"/>
      <c r="U126" s="717"/>
      <c r="V126" s="260"/>
      <c r="W126" s="260" t="s">
        <v>864</v>
      </c>
      <c r="X126" s="260" t="s">
        <v>864</v>
      </c>
      <c r="Y126" s="232"/>
      <c r="Z126" s="719"/>
      <c r="AA126" s="714"/>
      <c r="AB126" s="245"/>
      <c r="AC126" s="714"/>
      <c r="AD126" s="717"/>
      <c r="AE126" s="717">
        <v>1</v>
      </c>
    </row>
    <row r="127" spans="1:1018" s="224" customFormat="1" ht="13.5" customHeight="1">
      <c r="A127" s="225">
        <v>122</v>
      </c>
      <c r="B127" s="217"/>
      <c r="C127" s="217"/>
      <c r="D127" s="217"/>
      <c r="E127" s="217" t="s">
        <v>1081</v>
      </c>
      <c r="F127" s="219" t="s">
        <v>1420</v>
      </c>
      <c r="G127" s="241"/>
      <c r="H127" s="714"/>
      <c r="I127" s="722"/>
      <c r="J127" s="714"/>
      <c r="K127" s="715" t="s">
        <v>1082</v>
      </c>
      <c r="L127" s="714"/>
      <c r="M127" s="714"/>
      <c r="N127" s="714"/>
      <c r="O127" s="714"/>
      <c r="P127" s="716"/>
      <c r="Q127" s="714" t="s">
        <v>817</v>
      </c>
      <c r="R127" s="714" t="s">
        <v>864</v>
      </c>
      <c r="S127" s="243" t="s">
        <v>1082</v>
      </c>
      <c r="T127" s="717"/>
      <c r="U127" s="717"/>
      <c r="V127" s="260"/>
      <c r="W127" s="260" t="s">
        <v>864</v>
      </c>
      <c r="X127" s="260" t="s">
        <v>864</v>
      </c>
      <c r="Y127" s="232"/>
      <c r="Z127" s="719"/>
      <c r="AA127" s="714"/>
      <c r="AB127" s="245"/>
      <c r="AC127" s="714"/>
      <c r="AD127" s="717"/>
      <c r="AE127" s="717">
        <v>1</v>
      </c>
    </row>
    <row r="128" spans="1:1018" s="224" customFormat="1" ht="13.5" customHeight="1">
      <c r="A128" s="225">
        <v>123</v>
      </c>
      <c r="B128" s="217"/>
      <c r="C128" s="217"/>
      <c r="D128" s="217"/>
      <c r="E128" s="217" t="s">
        <v>1106</v>
      </c>
      <c r="F128" s="219" t="s">
        <v>1421</v>
      </c>
      <c r="G128" s="241"/>
      <c r="H128" s="714"/>
      <c r="I128" s="722"/>
      <c r="J128" s="714"/>
      <c r="K128" s="715" t="s">
        <v>1107</v>
      </c>
      <c r="L128" s="714"/>
      <c r="M128" s="714"/>
      <c r="N128" s="714"/>
      <c r="O128" s="714"/>
      <c r="P128" s="716"/>
      <c r="Q128" s="714" t="s">
        <v>817</v>
      </c>
      <c r="R128" s="714" t="s">
        <v>864</v>
      </c>
      <c r="S128" s="243" t="s">
        <v>1107</v>
      </c>
      <c r="T128" s="717"/>
      <c r="U128" s="717"/>
      <c r="V128" s="260"/>
      <c r="W128" s="260" t="s">
        <v>864</v>
      </c>
      <c r="X128" s="260" t="s">
        <v>864</v>
      </c>
      <c r="Y128" s="232"/>
      <c r="Z128" s="719"/>
      <c r="AA128" s="714"/>
      <c r="AB128" s="245"/>
      <c r="AC128" s="714"/>
      <c r="AD128" s="717"/>
      <c r="AE128" s="717">
        <v>1</v>
      </c>
    </row>
    <row r="129" spans="1:31" s="224" customFormat="1" ht="13.5" customHeight="1">
      <c r="A129" s="225">
        <v>124</v>
      </c>
      <c r="B129" s="217"/>
      <c r="C129" s="217"/>
      <c r="D129" s="217" t="s">
        <v>1422</v>
      </c>
      <c r="E129" s="241"/>
      <c r="F129" s="241"/>
      <c r="G129" s="241"/>
      <c r="H129" s="714"/>
      <c r="I129" s="722"/>
      <c r="J129" s="714"/>
      <c r="K129" s="715" t="s">
        <v>1423</v>
      </c>
      <c r="L129" s="714"/>
      <c r="M129" s="714"/>
      <c r="N129" s="714"/>
      <c r="O129" s="714"/>
      <c r="P129" s="716"/>
      <c r="Q129" s="714" t="s">
        <v>817</v>
      </c>
      <c r="R129" s="714" t="s">
        <v>864</v>
      </c>
      <c r="S129" s="379" t="s">
        <v>1423</v>
      </c>
      <c r="T129" s="717"/>
      <c r="U129" s="717"/>
      <c r="V129" s="260"/>
      <c r="W129" s="260" t="s">
        <v>864</v>
      </c>
      <c r="X129" s="260" t="s">
        <v>864</v>
      </c>
      <c r="Y129" s="232"/>
      <c r="Z129" s="719"/>
      <c r="AA129" s="719" t="s">
        <v>1424</v>
      </c>
      <c r="AB129" s="245"/>
      <c r="AC129" s="714"/>
      <c r="AD129" s="717"/>
      <c r="AE129" s="717">
        <v>1</v>
      </c>
    </row>
    <row r="130" spans="1:31" s="224" customFormat="1" ht="13.5" customHeight="1">
      <c r="A130" s="225">
        <v>125</v>
      </c>
      <c r="B130" s="217"/>
      <c r="C130" s="217"/>
      <c r="D130" s="217"/>
      <c r="E130" s="241" t="s">
        <v>1304</v>
      </c>
      <c r="F130" s="241"/>
      <c r="G130" s="241"/>
      <c r="H130" s="714" t="s">
        <v>1425</v>
      </c>
      <c r="I130" s="722"/>
      <c r="J130" s="714"/>
      <c r="K130" s="715" t="s">
        <v>1303</v>
      </c>
      <c r="L130" s="714"/>
      <c r="M130" s="714"/>
      <c r="N130" s="714"/>
      <c r="O130" s="714"/>
      <c r="P130" s="716"/>
      <c r="Q130" s="714" t="s">
        <v>820</v>
      </c>
      <c r="R130" s="714" t="s">
        <v>864</v>
      </c>
      <c r="S130" s="243" t="s">
        <v>1303</v>
      </c>
      <c r="T130" s="717"/>
      <c r="U130" s="717"/>
      <c r="V130" s="260"/>
      <c r="W130" s="260" t="s">
        <v>864</v>
      </c>
      <c r="X130" s="260" t="s">
        <v>864</v>
      </c>
      <c r="Y130" s="232"/>
      <c r="Z130" s="719"/>
      <c r="AA130" s="714"/>
      <c r="AB130" s="245"/>
      <c r="AC130" s="714"/>
      <c r="AD130" s="717"/>
      <c r="AE130" s="717">
        <v>1</v>
      </c>
    </row>
    <row r="131" spans="1:31" s="224" customFormat="1" ht="13.5" customHeight="1">
      <c r="A131" s="225">
        <v>126</v>
      </c>
      <c r="B131" s="217"/>
      <c r="C131" s="217"/>
      <c r="D131" s="217"/>
      <c r="E131" s="241" t="s">
        <v>1426</v>
      </c>
      <c r="F131" s="241"/>
      <c r="G131" s="241"/>
      <c r="H131" s="714" t="s">
        <v>1427</v>
      </c>
      <c r="I131" s="722">
        <v>10000668540</v>
      </c>
      <c r="J131" s="714"/>
      <c r="K131" s="715" t="s">
        <v>1218</v>
      </c>
      <c r="L131" s="714"/>
      <c r="M131" s="714"/>
      <c r="N131" s="714"/>
      <c r="O131" s="714"/>
      <c r="P131" s="716"/>
      <c r="Q131" s="714" t="s">
        <v>817</v>
      </c>
      <c r="R131" s="714"/>
      <c r="S131" s="714" t="s">
        <v>863</v>
      </c>
      <c r="T131" s="717"/>
      <c r="U131" s="374"/>
      <c r="V131" s="260"/>
      <c r="W131" s="260" t="s">
        <v>864</v>
      </c>
      <c r="X131" s="260" t="s">
        <v>864</v>
      </c>
      <c r="Y131" s="232"/>
      <c r="Z131" s="380" t="s">
        <v>1428</v>
      </c>
      <c r="AA131" s="714" t="s">
        <v>1429</v>
      </c>
      <c r="AB131" s="245"/>
      <c r="AC131" s="714"/>
      <c r="AD131" s="717"/>
      <c r="AE131" s="717">
        <v>1</v>
      </c>
    </row>
    <row r="132" spans="1:31" s="224" customFormat="1" ht="13.5" customHeight="1">
      <c r="A132" s="225">
        <v>127</v>
      </c>
      <c r="B132" s="217"/>
      <c r="C132" s="217"/>
      <c r="D132" s="241"/>
      <c r="E132" s="241" t="s">
        <v>1430</v>
      </c>
      <c r="F132" s="219" t="s">
        <v>1431</v>
      </c>
      <c r="G132" s="241"/>
      <c r="H132" s="714"/>
      <c r="I132" s="722"/>
      <c r="J132" s="714"/>
      <c r="K132" s="715" t="s">
        <v>1419</v>
      </c>
      <c r="L132" s="714"/>
      <c r="M132" s="714"/>
      <c r="N132" s="714"/>
      <c r="O132" s="714"/>
      <c r="P132" s="716"/>
      <c r="Q132" s="714" t="s">
        <v>817</v>
      </c>
      <c r="R132" s="714" t="s">
        <v>864</v>
      </c>
      <c r="S132" s="379" t="s">
        <v>1419</v>
      </c>
      <c r="T132" s="717"/>
      <c r="U132" s="717"/>
      <c r="V132" s="718"/>
      <c r="W132" s="718" t="s">
        <v>864</v>
      </c>
      <c r="X132" s="718" t="s">
        <v>864</v>
      </c>
      <c r="Y132" s="232"/>
      <c r="Z132" s="719"/>
      <c r="AA132" s="714"/>
      <c r="AB132" s="720"/>
      <c r="AC132" s="714"/>
      <c r="AD132" s="717"/>
      <c r="AE132" s="717">
        <v>1</v>
      </c>
    </row>
    <row r="133" spans="1:31" s="224" customFormat="1" ht="13.5" customHeight="1">
      <c r="A133" s="225">
        <v>128</v>
      </c>
      <c r="B133" s="217"/>
      <c r="C133" s="217"/>
      <c r="D133" s="217"/>
      <c r="E133" s="217" t="s">
        <v>1432</v>
      </c>
      <c r="F133" s="219" t="s">
        <v>1275</v>
      </c>
      <c r="G133" s="241"/>
      <c r="H133" s="714" t="s">
        <v>1415</v>
      </c>
      <c r="I133" s="722"/>
      <c r="J133" s="714"/>
      <c r="K133" s="715" t="s">
        <v>1264</v>
      </c>
      <c r="L133" s="714"/>
      <c r="M133" s="714"/>
      <c r="N133" s="714"/>
      <c r="O133" s="714"/>
      <c r="P133" s="716"/>
      <c r="Q133" s="714" t="s">
        <v>823</v>
      </c>
      <c r="R133" s="714" t="s">
        <v>864</v>
      </c>
      <c r="S133" s="243" t="s">
        <v>1264</v>
      </c>
      <c r="T133" s="717"/>
      <c r="U133" s="259"/>
      <c r="V133" s="260"/>
      <c r="W133" s="260" t="s">
        <v>864</v>
      </c>
      <c r="X133" s="260" t="s">
        <v>864</v>
      </c>
      <c r="Y133" s="232"/>
      <c r="Z133" s="719"/>
      <c r="AA133" s="714"/>
      <c r="AB133" s="245" t="s">
        <v>1265</v>
      </c>
      <c r="AC133" s="714"/>
      <c r="AD133" s="717"/>
      <c r="AE133" s="717">
        <v>1</v>
      </c>
    </row>
    <row r="134" spans="1:31" s="224" customFormat="1" ht="13.5" customHeight="1">
      <c r="A134" s="225">
        <v>129</v>
      </c>
      <c r="B134" s="217"/>
      <c r="C134" s="217" t="s">
        <v>1433</v>
      </c>
      <c r="D134" s="241"/>
      <c r="E134" s="241"/>
      <c r="F134" s="241"/>
      <c r="G134" s="241"/>
      <c r="H134" s="714" t="s">
        <v>1434</v>
      </c>
      <c r="I134" s="722"/>
      <c r="J134" s="714"/>
      <c r="K134" s="715" t="s">
        <v>1435</v>
      </c>
      <c r="L134" s="714"/>
      <c r="M134" s="714"/>
      <c r="N134" s="714"/>
      <c r="O134" s="714"/>
      <c r="P134" s="716"/>
      <c r="Q134" s="714" t="s">
        <v>817</v>
      </c>
      <c r="R134" s="714" t="s">
        <v>864</v>
      </c>
      <c r="S134" s="243" t="s">
        <v>1436</v>
      </c>
      <c r="T134" s="717"/>
      <c r="U134" s="717"/>
      <c r="V134" s="260" t="s">
        <v>864</v>
      </c>
      <c r="W134" s="260" t="s">
        <v>864</v>
      </c>
      <c r="X134" s="260" t="s">
        <v>864</v>
      </c>
      <c r="Y134" s="232"/>
      <c r="Z134" s="719"/>
      <c r="AA134" s="714"/>
      <c r="AB134" s="245"/>
      <c r="AC134" s="714"/>
      <c r="AD134" s="717"/>
      <c r="AE134" s="717">
        <v>1</v>
      </c>
    </row>
    <row r="135" spans="1:31" s="224" customFormat="1" ht="13.5" customHeight="1">
      <c r="A135" s="225">
        <v>130</v>
      </c>
      <c r="B135" s="217"/>
      <c r="C135" s="217"/>
      <c r="D135" s="217" t="s">
        <v>1437</v>
      </c>
      <c r="E135" s="241"/>
      <c r="F135" s="241"/>
      <c r="G135" s="241"/>
      <c r="H135" s="714" t="s">
        <v>1438</v>
      </c>
      <c r="I135" s="722"/>
      <c r="J135" s="714"/>
      <c r="K135" s="715" t="s">
        <v>1439</v>
      </c>
      <c r="L135" s="714"/>
      <c r="M135" s="714"/>
      <c r="N135" s="714"/>
      <c r="O135" s="714"/>
      <c r="P135" s="716"/>
      <c r="Q135" s="714" t="s">
        <v>817</v>
      </c>
      <c r="R135" s="714" t="s">
        <v>864</v>
      </c>
      <c r="S135" s="243" t="s">
        <v>1440</v>
      </c>
      <c r="T135" s="717"/>
      <c r="U135" s="259"/>
      <c r="V135" s="260"/>
      <c r="W135" s="260" t="s">
        <v>864</v>
      </c>
      <c r="X135" s="260"/>
      <c r="Y135" s="232"/>
      <c r="Z135" s="719"/>
      <c r="AA135" s="714"/>
      <c r="AB135" s="245"/>
      <c r="AC135" s="714"/>
      <c r="AD135" s="717"/>
      <c r="AE135" s="717">
        <v>1</v>
      </c>
    </row>
    <row r="136" spans="1:31" s="224" customFormat="1" ht="13.5" customHeight="1">
      <c r="A136" s="225">
        <v>131</v>
      </c>
      <c r="B136" s="217"/>
      <c r="C136" s="217"/>
      <c r="D136" s="217"/>
      <c r="E136" s="241" t="s">
        <v>1441</v>
      </c>
      <c r="F136" s="241"/>
      <c r="G136" s="241"/>
      <c r="H136" s="714" t="s">
        <v>1438</v>
      </c>
      <c r="I136" s="722"/>
      <c r="J136" s="714"/>
      <c r="K136" s="715" t="s">
        <v>888</v>
      </c>
      <c r="L136" s="714"/>
      <c r="M136" s="714"/>
      <c r="N136" s="714"/>
      <c r="O136" s="714"/>
      <c r="P136" s="716"/>
      <c r="Q136" s="714" t="s">
        <v>817</v>
      </c>
      <c r="R136" s="714"/>
      <c r="S136" s="714" t="s">
        <v>863</v>
      </c>
      <c r="T136" s="717" t="s">
        <v>864</v>
      </c>
      <c r="U136" s="261" t="s">
        <v>1442</v>
      </c>
      <c r="V136" s="718"/>
      <c r="W136" s="260" t="s">
        <v>864</v>
      </c>
      <c r="X136" s="260"/>
      <c r="Y136" s="232"/>
      <c r="Z136" s="266" t="s">
        <v>1443</v>
      </c>
      <c r="AA136" s="386" t="s">
        <v>1444</v>
      </c>
      <c r="AB136" s="245"/>
      <c r="AC136" s="714"/>
      <c r="AD136" s="717"/>
      <c r="AE136" s="717">
        <v>1</v>
      </c>
    </row>
    <row r="137" spans="1:31" s="224" customFormat="1" ht="13.5" customHeight="1">
      <c r="A137" s="225">
        <v>132</v>
      </c>
      <c r="B137" s="217"/>
      <c r="C137" s="217"/>
      <c r="D137" s="217"/>
      <c r="E137" s="241" t="s">
        <v>1445</v>
      </c>
      <c r="F137" s="241"/>
      <c r="G137" s="241"/>
      <c r="H137" s="714" t="s">
        <v>1446</v>
      </c>
      <c r="I137" s="722"/>
      <c r="J137" s="714"/>
      <c r="K137" s="715" t="s">
        <v>1447</v>
      </c>
      <c r="L137" s="714"/>
      <c r="M137" s="714"/>
      <c r="N137" s="714"/>
      <c r="O137" s="714"/>
      <c r="P137" s="716"/>
      <c r="Q137" s="714" t="s">
        <v>817</v>
      </c>
      <c r="R137" s="714"/>
      <c r="S137" s="714" t="s">
        <v>863</v>
      </c>
      <c r="T137" s="717" t="s">
        <v>864</v>
      </c>
      <c r="U137" s="261" t="s">
        <v>1448</v>
      </c>
      <c r="V137" s="718"/>
      <c r="W137" s="260" t="s">
        <v>864</v>
      </c>
      <c r="X137" s="260"/>
      <c r="Y137" s="232"/>
      <c r="Z137" s="266" t="s">
        <v>1449</v>
      </c>
      <c r="AA137" s="714"/>
      <c r="AB137" s="245"/>
      <c r="AC137" s="714"/>
      <c r="AD137" s="717"/>
      <c r="AE137" s="717">
        <v>1</v>
      </c>
    </row>
    <row r="138" spans="1:31" s="224" customFormat="1" ht="13.5" customHeight="1">
      <c r="A138" s="225">
        <v>133</v>
      </c>
      <c r="B138" s="217"/>
      <c r="C138" s="217"/>
      <c r="D138" s="217" t="s">
        <v>1450</v>
      </c>
      <c r="E138" s="241"/>
      <c r="F138" s="241"/>
      <c r="G138" s="241"/>
      <c r="H138" s="714" t="s">
        <v>1451</v>
      </c>
      <c r="I138" s="722"/>
      <c r="J138" s="714"/>
      <c r="K138" s="715" t="s">
        <v>1092</v>
      </c>
      <c r="L138" s="714"/>
      <c r="M138" s="714"/>
      <c r="N138" s="714"/>
      <c r="O138" s="714"/>
      <c r="P138" s="716"/>
      <c r="Q138" s="714" t="s">
        <v>817</v>
      </c>
      <c r="R138" s="714" t="s">
        <v>864</v>
      </c>
      <c r="S138" s="379" t="s">
        <v>1452</v>
      </c>
      <c r="T138" s="717"/>
      <c r="U138" s="717"/>
      <c r="V138" s="260"/>
      <c r="W138" s="260" t="s">
        <v>864</v>
      </c>
      <c r="X138" s="260"/>
      <c r="Y138" s="232"/>
      <c r="Z138" s="719"/>
      <c r="AA138" s="714"/>
      <c r="AB138" s="245"/>
      <c r="AC138" s="714"/>
      <c r="AD138" s="717"/>
      <c r="AE138" s="717">
        <v>1</v>
      </c>
    </row>
    <row r="139" spans="1:31" s="224" customFormat="1" ht="13.5" customHeight="1">
      <c r="A139" s="225">
        <v>134</v>
      </c>
      <c r="B139" s="217"/>
      <c r="C139" s="217"/>
      <c r="D139" s="217"/>
      <c r="E139" s="241" t="s">
        <v>1453</v>
      </c>
      <c r="F139" s="241"/>
      <c r="G139" s="241"/>
      <c r="H139" s="714" t="s">
        <v>1451</v>
      </c>
      <c r="I139" s="722" t="s">
        <v>1454</v>
      </c>
      <c r="J139" s="714"/>
      <c r="K139" s="715" t="s">
        <v>1080</v>
      </c>
      <c r="L139" s="714"/>
      <c r="M139" s="714"/>
      <c r="N139" s="714"/>
      <c r="O139" s="714"/>
      <c r="P139" s="716"/>
      <c r="Q139" s="714" t="s">
        <v>817</v>
      </c>
      <c r="R139" s="714"/>
      <c r="S139" s="714" t="s">
        <v>863</v>
      </c>
      <c r="T139" s="717"/>
      <c r="U139" s="717"/>
      <c r="V139" s="260"/>
      <c r="W139" s="260" t="s">
        <v>864</v>
      </c>
      <c r="X139" s="260"/>
      <c r="Y139" s="232"/>
      <c r="Z139" s="380" t="s">
        <v>1455</v>
      </c>
      <c r="AA139" s="714"/>
      <c r="AB139" s="245"/>
      <c r="AC139" s="714"/>
      <c r="AD139" s="717"/>
      <c r="AE139" s="717">
        <v>1</v>
      </c>
    </row>
    <row r="140" spans="1:31" s="224" customFormat="1" ht="13.5" customHeight="1">
      <c r="A140" s="225">
        <v>135</v>
      </c>
      <c r="B140" s="217"/>
      <c r="C140" s="217"/>
      <c r="D140" s="217"/>
      <c r="E140" s="241" t="s">
        <v>1456</v>
      </c>
      <c r="F140" s="241"/>
      <c r="G140" s="241"/>
      <c r="H140" s="714" t="s">
        <v>1457</v>
      </c>
      <c r="I140" s="722" t="s">
        <v>1458</v>
      </c>
      <c r="J140" s="714"/>
      <c r="K140" s="715" t="s">
        <v>1459</v>
      </c>
      <c r="L140" s="714"/>
      <c r="M140" s="714"/>
      <c r="N140" s="714"/>
      <c r="O140" s="714"/>
      <c r="P140" s="716"/>
      <c r="Q140" s="714" t="s">
        <v>817</v>
      </c>
      <c r="R140" s="714"/>
      <c r="S140" s="714" t="s">
        <v>863</v>
      </c>
      <c r="T140" s="717" t="s">
        <v>864</v>
      </c>
      <c r="U140" s="717"/>
      <c r="V140" s="260"/>
      <c r="W140" s="260" t="s">
        <v>864</v>
      </c>
      <c r="X140" s="260"/>
      <c r="Y140" s="232"/>
      <c r="Z140" s="380" t="s">
        <v>1460</v>
      </c>
      <c r="AA140" s="714"/>
      <c r="AB140" s="245"/>
      <c r="AC140" s="714"/>
      <c r="AD140" s="717"/>
      <c r="AE140" s="717">
        <v>1</v>
      </c>
    </row>
    <row r="141" spans="1:31" s="224" customFormat="1" ht="13.5" customHeight="1">
      <c r="A141" s="225">
        <v>136</v>
      </c>
      <c r="B141" s="217"/>
      <c r="C141" s="217"/>
      <c r="D141" s="217" t="s">
        <v>1461</v>
      </c>
      <c r="E141" s="241"/>
      <c r="F141" s="241"/>
      <c r="G141" s="241"/>
      <c r="H141" s="714" t="s">
        <v>1462</v>
      </c>
      <c r="I141" s="722"/>
      <c r="J141" s="714"/>
      <c r="K141" s="715" t="s">
        <v>1463</v>
      </c>
      <c r="L141" s="714"/>
      <c r="M141" s="714"/>
      <c r="N141" s="714"/>
      <c r="O141" s="714"/>
      <c r="P141" s="716"/>
      <c r="Q141" s="714" t="s">
        <v>817</v>
      </c>
      <c r="R141" s="714" t="s">
        <v>864</v>
      </c>
      <c r="S141" s="243" t="s">
        <v>1464</v>
      </c>
      <c r="T141" s="717"/>
      <c r="U141" s="259"/>
      <c r="V141" s="260" t="s">
        <v>864</v>
      </c>
      <c r="W141" s="260" t="s">
        <v>864</v>
      </c>
      <c r="X141" s="260" t="s">
        <v>864</v>
      </c>
      <c r="Y141" s="232"/>
      <c r="Z141" s="719"/>
      <c r="AA141" s="714"/>
      <c r="AB141" s="245"/>
      <c r="AC141" s="714"/>
      <c r="AD141" s="717"/>
      <c r="AE141" s="717">
        <v>1</v>
      </c>
    </row>
    <row r="142" spans="1:31" s="224" customFormat="1" ht="13.5" customHeight="1">
      <c r="A142" s="225">
        <v>137</v>
      </c>
      <c r="B142" s="217"/>
      <c r="C142" s="217"/>
      <c r="D142" s="217"/>
      <c r="E142" s="241" t="s">
        <v>1465</v>
      </c>
      <c r="F142" s="241"/>
      <c r="G142" s="241"/>
      <c r="H142" s="714" t="s">
        <v>1466</v>
      </c>
      <c r="I142" s="722" t="s">
        <v>1134</v>
      </c>
      <c r="J142" s="714"/>
      <c r="K142" s="715" t="s">
        <v>1467</v>
      </c>
      <c r="L142" s="714"/>
      <c r="M142" s="714"/>
      <c r="N142" s="714"/>
      <c r="O142" s="714"/>
      <c r="P142" s="716"/>
      <c r="Q142" s="714" t="s">
        <v>817</v>
      </c>
      <c r="R142" s="714"/>
      <c r="S142" s="714" t="s">
        <v>863</v>
      </c>
      <c r="T142" s="717"/>
      <c r="U142" s="717"/>
      <c r="V142" s="260"/>
      <c r="W142" s="260" t="s">
        <v>864</v>
      </c>
      <c r="X142" s="260" t="s">
        <v>864</v>
      </c>
      <c r="Y142" s="232"/>
      <c r="Z142" s="719"/>
      <c r="AA142" s="714"/>
      <c r="AB142" s="245"/>
      <c r="AC142" s="714"/>
      <c r="AD142" s="717"/>
      <c r="AE142" s="717">
        <v>1</v>
      </c>
    </row>
    <row r="143" spans="1:31" s="224" customFormat="1" ht="13.5" customHeight="1">
      <c r="A143" s="225">
        <v>138</v>
      </c>
      <c r="B143" s="217"/>
      <c r="C143" s="217"/>
      <c r="D143" s="217"/>
      <c r="E143" s="241" t="s">
        <v>1468</v>
      </c>
      <c r="F143" s="241"/>
      <c r="G143" s="241"/>
      <c r="H143" s="714" t="s">
        <v>1469</v>
      </c>
      <c r="I143" s="722"/>
      <c r="J143" s="714"/>
      <c r="K143" s="715" t="s">
        <v>1470</v>
      </c>
      <c r="L143" s="714"/>
      <c r="M143" s="714"/>
      <c r="N143" s="714"/>
      <c r="O143" s="714"/>
      <c r="P143" s="716"/>
      <c r="Q143" s="714" t="s">
        <v>817</v>
      </c>
      <c r="R143" s="714"/>
      <c r="S143" s="714" t="s">
        <v>863</v>
      </c>
      <c r="T143" s="717"/>
      <c r="U143" s="717"/>
      <c r="V143" s="260"/>
      <c r="W143" s="260" t="s">
        <v>864</v>
      </c>
      <c r="X143" s="260"/>
      <c r="Y143" s="232"/>
      <c r="Z143" s="719"/>
      <c r="AA143" s="714"/>
      <c r="AB143" s="245"/>
      <c r="AC143" s="714"/>
      <c r="AD143" s="717"/>
      <c r="AE143" s="717">
        <v>1</v>
      </c>
    </row>
    <row r="144" spans="1:31" s="224" customFormat="1" ht="13.5" customHeight="1">
      <c r="A144" s="225">
        <v>139</v>
      </c>
      <c r="B144" s="217"/>
      <c r="C144" s="217"/>
      <c r="D144" s="217"/>
      <c r="E144" s="241" t="s">
        <v>1471</v>
      </c>
      <c r="F144" s="241"/>
      <c r="G144" s="241"/>
      <c r="H144" s="714" t="s">
        <v>1472</v>
      </c>
      <c r="I144" s="722"/>
      <c r="J144" s="714"/>
      <c r="K144" s="715" t="s">
        <v>1473</v>
      </c>
      <c r="L144" s="714"/>
      <c r="M144" s="714"/>
      <c r="N144" s="714"/>
      <c r="O144" s="714"/>
      <c r="P144" s="716"/>
      <c r="Q144" s="714" t="s">
        <v>817</v>
      </c>
      <c r="R144" s="714"/>
      <c r="S144" s="714" t="s">
        <v>863</v>
      </c>
      <c r="T144" s="717"/>
      <c r="U144" s="717"/>
      <c r="V144" s="260"/>
      <c r="W144" s="260" t="s">
        <v>864</v>
      </c>
      <c r="X144" s="260"/>
      <c r="Y144" s="232"/>
      <c r="Z144" s="719"/>
      <c r="AA144" s="714"/>
      <c r="AB144" s="245"/>
      <c r="AC144" s="714"/>
      <c r="AD144" s="717"/>
      <c r="AE144" s="717">
        <v>1</v>
      </c>
    </row>
    <row r="145" spans="1:31" s="224" customFormat="1" ht="13.5" customHeight="1">
      <c r="A145" s="225">
        <v>140</v>
      </c>
      <c r="B145" s="217"/>
      <c r="C145" s="217"/>
      <c r="D145" s="217"/>
      <c r="E145" s="241" t="s">
        <v>1479</v>
      </c>
      <c r="F145" s="241"/>
      <c r="G145" s="241"/>
      <c r="H145" s="714" t="s">
        <v>1480</v>
      </c>
      <c r="I145" s="722"/>
      <c r="J145" s="714"/>
      <c r="K145" s="715" t="s">
        <v>1481</v>
      </c>
      <c r="L145" s="714"/>
      <c r="M145" s="714"/>
      <c r="N145" s="714"/>
      <c r="O145" s="714"/>
      <c r="P145" s="716"/>
      <c r="Q145" s="714" t="s">
        <v>817</v>
      </c>
      <c r="R145" s="714"/>
      <c r="S145" s="714" t="s">
        <v>1482</v>
      </c>
      <c r="T145" s="717"/>
      <c r="U145" s="259"/>
      <c r="V145" s="260" t="s">
        <v>864</v>
      </c>
      <c r="W145" s="260" t="s">
        <v>864</v>
      </c>
      <c r="X145" s="260" t="s">
        <v>864</v>
      </c>
      <c r="Y145" s="232"/>
      <c r="Z145" s="719"/>
      <c r="AA145" s="714"/>
      <c r="AB145" s="245"/>
      <c r="AC145" s="714"/>
      <c r="AD145" s="717"/>
      <c r="AE145" s="717">
        <v>1</v>
      </c>
    </row>
    <row r="146" spans="1:31" s="224" customFormat="1" ht="13.5" customHeight="1">
      <c r="A146" s="225">
        <v>141</v>
      </c>
      <c r="B146" s="217"/>
      <c r="C146" s="217"/>
      <c r="D146" s="217"/>
      <c r="E146" s="241" t="s">
        <v>1483</v>
      </c>
      <c r="F146" s="241"/>
      <c r="G146" s="241"/>
      <c r="H146" s="714" t="s">
        <v>1484</v>
      </c>
      <c r="I146" s="722" t="s">
        <v>698</v>
      </c>
      <c r="J146" s="714"/>
      <c r="K146" s="715" t="s">
        <v>1485</v>
      </c>
      <c r="L146" s="714"/>
      <c r="M146" s="714"/>
      <c r="N146" s="714"/>
      <c r="O146" s="714"/>
      <c r="P146" s="716"/>
      <c r="Q146" s="714" t="s">
        <v>817</v>
      </c>
      <c r="R146" s="714"/>
      <c r="S146" s="714" t="s">
        <v>863</v>
      </c>
      <c r="T146" s="717" t="s">
        <v>864</v>
      </c>
      <c r="U146" s="715" t="s">
        <v>1657</v>
      </c>
      <c r="V146" s="260" t="s">
        <v>864</v>
      </c>
      <c r="W146" s="260" t="s">
        <v>864</v>
      </c>
      <c r="X146" s="260" t="s">
        <v>864</v>
      </c>
      <c r="Y146" s="232"/>
      <c r="Z146" s="387" t="s">
        <v>1486</v>
      </c>
      <c r="AA146" s="714"/>
      <c r="AB146" s="245"/>
      <c r="AC146" s="714"/>
      <c r="AD146" s="717"/>
      <c r="AE146" s="717">
        <v>1</v>
      </c>
    </row>
    <row r="147" spans="1:31" s="224" customFormat="1" ht="13.5" customHeight="1">
      <c r="A147" s="225">
        <v>142</v>
      </c>
      <c r="B147" s="217"/>
      <c r="C147" s="217"/>
      <c r="D147" s="217"/>
      <c r="E147" s="241" t="s">
        <v>1474</v>
      </c>
      <c r="F147" s="241"/>
      <c r="G147" s="241"/>
      <c r="H147" s="714" t="s">
        <v>1475</v>
      </c>
      <c r="I147" s="722"/>
      <c r="J147" s="714"/>
      <c r="K147" s="715" t="s">
        <v>1476</v>
      </c>
      <c r="L147" s="714"/>
      <c r="M147" s="714"/>
      <c r="N147" s="714"/>
      <c r="O147" s="714"/>
      <c r="P147" s="716"/>
      <c r="Q147" s="714" t="s">
        <v>817</v>
      </c>
      <c r="R147" s="714"/>
      <c r="S147" s="714" t="s">
        <v>1092</v>
      </c>
      <c r="T147" s="717"/>
      <c r="U147" s="381"/>
      <c r="V147" s="260"/>
      <c r="W147" s="260" t="s">
        <v>864</v>
      </c>
      <c r="X147" s="260"/>
      <c r="Y147" s="232"/>
      <c r="Z147" s="380" t="s">
        <v>1477</v>
      </c>
      <c r="AA147" s="714" t="s">
        <v>1478</v>
      </c>
      <c r="AB147" s="245"/>
      <c r="AC147" s="714"/>
      <c r="AD147" s="717"/>
      <c r="AE147" s="717">
        <v>1</v>
      </c>
    </row>
    <row r="148" spans="1:31" s="224" customFormat="1" ht="13.5" customHeight="1">
      <c r="A148" s="225">
        <v>143</v>
      </c>
      <c r="B148" s="217"/>
      <c r="C148" s="217"/>
      <c r="D148" s="217" t="s">
        <v>1658</v>
      </c>
      <c r="E148" s="241" t="s">
        <v>1487</v>
      </c>
      <c r="F148" s="241"/>
      <c r="G148" s="241"/>
      <c r="H148" s="714" t="s">
        <v>1488</v>
      </c>
      <c r="I148" s="722"/>
      <c r="J148" s="714"/>
      <c r="K148" s="715" t="s">
        <v>1489</v>
      </c>
      <c r="L148" s="714"/>
      <c r="M148" s="714"/>
      <c r="N148" s="714"/>
      <c r="O148" s="714"/>
      <c r="P148" s="716"/>
      <c r="Q148" s="714" t="s">
        <v>817</v>
      </c>
      <c r="R148" s="714" t="s">
        <v>864</v>
      </c>
      <c r="S148" s="243" t="s">
        <v>1303</v>
      </c>
      <c r="T148" s="717"/>
      <c r="U148" s="717"/>
      <c r="V148" s="260" t="s">
        <v>864</v>
      </c>
      <c r="W148" s="260" t="s">
        <v>864</v>
      </c>
      <c r="X148" s="260" t="s">
        <v>864</v>
      </c>
      <c r="Y148" s="232"/>
      <c r="Z148" s="719"/>
      <c r="AA148" s="714"/>
      <c r="AB148" s="245"/>
      <c r="AC148" s="714"/>
      <c r="AD148" s="717"/>
      <c r="AE148" s="717">
        <v>1</v>
      </c>
    </row>
    <row r="149" spans="1:31" s="224" customFormat="1" ht="13.5" customHeight="1">
      <c r="A149" s="225">
        <v>144</v>
      </c>
      <c r="B149" s="217"/>
      <c r="C149" s="219" t="s">
        <v>1009</v>
      </c>
      <c r="D149" s="241" t="s">
        <v>1623</v>
      </c>
      <c r="E149" s="241"/>
      <c r="F149" s="241"/>
      <c r="G149" s="241"/>
      <c r="H149" s="714" t="s">
        <v>1490</v>
      </c>
      <c r="I149" s="715"/>
      <c r="J149" s="714"/>
      <c r="K149" s="714" t="s">
        <v>1011</v>
      </c>
      <c r="L149" s="714"/>
      <c r="M149" s="714"/>
      <c r="N149" s="714"/>
      <c r="O149" s="714"/>
      <c r="P149" s="716"/>
      <c r="Q149" s="714" t="s">
        <v>817</v>
      </c>
      <c r="R149" s="714" t="s">
        <v>864</v>
      </c>
      <c r="S149" s="243" t="s">
        <v>1621</v>
      </c>
      <c r="T149" s="717"/>
      <c r="U149" s="714" t="s">
        <v>1626</v>
      </c>
      <c r="V149" s="718"/>
      <c r="W149" s="260" t="s">
        <v>864</v>
      </c>
      <c r="X149" s="260"/>
      <c r="Y149" s="232"/>
      <c r="Z149" s="387" t="s">
        <v>1491</v>
      </c>
      <c r="AA149" s="714" t="s">
        <v>992</v>
      </c>
      <c r="AB149" s="720"/>
      <c r="AC149" s="714"/>
      <c r="AD149" s="717"/>
      <c r="AE149" s="717">
        <v>1</v>
      </c>
    </row>
    <row r="150" spans="1:31" s="158" customFormat="1" ht="12.75" customHeight="1">
      <c r="A150" s="225">
        <v>145</v>
      </c>
      <c r="B150" s="217"/>
      <c r="C150" s="219" t="s">
        <v>1492</v>
      </c>
      <c r="D150" s="241"/>
      <c r="E150" s="241"/>
      <c r="F150" s="241"/>
      <c r="G150" s="241"/>
      <c r="H150" s="263"/>
      <c r="I150" s="264"/>
      <c r="J150" s="263"/>
      <c r="K150" s="715" t="s">
        <v>1120</v>
      </c>
      <c r="L150" s="714"/>
      <c r="M150" s="714"/>
      <c r="N150" s="714"/>
      <c r="O150" s="714"/>
      <c r="P150" s="716"/>
      <c r="Q150" s="714" t="s">
        <v>817</v>
      </c>
      <c r="R150" s="714" t="s">
        <v>864</v>
      </c>
      <c r="S150" s="379" t="s">
        <v>1493</v>
      </c>
      <c r="T150" s="268"/>
      <c r="U150" s="263"/>
      <c r="V150" s="265"/>
      <c r="W150" s="260" t="s">
        <v>864</v>
      </c>
      <c r="X150" s="260" t="s">
        <v>864</v>
      </c>
      <c r="Y150" s="232"/>
      <c r="Z150" s="380" t="s">
        <v>1494</v>
      </c>
      <c r="AA150" s="263"/>
      <c r="AB150" s="267" t="s">
        <v>1495</v>
      </c>
      <c r="AC150" s="263"/>
      <c r="AD150" s="717"/>
      <c r="AE150" s="717">
        <v>1</v>
      </c>
    </row>
    <row r="151" spans="1:31" s="224" customFormat="1" ht="13.5" customHeight="1">
      <c r="A151" s="225">
        <v>146</v>
      </c>
      <c r="B151" s="217"/>
      <c r="C151" s="219"/>
      <c r="D151" s="241" t="s">
        <v>1496</v>
      </c>
      <c r="E151" s="241"/>
      <c r="F151" s="241"/>
      <c r="G151" s="241"/>
      <c r="H151" s="714" t="s">
        <v>1497</v>
      </c>
      <c r="I151" s="715">
        <v>31</v>
      </c>
      <c r="J151" s="714"/>
      <c r="K151" s="715" t="s">
        <v>1498</v>
      </c>
      <c r="L151" s="714"/>
      <c r="M151" s="714"/>
      <c r="N151" s="714"/>
      <c r="O151" s="714"/>
      <c r="P151" s="716"/>
      <c r="Q151" s="714" t="s">
        <v>817</v>
      </c>
      <c r="R151" s="714"/>
      <c r="S151" s="714" t="s">
        <v>1380</v>
      </c>
      <c r="T151" s="717"/>
      <c r="U151" s="714"/>
      <c r="V151" s="718"/>
      <c r="W151" s="260" t="s">
        <v>864</v>
      </c>
      <c r="X151" s="260" t="s">
        <v>864</v>
      </c>
      <c r="Y151" s="232"/>
      <c r="Z151" s="719"/>
      <c r="AA151" s="714"/>
      <c r="AB151" s="720"/>
      <c r="AC151" s="714"/>
      <c r="AD151" s="717"/>
      <c r="AE151" s="717">
        <v>1</v>
      </c>
    </row>
    <row r="152" spans="1:31" s="224" customFormat="1" ht="13.5" customHeight="1">
      <c r="A152" s="225">
        <v>147</v>
      </c>
      <c r="B152" s="217"/>
      <c r="C152" s="219"/>
      <c r="D152" s="241" t="s">
        <v>1499</v>
      </c>
      <c r="E152" s="241"/>
      <c r="F152" s="241"/>
      <c r="G152" s="241"/>
      <c r="H152" s="714" t="s">
        <v>1500</v>
      </c>
      <c r="I152" s="715">
        <v>109</v>
      </c>
      <c r="J152" s="714"/>
      <c r="K152" s="715" t="s">
        <v>1182</v>
      </c>
      <c r="L152" s="714"/>
      <c r="M152" s="714"/>
      <c r="N152" s="714"/>
      <c r="O152" s="714"/>
      <c r="P152" s="716"/>
      <c r="Q152" s="714" t="s">
        <v>817</v>
      </c>
      <c r="R152" s="714"/>
      <c r="S152" s="714" t="s">
        <v>1380</v>
      </c>
      <c r="T152" s="717"/>
      <c r="U152" s="714"/>
      <c r="V152" s="718"/>
      <c r="W152" s="260" t="s">
        <v>864</v>
      </c>
      <c r="X152" s="260" t="s">
        <v>864</v>
      </c>
      <c r="Y152" s="232"/>
      <c r="Z152" s="719"/>
      <c r="AA152" s="714"/>
      <c r="AB152" s="720"/>
      <c r="AC152" s="714"/>
      <c r="AD152" s="717"/>
      <c r="AE152" s="717">
        <v>1</v>
      </c>
    </row>
    <row r="153" spans="1:31" s="224" customFormat="1" ht="12.75" customHeight="1">
      <c r="A153" s="225">
        <v>148</v>
      </c>
      <c r="B153" s="217"/>
      <c r="C153" s="219"/>
      <c r="D153" s="241" t="s">
        <v>1501</v>
      </c>
      <c r="E153" s="241"/>
      <c r="F153" s="241"/>
      <c r="G153" s="241"/>
      <c r="H153" s="714" t="s">
        <v>1502</v>
      </c>
      <c r="I153" s="715" t="s">
        <v>1503</v>
      </c>
      <c r="J153" s="714"/>
      <c r="K153" s="715" t="s">
        <v>1504</v>
      </c>
      <c r="L153" s="714"/>
      <c r="M153" s="714"/>
      <c r="N153" s="714"/>
      <c r="O153" s="714"/>
      <c r="P153" s="716"/>
      <c r="Q153" s="714" t="s">
        <v>817</v>
      </c>
      <c r="R153" s="714"/>
      <c r="S153" s="721" t="s">
        <v>863</v>
      </c>
      <c r="T153" s="282"/>
      <c r="U153" s="714" t="s">
        <v>1659</v>
      </c>
      <c r="V153" s="718"/>
      <c r="W153" s="260" t="s">
        <v>864</v>
      </c>
      <c r="X153" s="260" t="s">
        <v>864</v>
      </c>
      <c r="Y153" s="232"/>
      <c r="Z153" s="380"/>
      <c r="AA153" s="714"/>
      <c r="AB153" s="720"/>
      <c r="AC153" s="714"/>
      <c r="AD153" s="717"/>
      <c r="AE153" s="717">
        <v>1</v>
      </c>
    </row>
    <row r="154" spans="1:31" s="224" customFormat="1" ht="13.5" customHeight="1">
      <c r="A154" s="225">
        <v>149</v>
      </c>
      <c r="B154" s="217"/>
      <c r="C154" s="239"/>
      <c r="D154" s="241" t="s">
        <v>1506</v>
      </c>
      <c r="E154" s="241"/>
      <c r="F154" s="241"/>
      <c r="G154" s="241"/>
      <c r="H154" s="714"/>
      <c r="I154" s="715" t="s">
        <v>1507</v>
      </c>
      <c r="J154" s="714"/>
      <c r="K154" s="715" t="s">
        <v>1508</v>
      </c>
      <c r="L154" s="714"/>
      <c r="M154" s="714"/>
      <c r="N154" s="714"/>
      <c r="O154" s="714"/>
      <c r="P154" s="716"/>
      <c r="Q154" s="714" t="s">
        <v>817</v>
      </c>
      <c r="R154" s="714"/>
      <c r="S154" s="714" t="s">
        <v>863</v>
      </c>
      <c r="T154" s="717" t="s">
        <v>864</v>
      </c>
      <c r="U154" s="714" t="s">
        <v>1660</v>
      </c>
      <c r="V154" s="718"/>
      <c r="W154" s="260" t="s">
        <v>864</v>
      </c>
      <c r="X154" s="260"/>
      <c r="Y154" s="232"/>
      <c r="Z154" s="387" t="s">
        <v>1509</v>
      </c>
      <c r="AA154" s="714"/>
      <c r="AB154" s="720"/>
      <c r="AC154" s="714"/>
      <c r="AD154" s="717"/>
      <c r="AE154" s="717">
        <v>1</v>
      </c>
    </row>
    <row r="155" spans="1:31" s="224" customFormat="1" ht="13.5" customHeight="1">
      <c r="A155" s="225">
        <v>150</v>
      </c>
      <c r="B155" s="217"/>
      <c r="C155" s="219" t="s">
        <v>1510</v>
      </c>
      <c r="D155" s="241"/>
      <c r="E155" s="241"/>
      <c r="F155" s="241"/>
      <c r="G155" s="241"/>
      <c r="H155" s="714"/>
      <c r="I155" s="715"/>
      <c r="J155" s="714"/>
      <c r="K155" s="715" t="s">
        <v>1511</v>
      </c>
      <c r="L155" s="714"/>
      <c r="M155" s="714"/>
      <c r="N155" s="714"/>
      <c r="O155" s="714"/>
      <c r="P155" s="716"/>
      <c r="Q155" s="714" t="s">
        <v>817</v>
      </c>
      <c r="R155" s="714" t="s">
        <v>864</v>
      </c>
      <c r="S155" s="379" t="s">
        <v>1511</v>
      </c>
      <c r="T155" s="717"/>
      <c r="U155" s="714"/>
      <c r="V155" s="718"/>
      <c r="W155" s="260" t="s">
        <v>864</v>
      </c>
      <c r="X155" s="260" t="s">
        <v>864</v>
      </c>
      <c r="Y155" s="232"/>
      <c r="Z155" s="719"/>
      <c r="AA155" s="714"/>
      <c r="AB155" s="720"/>
      <c r="AC155" s="714"/>
      <c r="AD155" s="717"/>
      <c r="AE155" s="717">
        <v>1</v>
      </c>
    </row>
    <row r="156" spans="1:31" s="224" customFormat="1" ht="13.5" customHeight="1">
      <c r="A156" s="225">
        <v>151</v>
      </c>
      <c r="B156" s="217"/>
      <c r="C156" s="219"/>
      <c r="D156" s="241" t="s">
        <v>1512</v>
      </c>
      <c r="E156" s="241" t="s">
        <v>1623</v>
      </c>
      <c r="F156" s="241"/>
      <c r="G156" s="241"/>
      <c r="H156" s="714" t="s">
        <v>1513</v>
      </c>
      <c r="I156" s="715"/>
      <c r="J156" s="714"/>
      <c r="K156" s="715" t="s">
        <v>1514</v>
      </c>
      <c r="L156" s="714"/>
      <c r="M156" s="714"/>
      <c r="N156" s="714"/>
      <c r="O156" s="714"/>
      <c r="P156" s="716"/>
      <c r="Q156" s="714" t="s">
        <v>817</v>
      </c>
      <c r="R156" s="714" t="s">
        <v>864</v>
      </c>
      <c r="S156" s="379" t="s">
        <v>1621</v>
      </c>
      <c r="T156" s="717" t="s">
        <v>864</v>
      </c>
      <c r="U156" s="714"/>
      <c r="V156" s="718"/>
      <c r="W156" s="260" t="s">
        <v>864</v>
      </c>
      <c r="X156" s="260" t="s">
        <v>864</v>
      </c>
      <c r="Y156" s="232"/>
      <c r="Z156" s="719" t="s">
        <v>1515</v>
      </c>
      <c r="AA156" s="714"/>
      <c r="AB156" s="720"/>
      <c r="AC156" s="714"/>
      <c r="AD156" s="717"/>
      <c r="AE156" s="717">
        <v>1</v>
      </c>
    </row>
    <row r="157" spans="1:31" s="224" customFormat="1" ht="14.25" customHeight="1">
      <c r="A157" s="225">
        <v>152</v>
      </c>
      <c r="B157" s="217"/>
      <c r="C157" s="219"/>
      <c r="D157" s="241" t="s">
        <v>1516</v>
      </c>
      <c r="E157" s="241" t="s">
        <v>1623</v>
      </c>
      <c r="F157" s="241"/>
      <c r="G157" s="241"/>
      <c r="H157" s="714" t="s">
        <v>1517</v>
      </c>
      <c r="I157" s="715"/>
      <c r="J157" s="714"/>
      <c r="K157" s="715" t="s">
        <v>1518</v>
      </c>
      <c r="L157" s="714"/>
      <c r="M157" s="714"/>
      <c r="N157" s="714"/>
      <c r="O157" s="714"/>
      <c r="P157" s="716"/>
      <c r="Q157" s="714" t="s">
        <v>823</v>
      </c>
      <c r="R157" s="714" t="s">
        <v>864</v>
      </c>
      <c r="S157" s="379" t="s">
        <v>1621</v>
      </c>
      <c r="T157" s="268" t="s">
        <v>864</v>
      </c>
      <c r="U157" s="255"/>
      <c r="V157" s="718"/>
      <c r="W157" s="260" t="s">
        <v>864</v>
      </c>
      <c r="X157" s="260" t="s">
        <v>864</v>
      </c>
      <c r="Y157" s="232"/>
      <c r="Z157" s="719" t="s">
        <v>1515</v>
      </c>
      <c r="AA157" s="714"/>
      <c r="AB157" s="720"/>
      <c r="AC157" s="714"/>
      <c r="AD157" s="717"/>
      <c r="AE157" s="717">
        <v>1</v>
      </c>
    </row>
    <row r="158" spans="1:31" s="224" customFormat="1" ht="13.5" customHeight="1">
      <c r="A158" s="225">
        <v>153</v>
      </c>
      <c r="B158" s="217"/>
      <c r="C158" s="219" t="s">
        <v>1519</v>
      </c>
      <c r="D158" s="241" t="s">
        <v>1623</v>
      </c>
      <c r="E158" s="241"/>
      <c r="F158" s="241"/>
      <c r="G158" s="241"/>
      <c r="H158" s="714" t="s">
        <v>1520</v>
      </c>
      <c r="I158" s="715"/>
      <c r="J158" s="714"/>
      <c r="K158" s="715" t="s">
        <v>1521</v>
      </c>
      <c r="L158" s="714"/>
      <c r="M158" s="714"/>
      <c r="N158" s="714"/>
      <c r="O158" s="714"/>
      <c r="P158" s="716"/>
      <c r="Q158" s="714" t="s">
        <v>817</v>
      </c>
      <c r="R158" s="714" t="s">
        <v>864</v>
      </c>
      <c r="S158" s="379" t="s">
        <v>1621</v>
      </c>
      <c r="T158" s="268" t="s">
        <v>864</v>
      </c>
      <c r="U158" s="714"/>
      <c r="V158" s="718"/>
      <c r="W158" s="718"/>
      <c r="X158" s="718"/>
      <c r="Y158" s="232"/>
      <c r="Z158" s="719" t="s">
        <v>1515</v>
      </c>
      <c r="AA158" s="714"/>
      <c r="AB158" s="720"/>
      <c r="AC158" s="714"/>
      <c r="AD158" s="717"/>
      <c r="AE158" s="717">
        <v>1</v>
      </c>
    </row>
    <row r="159" spans="1:31" s="224" customFormat="1" ht="13.5" customHeight="1">
      <c r="A159" s="225">
        <v>154</v>
      </c>
      <c r="B159" s="217"/>
      <c r="C159" s="219" t="s">
        <v>1661</v>
      </c>
      <c r="D159" s="241"/>
      <c r="E159" s="241"/>
      <c r="F159" s="241"/>
      <c r="G159" s="241"/>
      <c r="H159" s="714" t="s">
        <v>1662</v>
      </c>
      <c r="I159" s="715"/>
      <c r="J159" s="714"/>
      <c r="K159" s="715" t="s">
        <v>939</v>
      </c>
      <c r="L159" s="714"/>
      <c r="M159" s="714"/>
      <c r="N159" s="714"/>
      <c r="O159" s="714"/>
      <c r="P159" s="716"/>
      <c r="Q159" s="723" t="s">
        <v>823</v>
      </c>
      <c r="R159" s="714"/>
      <c r="S159" s="714" t="s">
        <v>863</v>
      </c>
      <c r="T159" s="717"/>
      <c r="U159" s="714"/>
      <c r="V159" s="718" t="s">
        <v>864</v>
      </c>
      <c r="W159" s="718" t="s">
        <v>864</v>
      </c>
      <c r="X159" s="718" t="s">
        <v>864</v>
      </c>
      <c r="Y159" s="232"/>
      <c r="Z159" s="719"/>
      <c r="AA159" s="714"/>
      <c r="AB159" s="720"/>
      <c r="AC159" s="714"/>
      <c r="AD159" s="717"/>
      <c r="AE159" s="717">
        <v>1</v>
      </c>
    </row>
    <row r="160" spans="1:31" s="224" customFormat="1" ht="13.5" customHeight="1">
      <c r="A160" s="225">
        <v>155</v>
      </c>
      <c r="B160" s="219" t="s">
        <v>1663</v>
      </c>
      <c r="C160" s="241"/>
      <c r="D160" s="241"/>
      <c r="E160" s="241"/>
      <c r="F160" s="241"/>
      <c r="G160" s="241"/>
      <c r="H160" s="714" t="s">
        <v>1523</v>
      </c>
      <c r="I160" s="715"/>
      <c r="J160" s="714"/>
      <c r="K160" s="715" t="s">
        <v>1524</v>
      </c>
      <c r="L160" s="714"/>
      <c r="M160" s="714"/>
      <c r="N160" s="714"/>
      <c r="O160" s="714"/>
      <c r="P160" s="716"/>
      <c r="Q160" s="723" t="s">
        <v>823</v>
      </c>
      <c r="R160" s="714" t="s">
        <v>864</v>
      </c>
      <c r="S160" s="379" t="s">
        <v>1524</v>
      </c>
      <c r="T160" s="717"/>
      <c r="U160" s="714"/>
      <c r="V160" s="718"/>
      <c r="W160" s="260" t="s">
        <v>864</v>
      </c>
      <c r="X160" s="260" t="s">
        <v>864</v>
      </c>
      <c r="Y160" s="232"/>
      <c r="Z160" s="719" t="s">
        <v>1525</v>
      </c>
      <c r="AA160" s="714"/>
      <c r="AB160" s="720"/>
      <c r="AC160" s="714"/>
      <c r="AD160" s="717"/>
      <c r="AE160" s="717">
        <v>1</v>
      </c>
    </row>
    <row r="161" spans="1:31" s="224" customFormat="1" ht="13.5" customHeight="1">
      <c r="A161" s="225">
        <v>156</v>
      </c>
      <c r="B161" s="217"/>
      <c r="C161" s="217" t="s">
        <v>1404</v>
      </c>
      <c r="D161" s="241"/>
      <c r="E161" s="241"/>
      <c r="F161" s="241"/>
      <c r="G161" s="241"/>
      <c r="H161" s="714" t="s">
        <v>1526</v>
      </c>
      <c r="I161" s="715"/>
      <c r="J161" s="714"/>
      <c r="K161" s="715" t="s">
        <v>1218</v>
      </c>
      <c r="L161" s="714"/>
      <c r="M161" s="714"/>
      <c r="N161" s="714"/>
      <c r="O161" s="714"/>
      <c r="P161" s="716"/>
      <c r="Q161" s="714" t="s">
        <v>817</v>
      </c>
      <c r="R161" s="714"/>
      <c r="S161" s="714" t="s">
        <v>863</v>
      </c>
      <c r="T161" s="717"/>
      <c r="U161" s="714"/>
      <c r="V161" s="718"/>
      <c r="W161" s="260" t="s">
        <v>864</v>
      </c>
      <c r="X161" s="260" t="s">
        <v>864</v>
      </c>
      <c r="Y161" s="232"/>
      <c r="Z161" s="719"/>
      <c r="AA161" s="263"/>
      <c r="AB161" s="720"/>
      <c r="AC161" s="714"/>
      <c r="AD161" s="717"/>
      <c r="AE161" s="717">
        <v>1</v>
      </c>
    </row>
    <row r="162" spans="1:31" s="224" customFormat="1" ht="13.5" customHeight="1">
      <c r="A162" s="225">
        <v>157</v>
      </c>
      <c r="B162" s="219"/>
      <c r="C162" s="241" t="s">
        <v>1527</v>
      </c>
      <c r="D162" s="241"/>
      <c r="E162" s="241"/>
      <c r="F162" s="241"/>
      <c r="G162" s="241"/>
      <c r="H162" s="714" t="s">
        <v>1529</v>
      </c>
      <c r="I162" s="715"/>
      <c r="J162" s="714"/>
      <c r="K162" s="715" t="s">
        <v>1395</v>
      </c>
      <c r="L162" s="714"/>
      <c r="M162" s="714"/>
      <c r="N162" s="714"/>
      <c r="O162" s="714"/>
      <c r="P162" s="716"/>
      <c r="Q162" s="714" t="s">
        <v>817</v>
      </c>
      <c r="R162" s="714" t="s">
        <v>864</v>
      </c>
      <c r="S162" s="379" t="s">
        <v>1395</v>
      </c>
      <c r="T162" s="717"/>
      <c r="U162" s="714"/>
      <c r="V162" s="718"/>
      <c r="W162" s="260" t="s">
        <v>864</v>
      </c>
      <c r="X162" s="260" t="s">
        <v>864</v>
      </c>
      <c r="Y162" s="232"/>
      <c r="Z162" s="719"/>
      <c r="AA162" s="714"/>
      <c r="AB162" s="720"/>
      <c r="AC162" s="714"/>
      <c r="AD162" s="717"/>
      <c r="AE162" s="717">
        <v>1</v>
      </c>
    </row>
    <row r="163" spans="1:31" s="224" customFormat="1" ht="13.5" customHeight="1">
      <c r="A163" s="225">
        <v>158</v>
      </c>
      <c r="B163" s="216"/>
      <c r="C163" s="216"/>
      <c r="D163" s="241" t="s">
        <v>1304</v>
      </c>
      <c r="E163" s="241"/>
      <c r="F163" s="241"/>
      <c r="G163" s="241"/>
      <c r="H163" s="714" t="s">
        <v>1396</v>
      </c>
      <c r="I163" s="722"/>
      <c r="J163" s="714"/>
      <c r="K163" s="715" t="s">
        <v>1303</v>
      </c>
      <c r="L163" s="714"/>
      <c r="M163" s="714"/>
      <c r="N163" s="714"/>
      <c r="O163" s="714"/>
      <c r="P163" s="716"/>
      <c r="Q163" s="383" t="s">
        <v>817</v>
      </c>
      <c r="R163" s="714" t="s">
        <v>864</v>
      </c>
      <c r="S163" s="379" t="s">
        <v>1303</v>
      </c>
      <c r="T163" s="717"/>
      <c r="U163" s="717"/>
      <c r="V163" s="718"/>
      <c r="W163" s="260" t="s">
        <v>864</v>
      </c>
      <c r="X163" s="260" t="s">
        <v>864</v>
      </c>
      <c r="Y163" s="232"/>
      <c r="Z163" s="385" t="s">
        <v>1397</v>
      </c>
      <c r="AA163" s="714"/>
      <c r="AB163" s="720"/>
      <c r="AC163" s="714"/>
      <c r="AD163" s="717"/>
      <c r="AE163" s="717">
        <v>1</v>
      </c>
    </row>
    <row r="164" spans="1:31" s="224" customFormat="1" ht="13.5" customHeight="1">
      <c r="A164" s="225">
        <v>159</v>
      </c>
      <c r="B164" s="216"/>
      <c r="C164" s="216"/>
      <c r="D164" s="241" t="s">
        <v>831</v>
      </c>
      <c r="E164" s="241"/>
      <c r="F164" s="241"/>
      <c r="G164" s="241"/>
      <c r="H164" s="714" t="s">
        <v>1398</v>
      </c>
      <c r="I164" s="722"/>
      <c r="J164" s="714"/>
      <c r="K164" s="715" t="s">
        <v>1218</v>
      </c>
      <c r="L164" s="714"/>
      <c r="M164" s="714"/>
      <c r="N164" s="714"/>
      <c r="O164" s="714"/>
      <c r="P164" s="716"/>
      <c r="Q164" s="714" t="s">
        <v>817</v>
      </c>
      <c r="R164" s="714"/>
      <c r="S164" s="714" t="s">
        <v>863</v>
      </c>
      <c r="T164" s="717"/>
      <c r="U164" s="727"/>
      <c r="V164" s="718"/>
      <c r="W164" s="260" t="s">
        <v>864</v>
      </c>
      <c r="X164" s="260" t="s">
        <v>864</v>
      </c>
      <c r="Y164" s="232"/>
      <c r="Z164" s="719"/>
      <c r="AA164" s="714"/>
      <c r="AB164" s="720"/>
      <c r="AC164" s="714"/>
      <c r="AD164" s="717"/>
      <c r="AE164" s="717">
        <v>1</v>
      </c>
    </row>
    <row r="165" spans="1:31" s="224" customFormat="1" ht="13.5" customHeight="1">
      <c r="A165" s="225">
        <v>160</v>
      </c>
      <c r="B165" s="217"/>
      <c r="C165" s="217"/>
      <c r="D165" s="241" t="s">
        <v>1399</v>
      </c>
      <c r="E165" s="241"/>
      <c r="F165" s="241"/>
      <c r="G165" s="241"/>
      <c r="H165" s="714" t="s">
        <v>1400</v>
      </c>
      <c r="I165" s="722" t="s">
        <v>1401</v>
      </c>
      <c r="J165" s="714"/>
      <c r="K165" s="715" t="s">
        <v>1352</v>
      </c>
      <c r="L165" s="714"/>
      <c r="M165" s="714"/>
      <c r="N165" s="714"/>
      <c r="O165" s="714"/>
      <c r="P165" s="716"/>
      <c r="Q165" s="714" t="s">
        <v>820</v>
      </c>
      <c r="R165" s="714"/>
      <c r="S165" s="714" t="s">
        <v>863</v>
      </c>
      <c r="T165" s="717"/>
      <c r="U165" s="717"/>
      <c r="V165" s="718"/>
      <c r="W165" s="260" t="s">
        <v>864</v>
      </c>
      <c r="X165" s="260" t="s">
        <v>864</v>
      </c>
      <c r="Y165" s="232"/>
      <c r="Z165" s="719"/>
      <c r="AA165" s="714"/>
      <c r="AB165" s="720"/>
      <c r="AC165" s="714"/>
      <c r="AD165" s="717"/>
      <c r="AE165" s="717">
        <v>1</v>
      </c>
    </row>
    <row r="166" spans="1:31" s="224" customFormat="1" ht="13.5" customHeight="1">
      <c r="A166" s="225">
        <v>161</v>
      </c>
      <c r="B166" s="219"/>
      <c r="C166" s="239" t="s">
        <v>1530</v>
      </c>
      <c r="D166" s="241"/>
      <c r="E166" s="241"/>
      <c r="F166" s="241"/>
      <c r="G166" s="241"/>
      <c r="H166" s="714" t="s">
        <v>1531</v>
      </c>
      <c r="I166" s="715" t="s">
        <v>930</v>
      </c>
      <c r="J166" s="714"/>
      <c r="K166" s="715" t="s">
        <v>931</v>
      </c>
      <c r="L166" s="714"/>
      <c r="M166" s="714"/>
      <c r="N166" s="714"/>
      <c r="O166" s="714"/>
      <c r="P166" s="716"/>
      <c r="Q166" s="714" t="s">
        <v>820</v>
      </c>
      <c r="R166" s="714"/>
      <c r="S166" s="714" t="s">
        <v>879</v>
      </c>
      <c r="T166" s="717"/>
      <c r="U166" s="714"/>
      <c r="V166" s="718"/>
      <c r="W166" s="718" t="s">
        <v>864</v>
      </c>
      <c r="X166" s="718" t="s">
        <v>864</v>
      </c>
      <c r="Y166" s="232"/>
      <c r="Z166" s="719"/>
      <c r="AA166" s="714"/>
      <c r="AB166" s="720"/>
      <c r="AC166" s="714"/>
      <c r="AD166" s="717"/>
      <c r="AE166" s="717">
        <v>1</v>
      </c>
    </row>
    <row r="167" spans="1:31" s="224" customFormat="1" ht="13.5" customHeight="1">
      <c r="A167" s="225">
        <v>162</v>
      </c>
      <c r="B167" s="219"/>
      <c r="C167" s="241" t="s">
        <v>1532</v>
      </c>
      <c r="D167" s="241"/>
      <c r="E167" s="241"/>
      <c r="F167" s="241"/>
      <c r="G167" s="241"/>
      <c r="H167" s="714" t="s">
        <v>1533</v>
      </c>
      <c r="I167" s="715"/>
      <c r="J167" s="714"/>
      <c r="K167" s="715" t="s">
        <v>939</v>
      </c>
      <c r="L167" s="714"/>
      <c r="M167" s="714"/>
      <c r="N167" s="714"/>
      <c r="O167" s="714"/>
      <c r="P167" s="716"/>
      <c r="Q167" s="714" t="s">
        <v>820</v>
      </c>
      <c r="R167" s="714"/>
      <c r="S167" s="714" t="s">
        <v>863</v>
      </c>
      <c r="T167" s="717"/>
      <c r="U167" s="714"/>
      <c r="V167" s="718"/>
      <c r="W167" s="260" t="s">
        <v>864</v>
      </c>
      <c r="X167" s="260" t="s">
        <v>864</v>
      </c>
      <c r="Y167" s="232"/>
      <c r="Z167" s="719"/>
      <c r="AA167" s="714"/>
      <c r="AB167" s="720"/>
      <c r="AC167" s="714"/>
      <c r="AD167" s="717"/>
      <c r="AE167" s="717">
        <v>1</v>
      </c>
    </row>
    <row r="168" spans="1:31" s="224" customFormat="1" ht="13.5" customHeight="1">
      <c r="A168" s="225">
        <v>163</v>
      </c>
      <c r="B168" s="219"/>
      <c r="C168" s="241" t="s">
        <v>1534</v>
      </c>
      <c r="D168" s="241"/>
      <c r="E168" s="241"/>
      <c r="F168" s="241"/>
      <c r="G168" s="241"/>
      <c r="H168" s="714" t="s">
        <v>1535</v>
      </c>
      <c r="I168" s="715"/>
      <c r="J168" s="714"/>
      <c r="K168" s="715" t="s">
        <v>1536</v>
      </c>
      <c r="L168" s="714"/>
      <c r="M168" s="714"/>
      <c r="N168" s="714"/>
      <c r="O168" s="714"/>
      <c r="P168" s="716"/>
      <c r="Q168" s="714" t="s">
        <v>817</v>
      </c>
      <c r="R168" s="714"/>
      <c r="S168" s="714" t="s">
        <v>863</v>
      </c>
      <c r="T168" s="717"/>
      <c r="U168" s="714"/>
      <c r="V168" s="718"/>
      <c r="W168" s="260" t="s">
        <v>864</v>
      </c>
      <c r="X168" s="260" t="s">
        <v>864</v>
      </c>
      <c r="Y168" s="232"/>
      <c r="Z168" s="719"/>
      <c r="AA168" s="714"/>
      <c r="AB168" s="720"/>
      <c r="AC168" s="714"/>
      <c r="AD168" s="717"/>
      <c r="AE168" s="717">
        <v>1</v>
      </c>
    </row>
    <row r="169" spans="1:31" s="224" customFormat="1" ht="13.5" customHeight="1">
      <c r="A169" s="225">
        <v>164</v>
      </c>
      <c r="B169" s="219"/>
      <c r="C169" s="241" t="s">
        <v>1537</v>
      </c>
      <c r="D169" s="241"/>
      <c r="E169" s="241"/>
      <c r="F169" s="241"/>
      <c r="G169" s="241"/>
      <c r="H169" s="714" t="s">
        <v>1538</v>
      </c>
      <c r="I169" s="715"/>
      <c r="J169" s="714"/>
      <c r="K169" s="715" t="s">
        <v>1539</v>
      </c>
      <c r="L169" s="714"/>
      <c r="M169" s="714"/>
      <c r="N169" s="714"/>
      <c r="O169" s="714"/>
      <c r="P169" s="716"/>
      <c r="Q169" s="714" t="s">
        <v>817</v>
      </c>
      <c r="R169" s="714"/>
      <c r="S169" s="714" t="s">
        <v>863</v>
      </c>
      <c r="T169" s="717"/>
      <c r="U169" s="714"/>
      <c r="V169" s="718"/>
      <c r="W169" s="260" t="s">
        <v>864</v>
      </c>
      <c r="X169" s="260" t="s">
        <v>864</v>
      </c>
      <c r="Y169" s="232"/>
      <c r="Z169" s="719"/>
      <c r="AA169" s="714"/>
      <c r="AB169" s="720"/>
      <c r="AC169" s="714"/>
      <c r="AD169" s="717"/>
      <c r="AE169" s="717">
        <v>1</v>
      </c>
    </row>
    <row r="170" spans="1:31" s="224" customFormat="1" ht="13.5" customHeight="1">
      <c r="A170" s="225">
        <v>165</v>
      </c>
      <c r="B170" s="219"/>
      <c r="C170" s="241" t="s">
        <v>1540</v>
      </c>
      <c r="D170" s="241"/>
      <c r="E170" s="241"/>
      <c r="F170" s="241"/>
      <c r="G170" s="241"/>
      <c r="H170" s="714" t="s">
        <v>1541</v>
      </c>
      <c r="I170" s="715"/>
      <c r="J170" s="714"/>
      <c r="K170" s="715" t="s">
        <v>1542</v>
      </c>
      <c r="L170" s="714"/>
      <c r="M170" s="714"/>
      <c r="N170" s="714"/>
      <c r="O170" s="714"/>
      <c r="P170" s="716"/>
      <c r="Q170" s="714" t="s">
        <v>817</v>
      </c>
      <c r="R170" s="714"/>
      <c r="S170" s="714" t="s">
        <v>863</v>
      </c>
      <c r="T170" s="717"/>
      <c r="U170" s="714"/>
      <c r="V170" s="718"/>
      <c r="W170" s="260" t="s">
        <v>864</v>
      </c>
      <c r="X170" s="260" t="s">
        <v>864</v>
      </c>
      <c r="Y170" s="232"/>
      <c r="Z170" s="719"/>
      <c r="AA170" s="714"/>
      <c r="AB170" s="720"/>
      <c r="AC170" s="714"/>
      <c r="AD170" s="717"/>
      <c r="AE170" s="717">
        <v>1</v>
      </c>
    </row>
    <row r="171" spans="1:31" s="224" customFormat="1" ht="13.5" customHeight="1">
      <c r="A171" s="225">
        <v>166</v>
      </c>
      <c r="B171" s="217" t="s">
        <v>1543</v>
      </c>
      <c r="C171" s="219"/>
      <c r="D171" s="241"/>
      <c r="E171" s="241"/>
      <c r="F171" s="241"/>
      <c r="G171" s="241"/>
      <c r="H171" s="269" t="s">
        <v>1544</v>
      </c>
      <c r="I171" s="715"/>
      <c r="J171" s="714"/>
      <c r="K171" s="715" t="s">
        <v>1545</v>
      </c>
      <c r="L171" s="714"/>
      <c r="M171" s="714"/>
      <c r="N171" s="714"/>
      <c r="O171" s="714"/>
      <c r="P171" s="716"/>
      <c r="Q171" s="714" t="s">
        <v>823</v>
      </c>
      <c r="R171" s="714" t="s">
        <v>864</v>
      </c>
      <c r="S171" s="243" t="s">
        <v>1545</v>
      </c>
      <c r="T171" s="717"/>
      <c r="U171" s="714"/>
      <c r="V171" s="718" t="s">
        <v>864</v>
      </c>
      <c r="W171" s="260" t="s">
        <v>864</v>
      </c>
      <c r="X171" s="260" t="s">
        <v>864</v>
      </c>
      <c r="Y171" s="232"/>
      <c r="Z171" s="266" t="s">
        <v>1546</v>
      </c>
      <c r="AA171" s="263" t="s">
        <v>1547</v>
      </c>
      <c r="AB171" s="720"/>
      <c r="AC171" s="714"/>
      <c r="AD171" s="717"/>
      <c r="AE171" s="717">
        <v>1</v>
      </c>
    </row>
    <row r="172" spans="1:31" s="224" customFormat="1" ht="13.5" customHeight="1">
      <c r="A172" s="225">
        <v>167</v>
      </c>
      <c r="B172" s="217"/>
      <c r="C172" s="217" t="s">
        <v>1404</v>
      </c>
      <c r="D172" s="241"/>
      <c r="E172" s="241"/>
      <c r="F172" s="241"/>
      <c r="G172" s="241"/>
      <c r="H172" s="714" t="s">
        <v>1664</v>
      </c>
      <c r="I172" s="715"/>
      <c r="J172" s="714"/>
      <c r="K172" s="715" t="s">
        <v>1218</v>
      </c>
      <c r="L172" s="714"/>
      <c r="M172" s="714"/>
      <c r="N172" s="714"/>
      <c r="O172" s="714"/>
      <c r="P172" s="716"/>
      <c r="Q172" s="714" t="s">
        <v>817</v>
      </c>
      <c r="R172" s="714"/>
      <c r="S172" s="714" t="s">
        <v>863</v>
      </c>
      <c r="T172" s="717"/>
      <c r="U172" s="714"/>
      <c r="V172" s="718" t="s">
        <v>864</v>
      </c>
      <c r="W172" s="260" t="s">
        <v>864</v>
      </c>
      <c r="X172" s="260" t="s">
        <v>864</v>
      </c>
      <c r="Y172" s="232"/>
      <c r="Z172" s="719"/>
      <c r="AA172" s="263"/>
      <c r="AB172" s="720"/>
      <c r="AC172" s="714"/>
      <c r="AD172" s="717"/>
      <c r="AE172" s="717">
        <v>1</v>
      </c>
    </row>
    <row r="173" spans="1:31" s="158" customFormat="1" ht="12.75" customHeight="1">
      <c r="A173" s="225">
        <v>168</v>
      </c>
      <c r="B173" s="217"/>
      <c r="C173" s="241" t="s">
        <v>1548</v>
      </c>
      <c r="D173" s="241"/>
      <c r="E173" s="241"/>
      <c r="F173" s="241"/>
      <c r="G173" s="241"/>
      <c r="H173" s="714" t="s">
        <v>1549</v>
      </c>
      <c r="I173" s="715" t="s">
        <v>930</v>
      </c>
      <c r="J173" s="714"/>
      <c r="K173" s="715" t="s">
        <v>931</v>
      </c>
      <c r="L173" s="714"/>
      <c r="M173" s="714"/>
      <c r="N173" s="714"/>
      <c r="O173" s="714"/>
      <c r="P173" s="716"/>
      <c r="Q173" s="714" t="s">
        <v>820</v>
      </c>
      <c r="R173" s="714"/>
      <c r="S173" s="714" t="s">
        <v>879</v>
      </c>
      <c r="T173" s="717"/>
      <c r="U173" s="714"/>
      <c r="V173" s="718" t="s">
        <v>864</v>
      </c>
      <c r="W173" s="718" t="s">
        <v>864</v>
      </c>
      <c r="X173" s="718" t="s">
        <v>864</v>
      </c>
      <c r="Y173" s="232"/>
      <c r="Z173" s="719"/>
      <c r="AA173" s="263"/>
      <c r="AB173" s="720"/>
      <c r="AC173" s="714"/>
      <c r="AD173" s="717"/>
      <c r="AE173" s="717">
        <v>1</v>
      </c>
    </row>
    <row r="174" spans="1:31" s="158" customFormat="1" ht="12.75" customHeight="1">
      <c r="A174" s="225">
        <v>169</v>
      </c>
      <c r="B174" s="217"/>
      <c r="C174" s="241" t="s">
        <v>1550</v>
      </c>
      <c r="D174" s="241"/>
      <c r="E174" s="241"/>
      <c r="F174" s="241"/>
      <c r="G174" s="241"/>
      <c r="H174" s="728" t="s">
        <v>1551</v>
      </c>
      <c r="I174" s="715" t="s">
        <v>1552</v>
      </c>
      <c r="J174" s="714"/>
      <c r="K174" s="715" t="s">
        <v>970</v>
      </c>
      <c r="L174" s="714"/>
      <c r="M174" s="714"/>
      <c r="N174" s="714"/>
      <c r="O174" s="714"/>
      <c r="P174" s="716"/>
      <c r="Q174" s="714" t="s">
        <v>820</v>
      </c>
      <c r="R174" s="714"/>
      <c r="S174" s="714" t="s">
        <v>863</v>
      </c>
      <c r="T174" s="717" t="s">
        <v>864</v>
      </c>
      <c r="U174" s="715" t="s">
        <v>1665</v>
      </c>
      <c r="V174" s="718" t="s">
        <v>864</v>
      </c>
      <c r="W174" s="260" t="s">
        <v>864</v>
      </c>
      <c r="X174" s="260" t="s">
        <v>864</v>
      </c>
      <c r="Y174" s="232"/>
      <c r="Z174" s="387" t="s">
        <v>1553</v>
      </c>
      <c r="AA174" s="390" t="s">
        <v>1554</v>
      </c>
      <c r="AB174" s="720" t="s">
        <v>1555</v>
      </c>
      <c r="AC174" s="714"/>
      <c r="AD174" s="717"/>
      <c r="AE174" s="717">
        <v>1</v>
      </c>
    </row>
    <row r="175" spans="1:31" s="158" customFormat="1" ht="12.75" customHeight="1">
      <c r="A175" s="225">
        <v>170</v>
      </c>
      <c r="B175" s="217"/>
      <c r="C175" s="241" t="s">
        <v>1666</v>
      </c>
      <c r="D175" s="241"/>
      <c r="E175" s="241"/>
      <c r="F175" s="241"/>
      <c r="G175" s="241"/>
      <c r="H175" s="728" t="s">
        <v>1667</v>
      </c>
      <c r="I175" s="715"/>
      <c r="J175" s="714"/>
      <c r="K175" s="715" t="s">
        <v>1668</v>
      </c>
      <c r="L175" s="714"/>
      <c r="M175" s="714"/>
      <c r="N175" s="714"/>
      <c r="O175" s="714"/>
      <c r="P175" s="716"/>
      <c r="Q175" s="714" t="s">
        <v>817</v>
      </c>
      <c r="R175" s="714" t="s">
        <v>864</v>
      </c>
      <c r="S175" s="379" t="s">
        <v>1668</v>
      </c>
      <c r="T175" s="717"/>
      <c r="U175" s="714"/>
      <c r="V175" s="718"/>
      <c r="W175" s="718" t="s">
        <v>864</v>
      </c>
      <c r="X175" s="260" t="s">
        <v>864</v>
      </c>
      <c r="Y175" s="232"/>
      <c r="Z175" s="719"/>
      <c r="AA175" s="714"/>
      <c r="AB175" s="720"/>
      <c r="AC175" s="714"/>
      <c r="AD175" s="717"/>
      <c r="AE175" s="717">
        <v>1</v>
      </c>
    </row>
    <row r="176" spans="1:31" s="158" customFormat="1" ht="12.75" customHeight="1">
      <c r="A176" s="225">
        <v>171</v>
      </c>
      <c r="B176" s="217"/>
      <c r="C176" s="241"/>
      <c r="D176" s="241" t="s">
        <v>1669</v>
      </c>
      <c r="E176" s="241"/>
      <c r="F176" s="241"/>
      <c r="G176" s="241"/>
      <c r="H176" s="728" t="s">
        <v>1670</v>
      </c>
      <c r="I176" s="715" t="s">
        <v>1671</v>
      </c>
      <c r="J176" s="714"/>
      <c r="K176" s="715" t="s">
        <v>1672</v>
      </c>
      <c r="L176" s="714"/>
      <c r="M176" s="714"/>
      <c r="N176" s="714"/>
      <c r="O176" s="714"/>
      <c r="P176" s="716"/>
      <c r="Q176" s="714" t="s">
        <v>820</v>
      </c>
      <c r="R176" s="714"/>
      <c r="S176" s="714" t="s">
        <v>863</v>
      </c>
      <c r="T176" s="717" t="s">
        <v>864</v>
      </c>
      <c r="U176" s="714" t="s">
        <v>1673</v>
      </c>
      <c r="V176" s="718"/>
      <c r="W176" s="718" t="s">
        <v>864</v>
      </c>
      <c r="X176" s="260" t="s">
        <v>864</v>
      </c>
      <c r="Y176" s="232"/>
      <c r="Z176" s="719"/>
      <c r="AA176" s="714"/>
      <c r="AB176" s="720"/>
      <c r="AC176" s="714"/>
      <c r="AD176" s="717"/>
      <c r="AE176" s="717">
        <v>1</v>
      </c>
    </row>
    <row r="177" spans="1:31" s="158" customFormat="1" ht="12.75" customHeight="1">
      <c r="A177" s="225">
        <v>172</v>
      </c>
      <c r="B177" s="217"/>
      <c r="C177" s="241"/>
      <c r="D177" s="241" t="s">
        <v>1674</v>
      </c>
      <c r="E177" s="241"/>
      <c r="F177" s="241"/>
      <c r="G177" s="241"/>
      <c r="H177" s="728" t="s">
        <v>1675</v>
      </c>
      <c r="I177" s="715" t="s">
        <v>1676</v>
      </c>
      <c r="J177" s="714"/>
      <c r="K177" s="715" t="s">
        <v>1677</v>
      </c>
      <c r="L177" s="714"/>
      <c r="M177" s="714"/>
      <c r="N177" s="714"/>
      <c r="O177" s="714"/>
      <c r="P177" s="716"/>
      <c r="Q177" s="714" t="s">
        <v>817</v>
      </c>
      <c r="R177" s="714"/>
      <c r="S177" s="714" t="s">
        <v>863</v>
      </c>
      <c r="T177" s="717" t="s">
        <v>864</v>
      </c>
      <c r="U177" s="714" t="s">
        <v>1678</v>
      </c>
      <c r="V177" s="718"/>
      <c r="W177" s="718" t="s">
        <v>864</v>
      </c>
      <c r="X177" s="260" t="s">
        <v>864</v>
      </c>
      <c r="Y177" s="232"/>
      <c r="Z177" s="719"/>
      <c r="AA177" s="714"/>
      <c r="AB177" s="720"/>
      <c r="AC177" s="714"/>
      <c r="AD177" s="717"/>
      <c r="AE177" s="717">
        <v>1</v>
      </c>
    </row>
    <row r="178" spans="1:31" s="158" customFormat="1" ht="12.75" customHeight="1">
      <c r="A178" s="225">
        <v>173</v>
      </c>
      <c r="B178" s="217"/>
      <c r="C178" s="241"/>
      <c r="D178" s="241" t="s">
        <v>1679</v>
      </c>
      <c r="E178" s="241"/>
      <c r="F178" s="241"/>
      <c r="G178" s="241"/>
      <c r="H178" s="728"/>
      <c r="I178" s="715"/>
      <c r="J178" s="714"/>
      <c r="K178" s="715" t="s">
        <v>1680</v>
      </c>
      <c r="L178" s="714"/>
      <c r="M178" s="714"/>
      <c r="N178" s="714"/>
      <c r="O178" s="714"/>
      <c r="P178" s="716"/>
      <c r="Q178" s="714" t="s">
        <v>817</v>
      </c>
      <c r="R178" s="714"/>
      <c r="S178" s="714" t="s">
        <v>863</v>
      </c>
      <c r="T178" s="717"/>
      <c r="U178" s="714"/>
      <c r="V178" s="718"/>
      <c r="W178" s="718" t="s">
        <v>864</v>
      </c>
      <c r="X178" s="260" t="s">
        <v>864</v>
      </c>
      <c r="Y178" s="232"/>
      <c r="Z178" s="719"/>
      <c r="AA178" s="714"/>
      <c r="AB178" s="720"/>
      <c r="AC178" s="714"/>
      <c r="AD178" s="717"/>
      <c r="AE178" s="717">
        <v>1</v>
      </c>
    </row>
    <row r="179" spans="1:31" s="158" customFormat="1" ht="12.75" customHeight="1">
      <c r="A179" s="225">
        <v>174</v>
      </c>
      <c r="B179" s="217"/>
      <c r="C179" s="241"/>
      <c r="D179" s="241" t="s">
        <v>1572</v>
      </c>
      <c r="E179" s="241"/>
      <c r="F179" s="241"/>
      <c r="G179" s="241"/>
      <c r="H179" s="269" t="s">
        <v>1573</v>
      </c>
      <c r="I179" s="264" t="s">
        <v>1574</v>
      </c>
      <c r="J179" s="714"/>
      <c r="K179" s="715" t="s">
        <v>1681</v>
      </c>
      <c r="L179" s="714"/>
      <c r="M179" s="714"/>
      <c r="N179" s="714"/>
      <c r="O179" s="714"/>
      <c r="P179" s="716"/>
      <c r="Q179" s="714" t="s">
        <v>820</v>
      </c>
      <c r="R179" s="714"/>
      <c r="S179" s="714" t="s">
        <v>863</v>
      </c>
      <c r="T179" s="717"/>
      <c r="U179" s="714" t="s">
        <v>1682</v>
      </c>
      <c r="V179" s="718"/>
      <c r="W179" s="718" t="s">
        <v>864</v>
      </c>
      <c r="X179" s="260" t="s">
        <v>864</v>
      </c>
      <c r="Y179" s="232"/>
      <c r="Z179" s="719"/>
      <c r="AA179" s="714"/>
      <c r="AB179" s="720"/>
      <c r="AC179" s="714"/>
      <c r="AD179" s="717"/>
      <c r="AE179" s="717">
        <v>1</v>
      </c>
    </row>
    <row r="180" spans="1:31" s="158" customFormat="1" ht="12.75" customHeight="1">
      <c r="A180" s="225">
        <v>175</v>
      </c>
      <c r="B180" s="217"/>
      <c r="C180" s="241" t="s">
        <v>1683</v>
      </c>
      <c r="D180" s="241"/>
      <c r="E180" s="241"/>
      <c r="F180" s="241"/>
      <c r="G180" s="241"/>
      <c r="H180" s="728"/>
      <c r="I180" s="715"/>
      <c r="J180" s="714"/>
      <c r="K180" s="715" t="s">
        <v>1684</v>
      </c>
      <c r="L180" s="714"/>
      <c r="M180" s="714"/>
      <c r="N180" s="714"/>
      <c r="O180" s="714"/>
      <c r="P180" s="716"/>
      <c r="Q180" s="714" t="s">
        <v>817</v>
      </c>
      <c r="R180" s="714" t="s">
        <v>864</v>
      </c>
      <c r="S180" s="379" t="s">
        <v>1684</v>
      </c>
      <c r="T180" s="717"/>
      <c r="U180" s="714"/>
      <c r="V180" s="718" t="s">
        <v>864</v>
      </c>
      <c r="W180" s="718" t="s">
        <v>864</v>
      </c>
      <c r="X180" s="260" t="s">
        <v>864</v>
      </c>
      <c r="Y180" s="232"/>
      <c r="Z180" s="719"/>
      <c r="AA180" s="714"/>
      <c r="AB180" s="720"/>
      <c r="AC180" s="714"/>
      <c r="AD180" s="717"/>
      <c r="AE180" s="717">
        <v>1</v>
      </c>
    </row>
    <row r="181" spans="1:31" s="158" customFormat="1" ht="12.75" customHeight="1">
      <c r="A181" s="225">
        <v>176</v>
      </c>
      <c r="B181" s="217"/>
      <c r="C181" s="241"/>
      <c r="D181" s="241" t="s">
        <v>1685</v>
      </c>
      <c r="E181" s="241"/>
      <c r="F181" s="241"/>
      <c r="G181" s="241"/>
      <c r="H181" s="266" t="s">
        <v>1557</v>
      </c>
      <c r="I181" s="264" t="s">
        <v>1558</v>
      </c>
      <c r="J181" s="263"/>
      <c r="K181" s="715" t="s">
        <v>1559</v>
      </c>
      <c r="L181" s="714"/>
      <c r="M181" s="714"/>
      <c r="N181" s="714"/>
      <c r="O181" s="714"/>
      <c r="P181" s="716"/>
      <c r="Q181" s="714" t="s">
        <v>820</v>
      </c>
      <c r="R181" s="714"/>
      <c r="S181" s="714" t="s">
        <v>863</v>
      </c>
      <c r="T181" s="717" t="s">
        <v>864</v>
      </c>
      <c r="U181" s="374"/>
      <c r="V181" s="265" t="s">
        <v>864</v>
      </c>
      <c r="W181" s="260" t="s">
        <v>864</v>
      </c>
      <c r="X181" s="260" t="s">
        <v>864</v>
      </c>
      <c r="Y181" s="232"/>
      <c r="Z181" s="388" t="s">
        <v>1560</v>
      </c>
      <c r="AA181" s="390" t="s">
        <v>1554</v>
      </c>
      <c r="AB181" s="267" t="s">
        <v>1561</v>
      </c>
      <c r="AC181" s="263"/>
      <c r="AD181" s="717"/>
      <c r="AE181" s="717">
        <v>1</v>
      </c>
    </row>
    <row r="182" spans="1:31" s="520" customFormat="1" ht="12.75" customHeight="1">
      <c r="A182" s="225">
        <v>177</v>
      </c>
      <c r="B182" s="217"/>
      <c r="C182" s="218"/>
      <c r="D182" s="218" t="s">
        <v>1686</v>
      </c>
      <c r="E182" s="241"/>
      <c r="F182" s="241"/>
      <c r="G182" s="241"/>
      <c r="H182" s="728" t="s">
        <v>1687</v>
      </c>
      <c r="I182" s="715"/>
      <c r="J182" s="714"/>
      <c r="K182" s="715" t="s">
        <v>1688</v>
      </c>
      <c r="L182" s="714"/>
      <c r="M182" s="714"/>
      <c r="N182" s="714"/>
      <c r="O182" s="714"/>
      <c r="P182" s="716"/>
      <c r="Q182" s="255" t="s">
        <v>817</v>
      </c>
      <c r="R182" s="255"/>
      <c r="S182" s="255" t="s">
        <v>863</v>
      </c>
      <c r="T182" s="717"/>
      <c r="U182" s="714"/>
      <c r="V182" s="718" t="s">
        <v>864</v>
      </c>
      <c r="W182" s="718" t="s">
        <v>864</v>
      </c>
      <c r="X182" s="517"/>
      <c r="Y182" s="232"/>
      <c r="Z182" s="729"/>
      <c r="AA182" s="714"/>
      <c r="AB182" s="720"/>
      <c r="AC182" s="714"/>
      <c r="AD182" s="717"/>
      <c r="AE182" s="717">
        <v>1</v>
      </c>
    </row>
    <row r="183" spans="1:31" s="249" customFormat="1" ht="12.75" customHeight="1">
      <c r="A183" s="225">
        <v>178</v>
      </c>
      <c r="B183" s="218"/>
      <c r="C183" s="218"/>
      <c r="D183" s="218" t="s">
        <v>1568</v>
      </c>
      <c r="E183" s="218"/>
      <c r="F183" s="218"/>
      <c r="G183" s="218"/>
      <c r="H183" s="502" t="s">
        <v>1689</v>
      </c>
      <c r="I183" s="500"/>
      <c r="J183" s="255"/>
      <c r="K183" s="500" t="s">
        <v>1570</v>
      </c>
      <c r="L183" s="255"/>
      <c r="M183" s="255"/>
      <c r="N183" s="255"/>
      <c r="O183" s="255"/>
      <c r="P183" s="377"/>
      <c r="Q183" s="255" t="s">
        <v>817</v>
      </c>
      <c r="R183" s="255"/>
      <c r="S183" s="255" t="s">
        <v>863</v>
      </c>
      <c r="T183" s="374"/>
      <c r="U183" s="255"/>
      <c r="V183" s="375" t="s">
        <v>864</v>
      </c>
      <c r="W183" s="375" t="s">
        <v>864</v>
      </c>
      <c r="X183" s="375" t="s">
        <v>864</v>
      </c>
      <c r="Y183" s="503"/>
      <c r="Z183" s="504" t="s">
        <v>1571</v>
      </c>
      <c r="AA183" s="255"/>
      <c r="AB183" s="245"/>
      <c r="AC183" s="255"/>
      <c r="AD183" s="374"/>
      <c r="AE183" s="374">
        <v>1</v>
      </c>
    </row>
    <row r="184" spans="1:31" s="158" customFormat="1" ht="12.75" customHeight="1">
      <c r="A184" s="225">
        <v>179</v>
      </c>
      <c r="B184" s="217"/>
      <c r="C184" s="241"/>
      <c r="D184" s="241" t="s">
        <v>1572</v>
      </c>
      <c r="E184" s="241"/>
      <c r="F184" s="241"/>
      <c r="G184" s="241"/>
      <c r="H184" s="269" t="s">
        <v>1573</v>
      </c>
      <c r="I184" s="264" t="s">
        <v>1574</v>
      </c>
      <c r="J184" s="263"/>
      <c r="K184" s="715" t="s">
        <v>1575</v>
      </c>
      <c r="L184" s="714"/>
      <c r="M184" s="714"/>
      <c r="N184" s="714"/>
      <c r="O184" s="714"/>
      <c r="P184" s="716"/>
      <c r="Q184" s="714" t="s">
        <v>820</v>
      </c>
      <c r="R184" s="714"/>
      <c r="S184" s="714" t="s">
        <v>863</v>
      </c>
      <c r="T184" s="268"/>
      <c r="U184" s="714" t="s">
        <v>1682</v>
      </c>
      <c r="V184" s="265" t="s">
        <v>864</v>
      </c>
      <c r="W184" s="260" t="s">
        <v>864</v>
      </c>
      <c r="X184" s="260" t="s">
        <v>864</v>
      </c>
      <c r="Y184" s="232"/>
      <c r="Z184" s="389" t="s">
        <v>1576</v>
      </c>
      <c r="AA184" s="390" t="s">
        <v>1554</v>
      </c>
      <c r="AB184" s="267"/>
      <c r="AC184" s="263"/>
      <c r="AD184" s="717"/>
      <c r="AE184" s="717">
        <v>1</v>
      </c>
    </row>
    <row r="185" spans="1:31" s="158" customFormat="1" ht="12.75" customHeight="1">
      <c r="A185" s="225">
        <v>180</v>
      </c>
      <c r="B185" s="217"/>
      <c r="C185" s="241"/>
      <c r="D185" s="241" t="s">
        <v>1577</v>
      </c>
      <c r="E185" s="241"/>
      <c r="F185" s="241"/>
      <c r="G185" s="241"/>
      <c r="H185" s="269"/>
      <c r="I185" s="264"/>
      <c r="J185" s="263"/>
      <c r="K185" s="715" t="s">
        <v>1578</v>
      </c>
      <c r="L185" s="714"/>
      <c r="M185" s="714"/>
      <c r="N185" s="714"/>
      <c r="O185" s="714"/>
      <c r="P185" s="716"/>
      <c r="Q185" s="723" t="s">
        <v>817</v>
      </c>
      <c r="R185" s="714" t="s">
        <v>864</v>
      </c>
      <c r="S185" s="379" t="s">
        <v>1578</v>
      </c>
      <c r="T185" s="268"/>
      <c r="U185" s="263"/>
      <c r="V185" s="265" t="s">
        <v>864</v>
      </c>
      <c r="W185" s="260" t="s">
        <v>864</v>
      </c>
      <c r="X185" s="260" t="s">
        <v>864</v>
      </c>
      <c r="Y185" s="232"/>
      <c r="Z185" s="266" t="s">
        <v>1579</v>
      </c>
      <c r="AA185" s="263"/>
      <c r="AB185" s="261"/>
      <c r="AC185" s="263"/>
      <c r="AD185" s="717"/>
      <c r="AE185" s="717">
        <v>1</v>
      </c>
    </row>
    <row r="186" spans="1:31" s="158" customFormat="1" ht="12.75" customHeight="1">
      <c r="A186" s="225">
        <v>181</v>
      </c>
      <c r="B186" s="217"/>
      <c r="C186" s="241"/>
      <c r="D186" s="241"/>
      <c r="E186" s="241" t="s">
        <v>1580</v>
      </c>
      <c r="F186" s="241"/>
      <c r="G186" s="241"/>
      <c r="H186" s="269" t="s">
        <v>1581</v>
      </c>
      <c r="I186" s="264"/>
      <c r="J186" s="263"/>
      <c r="K186" s="715" t="s">
        <v>970</v>
      </c>
      <c r="L186" s="714"/>
      <c r="M186" s="714"/>
      <c r="N186" s="714"/>
      <c r="O186" s="714"/>
      <c r="P186" s="716"/>
      <c r="Q186" s="723" t="s">
        <v>817</v>
      </c>
      <c r="R186" s="714"/>
      <c r="S186" s="714" t="s">
        <v>863</v>
      </c>
      <c r="T186" s="268" t="s">
        <v>864</v>
      </c>
      <c r="U186" s="263" t="s">
        <v>1582</v>
      </c>
      <c r="V186" s="265" t="s">
        <v>864</v>
      </c>
      <c r="W186" s="260" t="s">
        <v>864</v>
      </c>
      <c r="X186" s="260" t="s">
        <v>864</v>
      </c>
      <c r="Y186" s="232"/>
      <c r="Z186" s="266"/>
      <c r="AA186" s="263"/>
      <c r="AB186" s="261"/>
      <c r="AC186" s="263"/>
      <c r="AD186" s="717"/>
      <c r="AE186" s="717">
        <v>1</v>
      </c>
    </row>
    <row r="187" spans="1:31" s="158" customFormat="1" ht="12.75" customHeight="1">
      <c r="A187" s="225">
        <v>182</v>
      </c>
      <c r="B187" s="498"/>
      <c r="C187" s="499"/>
      <c r="D187" s="499"/>
      <c r="E187" s="499" t="s">
        <v>1583</v>
      </c>
      <c r="F187" s="217" t="s">
        <v>1584</v>
      </c>
      <c r="G187" s="217"/>
      <c r="H187" s="728"/>
      <c r="I187" s="715"/>
      <c r="J187" s="714"/>
      <c r="K187" s="715" t="s">
        <v>1585</v>
      </c>
      <c r="L187" s="714"/>
      <c r="M187" s="714"/>
      <c r="N187" s="714"/>
      <c r="O187" s="714"/>
      <c r="P187" s="716"/>
      <c r="Q187" s="723" t="s">
        <v>817</v>
      </c>
      <c r="R187" s="714" t="s">
        <v>864</v>
      </c>
      <c r="S187" s="243" t="s">
        <v>1054</v>
      </c>
      <c r="T187" s="717"/>
      <c r="U187" s="714"/>
      <c r="V187" s="718" t="s">
        <v>864</v>
      </c>
      <c r="W187" s="718" t="s">
        <v>864</v>
      </c>
      <c r="X187" s="718" t="s">
        <v>864</v>
      </c>
      <c r="Y187" s="232"/>
      <c r="Z187" s="719"/>
      <c r="AA187" s="714"/>
      <c r="AB187" s="720"/>
      <c r="AC187" s="714"/>
      <c r="AD187" s="717"/>
      <c r="AE187" s="717">
        <v>1</v>
      </c>
    </row>
    <row r="188" spans="1:31" s="224" customFormat="1" ht="14.25" customHeight="1">
      <c r="A188" s="225">
        <v>183</v>
      </c>
      <c r="B188" s="217" t="s">
        <v>1586</v>
      </c>
      <c r="C188" s="217" t="s">
        <v>1587</v>
      </c>
      <c r="D188" s="270"/>
      <c r="E188" s="217"/>
      <c r="F188" s="217"/>
      <c r="G188" s="217"/>
      <c r="H188" s="714" t="s">
        <v>1690</v>
      </c>
      <c r="I188" s="715"/>
      <c r="J188" s="714" t="s">
        <v>1589</v>
      </c>
      <c r="K188" s="715" t="s">
        <v>1590</v>
      </c>
      <c r="L188" s="714"/>
      <c r="M188" s="714"/>
      <c r="N188" s="714"/>
      <c r="O188" s="714"/>
      <c r="P188" s="716">
        <v>1</v>
      </c>
      <c r="Q188" s="714" t="s">
        <v>823</v>
      </c>
      <c r="R188" s="714" t="s">
        <v>864</v>
      </c>
      <c r="S188" s="243" t="s">
        <v>1234</v>
      </c>
      <c r="T188" s="281"/>
      <c r="U188" s="714"/>
      <c r="V188" s="718" t="s">
        <v>864</v>
      </c>
      <c r="W188" s="718" t="s">
        <v>864</v>
      </c>
      <c r="X188" s="718"/>
      <c r="Y188" s="232"/>
      <c r="Z188" s="719"/>
      <c r="AA188" s="714"/>
      <c r="AB188" s="720"/>
      <c r="AC188" s="714"/>
      <c r="AD188" s="717"/>
      <c r="AE188" s="717">
        <v>1</v>
      </c>
    </row>
    <row r="189" spans="1:31" s="249" customFormat="1" ht="12.95" customHeight="1">
      <c r="A189" s="225">
        <v>184</v>
      </c>
      <c r="B189" s="217" t="s">
        <v>1591</v>
      </c>
      <c r="C189" s="221"/>
      <c r="D189" s="241"/>
      <c r="E189" s="241"/>
      <c r="F189" s="241"/>
      <c r="G189" s="241"/>
      <c r="H189" s="714"/>
      <c r="I189" s="715"/>
      <c r="J189" s="714"/>
      <c r="K189" s="714" t="s">
        <v>1592</v>
      </c>
      <c r="L189" s="714"/>
      <c r="M189" s="714"/>
      <c r="N189" s="714"/>
      <c r="O189" s="714"/>
      <c r="P189" s="716"/>
      <c r="Q189" s="714" t="s">
        <v>817</v>
      </c>
      <c r="R189" s="714" t="s">
        <v>864</v>
      </c>
      <c r="S189" s="714" t="s">
        <v>1592</v>
      </c>
      <c r="T189" s="717"/>
      <c r="U189" s="714"/>
      <c r="V189" s="718" t="s">
        <v>864</v>
      </c>
      <c r="W189" s="718" t="s">
        <v>864</v>
      </c>
      <c r="X189" s="718" t="s">
        <v>864</v>
      </c>
      <c r="Y189" s="232"/>
      <c r="Z189" s="719"/>
      <c r="AA189" s="714"/>
      <c r="AB189" s="720"/>
      <c r="AC189" s="714"/>
      <c r="AD189" s="717">
        <v>1</v>
      </c>
      <c r="AE189" s="717">
        <v>1</v>
      </c>
    </row>
    <row r="190" spans="1:31" s="249" customFormat="1" ht="12.95" customHeight="1">
      <c r="A190" s="225">
        <v>185</v>
      </c>
      <c r="B190" s="217"/>
      <c r="C190" s="221" t="s">
        <v>1593</v>
      </c>
      <c r="D190" s="221"/>
      <c r="E190" s="241"/>
      <c r="F190" s="241"/>
      <c r="G190" s="241"/>
      <c r="H190" s="714" t="s">
        <v>1594</v>
      </c>
      <c r="I190" s="715"/>
      <c r="J190" s="714"/>
      <c r="K190" s="715" t="s">
        <v>1595</v>
      </c>
      <c r="L190" s="714"/>
      <c r="M190" s="714"/>
      <c r="N190" s="714"/>
      <c r="O190" s="714"/>
      <c r="P190" s="716"/>
      <c r="Q190" s="714" t="s">
        <v>1596</v>
      </c>
      <c r="R190" s="714" t="s">
        <v>864</v>
      </c>
      <c r="S190" s="243" t="s">
        <v>1595</v>
      </c>
      <c r="T190" s="717"/>
      <c r="U190" s="714"/>
      <c r="V190" s="718" t="s">
        <v>864</v>
      </c>
      <c r="W190" s="718" t="s">
        <v>864</v>
      </c>
      <c r="X190" s="718" t="s">
        <v>864</v>
      </c>
      <c r="Y190" s="232"/>
      <c r="Z190" s="719"/>
      <c r="AA190" s="714"/>
      <c r="AB190" s="720"/>
      <c r="AC190" s="714"/>
      <c r="AD190" s="717">
        <v>1</v>
      </c>
      <c r="AE190" s="717">
        <v>1</v>
      </c>
    </row>
    <row r="191" spans="1:31" s="249" customFormat="1" ht="12.95" customHeight="1">
      <c r="A191" s="225">
        <v>186</v>
      </c>
      <c r="B191" s="217"/>
      <c r="C191" s="221"/>
      <c r="D191" s="241" t="s">
        <v>1597</v>
      </c>
      <c r="E191" s="221"/>
      <c r="F191" s="241"/>
      <c r="G191" s="241"/>
      <c r="H191" s="714" t="s">
        <v>1598</v>
      </c>
      <c r="I191" s="715" t="s">
        <v>1599</v>
      </c>
      <c r="J191" s="714"/>
      <c r="K191" s="715" t="s">
        <v>1600</v>
      </c>
      <c r="L191" s="714"/>
      <c r="M191" s="714"/>
      <c r="N191" s="714"/>
      <c r="O191" s="714"/>
      <c r="P191" s="716"/>
      <c r="Q191" s="714" t="s">
        <v>820</v>
      </c>
      <c r="R191" s="714"/>
      <c r="S191" s="714" t="s">
        <v>863</v>
      </c>
      <c r="T191" s="717"/>
      <c r="U191" s="714"/>
      <c r="V191" s="718" t="s">
        <v>864</v>
      </c>
      <c r="W191" s="718" t="s">
        <v>864</v>
      </c>
      <c r="X191" s="718" t="s">
        <v>864</v>
      </c>
      <c r="Y191" s="232"/>
      <c r="Z191" s="719"/>
      <c r="AA191" s="714"/>
      <c r="AB191" s="720"/>
      <c r="AC191" s="714"/>
      <c r="AD191" s="717">
        <v>1</v>
      </c>
      <c r="AE191" s="717">
        <v>1</v>
      </c>
    </row>
    <row r="192" spans="1:31" s="249" customFormat="1" ht="12.95" customHeight="1">
      <c r="A192" s="225">
        <v>187</v>
      </c>
      <c r="B192" s="217"/>
      <c r="C192" s="221"/>
      <c r="D192" s="241" t="s">
        <v>1001</v>
      </c>
      <c r="E192" s="221"/>
      <c r="F192" s="241"/>
      <c r="G192" s="241"/>
      <c r="H192" s="714" t="s">
        <v>1601</v>
      </c>
      <c r="I192" s="715" t="s">
        <v>399</v>
      </c>
      <c r="J192" s="714"/>
      <c r="K192" s="715" t="s">
        <v>1004</v>
      </c>
      <c r="L192" s="714"/>
      <c r="M192" s="714"/>
      <c r="N192" s="714"/>
      <c r="O192" s="714"/>
      <c r="P192" s="716"/>
      <c r="Q192" s="714" t="s">
        <v>817</v>
      </c>
      <c r="R192" s="714"/>
      <c r="S192" s="714" t="s">
        <v>863</v>
      </c>
      <c r="T192" s="717"/>
      <c r="U192" s="714"/>
      <c r="V192" s="718" t="s">
        <v>864</v>
      </c>
      <c r="W192" s="718" t="s">
        <v>864</v>
      </c>
      <c r="X192" s="718" t="s">
        <v>864</v>
      </c>
      <c r="Y192" s="232"/>
      <c r="Z192" s="719"/>
      <c r="AA192" s="714"/>
      <c r="AB192" s="720"/>
      <c r="AC192" s="714"/>
      <c r="AD192" s="717">
        <v>1</v>
      </c>
      <c r="AE192" s="717">
        <v>1</v>
      </c>
    </row>
    <row r="193" spans="1:1017" s="249" customFormat="1" ht="12.95" customHeight="1">
      <c r="A193" s="225">
        <v>188</v>
      </c>
      <c r="B193" s="217"/>
      <c r="C193" s="221"/>
      <c r="D193" s="241" t="s">
        <v>1602</v>
      </c>
      <c r="E193" s="221"/>
      <c r="F193" s="241"/>
      <c r="G193" s="241"/>
      <c r="H193" s="714" t="s">
        <v>1603</v>
      </c>
      <c r="I193" s="715" t="s">
        <v>1604</v>
      </c>
      <c r="J193" s="714"/>
      <c r="K193" s="715" t="s">
        <v>1080</v>
      </c>
      <c r="L193" s="714"/>
      <c r="M193" s="714"/>
      <c r="N193" s="714"/>
      <c r="O193" s="714"/>
      <c r="P193" s="716"/>
      <c r="Q193" s="714" t="s">
        <v>820</v>
      </c>
      <c r="R193" s="714"/>
      <c r="S193" s="714" t="s">
        <v>863</v>
      </c>
      <c r="T193" s="717"/>
      <c r="U193" s="714"/>
      <c r="V193" s="718" t="s">
        <v>864</v>
      </c>
      <c r="W193" s="718" t="s">
        <v>864</v>
      </c>
      <c r="X193" s="718" t="s">
        <v>864</v>
      </c>
      <c r="Y193" s="232"/>
      <c r="Z193" s="719"/>
      <c r="AA193" s="714"/>
      <c r="AB193" s="720"/>
      <c r="AC193" s="714"/>
      <c r="AD193" s="717">
        <v>1</v>
      </c>
      <c r="AE193" s="717">
        <v>1</v>
      </c>
    </row>
    <row r="194" spans="1:1017" s="249" customFormat="1" ht="12.95" customHeight="1">
      <c r="A194" s="225">
        <v>189</v>
      </c>
      <c r="B194" s="217"/>
      <c r="C194" s="262"/>
      <c r="D194" s="221" t="s">
        <v>1605</v>
      </c>
      <c r="E194" s="221"/>
      <c r="F194" s="241"/>
      <c r="G194" s="241"/>
      <c r="H194" s="714" t="s">
        <v>1606</v>
      </c>
      <c r="I194" s="715" t="s">
        <v>1607</v>
      </c>
      <c r="J194" s="714"/>
      <c r="K194" s="715" t="s">
        <v>939</v>
      </c>
      <c r="L194" s="714"/>
      <c r="M194" s="714"/>
      <c r="N194" s="714"/>
      <c r="O194" s="714"/>
      <c r="P194" s="716"/>
      <c r="Q194" s="714" t="s">
        <v>817</v>
      </c>
      <c r="R194" s="714"/>
      <c r="S194" s="714" t="s">
        <v>863</v>
      </c>
      <c r="T194" s="717"/>
      <c r="U194" s="714"/>
      <c r="V194" s="718" t="s">
        <v>864</v>
      </c>
      <c r="W194" s="718" t="s">
        <v>864</v>
      </c>
      <c r="X194" s="718" t="s">
        <v>864</v>
      </c>
      <c r="Y194" s="232"/>
      <c r="Z194" s="719"/>
      <c r="AA194" s="714"/>
      <c r="AB194" s="720"/>
      <c r="AC194" s="714"/>
      <c r="AD194" s="717">
        <v>1</v>
      </c>
      <c r="AE194" s="717">
        <v>1</v>
      </c>
    </row>
    <row r="195" spans="1:1017" s="249" customFormat="1" ht="12.95" customHeight="1">
      <c r="A195" s="225">
        <v>190</v>
      </c>
      <c r="B195" s="217" t="s">
        <v>1608</v>
      </c>
      <c r="C195" s="262"/>
      <c r="D195" s="241"/>
      <c r="E195" s="241"/>
      <c r="F195" s="241"/>
      <c r="G195" s="241"/>
      <c r="H195" s="714" t="s">
        <v>1691</v>
      </c>
      <c r="I195" s="715" t="s">
        <v>1692</v>
      </c>
      <c r="J195" s="714"/>
      <c r="K195" s="715" t="s">
        <v>939</v>
      </c>
      <c r="L195" s="714"/>
      <c r="M195" s="714"/>
      <c r="N195" s="714"/>
      <c r="O195" s="714"/>
      <c r="P195" s="716"/>
      <c r="Q195" s="714" t="s">
        <v>823</v>
      </c>
      <c r="R195" s="714"/>
      <c r="S195" s="714" t="s">
        <v>863</v>
      </c>
      <c r="T195" s="717"/>
      <c r="U195" s="714"/>
      <c r="V195" s="717" t="s">
        <v>864</v>
      </c>
      <c r="W195" s="717" t="s">
        <v>864</v>
      </c>
      <c r="X195" s="717" t="s">
        <v>864</v>
      </c>
      <c r="Y195" s="232"/>
      <c r="Z195" s="719"/>
      <c r="AA195" s="714"/>
      <c r="AB195" s="714"/>
      <c r="AC195" s="714"/>
      <c r="AD195" s="717"/>
      <c r="AE195" s="717">
        <v>1</v>
      </c>
    </row>
    <row r="196" spans="1:1017" s="224" customFormat="1" ht="12" customHeight="1">
      <c r="A196" s="225">
        <f>SUBTOTAL(103,createCase[ID])</f>
        <v>187</v>
      </c>
      <c r="C196" s="225">
        <f>SUBTOTAL(103,createCase[Donnée (Niveau 2)])</f>
        <v>51</v>
      </c>
      <c r="D196" s="225">
        <f>SUBTOTAL(103,createCase[Donnée (Niveau 3)])</f>
        <v>90</v>
      </c>
      <c r="E196" s="225">
        <f>SUBTOTAL(103,createCase[Donnée (Niveau 4)])</f>
        <v>37</v>
      </c>
      <c r="F196" s="225">
        <f>SUBTOTAL(103,createCase[Donnée (Niveau 5)])</f>
        <v>11</v>
      </c>
      <c r="G196" s="225">
        <f>SUBTOTAL(103,createCase[Donnée (Niveau 6)])</f>
        <v>0</v>
      </c>
      <c r="H196" s="225">
        <f>SUBTOTAL(103,createCase[Description])</f>
        <v>165</v>
      </c>
      <c r="I196" s="225">
        <f>SUBTOTAL(103,createCase[Exemples])</f>
        <v>100</v>
      </c>
      <c r="J196" s="225">
        <f>SUBTOTAL(103,createCase[Balise NexSIS])</f>
        <v>60</v>
      </c>
      <c r="K196" s="239">
        <f>SUBTOTAL(103,createCase[Nouvelle balise])</f>
        <v>163</v>
      </c>
      <c r="L196" s="225">
        <f>SUBTOTAL(103,createCase[Nantes - balise])</f>
        <v>22</v>
      </c>
      <c r="M196" s="225">
        <f>SUBTOTAL(103,createCase[Nantes - description])</f>
        <v>22</v>
      </c>
      <c r="N196" s="225">
        <f>SUBTOTAL(103,createCase[GT399])</f>
        <v>0</v>
      </c>
      <c r="O196" s="225">
        <f>SUBTOTAL(103,createCase[GT399 description])</f>
        <v>0</v>
      </c>
      <c r="P196" s="234">
        <f>SUBTOTAL(103,createCase[Priorisation])</f>
        <v>16</v>
      </c>
      <c r="Q196" s="225"/>
      <c r="R196" s="225">
        <f>SUBTOTAL(103,createCase[Objet])</f>
        <v>63</v>
      </c>
      <c r="S196" s="225">
        <f>SUBTOTAL(103,createCase[Format (ou type)])</f>
        <v>187</v>
      </c>
      <c r="T196" s="274"/>
      <c r="U196" s="225"/>
      <c r="V196" s="225"/>
      <c r="W196" s="225"/>
      <c r="X196" s="225"/>
      <c r="Z196" s="271">
        <f>SUBTOTAL(103,createCase[Commentaire Hub Santé])</f>
        <v>36</v>
      </c>
      <c r="AA196" s="225">
        <f>SUBTOTAL(103,createCase[Commentaire Philippe Dreyfus])</f>
        <v>39</v>
      </c>
      <c r="AB196" s="239"/>
      <c r="AC196" s="225">
        <f>SUBTOTAL(103,createCase[Commentaire Yann Penverne])</f>
        <v>0</v>
      </c>
      <c r="AD196" s="225">
        <f>SUBTOTAL(103,createCase[NexSIS])-COUNTIFS(createCase[NexSIS],"=X")</f>
        <v>81</v>
      </c>
      <c r="AE196" s="225">
        <f>SUBTOTAL(103,createCase[Métier])-COUNTIFS(createCase[Métier],"=X")</f>
        <v>178</v>
      </c>
    </row>
    <row r="197" spans="1:1017" s="128" customFormat="1" ht="12" customHeight="1">
      <c r="A197" s="3"/>
      <c r="B197" s="3"/>
      <c r="C197" s="131"/>
      <c r="D197" s="131"/>
      <c r="E197" s="131"/>
      <c r="F197" s="131"/>
      <c r="G197" s="5"/>
      <c r="H197" s="155"/>
      <c r="I197" s="225"/>
      <c r="J197" s="5"/>
      <c r="K197" s="155"/>
      <c r="L197" s="5"/>
      <c r="M197" s="5"/>
      <c r="N197" s="5"/>
      <c r="O197" s="5"/>
      <c r="P197" s="188"/>
      <c r="Q197" s="5"/>
      <c r="R197" s="5"/>
      <c r="S197" s="5"/>
      <c r="T197" s="56"/>
      <c r="U197" s="56"/>
      <c r="V197" s="56"/>
      <c r="W197" s="56"/>
      <c r="X197" s="56"/>
      <c r="Y197"/>
      <c r="Z197" s="178"/>
      <c r="AA197" s="5"/>
      <c r="AB197" s="159"/>
      <c r="AC197" s="56"/>
      <c r="AE197" s="56"/>
      <c r="AMA197"/>
      <c r="AMB197"/>
      <c r="AMC197"/>
    </row>
    <row r="198" spans="1:1017" s="128" customFormat="1" ht="12" customHeight="1">
      <c r="A198" s="129"/>
      <c r="B198" s="129"/>
      <c r="C198" s="129"/>
      <c r="D198" s="129"/>
      <c r="E198" s="129"/>
      <c r="F198" s="129"/>
      <c r="G198" s="96"/>
      <c r="H198" s="96"/>
      <c r="I198" s="225"/>
      <c r="J198" s="96"/>
      <c r="K198" s="159"/>
      <c r="L198" s="96"/>
      <c r="M198" s="96"/>
      <c r="N198" s="96"/>
      <c r="O198" s="96"/>
      <c r="P198" s="173"/>
      <c r="Q198" s="96"/>
      <c r="R198" s="96"/>
      <c r="S198" s="96"/>
      <c r="T198" s="278"/>
      <c r="U198" s="96"/>
      <c r="V198" s="96"/>
      <c r="W198" s="96"/>
      <c r="X198" s="96"/>
      <c r="Y198"/>
      <c r="Z198" s="179"/>
      <c r="AA198" s="96"/>
      <c r="AB198" s="159"/>
      <c r="AC198" s="96"/>
      <c r="AE198" s="96"/>
      <c r="AMA198"/>
      <c r="AMB198"/>
      <c r="AMC198"/>
    </row>
    <row r="199" spans="1:1017" s="128" customFormat="1" ht="12" customHeight="1">
      <c r="I199" s="224"/>
      <c r="P199" s="174"/>
      <c r="R199" s="96"/>
      <c r="S199" s="96"/>
      <c r="T199" s="278"/>
      <c r="U199" s="96"/>
      <c r="V199" s="96"/>
      <c r="W199" s="96"/>
      <c r="X199" s="96"/>
      <c r="Y199"/>
      <c r="Z199" s="179"/>
      <c r="AA199" s="96"/>
      <c r="AB199" s="159"/>
      <c r="AC199" s="96"/>
      <c r="AE199" s="96"/>
      <c r="AMA199"/>
      <c r="AMB199"/>
      <c r="AMC199"/>
    </row>
    <row r="200" spans="1:1017" s="128" customFormat="1" ht="12" customHeight="1">
      <c r="I200" s="224"/>
      <c r="P200" s="174"/>
      <c r="R200" s="96"/>
      <c r="S200" s="96"/>
      <c r="T200" s="278"/>
      <c r="U200" s="96"/>
      <c r="V200" s="96"/>
      <c r="W200" s="96"/>
      <c r="X200" s="96"/>
      <c r="Y200"/>
      <c r="Z200" s="179"/>
      <c r="AA200" s="96"/>
      <c r="AB200" s="159"/>
      <c r="AC200" s="96"/>
      <c r="AE200" s="96"/>
      <c r="AMA200"/>
      <c r="AMB200"/>
      <c r="AMC200"/>
    </row>
    <row r="201" spans="1:1017" s="128" customFormat="1" ht="12" customHeight="1">
      <c r="I201" s="224"/>
      <c r="P201" s="174"/>
      <c r="R201" s="96"/>
      <c r="S201" s="96"/>
      <c r="T201" s="278"/>
      <c r="U201" s="96"/>
      <c r="V201" s="96"/>
      <c r="W201" s="96"/>
      <c r="X201" s="96"/>
      <c r="Y201"/>
      <c r="Z201" s="179"/>
      <c r="AA201" s="96"/>
      <c r="AB201" s="159"/>
      <c r="AC201" s="96"/>
      <c r="AE201" s="96"/>
      <c r="AMA201"/>
      <c r="AMB201"/>
      <c r="AMC201"/>
    </row>
    <row r="202" spans="1:1017" s="128" customFormat="1" ht="12" customHeight="1">
      <c r="I202" s="224"/>
      <c r="P202" s="174"/>
      <c r="R202" s="96"/>
      <c r="S202" s="96"/>
      <c r="T202" s="278"/>
      <c r="U202" s="96"/>
      <c r="V202" s="96"/>
      <c r="W202" s="96"/>
      <c r="X202" s="96"/>
      <c r="Y202"/>
      <c r="Z202" s="179"/>
      <c r="AA202" s="96"/>
      <c r="AB202" s="159"/>
      <c r="AC202" s="96"/>
      <c r="AE202" s="96"/>
      <c r="AMA202"/>
      <c r="AMB202"/>
      <c r="AMC202"/>
    </row>
    <row r="203" spans="1:1017" ht="12" customHeight="1">
      <c r="G203" s="128"/>
      <c r="H203" s="128"/>
      <c r="I203" s="224"/>
      <c r="J203" s="128"/>
      <c r="K203" s="128"/>
      <c r="L203" s="128"/>
      <c r="M203" s="128"/>
      <c r="N203" s="128"/>
      <c r="O203" s="128"/>
      <c r="P203" s="174"/>
      <c r="Q203" s="128"/>
    </row>
    <row r="204" spans="1:1017" s="117" customFormat="1" ht="12" customHeight="1">
      <c r="A204" s="128"/>
      <c r="B204" s="128"/>
      <c r="C204" s="128"/>
      <c r="D204" s="128"/>
      <c r="E204" s="128"/>
      <c r="F204" s="128"/>
      <c r="G204" s="96"/>
      <c r="H204" s="96"/>
      <c r="I204" s="225"/>
      <c r="J204" s="96"/>
      <c r="K204" s="159"/>
      <c r="L204" s="96"/>
      <c r="M204" s="96"/>
      <c r="N204" s="96"/>
      <c r="O204" s="96"/>
      <c r="P204" s="173"/>
      <c r="Q204" s="96"/>
      <c r="R204" s="96"/>
      <c r="S204" s="96"/>
      <c r="T204" s="278"/>
      <c r="U204" s="96"/>
      <c r="V204" s="96"/>
      <c r="W204" s="96"/>
      <c r="X204" s="96"/>
      <c r="Y204"/>
      <c r="Z204" s="179"/>
      <c r="AA204" s="96"/>
      <c r="AB204" s="161"/>
      <c r="AC204" s="96"/>
      <c r="AE204" s="96"/>
      <c r="AMB204"/>
    </row>
    <row r="205" spans="1:1017" ht="12" customHeight="1">
      <c r="A205" s="117"/>
      <c r="B205" s="117"/>
      <c r="C205" s="117"/>
      <c r="D205" s="117"/>
      <c r="E205" s="117"/>
      <c r="F205" s="117"/>
      <c r="G205" s="117"/>
      <c r="H205" s="117"/>
      <c r="I205" s="251"/>
      <c r="J205" s="117"/>
      <c r="K205" s="117"/>
      <c r="L205" s="117"/>
      <c r="M205" s="117"/>
      <c r="N205" s="117"/>
      <c r="O205" s="117"/>
      <c r="P205" s="189"/>
      <c r="Q205" s="117"/>
    </row>
    <row r="206" spans="1:1017" ht="12" customHeight="1">
      <c r="R206" s="112"/>
      <c r="S206" s="112"/>
      <c r="T206" s="125"/>
      <c r="U206" s="112"/>
      <c r="V206" s="112"/>
      <c r="W206" s="112"/>
      <c r="X206" s="112"/>
      <c r="Z206" s="180"/>
      <c r="AA206" s="112"/>
      <c r="AC206" s="112"/>
      <c r="AE206" s="112"/>
    </row>
    <row r="218" spans="1:6" ht="12" customHeight="1">
      <c r="A218" s="130"/>
      <c r="B218" s="130"/>
      <c r="C218" s="130"/>
      <c r="D218" s="130"/>
      <c r="E218" s="130"/>
      <c r="F218" s="130"/>
    </row>
    <row r="219" spans="1:6" ht="12" customHeight="1">
      <c r="A219" s="130"/>
      <c r="B219" s="130"/>
      <c r="C219" s="130"/>
      <c r="D219" s="130"/>
      <c r="E219" s="130"/>
      <c r="F219" s="130"/>
    </row>
    <row r="220" spans="1:6" ht="12" customHeight="1">
      <c r="A220" s="130"/>
      <c r="B220" s="130"/>
      <c r="C220" s="130"/>
      <c r="D220" s="130"/>
      <c r="E220" s="130"/>
      <c r="F220" s="130"/>
    </row>
    <row r="221" spans="1:6" ht="12" customHeight="1">
      <c r="A221" s="130"/>
      <c r="B221" s="130"/>
      <c r="C221" s="130"/>
      <c r="D221" s="130"/>
      <c r="E221" s="130"/>
      <c r="F221" s="130"/>
    </row>
    <row r="222" spans="1:6" ht="12" customHeight="1">
      <c r="A222" s="130"/>
      <c r="B222" s="130"/>
      <c r="C222" s="130"/>
      <c r="D222" s="130"/>
      <c r="E222" s="130"/>
      <c r="F222" s="130"/>
    </row>
    <row r="223" spans="1:6" ht="12" customHeight="1">
      <c r="A223" s="130"/>
      <c r="B223" s="130"/>
      <c r="C223" s="130"/>
      <c r="D223" s="130"/>
      <c r="E223" s="130"/>
      <c r="F223" s="130"/>
    </row>
    <row r="224" spans="1:6" ht="12" customHeight="1">
      <c r="A224" s="130"/>
      <c r="B224" s="130"/>
      <c r="C224" s="130"/>
      <c r="D224" s="130"/>
      <c r="E224" s="130"/>
      <c r="F224" s="130"/>
    </row>
    <row r="225" spans="1:1016" ht="12" customHeight="1">
      <c r="A225" s="130"/>
      <c r="B225" s="130"/>
      <c r="C225" s="130"/>
      <c r="D225" s="130"/>
      <c r="E225" s="130"/>
      <c r="F225" s="130"/>
    </row>
    <row r="226" spans="1:1016" ht="12" customHeight="1">
      <c r="A226" s="129"/>
      <c r="B226" s="129"/>
      <c r="C226" s="129"/>
      <c r="D226" s="129"/>
      <c r="E226" s="129"/>
      <c r="F226" s="129"/>
    </row>
    <row r="227" spans="1:1016" ht="12" customHeight="1">
      <c r="A227" s="129"/>
      <c r="B227" s="129"/>
      <c r="C227" s="129"/>
      <c r="D227" s="129"/>
      <c r="E227" s="129"/>
      <c r="F227" s="129"/>
    </row>
    <row r="228" spans="1:1016" ht="12" customHeight="1">
      <c r="A228" s="129"/>
      <c r="B228" s="129"/>
      <c r="C228" s="129"/>
      <c r="D228" s="129"/>
      <c r="E228" s="129"/>
      <c r="F228" s="129"/>
    </row>
    <row r="229" spans="1:1016" ht="12" customHeight="1">
      <c r="A229" s="129"/>
      <c r="B229" s="129"/>
      <c r="C229" s="129"/>
      <c r="D229" s="129"/>
      <c r="E229" s="129"/>
      <c r="F229" s="129"/>
    </row>
    <row r="230" spans="1:1016" ht="12" customHeight="1">
      <c r="A230" s="129"/>
      <c r="B230" s="129"/>
      <c r="C230" s="129"/>
      <c r="D230" s="129"/>
      <c r="E230" s="129"/>
      <c r="F230" s="129"/>
    </row>
    <row r="231" spans="1:1016" ht="12" customHeight="1">
      <c r="A231" s="129"/>
      <c r="B231" s="129"/>
      <c r="C231" s="129"/>
      <c r="D231" s="129"/>
      <c r="E231" s="129"/>
      <c r="F231" s="129"/>
    </row>
    <row r="232" spans="1:1016" ht="12" customHeight="1">
      <c r="A232" s="129"/>
      <c r="B232" s="129"/>
      <c r="C232" s="129"/>
      <c r="D232" s="129"/>
      <c r="E232" s="129"/>
      <c r="F232" s="129"/>
    </row>
    <row r="233" spans="1:1016" s="117" customFormat="1" ht="12" customHeight="1">
      <c r="A233" s="129"/>
      <c r="B233" s="129"/>
      <c r="C233" s="129"/>
      <c r="D233" s="129"/>
      <c r="E233" s="129"/>
      <c r="F233" s="129"/>
      <c r="G233" s="96"/>
      <c r="H233" s="96"/>
      <c r="I233" s="225"/>
      <c r="J233" s="96"/>
      <c r="K233" s="159"/>
      <c r="L233" s="96"/>
      <c r="M233" s="96"/>
      <c r="N233" s="96"/>
      <c r="O233" s="96"/>
      <c r="P233" s="173"/>
      <c r="Q233" s="96"/>
      <c r="R233" s="96"/>
      <c r="S233" s="96"/>
      <c r="T233" s="278"/>
      <c r="U233" s="96"/>
      <c r="V233" s="96"/>
      <c r="W233" s="96"/>
      <c r="X233" s="96"/>
      <c r="Y233"/>
      <c r="Z233" s="179"/>
      <c r="AA233" s="96"/>
      <c r="AB233" s="161"/>
      <c r="AC233" s="96"/>
      <c r="AE233" s="96"/>
      <c r="AMB233"/>
    </row>
    <row r="234" spans="1:1016" s="117" customFormat="1" ht="12" customHeight="1">
      <c r="A234" s="130"/>
      <c r="B234" s="130"/>
      <c r="C234" s="130"/>
      <c r="D234" s="130"/>
      <c r="E234" s="130"/>
      <c r="F234" s="130"/>
      <c r="G234" s="96"/>
      <c r="H234" s="96"/>
      <c r="I234" s="225"/>
      <c r="J234" s="96"/>
      <c r="K234" s="159"/>
      <c r="L234" s="96"/>
      <c r="M234" s="96"/>
      <c r="N234" s="96"/>
      <c r="O234" s="96"/>
      <c r="P234" s="173"/>
      <c r="Q234" s="96"/>
      <c r="R234" s="96"/>
      <c r="S234" s="96"/>
      <c r="T234" s="278"/>
      <c r="U234" s="96"/>
      <c r="V234" s="96"/>
      <c r="W234" s="96"/>
      <c r="X234" s="96"/>
      <c r="Y234"/>
      <c r="Z234" s="179"/>
      <c r="AA234" s="96"/>
      <c r="AB234" s="161"/>
      <c r="AC234" s="96"/>
      <c r="AE234" s="96"/>
      <c r="AMB234"/>
    </row>
    <row r="235" spans="1:1016" s="117" customFormat="1" ht="12" customHeight="1">
      <c r="A235" s="123"/>
      <c r="B235" s="123"/>
      <c r="C235" s="123"/>
      <c r="D235" s="123"/>
      <c r="E235" s="123"/>
      <c r="F235" s="123"/>
      <c r="G235" s="112"/>
      <c r="H235" s="112"/>
      <c r="I235" s="277"/>
      <c r="J235" s="112"/>
      <c r="K235" s="161"/>
      <c r="L235" s="112"/>
      <c r="M235" s="112"/>
      <c r="N235" s="112"/>
      <c r="O235" s="112"/>
      <c r="P235" s="190"/>
      <c r="Q235" s="112"/>
      <c r="R235" s="112"/>
      <c r="S235" s="112"/>
      <c r="T235" s="125"/>
      <c r="U235" s="112"/>
      <c r="V235" s="112"/>
      <c r="W235" s="112"/>
      <c r="X235" s="112"/>
      <c r="Y235"/>
      <c r="Z235" s="180"/>
      <c r="AA235" s="112"/>
      <c r="AB235" s="161"/>
      <c r="AC235" s="112"/>
      <c r="AE235" s="112"/>
      <c r="AMB235"/>
    </row>
    <row r="236" spans="1:1016" s="117" customFormat="1" ht="12" customHeight="1">
      <c r="A236" s="123"/>
      <c r="B236" s="123"/>
      <c r="C236" s="123"/>
      <c r="D236" s="123"/>
      <c r="E236" s="123"/>
      <c r="F236" s="123"/>
      <c r="G236" s="112"/>
      <c r="H236" s="112"/>
      <c r="I236" s="277"/>
      <c r="J236" s="112"/>
      <c r="K236" s="161"/>
      <c r="L236" s="112"/>
      <c r="M236" s="112"/>
      <c r="N236" s="112"/>
      <c r="O236" s="112"/>
      <c r="P236" s="190"/>
      <c r="Q236" s="112"/>
      <c r="R236" s="112"/>
      <c r="S236" s="112"/>
      <c r="T236" s="125"/>
      <c r="U236" s="112"/>
      <c r="V236" s="112"/>
      <c r="W236" s="112"/>
      <c r="X236" s="112"/>
      <c r="Y236"/>
      <c r="Z236" s="180"/>
      <c r="AA236" s="112"/>
      <c r="AB236" s="161"/>
      <c r="AC236" s="112"/>
      <c r="AE236" s="112"/>
      <c r="AMB236"/>
    </row>
    <row r="237" spans="1:1016" s="117" customFormat="1" ht="12" customHeight="1">
      <c r="A237" s="123"/>
      <c r="B237" s="123"/>
      <c r="C237" s="123"/>
      <c r="D237" s="123"/>
      <c r="E237" s="123"/>
      <c r="F237" s="123"/>
      <c r="G237" s="112"/>
      <c r="H237" s="112"/>
      <c r="I237" s="277"/>
      <c r="J237" s="112"/>
      <c r="K237" s="161"/>
      <c r="L237" s="112"/>
      <c r="M237" s="112"/>
      <c r="N237" s="112"/>
      <c r="O237" s="112"/>
      <c r="P237" s="190"/>
      <c r="Q237" s="112"/>
      <c r="R237" s="112"/>
      <c r="S237" s="112"/>
      <c r="T237" s="125"/>
      <c r="U237" s="112"/>
      <c r="V237" s="112"/>
      <c r="W237" s="112"/>
      <c r="X237" s="112"/>
      <c r="Y237"/>
      <c r="Z237" s="180"/>
      <c r="AA237" s="112"/>
      <c r="AB237" s="161"/>
      <c r="AC237" s="112"/>
      <c r="AE237" s="112"/>
      <c r="AMB237"/>
    </row>
    <row r="238" spans="1:1016" s="117" customFormat="1" ht="12" customHeight="1">
      <c r="A238" s="123"/>
      <c r="B238" s="123"/>
      <c r="C238" s="123"/>
      <c r="D238" s="123"/>
      <c r="E238" s="123"/>
      <c r="F238" s="123"/>
      <c r="G238" s="112"/>
      <c r="H238" s="112"/>
      <c r="I238" s="277"/>
      <c r="J238" s="112"/>
      <c r="K238" s="161"/>
      <c r="L238" s="112"/>
      <c r="M238" s="112"/>
      <c r="N238" s="112"/>
      <c r="O238" s="112"/>
      <c r="P238" s="190"/>
      <c r="Q238" s="112"/>
      <c r="R238" s="112"/>
      <c r="S238" s="112"/>
      <c r="T238" s="125"/>
      <c r="U238" s="112"/>
      <c r="V238" s="112"/>
      <c r="W238" s="112"/>
      <c r="X238" s="112"/>
      <c r="Y238"/>
      <c r="Z238" s="180"/>
      <c r="AA238" s="112"/>
      <c r="AB238" s="161"/>
      <c r="AC238" s="112"/>
      <c r="AE238" s="112"/>
      <c r="AMB238"/>
    </row>
    <row r="239" spans="1:1016" s="117" customFormat="1" ht="12" customHeight="1">
      <c r="A239" s="123"/>
      <c r="B239" s="123"/>
      <c r="C239" s="123"/>
      <c r="D239" s="123"/>
      <c r="E239" s="123"/>
      <c r="F239" s="123"/>
      <c r="G239" s="112"/>
      <c r="H239" s="112"/>
      <c r="I239" s="277"/>
      <c r="J239" s="112"/>
      <c r="K239" s="161"/>
      <c r="L239" s="112"/>
      <c r="M239" s="112"/>
      <c r="N239" s="112"/>
      <c r="O239" s="112"/>
      <c r="P239" s="190"/>
      <c r="Q239" s="112"/>
      <c r="R239" s="112"/>
      <c r="S239" s="112"/>
      <c r="T239" s="125"/>
      <c r="U239" s="112"/>
      <c r="V239" s="112"/>
      <c r="W239" s="112"/>
      <c r="X239" s="112"/>
      <c r="Y239"/>
      <c r="Z239" s="180"/>
      <c r="AA239" s="112"/>
      <c r="AB239" s="161"/>
      <c r="AC239" s="112"/>
      <c r="AE239" s="112"/>
      <c r="AMB239"/>
    </row>
    <row r="240" spans="1:1016" ht="12" customHeight="1">
      <c r="A240" s="123"/>
      <c r="B240" s="123"/>
      <c r="C240" s="123"/>
      <c r="D240" s="123"/>
      <c r="E240" s="123"/>
      <c r="F240" s="123"/>
      <c r="G240" s="112"/>
      <c r="H240" s="112"/>
      <c r="I240" s="277"/>
      <c r="J240" s="112"/>
      <c r="K240" s="161"/>
      <c r="L240" s="112"/>
      <c r="M240" s="112"/>
      <c r="N240" s="112"/>
      <c r="O240" s="112"/>
      <c r="P240" s="190"/>
      <c r="Q240" s="112"/>
      <c r="R240" s="112"/>
      <c r="S240" s="112"/>
      <c r="T240" s="125"/>
      <c r="U240" s="112"/>
      <c r="V240" s="112"/>
      <c r="W240" s="112"/>
      <c r="X240" s="112"/>
      <c r="Z240" s="180"/>
      <c r="AA240" s="112"/>
      <c r="AC240" s="112"/>
      <c r="AE240" s="112"/>
    </row>
    <row r="241" spans="1:31" ht="12" customHeight="1">
      <c r="A241" s="123"/>
      <c r="B241" s="123"/>
      <c r="C241" s="123"/>
      <c r="D241" s="123"/>
      <c r="E241" s="123"/>
      <c r="F241" s="123"/>
      <c r="G241" s="112"/>
      <c r="H241" s="112"/>
      <c r="I241" s="277"/>
      <c r="J241" s="112"/>
      <c r="K241" s="161"/>
      <c r="L241" s="112"/>
      <c r="M241" s="112"/>
      <c r="N241" s="112"/>
      <c r="O241" s="112"/>
      <c r="P241" s="190"/>
      <c r="Q241" s="112"/>
      <c r="R241" s="112"/>
      <c r="S241" s="112"/>
      <c r="T241" s="125"/>
      <c r="U241" s="112"/>
      <c r="V241" s="112"/>
      <c r="W241" s="112"/>
      <c r="X241" s="112"/>
      <c r="Z241" s="180"/>
      <c r="AA241" s="112"/>
      <c r="AC241" s="112"/>
      <c r="AE241" s="112"/>
    </row>
    <row r="242" spans="1:31" ht="12" customHeight="1">
      <c r="A242" s="130"/>
      <c r="B242" s="130"/>
      <c r="C242" s="130"/>
      <c r="D242" s="130"/>
      <c r="E242" s="130"/>
      <c r="F242" s="130"/>
    </row>
    <row r="243" spans="1:31" ht="12" customHeight="1">
      <c r="A243" s="130"/>
      <c r="B243" s="130"/>
      <c r="C243" s="130"/>
      <c r="D243" s="130"/>
      <c r="E243" s="130"/>
      <c r="F243" s="130"/>
    </row>
    <row r="244" spans="1:31" ht="12" customHeight="1">
      <c r="A244" s="130"/>
      <c r="B244" s="130"/>
      <c r="C244" s="130"/>
      <c r="D244" s="130"/>
      <c r="E244" s="130"/>
      <c r="F244" s="130"/>
    </row>
    <row r="245" spans="1:31" ht="12" customHeight="1">
      <c r="A245" s="136"/>
      <c r="B245" s="136"/>
      <c r="C245" s="136"/>
      <c r="D245" s="136"/>
      <c r="E245" s="136"/>
      <c r="F245" s="136"/>
    </row>
    <row r="246" spans="1:31" ht="12" customHeight="1">
      <c r="A246" s="136"/>
      <c r="B246" s="136"/>
      <c r="C246" s="136"/>
      <c r="D246" s="136"/>
      <c r="E246" s="136"/>
      <c r="F246" s="136"/>
    </row>
  </sheetData>
  <mergeCells count="5">
    <mergeCell ref="H1:J2"/>
    <mergeCell ref="O1:P1"/>
    <mergeCell ref="L7:O7"/>
    <mergeCell ref="AD7:AE7"/>
    <mergeCell ref="V7:X7"/>
  </mergeCells>
  <phoneticPr fontId="78" type="noConversion"/>
  <conditionalFormatting sqref="A197:F198 A218:F1058">
    <cfRule type="expression" dxfId="1265" priority="485">
      <formula>OR($AE197="X",$AC197="X")</formula>
    </cfRule>
    <cfRule type="expression" dxfId="1264" priority="486">
      <formula>AND($AE197=1,$AC197=1)</formula>
    </cfRule>
    <cfRule type="expression" dxfId="1263" priority="487">
      <formula>$AE197=1</formula>
    </cfRule>
    <cfRule type="expression" dxfId="1262" priority="488">
      <formula>$AC197=1</formula>
    </cfRule>
  </conditionalFormatting>
  <conditionalFormatting sqref="A9:G9 A10:A195 B36:D36 D36:D38 B37:B38 F37:G38 E122:G126 D123:D132 B123:C133 F127:G128 E129:G133 E135:G148 B149:G162 B166:D170 F166:G170 B171:G195">
    <cfRule type="expression" dxfId="1261" priority="868">
      <formula>$AE9=1</formula>
    </cfRule>
  </conditionalFormatting>
  <conditionalFormatting sqref="A9:G9 A10:A195 B28:G36 D36:D38 B37:B38 F37:G38 A83:B84 A87:G87 B90:G122 E122:G126 B123:C133 F127:G128 E129:G133 E135:G148 B149:G162 A163:B165 B166:D170 F166:G170 B171:G195 B39:G82 B85:G86 B88:G88 D83:G84 D163:G165">
    <cfRule type="expression" dxfId="1260" priority="869">
      <formula>$AD9=1</formula>
    </cfRule>
  </conditionalFormatting>
  <conditionalFormatting sqref="A9:G12 A10:A195 B15:G35 D36:G36 B36:D38 F37:G38 B39:G82 A83:B84 D83:G84 B85:G86 A87:G87 B88:G126 B127:D128 F127:G128 B129:G133 B135:G162 A163:B165 D163:G165 B166:D170 F166:G170 B171:G195 C13:G14">
    <cfRule type="expression" dxfId="1259" priority="870">
      <formula>AND(NOT(ISBLANK($W9)),ISBLANK($AD9),ISBLANK($AE9))</formula>
    </cfRule>
  </conditionalFormatting>
  <conditionalFormatting sqref="B13:B14">
    <cfRule type="expression" dxfId="1258" priority="28">
      <formula>$AE13=1</formula>
    </cfRule>
    <cfRule type="expression" dxfId="1257" priority="26">
      <formula>OR($AE13="X",$AD13="X")</formula>
    </cfRule>
    <cfRule type="expression" dxfId="1256" priority="27">
      <formula>AND($AE13=1,$AD13=1)</formula>
    </cfRule>
    <cfRule type="expression" dxfId="1255" priority="29">
      <formula>$AD13=1</formula>
    </cfRule>
    <cfRule type="expression" dxfId="1254" priority="30">
      <formula>AND(NOT(ISBLANK($W13)),ISBLANK($AD13),ISBLANK($AE13))</formula>
    </cfRule>
  </conditionalFormatting>
  <conditionalFormatting sqref="B115:B118">
    <cfRule type="expression" dxfId="1253" priority="347">
      <formula>AND($R115="X",#REF!&lt;&gt;"")</formula>
    </cfRule>
  </conditionalFormatting>
  <conditionalFormatting sqref="B160 B162 B166:B170">
    <cfRule type="expression" dxfId="1252" priority="1084">
      <formula>AND($R160="X",#REF!&lt;&gt;"")</formula>
    </cfRule>
  </conditionalFormatting>
  <conditionalFormatting sqref="B163:B165">
    <cfRule type="expression" dxfId="1251" priority="21">
      <formula>AND($R163="X",#REF!&lt;&gt;"")</formula>
    </cfRule>
  </conditionalFormatting>
  <conditionalFormatting sqref="B123:C148 B85:G122 B149:G162 B171:G195 B39:G82 A9:G9 B28:G35 D36:D38 A163:B165 A10:A195 B36:C36 B37:B38 F37:G38 A83:B84 D83:G84 F127:G128 E129:G148 D163:G165 B166:D170 F166:G170">
    <cfRule type="expression" dxfId="1250" priority="214">
      <formula>OR($AE9="X",$AD9="X")</formula>
    </cfRule>
  </conditionalFormatting>
  <conditionalFormatting sqref="B10:G12 C13:G14 B15:G27 D123:D132 E133">
    <cfRule type="expression" dxfId="1249" priority="329">
      <formula>$AD10=1</formula>
    </cfRule>
    <cfRule type="expression" dxfId="1248" priority="326">
      <formula>OR($AE10="X",$AD10="X")</formula>
    </cfRule>
  </conditionalFormatting>
  <conditionalFormatting sqref="B10:G12 C13:G14 B15:G35 B83:B84 D83:G84 B163:B165 D163:G165">
    <cfRule type="expression" dxfId="1247" priority="328">
      <formula>$AE10=1</formula>
    </cfRule>
  </conditionalFormatting>
  <conditionalFormatting sqref="B10:G12 C13:G14 B15:G35 D83:G84 B83:B84 B163:B165 D163:G165">
    <cfRule type="expression" dxfId="1246" priority="327">
      <formula>AND($AE10=1,$AD10=1)</formula>
    </cfRule>
  </conditionalFormatting>
  <conditionalFormatting sqref="B39:G82 B85:G122">
    <cfRule type="expression" dxfId="1245" priority="345">
      <formula>$AE39=1</formula>
    </cfRule>
  </conditionalFormatting>
  <conditionalFormatting sqref="B85:G122 B39:G82">
    <cfRule type="expression" dxfId="1244" priority="344">
      <formula>AND($AE39=1,$AD39=1)</formula>
    </cfRule>
  </conditionalFormatting>
  <conditionalFormatting sqref="B134:G134">
    <cfRule type="expression" dxfId="1243" priority="222">
      <formula>AND(NOT(ISBLANK($W134)),ISBLANK($AD134),ISBLANK($AE134))</formula>
    </cfRule>
  </conditionalFormatting>
  <conditionalFormatting sqref="C36 D36:D38">
    <cfRule type="expression" dxfId="1242" priority="1122">
      <formula>AND($R36="X",OR($B36&lt;&gt;"",#REF!&lt;&gt;""))</formula>
    </cfRule>
  </conditionalFormatting>
  <conditionalFormatting sqref="C37:C38">
    <cfRule type="expression" dxfId="1241" priority="74">
      <formula>AND($R37="X",OR(#REF!&lt;&gt;"",$B37&lt;&gt;""))</formula>
    </cfRule>
    <cfRule type="expression" dxfId="1240" priority="76">
      <formula>OR($AE37="X",$AD37="X")</formula>
    </cfRule>
    <cfRule type="expression" dxfId="1239" priority="77">
      <formula>AND($AE37=1,$AD37=1)</formula>
    </cfRule>
    <cfRule type="expression" dxfId="1238" priority="78">
      <formula>$AE37=1</formula>
    </cfRule>
    <cfRule type="expression" dxfId="1237" priority="79">
      <formula>$AD37=1</formula>
    </cfRule>
  </conditionalFormatting>
  <conditionalFormatting sqref="C83:C84">
    <cfRule type="expression" dxfId="1236" priority="2">
      <formula>AND($AE83=1,$AD83=1)</formula>
    </cfRule>
    <cfRule type="expression" dxfId="1235" priority="3">
      <formula>$AE83=1</formula>
    </cfRule>
    <cfRule type="expression" dxfId="1234" priority="4">
      <formula>$AD83=1</formula>
    </cfRule>
    <cfRule type="expression" dxfId="1233" priority="5">
      <formula>AND(NOT(ISBLANK($W83)),ISBLANK($AD83),ISBLANK($AE83))</formula>
    </cfRule>
    <cfRule type="expression" dxfId="1232" priority="1">
      <formula>OR($AE83="X",$AD83="X")</formula>
    </cfRule>
  </conditionalFormatting>
  <conditionalFormatting sqref="C134">
    <cfRule type="expression" dxfId="1231" priority="203">
      <formula>$AE134=1</formula>
    </cfRule>
    <cfRule type="expression" dxfId="1230" priority="202">
      <formula>AND($AE134=1,$AD134=1)</formula>
    </cfRule>
    <cfRule type="expression" dxfId="1229" priority="201">
      <formula>OR($AE134="X",$AD134="X")</formula>
    </cfRule>
    <cfRule type="expression" dxfId="1228" priority="204">
      <formula>$AD134=1</formula>
    </cfRule>
  </conditionalFormatting>
  <conditionalFormatting sqref="C161">
    <cfRule type="expression" dxfId="1227" priority="120">
      <formula>$AE161=1</formula>
    </cfRule>
    <cfRule type="expression" dxfId="1226" priority="121">
      <formula>AND($R161="X",$B161&lt;&gt;"")</formula>
    </cfRule>
    <cfRule type="expression" dxfId="1225" priority="119">
      <formula>AND($AE161=1,$AD161=1)</formula>
    </cfRule>
    <cfRule type="expression" dxfId="1224" priority="118">
      <formula>OR($AE161="X",$AD161="X")</formula>
    </cfRule>
  </conditionalFormatting>
  <conditionalFormatting sqref="C162 D163:D165 C166:C170">
    <cfRule type="expression" dxfId="1223" priority="1086">
      <formula>AND($R162="X",OR(#REF!&lt;&gt;"",$B162&lt;&gt;""))</formula>
    </cfRule>
  </conditionalFormatting>
  <conditionalFormatting sqref="C163:C165">
    <cfRule type="expression" dxfId="1222" priority="9">
      <formula>AND($R163="X",#REF!&lt;&gt;"")</formula>
    </cfRule>
    <cfRule type="expression" dxfId="1221" priority="11">
      <formula>AND($AE163=1,$AD163=1)</formula>
    </cfRule>
    <cfRule type="expression" dxfId="1220" priority="14">
      <formula>$AD163=1</formula>
    </cfRule>
    <cfRule type="expression" dxfId="1219" priority="1767">
      <formula>AND(NOT(ISBLANK($W163)),ISBLANK($AD163),ISBLANK($AE163))</formula>
    </cfRule>
    <cfRule type="expression" dxfId="1218" priority="1768">
      <formula>$AE163=1</formula>
    </cfRule>
  </conditionalFormatting>
  <conditionalFormatting sqref="C163:C166">
    <cfRule type="expression" dxfId="1217" priority="12">
      <formula>OR($AE163="X",$AD163="X")</formula>
    </cfRule>
  </conditionalFormatting>
  <conditionalFormatting sqref="C171:C172 D133:E133 C9:C35 C39:C82 D83:D84 C85:C114 C119:C133 C149:C159 C188:C195 D125:D132">
    <cfRule type="expression" dxfId="1216" priority="322">
      <formula>AND($R9="X",$B9&lt;&gt;"")</formula>
    </cfRule>
  </conditionalFormatting>
  <conditionalFormatting sqref="C172">
    <cfRule type="expression" dxfId="1215" priority="270">
      <formula>$AE172=1</formula>
    </cfRule>
    <cfRule type="expression" dxfId="1214" priority="269">
      <formula>AND($AE172=1,$AD172=1)</formula>
    </cfRule>
    <cfRule type="expression" dxfId="1213" priority="268">
      <formula>OR($AE172="X",$AD172="X")</formula>
    </cfRule>
  </conditionalFormatting>
  <conditionalFormatting sqref="C173:C187">
    <cfRule type="expression" dxfId="1212" priority="1031">
      <formula>AND($R173="X",OR($B173&lt;&gt;"",#REF!&lt;&gt;""))</formula>
    </cfRule>
  </conditionalFormatting>
  <conditionalFormatting sqref="C116:D118">
    <cfRule type="expression" dxfId="1211" priority="348">
      <formula>AND($R116="X",OR(#REF!&lt;&gt;"",$B116&lt;&gt;""))</formula>
    </cfRule>
  </conditionalFormatting>
  <conditionalFormatting sqref="C134:D148">
    <cfRule type="expression" dxfId="1210" priority="209">
      <formula>AND($R134="X",$B134&lt;&gt;"")</formula>
    </cfRule>
  </conditionalFormatting>
  <conditionalFormatting sqref="C183:D183">
    <cfRule type="expression" dxfId="1209" priority="48">
      <formula>OR($AE183="X",$AD183="X")</formula>
    </cfRule>
    <cfRule type="expression" dxfId="1208" priority="49">
      <formula>AND($AE183=1,$AD183=1)</formula>
    </cfRule>
    <cfRule type="expression" dxfId="1207" priority="50">
      <formula>$AE183=1</formula>
    </cfRule>
    <cfRule type="expression" dxfId="1206" priority="51">
      <formula>AND($R183="X",$B183&lt;&gt;"")</formula>
    </cfRule>
  </conditionalFormatting>
  <conditionalFormatting sqref="C115:G115">
    <cfRule type="expression" dxfId="1205" priority="332">
      <formula>AND($R115="X",$B115&lt;&gt;"")</formula>
    </cfRule>
  </conditionalFormatting>
  <conditionalFormatting sqref="D9:D35 D39:D82 D85:D86 D87:E87 D88:D114 C160:G160">
    <cfRule type="expression" dxfId="1204" priority="125">
      <formula>AND($R9="X",OR($B9&lt;&gt;"",$C9&lt;&gt;""))</formula>
    </cfRule>
  </conditionalFormatting>
  <conditionalFormatting sqref="D26:D27">
    <cfRule type="expression" dxfId="1203" priority="223">
      <formula>AND($R26="X",$B26&lt;&gt;"")</formula>
    </cfRule>
  </conditionalFormatting>
  <conditionalFormatting sqref="D36">
    <cfRule type="expression" dxfId="1202" priority="1138">
      <formula>AND($R36="X",OR($B36&lt;&gt;"",#REF!&lt;&gt;""))</formula>
    </cfRule>
    <cfRule type="expression" dxfId="1201" priority="1137">
      <formula>AND($R36="X",$B36&lt;&gt;"")</formula>
    </cfRule>
    <cfRule type="expression" dxfId="1200" priority="1136">
      <formula>$AE36=1</formula>
    </cfRule>
    <cfRule type="expression" dxfId="1199" priority="1135">
      <formula>AND($AE36=1,$AD36=1)</formula>
    </cfRule>
    <cfRule type="expression" dxfId="1198" priority="1134">
      <formula>AND($R36="X",OR($B36&lt;&gt;"",#REF!&lt;&gt;"",$C36&lt;&gt;""))</formula>
    </cfRule>
    <cfRule type="expression" dxfId="1197" priority="1133">
      <formula>$AD36=1</formula>
    </cfRule>
    <cfRule type="expression" dxfId="1196" priority="1132">
      <formula>AND($R36="X",OR($B36&lt;&gt;"",#REF!&lt;&gt;"",$D36&lt;&gt;"",#REF!&lt;&gt;""))</formula>
    </cfRule>
    <cfRule type="expression" dxfId="1195" priority="1131">
      <formula>AND($R36="X",OR($B36&lt;&gt;"",#REF!&lt;&gt;"",$C36&lt;&gt;"",$D36&lt;&gt;""))</formula>
    </cfRule>
    <cfRule type="expression" dxfId="1194" priority="1129">
      <formula>AND($R36="X",OR($B36&lt;&gt;"",#REF!&lt;&gt;"",$C36&lt;&gt;""))</formula>
    </cfRule>
  </conditionalFormatting>
  <conditionalFormatting sqref="D116 D188:D195">
    <cfRule type="expression" dxfId="1193" priority="192">
      <formula>AND($R116="X",OR($B116&lt;&gt;"",$C116&lt;&gt;""))</formula>
    </cfRule>
  </conditionalFormatting>
  <conditionalFormatting sqref="D119:D122 D121:G121 D171:D172 D155:D159 C188">
    <cfRule type="expression" dxfId="1192" priority="355">
      <formula>AND($R119="X",OR($B119&lt;&gt;"",$C119&lt;&gt;""))</formula>
    </cfRule>
  </conditionalFormatting>
  <conditionalFormatting sqref="D123:D124">
    <cfRule type="expression" dxfId="1191" priority="299">
      <formula>AND($R123="X",OR(#REF!&lt;&gt;"",$B123&lt;&gt;""))</formula>
    </cfRule>
  </conditionalFormatting>
  <conditionalFormatting sqref="D133">
    <cfRule type="expression" dxfId="1190" priority="261">
      <formula>AND($AE133=1,$AD133=1)</formula>
    </cfRule>
    <cfRule type="expression" dxfId="1189" priority="260">
      <formula>OR($AE133="X",$AD133="X")</formula>
    </cfRule>
    <cfRule type="expression" dxfId="1188" priority="262">
      <formula>$AE133=1</formula>
    </cfRule>
  </conditionalFormatting>
  <conditionalFormatting sqref="D133:D148">
    <cfRule type="expression" dxfId="1187" priority="213">
      <formula>$AD133=1</formula>
    </cfRule>
  </conditionalFormatting>
  <conditionalFormatting sqref="D134">
    <cfRule type="expression" dxfId="1186" priority="198">
      <formula>AND($AE134=1,$AD134=1)</formula>
    </cfRule>
    <cfRule type="expression" dxfId="1185" priority="197">
      <formula>AND($R134="X",OR($B134&lt;&gt;"",$C134&lt;&gt;"",$D134&lt;&gt;""))</formula>
    </cfRule>
    <cfRule type="expression" dxfId="1184" priority="196">
      <formula>OR($AE134="X",$AD134="X")</formula>
    </cfRule>
    <cfRule type="expression" dxfId="1183" priority="200">
      <formula>$AD134=1</formula>
    </cfRule>
    <cfRule type="expression" dxfId="1182" priority="199">
      <formula>$AE134=1</formula>
    </cfRule>
  </conditionalFormatting>
  <conditionalFormatting sqref="D134:D148">
    <cfRule type="expression" dxfId="1181" priority="210">
      <formula>OR($AE134="X",$AD134="X")</formula>
    </cfRule>
    <cfRule type="expression" dxfId="1180" priority="211">
      <formula>AND($AE134=1,$AD134=1)</formula>
    </cfRule>
    <cfRule type="expression" dxfId="1179" priority="212">
      <formula>$AE134=1</formula>
    </cfRule>
  </conditionalFormatting>
  <conditionalFormatting sqref="D154">
    <cfRule type="expression" dxfId="1178" priority="883">
      <formula>AND($R154="X",OR($B154&lt;&gt;"",#REF!&lt;&gt;""))</formula>
    </cfRule>
  </conditionalFormatting>
  <conditionalFormatting sqref="D158:D159">
    <cfRule type="expression" dxfId="1177" priority="108">
      <formula>AND($R158="X",OR($B158&lt;&gt;"",$C158&lt;&gt;""))</formula>
    </cfRule>
    <cfRule type="expression" dxfId="1176" priority="244">
      <formula>$AD158=1</formula>
    </cfRule>
    <cfRule type="expression" dxfId="1175" priority="247">
      <formula>$AE158=1</formula>
    </cfRule>
    <cfRule type="expression" dxfId="1174" priority="248">
      <formula>AND($R158="X",OR($B158&lt;&gt;"",$C158&lt;&gt;"",$D158&lt;&gt;""))</formula>
    </cfRule>
    <cfRule type="expression" dxfId="1173" priority="250">
      <formula>$AD158=1</formula>
    </cfRule>
    <cfRule type="expression" dxfId="1172" priority="251">
      <formula>AND($R158="X",OR($B158&lt;&gt;"",$C158&lt;&gt;"",$D158&lt;&gt;"",$E158&lt;&gt;""))</formula>
    </cfRule>
    <cfRule type="expression" dxfId="1171" priority="245">
      <formula>AND($R158="X",OR($B158&lt;&gt;"",$C158&lt;&gt;"",$D158&lt;&gt;"",$E158&lt;&gt;""))</formula>
    </cfRule>
    <cfRule type="expression" dxfId="1170" priority="252">
      <formula>AND($AE158=1,$AD158=1)</formula>
    </cfRule>
    <cfRule type="expression" dxfId="1169" priority="253">
      <formula>$AE158=1</formula>
    </cfRule>
    <cfRule type="expression" dxfId="1168" priority="254">
      <formula>AND($R158="X",OR($B158&lt;&gt;"",$C158&lt;&gt;"",$D158&lt;&gt;""))</formula>
    </cfRule>
    <cfRule type="expression" dxfId="1167" priority="246">
      <formula>AND($AE158=1,$AD158=1)</formula>
    </cfRule>
  </conditionalFormatting>
  <conditionalFormatting sqref="D161">
    <cfRule type="expression" dxfId="1166" priority="111">
      <formula>OR($AE161="X",$AD161="X")</formula>
    </cfRule>
    <cfRule type="expression" dxfId="1165" priority="116">
      <formula>AND($AE161=1,$AD161=1)</formula>
    </cfRule>
    <cfRule type="expression" dxfId="1164" priority="117">
      <formula>$AE161=1</formula>
    </cfRule>
    <cfRule type="expression" dxfId="1163" priority="122">
      <formula>AND($R161="X",OR($B161&lt;&gt;"",$C161&lt;&gt;""))</formula>
    </cfRule>
    <cfRule type="expression" dxfId="1162" priority="114">
      <formula>AND($R161="X",$B161&lt;&gt;"")</formula>
    </cfRule>
    <cfRule type="expression" dxfId="1161" priority="95">
      <formula>AND($R161="X",OR($B161&lt;&gt;"",$C161&lt;&gt;""))</formula>
    </cfRule>
    <cfRule type="expression" dxfId="1160" priority="97">
      <formula>$AD161=1</formula>
    </cfRule>
    <cfRule type="expression" dxfId="1159" priority="98">
      <formula>AND($R161="X",OR($B161&lt;&gt;"",$C161&lt;&gt;"",$D161&lt;&gt;"",$E161&lt;&gt;""))</formula>
    </cfRule>
    <cfRule type="expression" dxfId="1158" priority="99">
      <formula>AND($AE161=1,$AD161=1)</formula>
    </cfRule>
    <cfRule type="expression" dxfId="1157" priority="100">
      <formula>$AE161=1</formula>
    </cfRule>
    <cfRule type="expression" dxfId="1156" priority="101">
      <formula>AND($R161="X",OR($B161&lt;&gt;"",$C161&lt;&gt;"",$D161&lt;&gt;""))</formula>
    </cfRule>
    <cfRule type="expression" dxfId="1155" priority="102">
      <formula>$AD161=1</formula>
    </cfRule>
    <cfRule type="expression" dxfId="1154" priority="103">
      <formula>AND($R161="X",OR($B161&lt;&gt;"",$C161&lt;&gt;"",$D161&lt;&gt;"",$E161&lt;&gt;""))</formula>
    </cfRule>
    <cfRule type="expression" dxfId="1153" priority="104">
      <formula>AND($AE161=1,$AD161=1)</formula>
    </cfRule>
    <cfRule type="expression" dxfId="1152" priority="105">
      <formula>$AE161=1</formula>
    </cfRule>
    <cfRule type="expression" dxfId="1151" priority="106">
      <formula>AND($R161="X",OR($B161&lt;&gt;"",$C161&lt;&gt;"",$D161&lt;&gt;""))</formula>
    </cfRule>
    <cfRule type="expression" dxfId="1150" priority="107">
      <formula>AND($R161="X",OR($B161&lt;&gt;"",$C161&lt;&gt;""))</formula>
    </cfRule>
  </conditionalFormatting>
  <conditionalFormatting sqref="D161:D162 D166">
    <cfRule type="expression" dxfId="1149" priority="115">
      <formula>OR($AE161="X",$AD161="X")</formula>
    </cfRule>
  </conditionalFormatting>
  <conditionalFormatting sqref="D162 D166">
    <cfRule type="expression" dxfId="1148" priority="272">
      <formula>AND($AE162=1,$AD162=1)</formula>
    </cfRule>
    <cfRule type="expression" dxfId="1147" priority="275">
      <formula>AND($R162="X",#REF!&lt;&gt;"")</formula>
    </cfRule>
    <cfRule type="expression" dxfId="1146" priority="273">
      <formula>$AE162=1</formula>
    </cfRule>
    <cfRule type="expression" dxfId="1145" priority="274">
      <formula>$AD162=1</formula>
    </cfRule>
  </conditionalFormatting>
  <conditionalFormatting sqref="D162 D166:D170">
    <cfRule type="expression" dxfId="1144" priority="1088">
      <formula>AND($R162="X",OR(#REF!&lt;&gt;"",$B162&lt;&gt;"",$C162&lt;&gt;""))</formula>
    </cfRule>
  </conditionalFormatting>
  <conditionalFormatting sqref="D172">
    <cfRule type="expression" dxfId="1143" priority="267">
      <formula>$AE172=1</formula>
    </cfRule>
    <cfRule type="expression" dxfId="1142" priority="266">
      <formula>AND($AE172=1,$AD172=1)</formula>
    </cfRule>
    <cfRule type="expression" dxfId="1141" priority="265">
      <formula>OR($AE172="X",$AD172="X")</formula>
    </cfRule>
    <cfRule type="expression" dxfId="1140" priority="264">
      <formula>AND($R172="X",$B172&lt;&gt;"")</formula>
    </cfRule>
  </conditionalFormatting>
  <conditionalFormatting sqref="D173:D187">
    <cfRule type="expression" dxfId="1139" priority="1051">
      <formula>AND($R173="X",OR($B173&lt;&gt;"",#REF!&lt;&gt;"",$C173&lt;&gt;""))</formula>
    </cfRule>
  </conditionalFormatting>
  <conditionalFormatting sqref="D179">
    <cfRule type="expression" dxfId="1138" priority="40">
      <formula>AND($R179="X",OR($B179&lt;&gt;"",#REF!&lt;&gt;""))</formula>
    </cfRule>
  </conditionalFormatting>
  <conditionalFormatting sqref="D181:D187">
    <cfRule type="expression" dxfId="1137" priority="45">
      <formula>AND($R181="X",OR($B181&lt;&gt;"",#REF!&lt;&gt;""))</formula>
    </cfRule>
  </conditionalFormatting>
  <conditionalFormatting sqref="D121:E121">
    <cfRule type="expression" dxfId="1136" priority="149">
      <formula>$AD121=1</formula>
    </cfRule>
    <cfRule type="expression" dxfId="1135" priority="147">
      <formula>AND($R121="X",OR($B121&lt;&gt;"",$C121&lt;&gt;"",$D121&lt;&gt;"",$E121&lt;&gt;""))</formula>
    </cfRule>
    <cfRule type="expression" dxfId="1134" priority="148">
      <formula>AND($R121="X",OR($B121&lt;&gt;"",$C121&lt;&gt;"",$E121&lt;&gt;"",#REF!&lt;&gt;""))</formula>
    </cfRule>
    <cfRule type="expression" dxfId="1133" priority="152">
      <formula>$AE121=1</formula>
    </cfRule>
    <cfRule type="expression" dxfId="1132" priority="151">
      <formula>AND($AE121=1,$AD121=1)</formula>
    </cfRule>
    <cfRule type="expression" dxfId="1131" priority="150">
      <formula>AND($R121="X",OR($B121&lt;&gt;"",$C121&lt;&gt;"",$D121&lt;&gt;""))</formula>
    </cfRule>
  </conditionalFormatting>
  <conditionalFormatting sqref="D36:G36">
    <cfRule type="expression" dxfId="1130" priority="52">
      <formula>AND($R36="X",OR($B36&lt;&gt;"",$C36&lt;&gt;"",$D36&lt;&gt;"",$E36&lt;&gt;"",$F36&lt;&gt;""))</formula>
    </cfRule>
    <cfRule type="expression" dxfId="1129" priority="53">
      <formula>AND($AE36=1,$AD36=1)</formula>
    </cfRule>
    <cfRule type="expression" dxfId="1128" priority="54">
      <formula>$AE36=1</formula>
    </cfRule>
    <cfRule type="expression" dxfId="1127" priority="55">
      <formula>OR($AE36="X",$AD36="X")</formula>
    </cfRule>
  </conditionalFormatting>
  <conditionalFormatting sqref="D119:G119">
    <cfRule type="expression" dxfId="1126" priority="163">
      <formula>AND($R119="X",$B119&lt;&gt;"")</formula>
    </cfRule>
  </conditionalFormatting>
  <conditionalFormatting sqref="D121:G121">
    <cfRule type="expression" dxfId="1125" priority="161">
      <formula>AND($R121="X",$B121&lt;&gt;"")</formula>
    </cfRule>
  </conditionalFormatting>
  <conditionalFormatting sqref="D161:G161">
    <cfRule type="expression" dxfId="1124" priority="113">
      <formula>AND($R161="X",OR($B161&lt;&gt;"",$C161&lt;&gt;""))</formula>
    </cfRule>
  </conditionalFormatting>
  <conditionalFormatting sqref="E9:E35 E39:E82 E85:E86 E88:E114">
    <cfRule type="expression" dxfId="1123" priority="83">
      <formula>AND($R9="X",OR($B9&lt;&gt;"",$C9&lt;&gt;"",$D9&lt;&gt;""))</formula>
    </cfRule>
  </conditionalFormatting>
  <conditionalFormatting sqref="E37:E38">
    <cfRule type="expression" dxfId="1122" priority="61">
      <formula>AND($R37="X",OR($B37&lt;&gt;"",#REF!&lt;&gt;"",$D37&lt;&gt;"",#REF!&lt;&gt;""))</formula>
    </cfRule>
    <cfRule type="expression" dxfId="1121" priority="58">
      <formula>$AE37=1</formula>
    </cfRule>
    <cfRule type="expression" dxfId="1120" priority="59">
      <formula>$AD37=1</formula>
    </cfRule>
    <cfRule type="expression" dxfId="1119" priority="56">
      <formula>OR($AE37="X",$AD37="X")</formula>
    </cfRule>
    <cfRule type="expression" dxfId="1118" priority="57">
      <formula>AND($AE37=1,$AD37=1)</formula>
    </cfRule>
    <cfRule type="expression" dxfId="1117" priority="60">
      <formula>AND(NOT(ISBLANK($W37)),ISBLANK($AD37),ISBLANK($AE37))</formula>
    </cfRule>
  </conditionalFormatting>
  <conditionalFormatting sqref="E83:E84">
    <cfRule type="expression" dxfId="1116" priority="1779">
      <formula>AND($R83="X",OR($B83&lt;&gt;"",$D83&lt;&gt;"",#REF!&lt;&gt;""))</formula>
    </cfRule>
  </conditionalFormatting>
  <conditionalFormatting sqref="E86">
    <cfRule type="expression" dxfId="1115" priority="232">
      <formula>AND($R86="X",OR($B86&lt;&gt;"",$C86&lt;&gt;"",$D86&lt;&gt;"",$E86&lt;&gt;""))</formula>
    </cfRule>
    <cfRule type="expression" dxfId="1114" priority="234">
      <formula>$AE86=1</formula>
    </cfRule>
    <cfRule type="expression" dxfId="1113" priority="233">
      <formula>AND($AE86=1,$AD86=1)</formula>
    </cfRule>
    <cfRule type="expression" dxfId="1112" priority="235">
      <formula>AND($R86="X",OR($B86&lt;&gt;"",$C86&lt;&gt;"",$E86&lt;&gt;"",#REF!&lt;&gt;""))</formula>
    </cfRule>
  </conditionalFormatting>
  <conditionalFormatting sqref="E90">
    <cfRule type="expression" dxfId="1111" priority="226">
      <formula>AND($R90="X",OR($B90&lt;&gt;"",$C90&lt;&gt;"",$D90&lt;&gt;"",$E90&lt;&gt;""))</formula>
    </cfRule>
    <cfRule type="expression" dxfId="1110" priority="231">
      <formula>$AD90=1</formula>
    </cfRule>
    <cfRule type="expression" dxfId="1109" priority="230">
      <formula>AND($R90="X",OR($B90&lt;&gt;"",$C90&lt;&gt;"",$E90&lt;&gt;"",#REF!&lt;&gt;""))</formula>
    </cfRule>
    <cfRule type="expression" dxfId="1108" priority="228">
      <formula>$AE90=1</formula>
    </cfRule>
    <cfRule type="expression" dxfId="1107" priority="229">
      <formula>$AD90=1</formula>
    </cfRule>
    <cfRule type="expression" dxfId="1106" priority="227">
      <formula>AND($AE90=1,$AD90=1)</formula>
    </cfRule>
  </conditionalFormatting>
  <conditionalFormatting sqref="E105">
    <cfRule type="expression" dxfId="1105" priority="237">
      <formula>AND($AE105=1,$AD105=1)</formula>
    </cfRule>
    <cfRule type="expression" dxfId="1104" priority="239">
      <formula>$AD105=1</formula>
    </cfRule>
    <cfRule type="expression" dxfId="1103" priority="236">
      <formula>AND($R105="X",OR($B105&lt;&gt;"",$C105&lt;&gt;"",$D105&lt;&gt;"",$E105&lt;&gt;""))</formula>
    </cfRule>
    <cfRule type="expression" dxfId="1102" priority="240">
      <formula>AND($R105="X",OR($B105&lt;&gt;"",$C105&lt;&gt;"",$E105&lt;&gt;"",#REF!&lt;&gt;""))</formula>
    </cfRule>
    <cfRule type="expression" dxfId="1101" priority="238">
      <formula>$AE105=1</formula>
    </cfRule>
  </conditionalFormatting>
  <conditionalFormatting sqref="E116 E149:E153 E155:E159 E171 E188:E195">
    <cfRule type="expression" dxfId="1100" priority="193">
      <formula>AND($R116="X",OR($B116&lt;&gt;"",$C116&lt;&gt;"",$D116&lt;&gt;""))</formula>
    </cfRule>
  </conditionalFormatting>
  <conditionalFormatting sqref="E116:E118">
    <cfRule type="expression" dxfId="1099" priority="349">
      <formula>AND($R116="X",OR(#REF!&lt;&gt;"",$B116&lt;&gt;"",$C116&lt;&gt;""))</formula>
    </cfRule>
  </conditionalFormatting>
  <conditionalFormatting sqref="E119:E122">
    <cfRule type="expression" dxfId="1098" priority="367">
      <formula>AND($R119="X",OR($B119&lt;&gt;"",$C119&lt;&gt;"",$D119&lt;&gt;""))</formula>
    </cfRule>
  </conditionalFormatting>
  <conditionalFormatting sqref="E120">
    <cfRule type="expression" dxfId="1097" priority="153">
      <formula>AND($R120="X",OR($B120&lt;&gt;"",$C120&lt;&gt;"",$D120&lt;&gt;"",$E120&lt;&gt;""))</formula>
    </cfRule>
    <cfRule type="expression" dxfId="1096" priority="154">
      <formula>AND($R120="X",OR($B120&lt;&gt;"",$C120&lt;&gt;"",$E120&lt;&gt;"",#REF!&lt;&gt;""))</formula>
    </cfRule>
    <cfRule type="expression" dxfId="1095" priority="155">
      <formula>$AD120=1</formula>
    </cfRule>
    <cfRule type="expression" dxfId="1094" priority="156">
      <formula>AND($R120="X",OR($B120&lt;&gt;"",$C120&lt;&gt;"",$D120&lt;&gt;""))</formula>
    </cfRule>
  </conditionalFormatting>
  <conditionalFormatting sqref="E122:E124 D149:D153">
    <cfRule type="expression" dxfId="1093" priority="317">
      <formula>AND($R122="X",OR($B122&lt;&gt;"",$C122&lt;&gt;""))</formula>
    </cfRule>
  </conditionalFormatting>
  <conditionalFormatting sqref="E125">
    <cfRule type="expression" dxfId="1092" priority="243">
      <formula>$AD125=1</formula>
    </cfRule>
    <cfRule type="expression" dxfId="1091" priority="242">
      <formula>AND($R125="X",OR($B125&lt;&gt;"",$C125&lt;&gt;"",$E125&lt;&gt;"",#REF!&lt;&gt;""))</formula>
    </cfRule>
    <cfRule type="expression" dxfId="1090" priority="241">
      <formula>AND($R125="X",OR($B125&lt;&gt;"",$C125&lt;&gt;"",$D125&lt;&gt;"",$E125&lt;&gt;""))</formula>
    </cfRule>
  </conditionalFormatting>
  <conditionalFormatting sqref="E125:E126 F127:F128 E129:E132">
    <cfRule type="expression" dxfId="1089" priority="323">
      <formula>AND($R125="X",OR($B125&lt;&gt;"",$C125&lt;&gt;"",$D125&lt;&gt;""))</formula>
    </cfRule>
  </conditionalFormatting>
  <conditionalFormatting sqref="E127:E128">
    <cfRule type="expression" dxfId="1088" priority="176">
      <formula>$AD127=1</formula>
    </cfRule>
    <cfRule type="expression" dxfId="1087" priority="172">
      <formula>AND($R127="X",$B127&lt;&gt;"")</formula>
    </cfRule>
    <cfRule type="expression" dxfId="1086" priority="173">
      <formula>AND($AE127=1,$AD127=1)</formula>
    </cfRule>
    <cfRule type="expression" dxfId="1085" priority="175">
      <formula>OR($AE127="X",$AD127="X")</formula>
    </cfRule>
    <cfRule type="expression" dxfId="1084" priority="177">
      <formula>AND(NOT(ISBLANK($W127)),ISBLANK($AD127),ISBLANK($AE127))</formula>
    </cfRule>
    <cfRule type="expression" dxfId="1083" priority="174">
      <formula>$AE127=1</formula>
    </cfRule>
  </conditionalFormatting>
  <conditionalFormatting sqref="E134:E148">
    <cfRule type="expression" dxfId="1082" priority="215">
      <formula>AND($R134="X",OR($B134&lt;&gt;"",$C134&lt;&gt;"",$D134&lt;&gt;""))</formula>
    </cfRule>
  </conditionalFormatting>
  <conditionalFormatting sqref="E154">
    <cfRule type="expression" dxfId="1081" priority="901">
      <formula>AND($R154="X",OR($B154&lt;&gt;"",#REF!&lt;&gt;"",$D154&lt;&gt;""))</formula>
    </cfRule>
  </conditionalFormatting>
  <conditionalFormatting sqref="E157">
    <cfRule type="expression" dxfId="1080" priority="255">
      <formula>$AD157=1</formula>
    </cfRule>
    <cfRule type="expression" dxfId="1079" priority="256">
      <formula>AND($R157="X",OR($B157&lt;&gt;"",$C157&lt;&gt;"",$D157&lt;&gt;"",$E157&lt;&gt;""))</formula>
    </cfRule>
    <cfRule type="expression" dxfId="1078" priority="257">
      <formula>AND($AE157=1,$AD157=1)</formula>
    </cfRule>
    <cfRule type="expression" dxfId="1077" priority="258">
      <formula>$AE157=1</formula>
    </cfRule>
  </conditionalFormatting>
  <conditionalFormatting sqref="E161">
    <cfRule type="expression" dxfId="1076" priority="112">
      <formula>AND($R161="X",OR($B161&lt;&gt;"",$C161&lt;&gt;"",$D161&lt;&gt;""))</formula>
    </cfRule>
  </conditionalFormatting>
  <conditionalFormatting sqref="E163">
    <cfRule type="expression" dxfId="1075" priority="1761">
      <formula>AND($R163="X",OR($B163&lt;&gt;"",$D163&lt;&gt;"",#REF!&lt;&gt;""))</formula>
    </cfRule>
  </conditionalFormatting>
  <conditionalFormatting sqref="E163:E165">
    <cfRule type="expression" dxfId="1074" priority="1762">
      <formula>AND($R163="X",OR(#REF!&lt;&gt;"",$B163&lt;&gt;"",$D163&lt;&gt;""))</formula>
    </cfRule>
  </conditionalFormatting>
  <conditionalFormatting sqref="E166:E170">
    <cfRule type="expression" dxfId="1073" priority="94">
      <formula>AND($R166="X",OR(#REF!&lt;&gt;"",$B166&lt;&gt;"",$C166&lt;&gt;"",$D166&lt;&gt;""))</formula>
    </cfRule>
    <cfRule type="expression" dxfId="1072" priority="89">
      <formula>OR($AE166="X",$AD166="X")</formula>
    </cfRule>
    <cfRule type="expression" dxfId="1071" priority="93">
      <formula>AND(NOT(ISBLANK($W166)),ISBLANK($AD166),ISBLANK($AE166))</formula>
    </cfRule>
    <cfRule type="expression" dxfId="1070" priority="92">
      <formula>$AD166=1</formula>
    </cfRule>
    <cfRule type="expression" dxfId="1069" priority="91">
      <formula>$AE166=1</formula>
    </cfRule>
    <cfRule type="expression" dxfId="1068" priority="90">
      <formula>AND($AE166=1,$AD166=1)</formula>
    </cfRule>
  </conditionalFormatting>
  <conditionalFormatting sqref="E173:E187">
    <cfRule type="expression" dxfId="1067" priority="164">
      <formula>AND($R173="X",OR($B173&lt;&gt;"",#REF!&lt;&gt;"",$C173&lt;&gt;"",$D173&lt;&gt;""))</formula>
    </cfRule>
  </conditionalFormatting>
  <conditionalFormatting sqref="E185:E187">
    <cfRule type="expression" dxfId="1066" priority="46">
      <formula>AND($R185="X",OR($B185&lt;&gt;"",#REF!&lt;&gt;"",$C185&lt;&gt;""))</formula>
    </cfRule>
  </conditionalFormatting>
  <conditionalFormatting sqref="E161:F161">
    <cfRule type="expression" dxfId="1065" priority="123">
      <formula>AND($R161="X",OR($B161&lt;&gt;"",$C161&lt;&gt;"",$D161&lt;&gt;"",#REF!&lt;&gt;""))</formula>
    </cfRule>
  </conditionalFormatting>
  <conditionalFormatting sqref="E172:F172">
    <cfRule type="expression" dxfId="1064" priority="1066">
      <formula>AND($R172="X",OR($B172&lt;&gt;"",$C172&lt;&gt;"",$D172&lt;&gt;"",#REF!&lt;&gt;""))</formula>
    </cfRule>
  </conditionalFormatting>
  <conditionalFormatting sqref="E120:G120">
    <cfRule type="expression" dxfId="1063" priority="159">
      <formula>AND($AE120=1,$AD120=1)</formula>
    </cfRule>
    <cfRule type="expression" dxfId="1062" priority="160">
      <formula>$AE120=1</formula>
    </cfRule>
  </conditionalFormatting>
  <conditionalFormatting sqref="E122:G122">
    <cfRule type="expression" dxfId="1061" priority="131">
      <formula>AND($R122="X",OR($B122&lt;&gt;"",$C122&lt;&gt;"",$E122&lt;&gt;"",#REF!&lt;&gt;""))</formula>
    </cfRule>
    <cfRule type="expression" dxfId="1060" priority="136">
      <formula>AND($R122="X",$B122&lt;&gt;"")</formula>
    </cfRule>
    <cfRule type="expression" dxfId="1059" priority="138">
      <formula>AND($R122="X",OR($B122&lt;&gt;"",$C122&lt;&gt;""))</formula>
    </cfRule>
    <cfRule type="expression" dxfId="1058" priority="135">
      <formula>$AE122=1</formula>
    </cfRule>
    <cfRule type="expression" dxfId="1057" priority="134">
      <formula>AND($AE122=1,$AD122=1)</formula>
    </cfRule>
    <cfRule type="expression" dxfId="1056" priority="133">
      <formula>AND($R122="X",OR($B122&lt;&gt;"",$C122&lt;&gt;"",$D122&lt;&gt;""))</formula>
    </cfRule>
    <cfRule type="expression" dxfId="1055" priority="132">
      <formula>$AD122=1</formula>
    </cfRule>
    <cfRule type="expression" dxfId="1054" priority="130">
      <formula>AND($R122="X",OR($B122&lt;&gt;"",$C122&lt;&gt;"",$D122&lt;&gt;"",$E122&lt;&gt;""))</formula>
    </cfRule>
  </conditionalFormatting>
  <conditionalFormatting sqref="E122:G126 B149:G162 B171:G195 E129:G133 D123:D132 F127:G128 E135:G148 A9:G9 B123:C133 B166:D170 A10:A195 B36:D36 D36:D38 B37:B38 F37:G38 F166:G170">
    <cfRule type="expression" dxfId="1053" priority="867">
      <formula>AND($AE9=1,$AD9=1)</formula>
    </cfRule>
  </conditionalFormatting>
  <conditionalFormatting sqref="E122:G126">
    <cfRule type="expression" dxfId="1052" priority="866">
      <formula>OR($AE122="X",$AD122="X")</formula>
    </cfRule>
  </conditionalFormatting>
  <conditionalFormatting sqref="E134:G134 B134:C148">
    <cfRule type="expression" dxfId="1051" priority="220">
      <formula>$AE134=1</formula>
    </cfRule>
    <cfRule type="expression" dxfId="1050" priority="219">
      <formula>AND($AE134=1,$AD134=1)</formula>
    </cfRule>
    <cfRule type="expression" dxfId="1049" priority="221">
      <formula>$AD134=1</formula>
    </cfRule>
  </conditionalFormatting>
  <conditionalFormatting sqref="F1:F2">
    <cfRule type="dataBar" priority="479">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35 F39:F82 F85:F86 F88:F114 E187:G187">
    <cfRule type="expression" dxfId="1048" priority="86">
      <formula>AND($R9="X",OR($B9&lt;&gt;"",$C9&lt;&gt;"",$D9&lt;&gt;"",$E9&lt;&gt;""))</formula>
    </cfRule>
  </conditionalFormatting>
  <conditionalFormatting sqref="F37:F38">
    <cfRule type="expression" dxfId="1047" priority="1149">
      <formula>AND($R37="X",OR($B37&lt;&gt;"",#REF!&lt;&gt;"",$D37&lt;&gt;"",#REF!&lt;&gt;""))</formula>
    </cfRule>
  </conditionalFormatting>
  <conditionalFormatting sqref="F83:F84">
    <cfRule type="expression" dxfId="1046" priority="1781">
      <formula>AND($R83="X",OR($B83&lt;&gt;"",$D83&lt;&gt;"",#REF!&lt;&gt;"",$E83&lt;&gt;""))</formula>
    </cfRule>
  </conditionalFormatting>
  <conditionalFormatting sqref="F87">
    <cfRule type="expression" dxfId="1045" priority="1747">
      <formula>AND($R87="X",OR($B87&lt;&gt;"",$C87&lt;&gt;"",$E87&lt;&gt;"",#REF!&lt;&gt;""))</formula>
    </cfRule>
  </conditionalFormatting>
  <conditionalFormatting sqref="F116 F155:F159 F171 F188:F195">
    <cfRule type="expression" dxfId="1044" priority="194">
      <formula>AND($R116="X",OR($B116&lt;&gt;"",$C116&lt;&gt;"",$D116&lt;&gt;"",$E116&lt;&gt;""))</formula>
    </cfRule>
  </conditionalFormatting>
  <conditionalFormatting sqref="F116:F118">
    <cfRule type="expression" dxfId="1043" priority="350">
      <formula>AND($R116="X",OR(#REF!&lt;&gt;"",$B116&lt;&gt;"",$C116&lt;&gt;"",$E116&lt;&gt;""))</formula>
    </cfRule>
  </conditionalFormatting>
  <conditionalFormatting sqref="F119:F122">
    <cfRule type="expression" dxfId="1042" priority="368">
      <formula>AND($R119="X",OR($B119&lt;&gt;"",$C119&lt;&gt;"",$D119&lt;&gt;"",$E119&lt;&gt;""))</formula>
    </cfRule>
  </conditionalFormatting>
  <conditionalFormatting sqref="F120">
    <cfRule type="expression" dxfId="1041" priority="157">
      <formula>AND($R120="X",OR($B120&lt;&gt;"",$C120&lt;&gt;"",$D120&lt;&gt;"",$E120&lt;&gt;""))</formula>
    </cfRule>
  </conditionalFormatting>
  <conditionalFormatting sqref="F122:F124 F133:G133">
    <cfRule type="expression" dxfId="1040" priority="353">
      <formula>AND($R122="X",OR($B122&lt;&gt;"",$C122&lt;&gt;"",$E122&lt;&gt;"",#REF!&lt;&gt;""))</formula>
    </cfRule>
  </conditionalFormatting>
  <conditionalFormatting sqref="F125:F153">
    <cfRule type="expression" dxfId="1039" priority="324">
      <formula>AND($R125="X",OR($B125&lt;&gt;"",$C125&lt;&gt;"",$D125&lt;&gt;"",$E125&lt;&gt;""))</formula>
    </cfRule>
  </conditionalFormatting>
  <conditionalFormatting sqref="F132">
    <cfRule type="expression" dxfId="1038" priority="225">
      <formula>AND($R132="X",OR($B132&lt;&gt;"",$C132&lt;&gt;"",$E132&lt;&gt;"",#REF!&lt;&gt;""))</formula>
    </cfRule>
  </conditionalFormatting>
  <conditionalFormatting sqref="F154">
    <cfRule type="expression" dxfId="1037" priority="902">
      <formula>AND($R154="X",OR($B154&lt;&gt;"",#REF!&lt;&gt;"",$D154&lt;&gt;"",$E154&lt;&gt;""))</formula>
    </cfRule>
  </conditionalFormatting>
  <conditionalFormatting sqref="F163">
    <cfRule type="expression" dxfId="1036" priority="1763">
      <formula>AND($R163="X",OR($B163&lt;&gt;"",$D163&lt;&gt;"",#REF!&lt;&gt;"",$E163&lt;&gt;""))</formula>
    </cfRule>
  </conditionalFormatting>
  <conditionalFormatting sqref="F163:F165">
    <cfRule type="expression" dxfId="1035" priority="1764">
      <formula>AND($R163="X",OR(#REF!&lt;&gt;"",$B163&lt;&gt;"",$D163&lt;&gt;"",$E163&lt;&gt;""))</formula>
    </cfRule>
  </conditionalFormatting>
  <conditionalFormatting sqref="F166:F170">
    <cfRule type="expression" dxfId="1034" priority="1090">
      <formula>AND($R166="X",OR(#REF!&lt;&gt;"",$B166&lt;&gt;"",$C166&lt;&gt;"",$D166&lt;&gt;""))</formula>
    </cfRule>
  </conditionalFormatting>
  <conditionalFormatting sqref="F173:F187">
    <cfRule type="expression" dxfId="1033" priority="1056">
      <formula>AND($R173="X",OR($B173&lt;&gt;"",#REF!&lt;&gt;"",$C173&lt;&gt;"",$D173&lt;&gt;""))</formula>
    </cfRule>
    <cfRule type="expression" dxfId="1032" priority="165">
      <formula>AND($R173="X",OR($B173&lt;&gt;"",#REF!&lt;&gt;"",$C173&lt;&gt;"",$D173&lt;&gt;"",$F173&lt;&gt;""))</formula>
    </cfRule>
  </conditionalFormatting>
  <conditionalFormatting sqref="F185:F187">
    <cfRule type="expression" dxfId="1031" priority="44">
      <formula>AND($R185="X",OR($B185&lt;&gt;"",#REF!&lt;&gt;"",$C185&lt;&gt;"",$D185&lt;&gt;""))</formula>
    </cfRule>
  </conditionalFormatting>
  <conditionalFormatting sqref="F121:G121">
    <cfRule type="expression" dxfId="1030" priority="145">
      <formula>$AE121=1</formula>
    </cfRule>
    <cfRule type="expression" dxfId="1029" priority="144">
      <formula>AND($AE121=1,$AD121=1)</formula>
    </cfRule>
    <cfRule type="expression" dxfId="1028" priority="143">
      <formula>AND($R121="X",OR($B121&lt;&gt;"",$C121&lt;&gt;"",$D121&lt;&gt;""))</formula>
    </cfRule>
    <cfRule type="expression" dxfId="1027" priority="142">
      <formula>$AD121=1</formula>
    </cfRule>
    <cfRule type="expression" dxfId="1026" priority="140">
      <formula>AND($R121="X",OR($B121&lt;&gt;"",$C121&lt;&gt;"",$D121&lt;&gt;"",$E121&lt;&gt;""))</formula>
    </cfRule>
    <cfRule type="expression" dxfId="1025" priority="141">
      <formula>AND($R121="X",OR($B121&lt;&gt;"",$C121&lt;&gt;"",$E121&lt;&gt;"",#REF!&lt;&gt;""))</formula>
    </cfRule>
    <cfRule type="expression" dxfId="1024" priority="146">
      <formula>AND($R121="X",OR($B121&lt;&gt;"",$C121&lt;&gt;"",$D121&lt;&gt;""))</formula>
    </cfRule>
  </conditionalFormatting>
  <conditionalFormatting sqref="F122:G122">
    <cfRule type="expression" dxfId="1023" priority="129">
      <formula>AND($R122="X",OR($B122&lt;&gt;"",$C122&lt;&gt;"",$D122&lt;&gt;""))</formula>
    </cfRule>
    <cfRule type="expression" dxfId="1022" priority="128">
      <formula>AND($R122="X",OR($B122&lt;&gt;"",$C122&lt;&gt;""))</formula>
    </cfRule>
  </conditionalFormatting>
  <conditionalFormatting sqref="F161:G161">
    <cfRule type="expression" dxfId="1021" priority="124">
      <formula>AND($R161="X",OR($B161&lt;&gt;"",$C161&lt;&gt;"",$D161&lt;&gt;"",#REF!&lt;&gt;"",$F161&lt;&gt;""))</formula>
    </cfRule>
  </conditionalFormatting>
  <conditionalFormatting sqref="F172:G172">
    <cfRule type="expression" dxfId="1020" priority="1067">
      <formula>AND($R172="X",OR($B172&lt;&gt;"",$C172&lt;&gt;"",$D172&lt;&gt;"",#REF!&lt;&gt;"",$F172&lt;&gt;""))</formula>
    </cfRule>
  </conditionalFormatting>
  <conditionalFormatting sqref="G9:G35 D162:G162">
    <cfRule type="expression" dxfId="1019" priority="88">
      <formula>AND($R9="X",OR($B9&lt;&gt;"",$C9&lt;&gt;"",$D9&lt;&gt;"",$E9&lt;&gt;"",$F9&lt;&gt;""))</formula>
    </cfRule>
  </conditionalFormatting>
  <conditionalFormatting sqref="G37:G38">
    <cfRule type="expression" dxfId="1018" priority="1156">
      <formula>AND($R37="X",OR($B37&lt;&gt;"",#REF!&lt;&gt;"",$D37&lt;&gt;"",#REF!&lt;&gt;"",$F37&lt;&gt;""))</formula>
    </cfRule>
  </conditionalFormatting>
  <conditionalFormatting sqref="G39:G82 G85:G86 F121 G155:G159 G171">
    <cfRule type="expression" dxfId="1017" priority="139">
      <formula>AND($R39="X",OR($B39&lt;&gt;"",$C39&lt;&gt;"",$D39&lt;&gt;"",$E39&lt;&gt;"",$F39&lt;&gt;""))</formula>
    </cfRule>
  </conditionalFormatting>
  <conditionalFormatting sqref="G83:G84">
    <cfRule type="expression" dxfId="1016" priority="1786">
      <formula>AND($R83="X",OR($B83&lt;&gt;"",$D83&lt;&gt;"",#REF!&lt;&gt;"",$E83&lt;&gt;"",$F83&lt;&gt;""))</formula>
    </cfRule>
  </conditionalFormatting>
  <conditionalFormatting sqref="G87">
    <cfRule type="expression" dxfId="1015" priority="1749">
      <formula>AND($R87="X",OR($B87&lt;&gt;"",$C87&lt;&gt;"",$E87&lt;&gt;"",#REF!&lt;&gt;"",$F87&lt;&gt;""))</formula>
    </cfRule>
  </conditionalFormatting>
  <conditionalFormatting sqref="G88:G114 F187">
    <cfRule type="expression" dxfId="1014" priority="87">
      <formula>AND($R88="X",OR($B88&lt;&gt;"",$C88&lt;&gt;"",$D88&lt;&gt;"",$E88&lt;&gt;"",$F88&lt;&gt;""))</formula>
    </cfRule>
  </conditionalFormatting>
  <conditionalFormatting sqref="G116">
    <cfRule type="expression" dxfId="1013" priority="195">
      <formula>AND($R116="X",OR($B116&lt;&gt;"",$C116&lt;&gt;"",$D116&lt;&gt;"",$E116&lt;&gt;"",$F116&lt;&gt;""))</formula>
    </cfRule>
  </conditionalFormatting>
  <conditionalFormatting sqref="G116:G118">
    <cfRule type="expression" dxfId="1012" priority="351">
      <formula>AND($R116="X",OR(#REF!&lt;&gt;"",$B116&lt;&gt;"",$C116&lt;&gt;"",$E116&lt;&gt;"",$F116&lt;&gt;""))</formula>
    </cfRule>
  </conditionalFormatting>
  <conditionalFormatting sqref="G119:G122">
    <cfRule type="expression" dxfId="1011" priority="369">
      <formula>AND($R119="X",OR($B119&lt;&gt;"",$C119&lt;&gt;"",$D119&lt;&gt;"",$E119&lt;&gt;"",$F119&lt;&gt;""))</formula>
    </cfRule>
  </conditionalFormatting>
  <conditionalFormatting sqref="G120">
    <cfRule type="expression" dxfId="1010" priority="158">
      <formula>AND($R120="X",OR($B120&lt;&gt;"",$C120&lt;&gt;"",$D120&lt;&gt;"",$E120&lt;&gt;"",$F120&lt;&gt;""))</formula>
    </cfRule>
  </conditionalFormatting>
  <conditionalFormatting sqref="G122">
    <cfRule type="expression" dxfId="1009" priority="127">
      <formula>AND($R122="X",OR($B122&lt;&gt;"",$C122&lt;&gt;"",$D122&lt;&gt;"",$E122&lt;&gt;""))</formula>
    </cfRule>
    <cfRule type="expression" dxfId="1008" priority="126">
      <formula>AND($R122="X",OR($B122&lt;&gt;"",$C122&lt;&gt;"",$E122&lt;&gt;"",#REF!&lt;&gt;""))</formula>
    </cfRule>
  </conditionalFormatting>
  <conditionalFormatting sqref="G122:G124">
    <cfRule type="expression" dxfId="1007" priority="354">
      <formula>AND($R122="X",OR($B122&lt;&gt;"",$C122&lt;&gt;"",$E122&lt;&gt;"",#REF!&lt;&gt;"",$F122&lt;&gt;""))</formula>
    </cfRule>
  </conditionalFormatting>
  <conditionalFormatting sqref="G125:G132 G188:G195">
    <cfRule type="expression" dxfId="1006" priority="325">
      <formula>AND($R125="X",OR($B125&lt;&gt;"",$C125&lt;&gt;"",$D125&lt;&gt;"",$E125&lt;&gt;"",$F125&lt;&gt;""))</formula>
    </cfRule>
  </conditionalFormatting>
  <conditionalFormatting sqref="G133">
    <cfRule type="expression" dxfId="1005" priority="925">
      <formula>AND($R133="X",OR($B133&lt;&gt;"",$C133&lt;&gt;"",$E133&lt;&gt;"",#REF!&lt;&gt;"",$F133&lt;&gt;""))</formula>
    </cfRule>
    <cfRule type="expression" dxfId="1004" priority="263">
      <formula>AND($R133="X",OR($B133&lt;&gt;"",$C133&lt;&gt;"",$D133&lt;&gt;"",$E133&lt;&gt;""))</formula>
    </cfRule>
  </conditionalFormatting>
  <conditionalFormatting sqref="G134:G153">
    <cfRule type="expression" dxfId="1003" priority="217">
      <formula>AND($R134="X",OR($B134&lt;&gt;"",$C134&lt;&gt;"",$D134&lt;&gt;"",$E134&lt;&gt;"",$F134&lt;&gt;""))</formula>
    </cfRule>
  </conditionalFormatting>
  <conditionalFormatting sqref="G154">
    <cfRule type="expression" dxfId="1002" priority="903">
      <formula>AND($R154="X",OR($B154&lt;&gt;"",#REF!&lt;&gt;"",$D154&lt;&gt;"",$E154&lt;&gt;"",$F154&lt;&gt;""))</formula>
    </cfRule>
  </conditionalFormatting>
  <conditionalFormatting sqref="G163">
    <cfRule type="expression" dxfId="1001" priority="1765">
      <formula>AND($R163="X",OR($B163&lt;&gt;"",$D163&lt;&gt;"",#REF!&lt;&gt;"",$E163&lt;&gt;"",$F163&lt;&gt;""))</formula>
    </cfRule>
  </conditionalFormatting>
  <conditionalFormatting sqref="G163:G165">
    <cfRule type="expression" dxfId="1000" priority="1766">
      <formula>AND($R163="X",OR(#REF!&lt;&gt;"",$B163&lt;&gt;"",$D163&lt;&gt;"",$E163&lt;&gt;"",$F163&lt;&gt;""))</formula>
    </cfRule>
  </conditionalFormatting>
  <conditionalFormatting sqref="G166:G170">
    <cfRule type="expression" dxfId="999" priority="1092">
      <formula>AND($R166="X",OR(#REF!&lt;&gt;"",$B166&lt;&gt;"",$C166&lt;&gt;"",$D166&lt;&gt;"",$F166&lt;&gt;""))</formula>
    </cfRule>
  </conditionalFormatting>
  <conditionalFormatting sqref="G173:G187">
    <cfRule type="expression" dxfId="998" priority="1060">
      <formula>AND($R173="X",OR($B173&lt;&gt;"",#REF!&lt;&gt;"",$C173&lt;&gt;"",$D173&lt;&gt;"",$F173&lt;&gt;""))</formula>
    </cfRule>
  </conditionalFormatting>
  <conditionalFormatting sqref="H197:H198 H218:H1058">
    <cfRule type="expression" dxfId="997" priority="484">
      <formula>$Q197="X"</formula>
    </cfRule>
  </conditionalFormatting>
  <conditionalFormatting sqref="I11:I25 I27:I195">
    <cfRule type="expression" dxfId="996" priority="34">
      <formula>$R11="X"</formula>
    </cfRule>
  </conditionalFormatting>
  <conditionalFormatting sqref="Q9:Q195">
    <cfRule type="cellIs" dxfId="995" priority="33" operator="equal">
      <formula>"0..1"</formula>
    </cfRule>
    <cfRule type="cellIs" dxfId="994" priority="32" operator="equal">
      <formula>"0..n"</formula>
    </cfRule>
    <cfRule type="cellIs" dxfId="993" priority="31" operator="equal">
      <formula>"1..1"</formula>
    </cfRule>
  </conditionalFormatting>
  <hyperlinks>
    <hyperlink ref="I111"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94" zoomScaleNormal="115" workbookViewId="0">
      <pane xSplit="7" ySplit="8" topLeftCell="H113" activePane="bottomRight" state="frozen"/>
      <selection pane="bottomRight" activeCell="B5" sqref="B5"/>
      <selection pane="bottomLeft" activeCell="A9" sqref="A9"/>
      <selection pane="topRight" activeCell="H1" sqref="H1"/>
    </sheetView>
  </sheetViews>
  <sheetFormatPr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hidden="1" customWidth="1"/>
    <col min="14" max="14" width="13.125" hidden="1" customWidth="1"/>
    <col min="15" max="18" width="11" hidden="1" customWidth="1"/>
    <col min="19" max="19" width="14" customWidth="1"/>
    <col min="20" max="21" width="14" hidden="1" customWidth="1"/>
    <col min="22" max="22" width="17.375" hidden="1" customWidth="1"/>
    <col min="23" max="28" width="11" hidden="1" customWidth="1"/>
    <col min="29" max="29" width="2.625" hidden="1" customWidth="1"/>
    <col min="30" max="34" width="11" hidden="1" customWidth="1"/>
    <col min="35" max="35" width="14" customWidth="1"/>
  </cols>
  <sheetData>
    <row r="1" spans="1:1032" ht="15.95" customHeight="1">
      <c r="A1" s="287" t="s">
        <v>1693</v>
      </c>
      <c r="B1" s="287"/>
      <c r="C1" s="129" t="s">
        <v>813</v>
      </c>
      <c r="D1" s="128"/>
      <c r="E1" s="294" t="s">
        <v>814</v>
      </c>
      <c r="F1" s="157">
        <v>0.7</v>
      </c>
      <c r="G1" s="128"/>
      <c r="H1" s="697" t="s">
        <v>1694</v>
      </c>
      <c r="I1" s="697"/>
      <c r="J1" s="697"/>
      <c r="K1" s="697"/>
      <c r="L1" s="697"/>
      <c r="M1" s="295" t="s">
        <v>1694</v>
      </c>
      <c r="N1" s="295" t="s">
        <v>1694</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70"/>
      <c r="B2" s="128"/>
      <c r="C2" s="296" t="s">
        <v>818</v>
      </c>
      <c r="D2" s="128"/>
      <c r="E2" s="297" t="s">
        <v>819</v>
      </c>
      <c r="F2" s="157">
        <v>0.64</v>
      </c>
      <c r="G2" s="128"/>
      <c r="H2" s="697"/>
      <c r="I2" s="697"/>
      <c r="J2" s="697"/>
      <c r="K2" s="697"/>
      <c r="L2" s="697"/>
      <c r="M2" s="295" t="s">
        <v>1694</v>
      </c>
      <c r="N2" s="295" t="s">
        <v>1694</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8" t="s">
        <v>821</v>
      </c>
      <c r="D3" s="128"/>
      <c r="E3" s="299"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300" t="s">
        <v>824</v>
      </c>
      <c r="D4" s="128"/>
      <c r="E4" s="301" t="s">
        <v>825</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6"/>
      <c r="B5" s="149"/>
      <c r="C5" s="145" t="s">
        <v>826</v>
      </c>
      <c r="D5" s="149"/>
      <c r="E5" s="302" t="s">
        <v>1694</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3" t="s">
        <v>827</v>
      </c>
      <c r="D6" s="303"/>
      <c r="E6" s="138" t="s">
        <v>1694</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1694</v>
      </c>
      <c r="C7" s="304" t="s">
        <v>1694</v>
      </c>
      <c r="D7" s="304" t="s">
        <v>1694</v>
      </c>
      <c r="E7" s="304" t="s">
        <v>1694</v>
      </c>
      <c r="F7" s="96"/>
      <c r="G7" s="96"/>
      <c r="H7" s="96"/>
      <c r="I7" s="96"/>
      <c r="J7" s="96"/>
      <c r="K7" s="96"/>
      <c r="L7" s="96"/>
      <c r="M7" s="96"/>
      <c r="N7" s="96"/>
      <c r="O7" s="698" t="s">
        <v>1695</v>
      </c>
      <c r="P7" s="698"/>
      <c r="Q7" s="698"/>
      <c r="R7" s="698"/>
      <c r="S7" s="305"/>
      <c r="T7" s="96"/>
      <c r="U7" s="96"/>
      <c r="V7" s="96"/>
      <c r="W7" s="96"/>
      <c r="X7" s="96"/>
      <c r="Y7" s="96"/>
      <c r="Z7" s="96"/>
      <c r="AA7" s="699" t="s">
        <v>829</v>
      </c>
      <c r="AB7" s="699"/>
      <c r="AD7" s="96"/>
      <c r="AE7" s="96"/>
      <c r="AF7" s="96"/>
      <c r="AG7" s="700" t="s">
        <v>830</v>
      </c>
      <c r="AH7" s="700"/>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6" t="s">
        <v>831</v>
      </c>
      <c r="B8" s="307" t="s">
        <v>832</v>
      </c>
      <c r="C8" s="307" t="s">
        <v>833</v>
      </c>
      <c r="D8" s="307" t="s">
        <v>834</v>
      </c>
      <c r="E8" s="307" t="s">
        <v>835</v>
      </c>
      <c r="F8" s="307" t="s">
        <v>836</v>
      </c>
      <c r="G8" s="307" t="s">
        <v>837</v>
      </c>
      <c r="H8" s="308" t="s">
        <v>9</v>
      </c>
      <c r="I8" s="308" t="s">
        <v>1696</v>
      </c>
      <c r="J8" s="308" t="s">
        <v>838</v>
      </c>
      <c r="K8" s="308" t="s">
        <v>1697</v>
      </c>
      <c r="L8" s="309" t="s">
        <v>840</v>
      </c>
      <c r="M8" s="309" t="s">
        <v>841</v>
      </c>
      <c r="N8" s="310" t="s">
        <v>842</v>
      </c>
      <c r="O8" s="309" t="s">
        <v>843</v>
      </c>
      <c r="P8" s="309" t="s">
        <v>844</v>
      </c>
      <c r="Q8" s="309" t="s">
        <v>845</v>
      </c>
      <c r="R8" s="309" t="s">
        <v>846</v>
      </c>
      <c r="S8" s="310" t="s">
        <v>677</v>
      </c>
      <c r="T8" s="373" t="s">
        <v>1698</v>
      </c>
      <c r="U8" s="373" t="s">
        <v>1699</v>
      </c>
      <c r="V8" s="373" t="s">
        <v>1700</v>
      </c>
      <c r="W8" s="308" t="s">
        <v>3</v>
      </c>
      <c r="X8" s="308" t="s">
        <v>1701</v>
      </c>
      <c r="Y8" s="308" t="s">
        <v>1702</v>
      </c>
      <c r="Z8" s="308" t="s">
        <v>849</v>
      </c>
      <c r="AA8" s="311" t="s">
        <v>850</v>
      </c>
      <c r="AB8" s="311" t="s">
        <v>851</v>
      </c>
      <c r="AC8" s="312" t="s">
        <v>852</v>
      </c>
      <c r="AD8" s="313" t="s">
        <v>853</v>
      </c>
      <c r="AE8" s="313" t="s">
        <v>854</v>
      </c>
      <c r="AF8" s="313" t="s">
        <v>856</v>
      </c>
      <c r="AG8" s="313" t="s">
        <v>857</v>
      </c>
      <c r="AH8" s="314" t="s">
        <v>915</v>
      </c>
      <c r="AI8" s="524" t="s">
        <v>1703</v>
      </c>
      <c r="AJ8" s="315"/>
      <c r="AK8" s="315"/>
      <c r="AL8" s="315"/>
      <c r="AM8" s="315"/>
      <c r="AN8" s="315"/>
      <c r="AO8" s="315"/>
      <c r="AP8" s="315"/>
      <c r="AQ8" s="315"/>
      <c r="AR8" s="315"/>
      <c r="AS8" s="315"/>
      <c r="AT8" s="315"/>
      <c r="AU8" s="315"/>
      <c r="AV8" s="315"/>
      <c r="AW8" s="315"/>
      <c r="AX8" s="315"/>
      <c r="AY8" s="315"/>
      <c r="AZ8" s="315"/>
      <c r="BA8" s="315"/>
      <c r="BB8" s="315"/>
      <c r="BC8" s="315"/>
      <c r="BD8" s="315"/>
      <c r="BE8" s="315"/>
      <c r="BF8" s="315"/>
      <c r="BG8" s="315"/>
      <c r="BH8" s="315"/>
      <c r="BI8" s="315"/>
      <c r="BJ8" s="315"/>
      <c r="BK8" s="315"/>
      <c r="BL8" s="315"/>
      <c r="BM8" s="315"/>
      <c r="BN8" s="315"/>
      <c r="BO8" s="315"/>
      <c r="BP8" s="315"/>
      <c r="BQ8" s="315"/>
      <c r="BR8" s="315"/>
      <c r="BS8" s="315"/>
      <c r="BT8" s="315"/>
      <c r="BU8" s="315"/>
      <c r="BV8" s="315"/>
      <c r="BW8" s="315"/>
      <c r="BX8" s="315"/>
      <c r="BY8" s="315"/>
      <c r="BZ8" s="315"/>
      <c r="CA8" s="315"/>
      <c r="CB8" s="315"/>
      <c r="CC8" s="315"/>
      <c r="CD8" s="315"/>
      <c r="CE8" s="315"/>
      <c r="CF8" s="315"/>
      <c r="CG8" s="315"/>
      <c r="CH8" s="315"/>
      <c r="CI8" s="315"/>
      <c r="CJ8" s="315"/>
      <c r="CK8" s="315"/>
      <c r="CL8" s="315"/>
      <c r="CM8" s="315"/>
      <c r="CN8" s="315"/>
      <c r="CO8" s="315"/>
      <c r="CP8" s="315"/>
      <c r="CQ8" s="315"/>
      <c r="CR8" s="315"/>
      <c r="CS8" s="315"/>
      <c r="CT8" s="315"/>
      <c r="CU8" s="315"/>
      <c r="CV8" s="315"/>
      <c r="CW8" s="315"/>
      <c r="CX8" s="315"/>
      <c r="CY8" s="315"/>
      <c r="CZ8" s="315"/>
      <c r="DA8" s="315"/>
      <c r="DB8" s="315"/>
      <c r="DC8" s="315"/>
      <c r="DD8" s="315"/>
      <c r="DE8" s="315"/>
      <c r="DF8" s="315"/>
      <c r="DG8" s="315"/>
      <c r="DH8" s="315"/>
      <c r="DI8" s="315"/>
      <c r="DJ8" s="315"/>
      <c r="DK8" s="315"/>
      <c r="DL8" s="315"/>
      <c r="DM8" s="315"/>
      <c r="DN8" s="315"/>
      <c r="DO8" s="315"/>
      <c r="DP8" s="315"/>
      <c r="DQ8" s="315"/>
      <c r="DR8" s="315"/>
      <c r="DS8" s="315"/>
      <c r="DT8" s="315"/>
      <c r="DU8" s="315"/>
      <c r="DV8" s="315"/>
      <c r="DW8" s="315"/>
      <c r="DX8" s="315"/>
      <c r="DY8" s="315"/>
      <c r="DZ8" s="315"/>
      <c r="EA8" s="315"/>
      <c r="EB8" s="315"/>
      <c r="EC8" s="315"/>
      <c r="ED8" s="315"/>
      <c r="EE8" s="315"/>
      <c r="EF8" s="315"/>
      <c r="EG8" s="315"/>
      <c r="EH8" s="315"/>
      <c r="EI8" s="315"/>
      <c r="EJ8" s="315"/>
      <c r="EK8" s="315"/>
      <c r="EL8" s="315"/>
      <c r="EM8" s="315"/>
      <c r="EN8" s="315"/>
      <c r="EO8" s="315"/>
      <c r="EP8" s="315"/>
      <c r="EQ8" s="315"/>
      <c r="ER8" s="315"/>
      <c r="ES8" s="315"/>
      <c r="ET8" s="315"/>
      <c r="EU8" s="315"/>
      <c r="EV8" s="315"/>
      <c r="EW8" s="315"/>
      <c r="EX8" s="315"/>
      <c r="EY8" s="315"/>
      <c r="EZ8" s="315"/>
      <c r="FA8" s="315"/>
      <c r="FB8" s="315"/>
      <c r="FC8" s="315"/>
      <c r="FD8" s="315"/>
      <c r="FE8" s="315"/>
      <c r="FF8" s="315"/>
      <c r="FG8" s="315"/>
      <c r="FH8" s="315"/>
      <c r="FI8" s="315"/>
      <c r="FJ8" s="315"/>
      <c r="FK8" s="315"/>
      <c r="FL8" s="315"/>
      <c r="FM8" s="315"/>
      <c r="FN8" s="315"/>
      <c r="FO8" s="315"/>
      <c r="FP8" s="315"/>
      <c r="FQ8" s="315"/>
      <c r="FR8" s="315"/>
      <c r="FS8" s="315"/>
      <c r="FT8" s="315"/>
      <c r="FU8" s="315"/>
      <c r="FV8" s="315"/>
      <c r="FW8" s="315"/>
      <c r="FX8" s="315"/>
      <c r="FY8" s="315"/>
      <c r="FZ8" s="315"/>
      <c r="GA8" s="315"/>
      <c r="GB8" s="315"/>
      <c r="GC8" s="315"/>
      <c r="GD8" s="315"/>
      <c r="GE8" s="315"/>
      <c r="GF8" s="315"/>
      <c r="GG8" s="315"/>
      <c r="GH8" s="315"/>
      <c r="GI8" s="315"/>
      <c r="GJ8" s="315"/>
      <c r="GK8" s="315"/>
      <c r="GL8" s="315"/>
      <c r="GM8" s="315"/>
      <c r="GN8" s="315"/>
      <c r="GO8" s="315"/>
      <c r="GP8" s="315"/>
      <c r="GQ8" s="315"/>
      <c r="GR8" s="315"/>
      <c r="GS8" s="315"/>
      <c r="GT8" s="315"/>
      <c r="GU8" s="315"/>
      <c r="GV8" s="315"/>
      <c r="GW8" s="315"/>
      <c r="GX8" s="315"/>
      <c r="GY8" s="315"/>
      <c r="GZ8" s="315"/>
      <c r="HA8" s="315"/>
      <c r="HB8" s="315"/>
      <c r="HC8" s="315"/>
      <c r="HD8" s="315"/>
      <c r="HE8" s="315"/>
      <c r="HF8" s="315"/>
      <c r="HG8" s="315"/>
      <c r="HH8" s="315"/>
      <c r="HI8" s="315"/>
      <c r="HJ8" s="315"/>
      <c r="HK8" s="315"/>
      <c r="HL8" s="315"/>
      <c r="HM8" s="315"/>
      <c r="HN8" s="315"/>
      <c r="HO8" s="315"/>
      <c r="HP8" s="315"/>
      <c r="HQ8" s="315"/>
      <c r="HR8" s="315"/>
      <c r="HS8" s="315"/>
      <c r="HT8" s="315"/>
      <c r="HU8" s="315"/>
      <c r="HV8" s="315"/>
      <c r="HW8" s="315"/>
      <c r="HX8" s="315"/>
      <c r="HY8" s="315"/>
      <c r="HZ8" s="315"/>
      <c r="IA8" s="315"/>
      <c r="IB8" s="315"/>
      <c r="IC8" s="315"/>
      <c r="ID8" s="315"/>
      <c r="IE8" s="315"/>
      <c r="IF8" s="315"/>
      <c r="IG8" s="315"/>
      <c r="IH8" s="315"/>
      <c r="II8" s="315"/>
      <c r="IJ8" s="315"/>
      <c r="IK8" s="315"/>
      <c r="IL8" s="315"/>
      <c r="IM8" s="315"/>
      <c r="IN8" s="315"/>
      <c r="IO8" s="315"/>
      <c r="IP8" s="315"/>
      <c r="IQ8" s="315"/>
      <c r="IR8" s="315"/>
      <c r="IS8" s="315"/>
      <c r="IT8" s="315"/>
      <c r="IU8" s="315"/>
      <c r="IV8" s="315"/>
      <c r="IW8" s="315"/>
      <c r="IX8" s="315"/>
      <c r="IY8" s="315"/>
      <c r="IZ8" s="315"/>
      <c r="JA8" s="315"/>
      <c r="JB8" s="315"/>
      <c r="JC8" s="315"/>
      <c r="JD8" s="315"/>
      <c r="JE8" s="315"/>
      <c r="JF8" s="315"/>
      <c r="JG8" s="315"/>
      <c r="JH8" s="315"/>
      <c r="JI8" s="315"/>
      <c r="JJ8" s="315"/>
      <c r="JK8" s="315"/>
      <c r="JL8" s="315"/>
      <c r="JM8" s="315"/>
      <c r="JN8" s="315"/>
      <c r="JO8" s="315"/>
      <c r="JP8" s="315"/>
      <c r="JQ8" s="315"/>
      <c r="JR8" s="315"/>
      <c r="JS8" s="315"/>
      <c r="JT8" s="315"/>
      <c r="JU8" s="315"/>
      <c r="JV8" s="315"/>
      <c r="JW8" s="315"/>
      <c r="JX8" s="315"/>
      <c r="JY8" s="315"/>
      <c r="JZ8" s="315"/>
      <c r="KA8" s="315"/>
      <c r="KB8" s="315"/>
      <c r="KC8" s="315"/>
      <c r="KD8" s="315"/>
      <c r="KE8" s="315"/>
      <c r="KF8" s="315"/>
      <c r="KG8" s="315"/>
      <c r="KH8" s="315"/>
      <c r="KI8" s="315"/>
      <c r="KJ8" s="315"/>
      <c r="KK8" s="315"/>
      <c r="KL8" s="315"/>
      <c r="KM8" s="315"/>
      <c r="KN8" s="315"/>
      <c r="KO8" s="315"/>
      <c r="KP8" s="315"/>
      <c r="KQ8" s="315"/>
      <c r="KR8" s="315"/>
      <c r="KS8" s="315"/>
      <c r="KT8" s="315"/>
      <c r="KU8" s="315"/>
      <c r="KV8" s="315"/>
      <c r="KW8" s="315"/>
      <c r="KX8" s="315"/>
      <c r="KY8" s="315"/>
      <c r="KZ8" s="315"/>
      <c r="LA8" s="315"/>
      <c r="LB8" s="315"/>
      <c r="LC8" s="315"/>
      <c r="LD8" s="315"/>
      <c r="LE8" s="315"/>
      <c r="LF8" s="315"/>
      <c r="LG8" s="315"/>
      <c r="LH8" s="315"/>
      <c r="LI8" s="315"/>
      <c r="LJ8" s="315"/>
      <c r="LK8" s="315"/>
      <c r="LL8" s="315"/>
      <c r="LM8" s="315"/>
      <c r="LN8" s="315"/>
      <c r="LO8" s="315"/>
      <c r="LP8" s="315"/>
      <c r="LQ8" s="315"/>
      <c r="LR8" s="315"/>
      <c r="LS8" s="315"/>
      <c r="LT8" s="315"/>
      <c r="LU8" s="315"/>
      <c r="LV8" s="315"/>
      <c r="LW8" s="315"/>
      <c r="LX8" s="315"/>
      <c r="LY8" s="315"/>
      <c r="LZ8" s="315"/>
      <c r="MA8" s="315"/>
      <c r="MB8" s="315"/>
      <c r="MC8" s="315"/>
      <c r="MD8" s="315"/>
      <c r="ME8" s="315"/>
      <c r="MF8" s="315"/>
      <c r="MG8" s="315"/>
      <c r="MH8" s="315"/>
      <c r="MI8" s="315"/>
      <c r="MJ8" s="315"/>
      <c r="MK8" s="315"/>
      <c r="ML8" s="315"/>
      <c r="MM8" s="315"/>
      <c r="MN8" s="315"/>
      <c r="MO8" s="315"/>
      <c r="MP8" s="315"/>
      <c r="MQ8" s="315"/>
      <c r="MR8" s="315"/>
      <c r="MS8" s="315"/>
      <c r="MT8" s="315"/>
      <c r="MU8" s="315"/>
      <c r="MV8" s="315"/>
      <c r="MW8" s="315"/>
      <c r="MX8" s="315"/>
      <c r="MY8" s="315"/>
      <c r="MZ8" s="315"/>
      <c r="NA8" s="315"/>
      <c r="NB8" s="315"/>
      <c r="NC8" s="315"/>
      <c r="ND8" s="315"/>
      <c r="NE8" s="315"/>
      <c r="NF8" s="315"/>
      <c r="NG8" s="315"/>
      <c r="NH8" s="315"/>
      <c r="NI8" s="315"/>
      <c r="NJ8" s="315"/>
      <c r="NK8" s="315"/>
      <c r="NL8" s="315"/>
      <c r="NM8" s="315"/>
      <c r="NN8" s="315"/>
      <c r="NO8" s="315"/>
      <c r="NP8" s="315"/>
      <c r="NQ8" s="315"/>
      <c r="NR8" s="315"/>
      <c r="NS8" s="315"/>
      <c r="NT8" s="315"/>
      <c r="NU8" s="315"/>
      <c r="NV8" s="315"/>
      <c r="NW8" s="315"/>
      <c r="NX8" s="315"/>
      <c r="NY8" s="315"/>
      <c r="NZ8" s="315"/>
      <c r="OA8" s="315"/>
      <c r="OB8" s="315"/>
      <c r="OC8" s="315"/>
      <c r="OD8" s="315"/>
      <c r="OE8" s="315"/>
      <c r="OF8" s="315"/>
      <c r="OG8" s="315"/>
      <c r="OH8" s="315"/>
      <c r="OI8" s="315"/>
      <c r="OJ8" s="315"/>
      <c r="OK8" s="315"/>
      <c r="OL8" s="315"/>
      <c r="OM8" s="315"/>
      <c r="ON8" s="315"/>
      <c r="OO8" s="315"/>
      <c r="OP8" s="315"/>
      <c r="OQ8" s="315"/>
      <c r="OR8" s="315"/>
      <c r="OS8" s="315"/>
      <c r="OT8" s="315"/>
      <c r="OU8" s="315"/>
      <c r="OV8" s="315"/>
      <c r="OW8" s="315"/>
      <c r="OX8" s="315"/>
      <c r="OY8" s="315"/>
      <c r="OZ8" s="315"/>
      <c r="PA8" s="315"/>
      <c r="PB8" s="315"/>
      <c r="PC8" s="315"/>
      <c r="PD8" s="315"/>
      <c r="PE8" s="315"/>
      <c r="PF8" s="315"/>
      <c r="PG8" s="315"/>
      <c r="PH8" s="315"/>
      <c r="PI8" s="315"/>
      <c r="PJ8" s="315"/>
      <c r="PK8" s="315"/>
      <c r="PL8" s="315"/>
      <c r="PM8" s="315"/>
      <c r="PN8" s="315"/>
      <c r="PO8" s="315"/>
      <c r="PP8" s="315"/>
      <c r="PQ8" s="315"/>
      <c r="PR8" s="315"/>
      <c r="PS8" s="315"/>
      <c r="PT8" s="315"/>
      <c r="PU8" s="315"/>
      <c r="PV8" s="315"/>
      <c r="PW8" s="315"/>
      <c r="PX8" s="315"/>
      <c r="PY8" s="315"/>
      <c r="PZ8" s="315"/>
      <c r="QA8" s="315"/>
      <c r="QB8" s="315"/>
      <c r="QC8" s="315"/>
      <c r="QD8" s="315"/>
      <c r="QE8" s="315"/>
      <c r="QF8" s="315"/>
      <c r="QG8" s="315"/>
      <c r="QH8" s="315"/>
      <c r="QI8" s="315"/>
      <c r="QJ8" s="315"/>
      <c r="QK8" s="315"/>
      <c r="QL8" s="315"/>
      <c r="QM8" s="315"/>
      <c r="QN8" s="315"/>
      <c r="QO8" s="315"/>
      <c r="QP8" s="315"/>
      <c r="QQ8" s="315"/>
      <c r="QR8" s="315"/>
      <c r="QS8" s="315"/>
      <c r="QT8" s="315"/>
      <c r="QU8" s="315"/>
      <c r="QV8" s="315"/>
      <c r="QW8" s="315"/>
      <c r="QX8" s="315"/>
      <c r="QY8" s="315"/>
      <c r="QZ8" s="315"/>
      <c r="RA8" s="315"/>
      <c r="RB8" s="315"/>
      <c r="RC8" s="315"/>
      <c r="RD8" s="315"/>
      <c r="RE8" s="315"/>
      <c r="RF8" s="315"/>
      <c r="RG8" s="315"/>
      <c r="RH8" s="315"/>
      <c r="RI8" s="315"/>
      <c r="RJ8" s="315"/>
      <c r="RK8" s="315"/>
      <c r="RL8" s="315"/>
      <c r="RM8" s="315"/>
      <c r="RN8" s="315"/>
      <c r="RO8" s="315"/>
      <c r="RP8" s="315"/>
      <c r="RQ8" s="315"/>
      <c r="RR8" s="315"/>
      <c r="RS8" s="315"/>
      <c r="RT8" s="315"/>
      <c r="RU8" s="315"/>
      <c r="RV8" s="315"/>
      <c r="RW8" s="315"/>
      <c r="RX8" s="315"/>
      <c r="RY8" s="315"/>
      <c r="RZ8" s="315"/>
      <c r="SA8" s="315"/>
      <c r="SB8" s="315"/>
      <c r="SC8" s="315"/>
      <c r="SD8" s="315"/>
      <c r="SE8" s="315"/>
      <c r="SF8" s="315"/>
      <c r="SG8" s="315"/>
      <c r="SH8" s="315"/>
      <c r="SI8" s="315"/>
      <c r="SJ8" s="315"/>
      <c r="SK8" s="315"/>
      <c r="SL8" s="315"/>
      <c r="SM8" s="315"/>
      <c r="SN8" s="315"/>
      <c r="SO8" s="315"/>
      <c r="SP8" s="315"/>
      <c r="SQ8" s="315"/>
      <c r="SR8" s="315"/>
      <c r="SS8" s="315"/>
      <c r="ST8" s="315"/>
      <c r="SU8" s="315"/>
      <c r="SV8" s="315"/>
      <c r="SW8" s="315"/>
      <c r="SX8" s="315"/>
      <c r="SY8" s="315"/>
      <c r="SZ8" s="315"/>
      <c r="TA8" s="315"/>
      <c r="TB8" s="315"/>
      <c r="TC8" s="315"/>
      <c r="TD8" s="315"/>
      <c r="TE8" s="315"/>
      <c r="TF8" s="315"/>
      <c r="TG8" s="315"/>
      <c r="TH8" s="315"/>
      <c r="TI8" s="315"/>
      <c r="TJ8" s="315"/>
      <c r="TK8" s="315"/>
      <c r="TL8" s="315"/>
      <c r="TM8" s="315"/>
      <c r="TN8" s="315"/>
      <c r="TO8" s="315"/>
      <c r="TP8" s="315"/>
      <c r="TQ8" s="315"/>
      <c r="TR8" s="315"/>
      <c r="TS8" s="315"/>
      <c r="TT8" s="315"/>
      <c r="TU8" s="315"/>
      <c r="TV8" s="315"/>
      <c r="TW8" s="315"/>
      <c r="TX8" s="315"/>
      <c r="TY8" s="315"/>
      <c r="TZ8" s="315"/>
      <c r="UA8" s="315"/>
      <c r="UB8" s="315"/>
      <c r="UC8" s="315"/>
      <c r="UD8" s="315"/>
      <c r="UE8" s="315"/>
      <c r="UF8" s="315"/>
      <c r="UG8" s="315"/>
      <c r="UH8" s="315"/>
      <c r="UI8" s="315"/>
      <c r="UJ8" s="315"/>
      <c r="UK8" s="315"/>
      <c r="UL8" s="315"/>
      <c r="UM8" s="315"/>
      <c r="UN8" s="315"/>
      <c r="UO8" s="315"/>
      <c r="UP8" s="315"/>
      <c r="UQ8" s="315"/>
      <c r="UR8" s="315"/>
      <c r="US8" s="315"/>
      <c r="UT8" s="315"/>
      <c r="UU8" s="315"/>
      <c r="UV8" s="315"/>
      <c r="UW8" s="315"/>
      <c r="UX8" s="315"/>
      <c r="UY8" s="315"/>
      <c r="UZ8" s="315"/>
      <c r="VA8" s="315"/>
      <c r="VB8" s="315"/>
      <c r="VC8" s="315"/>
      <c r="VD8" s="315"/>
      <c r="VE8" s="315"/>
      <c r="VF8" s="315"/>
      <c r="VG8" s="315"/>
      <c r="VH8" s="315"/>
      <c r="VI8" s="315"/>
      <c r="VJ8" s="315"/>
      <c r="VK8" s="315"/>
      <c r="VL8" s="315"/>
      <c r="VM8" s="315"/>
      <c r="VN8" s="315"/>
      <c r="VO8" s="315"/>
      <c r="VP8" s="315"/>
      <c r="VQ8" s="315"/>
      <c r="VR8" s="315"/>
      <c r="VS8" s="315"/>
      <c r="VT8" s="315"/>
      <c r="VU8" s="315"/>
      <c r="VV8" s="315"/>
      <c r="VW8" s="315"/>
      <c r="VX8" s="315"/>
      <c r="VY8" s="315"/>
      <c r="VZ8" s="315"/>
      <c r="WA8" s="315"/>
      <c r="WB8" s="315"/>
      <c r="WC8" s="315"/>
      <c r="WD8" s="315"/>
      <c r="WE8" s="315"/>
      <c r="WF8" s="315"/>
      <c r="WG8" s="315"/>
      <c r="WH8" s="315"/>
      <c r="WI8" s="315"/>
      <c r="WJ8" s="315"/>
      <c r="WK8" s="315"/>
      <c r="WL8" s="315"/>
      <c r="WM8" s="315"/>
      <c r="WN8" s="315"/>
      <c r="WO8" s="315"/>
      <c r="WP8" s="315"/>
      <c r="WQ8" s="315"/>
      <c r="WR8" s="315"/>
      <c r="WS8" s="315"/>
      <c r="WT8" s="315"/>
      <c r="WU8" s="315"/>
      <c r="WV8" s="315"/>
      <c r="WW8" s="315"/>
      <c r="WX8" s="315"/>
      <c r="WY8" s="315"/>
      <c r="WZ8" s="315"/>
      <c r="XA8" s="315"/>
      <c r="XB8" s="315"/>
      <c r="XC8" s="315"/>
      <c r="XD8" s="315"/>
      <c r="XE8" s="315"/>
      <c r="XF8" s="315"/>
      <c r="XG8" s="315"/>
      <c r="XH8" s="315"/>
      <c r="XI8" s="315"/>
      <c r="XJ8" s="315"/>
      <c r="XK8" s="315"/>
      <c r="XL8" s="315"/>
      <c r="XM8" s="315"/>
      <c r="XN8" s="315"/>
      <c r="XO8" s="315"/>
      <c r="XP8" s="315"/>
      <c r="XQ8" s="315"/>
      <c r="XR8" s="315"/>
      <c r="XS8" s="315"/>
      <c r="XT8" s="315"/>
      <c r="XU8" s="315"/>
      <c r="XV8" s="315"/>
      <c r="XW8" s="315"/>
      <c r="XX8" s="315"/>
      <c r="XY8" s="315"/>
      <c r="XZ8" s="315"/>
      <c r="YA8" s="315"/>
      <c r="YB8" s="315"/>
      <c r="YC8" s="315"/>
      <c r="YD8" s="315"/>
      <c r="YE8" s="315"/>
      <c r="YF8" s="315"/>
      <c r="YG8" s="315"/>
      <c r="YH8" s="315"/>
      <c r="YI8" s="315"/>
      <c r="YJ8" s="315"/>
      <c r="YK8" s="315"/>
      <c r="YL8" s="315"/>
      <c r="YM8" s="315"/>
      <c r="YN8" s="315"/>
      <c r="YO8" s="315"/>
      <c r="YP8" s="315"/>
      <c r="YQ8" s="315"/>
      <c r="YR8" s="315"/>
      <c r="YS8" s="315"/>
      <c r="YT8" s="315"/>
      <c r="YU8" s="315"/>
      <c r="YV8" s="315"/>
      <c r="YW8" s="315"/>
      <c r="YX8" s="315"/>
      <c r="YY8" s="315"/>
      <c r="YZ8" s="315"/>
      <c r="ZA8" s="315"/>
      <c r="ZB8" s="315"/>
      <c r="ZC8" s="315"/>
      <c r="ZD8" s="315"/>
      <c r="ZE8" s="315"/>
      <c r="ZF8" s="315"/>
      <c r="ZG8" s="315"/>
      <c r="ZH8" s="315"/>
      <c r="ZI8" s="315"/>
      <c r="ZJ8" s="315"/>
      <c r="ZK8" s="315"/>
      <c r="ZL8" s="315"/>
      <c r="ZM8" s="315"/>
      <c r="ZN8" s="315"/>
      <c r="ZO8" s="315"/>
      <c r="ZP8" s="315"/>
      <c r="ZQ8" s="315"/>
      <c r="ZR8" s="315"/>
      <c r="ZS8" s="315"/>
      <c r="ZT8" s="315"/>
      <c r="ZU8" s="315"/>
      <c r="ZV8" s="315"/>
      <c r="ZW8" s="315"/>
      <c r="ZX8" s="315"/>
      <c r="ZY8" s="315"/>
      <c r="ZZ8" s="315"/>
      <c r="AAA8" s="315"/>
      <c r="AAB8" s="315"/>
      <c r="AAC8" s="315"/>
      <c r="AAD8" s="315"/>
      <c r="AAE8" s="315"/>
      <c r="AAF8" s="315"/>
      <c r="AAG8" s="315"/>
      <c r="AAH8" s="315"/>
      <c r="AAI8" s="315"/>
      <c r="AAJ8" s="315"/>
      <c r="AAK8" s="315"/>
      <c r="AAL8" s="315"/>
      <c r="AAM8" s="315"/>
      <c r="AAN8" s="315"/>
      <c r="AAO8" s="315"/>
      <c r="AAP8" s="315"/>
      <c r="AAQ8" s="315"/>
      <c r="AAR8" s="315"/>
      <c r="AAS8" s="315"/>
      <c r="AAT8" s="315"/>
      <c r="AAU8" s="315"/>
      <c r="AAV8" s="315"/>
      <c r="AAW8" s="315"/>
      <c r="AAX8" s="315"/>
      <c r="AAY8" s="315"/>
      <c r="AAZ8" s="315"/>
      <c r="ABA8" s="315"/>
      <c r="ABB8" s="315"/>
      <c r="ABC8" s="315"/>
      <c r="ABD8" s="315"/>
      <c r="ABE8" s="315"/>
      <c r="ABF8" s="315"/>
      <c r="ABG8" s="315"/>
      <c r="ABH8" s="315"/>
      <c r="ABI8" s="315"/>
      <c r="ABJ8" s="315"/>
      <c r="ABK8" s="315"/>
      <c r="ABL8" s="315"/>
      <c r="ABM8" s="315"/>
      <c r="ABN8" s="315"/>
      <c r="ABO8" s="315"/>
      <c r="ABP8" s="315"/>
      <c r="ABQ8" s="315"/>
      <c r="ABR8" s="315"/>
      <c r="ABS8" s="315"/>
      <c r="ABT8" s="315"/>
      <c r="ABU8" s="315"/>
      <c r="ABV8" s="315"/>
      <c r="ABW8" s="315"/>
      <c r="ABX8" s="315"/>
      <c r="ABY8" s="315"/>
      <c r="ABZ8" s="315"/>
      <c r="ACA8" s="315"/>
      <c r="ACB8" s="315"/>
      <c r="ACC8" s="315"/>
      <c r="ACD8" s="315"/>
      <c r="ACE8" s="315"/>
      <c r="ACF8" s="315"/>
      <c r="ACG8" s="315"/>
      <c r="ACH8" s="315"/>
      <c r="ACI8" s="315"/>
      <c r="ACJ8" s="315"/>
      <c r="ACK8" s="315"/>
      <c r="ACL8" s="315"/>
      <c r="ACM8" s="315"/>
      <c r="ACN8" s="315"/>
      <c r="ACO8" s="315"/>
      <c r="ACP8" s="315"/>
      <c r="ACQ8" s="315"/>
      <c r="ACR8" s="315"/>
      <c r="ACS8" s="315"/>
      <c r="ACT8" s="315"/>
      <c r="ACU8" s="315"/>
      <c r="ACV8" s="315"/>
      <c r="ACW8" s="315"/>
      <c r="ACX8" s="315"/>
      <c r="ACY8" s="315"/>
      <c r="ACZ8" s="315"/>
      <c r="ADA8" s="315"/>
      <c r="ADB8" s="315"/>
      <c r="ADC8" s="315"/>
      <c r="ADD8" s="315"/>
      <c r="ADE8" s="315"/>
      <c r="ADF8" s="315"/>
      <c r="ADG8" s="315"/>
      <c r="ADH8" s="315"/>
      <c r="ADI8" s="315"/>
      <c r="ADJ8" s="315"/>
      <c r="ADK8" s="315"/>
      <c r="ADL8" s="315"/>
      <c r="ADM8" s="315"/>
      <c r="ADN8" s="315"/>
      <c r="ADO8" s="315"/>
      <c r="ADP8" s="315"/>
      <c r="ADQ8" s="315"/>
      <c r="ADR8" s="315"/>
      <c r="ADS8" s="315"/>
      <c r="ADT8" s="315"/>
      <c r="ADU8" s="315"/>
      <c r="ADV8" s="315"/>
      <c r="ADW8" s="315"/>
      <c r="ADX8" s="315"/>
      <c r="ADY8" s="315"/>
      <c r="ADZ8" s="315"/>
      <c r="AEA8" s="315"/>
      <c r="AEB8" s="315"/>
      <c r="AEC8" s="315"/>
      <c r="AED8" s="315"/>
      <c r="AEE8" s="315"/>
      <c r="AEF8" s="315"/>
      <c r="AEG8" s="315"/>
      <c r="AEH8" s="315"/>
      <c r="AEI8" s="315"/>
      <c r="AEJ8" s="315"/>
      <c r="AEK8" s="315"/>
      <c r="AEL8" s="315"/>
      <c r="AEM8" s="315"/>
      <c r="AEN8" s="315"/>
      <c r="AEO8" s="315"/>
      <c r="AEP8" s="315"/>
      <c r="AEQ8" s="315"/>
      <c r="AER8" s="315"/>
      <c r="AES8" s="315"/>
      <c r="AET8" s="315"/>
      <c r="AEU8" s="315"/>
      <c r="AEV8" s="315"/>
      <c r="AEW8" s="315"/>
      <c r="AEX8" s="315"/>
      <c r="AEY8" s="315"/>
      <c r="AEZ8" s="315"/>
      <c r="AFA8" s="315"/>
      <c r="AFB8" s="315"/>
      <c r="AFC8" s="315"/>
      <c r="AFD8" s="315"/>
      <c r="AFE8" s="315"/>
      <c r="AFF8" s="315"/>
      <c r="AFG8" s="315"/>
      <c r="AFH8" s="315"/>
      <c r="AFI8" s="315"/>
      <c r="AFJ8" s="315"/>
      <c r="AFK8" s="315"/>
      <c r="AFL8" s="315"/>
      <c r="AFM8" s="315"/>
      <c r="AFN8" s="315"/>
      <c r="AFO8" s="315"/>
      <c r="AFP8" s="315"/>
      <c r="AFQ8" s="315"/>
      <c r="AFR8" s="315"/>
      <c r="AFS8" s="315"/>
      <c r="AFT8" s="315"/>
      <c r="AFU8" s="315"/>
      <c r="AFV8" s="315"/>
      <c r="AFW8" s="315"/>
      <c r="AFX8" s="315"/>
      <c r="AFY8" s="315"/>
      <c r="AFZ8" s="315"/>
      <c r="AGA8" s="315"/>
      <c r="AGB8" s="315"/>
      <c r="AGC8" s="315"/>
      <c r="AGD8" s="315"/>
      <c r="AGE8" s="315"/>
      <c r="AGF8" s="315"/>
      <c r="AGG8" s="315"/>
      <c r="AGH8" s="315"/>
      <c r="AGI8" s="315"/>
      <c r="AGJ8" s="315"/>
      <c r="AGK8" s="315"/>
      <c r="AGL8" s="315"/>
      <c r="AGM8" s="315"/>
      <c r="AGN8" s="315"/>
      <c r="AGO8" s="315"/>
      <c r="AGP8" s="315"/>
      <c r="AGQ8" s="315"/>
      <c r="AGR8" s="315"/>
      <c r="AGS8" s="315"/>
      <c r="AGT8" s="315"/>
      <c r="AGU8" s="315"/>
      <c r="AGV8" s="315"/>
      <c r="AGW8" s="315"/>
      <c r="AGX8" s="315"/>
      <c r="AGY8" s="315"/>
      <c r="AGZ8" s="315"/>
      <c r="AHA8" s="315"/>
      <c r="AHB8" s="315"/>
      <c r="AHC8" s="315"/>
      <c r="AHD8" s="315"/>
      <c r="AHE8" s="315"/>
      <c r="AHF8" s="315"/>
      <c r="AHG8" s="315"/>
      <c r="AHH8" s="315"/>
      <c r="AHI8" s="315"/>
      <c r="AHJ8" s="315"/>
      <c r="AHK8" s="315"/>
      <c r="AHL8" s="315"/>
      <c r="AHM8" s="315"/>
      <c r="AHN8" s="315"/>
      <c r="AHO8" s="315"/>
      <c r="AHP8" s="315"/>
      <c r="AHQ8" s="315"/>
      <c r="AHR8" s="315"/>
      <c r="AHS8" s="315"/>
      <c r="AHT8" s="315"/>
      <c r="AHU8" s="315"/>
      <c r="AHV8" s="315"/>
      <c r="AHW8" s="315"/>
      <c r="AHX8" s="315"/>
      <c r="AHY8" s="315"/>
      <c r="AHZ8" s="315"/>
      <c r="AIA8" s="315"/>
      <c r="AIB8" s="315"/>
      <c r="AIC8" s="315"/>
      <c r="AID8" s="315"/>
      <c r="AIE8" s="315"/>
      <c r="AIF8" s="315"/>
      <c r="AIG8" s="315"/>
      <c r="AIH8" s="315"/>
      <c r="AII8" s="315"/>
      <c r="AIJ8" s="315"/>
      <c r="AIK8" s="315"/>
      <c r="AIL8" s="315"/>
      <c r="AIM8" s="315"/>
      <c r="AIN8" s="315"/>
      <c r="AIO8" s="315"/>
      <c r="AIP8" s="315"/>
      <c r="AIQ8" s="315"/>
      <c r="AIR8" s="315"/>
      <c r="AIS8" s="315"/>
      <c r="AIT8" s="315"/>
      <c r="AIU8" s="315"/>
      <c r="AIV8" s="315"/>
      <c r="AIW8" s="315"/>
      <c r="AIX8" s="315"/>
      <c r="AIY8" s="315"/>
      <c r="AIZ8" s="315"/>
      <c r="AJA8" s="315"/>
      <c r="AJB8" s="315"/>
      <c r="AJC8" s="315"/>
      <c r="AJD8" s="315"/>
      <c r="AJE8" s="315"/>
      <c r="AJF8" s="315"/>
      <c r="AJG8" s="315"/>
      <c r="AJH8" s="315"/>
      <c r="AJI8" s="315"/>
      <c r="AJJ8" s="315"/>
      <c r="AJK8" s="315"/>
      <c r="AJL8" s="315"/>
      <c r="AJM8" s="315"/>
      <c r="AJN8" s="315"/>
      <c r="AJO8" s="315"/>
      <c r="AJP8" s="315"/>
      <c r="AJQ8" s="315"/>
      <c r="AJR8" s="315"/>
      <c r="AJS8" s="315"/>
      <c r="AJT8" s="315"/>
      <c r="AJU8" s="315"/>
      <c r="AJV8" s="315"/>
      <c r="AJW8" s="315"/>
      <c r="AJX8" s="315"/>
      <c r="AJY8" s="315"/>
      <c r="AJZ8" s="315"/>
      <c r="AKA8" s="315"/>
      <c r="AKB8" s="315"/>
      <c r="AKC8" s="315"/>
      <c r="AKD8" s="315"/>
      <c r="AKE8" s="315"/>
      <c r="AKF8" s="315"/>
      <c r="AKG8" s="315"/>
      <c r="AKH8" s="315"/>
      <c r="AKI8" s="315"/>
      <c r="AKJ8" s="315"/>
      <c r="AKK8" s="315"/>
      <c r="AKL8" s="315"/>
      <c r="AKM8" s="315"/>
      <c r="AKN8" s="315"/>
      <c r="AKO8" s="315"/>
      <c r="AKP8" s="315"/>
      <c r="AKQ8" s="315"/>
      <c r="AKR8" s="315"/>
      <c r="AKS8" s="315"/>
      <c r="AKT8" s="315"/>
      <c r="AKU8" s="315"/>
      <c r="AKV8" s="315"/>
      <c r="AKW8" s="315"/>
      <c r="AKX8" s="315"/>
      <c r="AKY8" s="315"/>
      <c r="AKZ8" s="315"/>
      <c r="ALA8" s="315"/>
      <c r="ALB8" s="315"/>
      <c r="ALC8" s="315"/>
      <c r="ALD8" s="315"/>
      <c r="ALE8" s="315"/>
      <c r="ALF8" s="315"/>
      <c r="ALG8" s="315"/>
      <c r="ALH8" s="315"/>
      <c r="ALI8" s="315"/>
      <c r="ALJ8" s="315"/>
      <c r="ALK8" s="315"/>
      <c r="ALL8" s="315"/>
      <c r="ALM8" s="315"/>
      <c r="ALN8" s="315"/>
      <c r="ALO8" s="315"/>
      <c r="ALP8" s="315"/>
      <c r="ALQ8" s="315"/>
      <c r="ALR8" s="315"/>
      <c r="ALS8" s="315"/>
      <c r="ALT8" s="315"/>
      <c r="ALU8" s="315"/>
      <c r="ALV8" s="315"/>
      <c r="ALW8" s="315"/>
      <c r="ALX8" s="315"/>
      <c r="ALY8" s="315"/>
      <c r="ALZ8" s="315"/>
      <c r="AMA8" s="315"/>
      <c r="AMB8" s="315"/>
      <c r="AMC8" s="315"/>
      <c r="AMD8" s="315"/>
      <c r="AME8" s="315"/>
      <c r="AMF8" s="315"/>
      <c r="AMG8" s="315"/>
      <c r="AMH8" s="315"/>
      <c r="AMI8" s="315"/>
      <c r="AMJ8" s="315"/>
      <c r="AMK8" s="315"/>
      <c r="AML8" s="315"/>
      <c r="AMM8" s="315"/>
      <c r="AMN8" s="315"/>
      <c r="AMO8" s="315"/>
      <c r="AMP8" s="315"/>
      <c r="AMQ8" s="315"/>
      <c r="AMR8" s="315"/>
    </row>
    <row r="9" spans="1:1032" ht="13.5" customHeight="1">
      <c r="A9" s="316">
        <v>1</v>
      </c>
      <c r="B9" s="316" t="s">
        <v>1704</v>
      </c>
      <c r="C9" s="316"/>
      <c r="D9" s="316"/>
      <c r="E9" s="316"/>
      <c r="F9" s="316"/>
      <c r="G9" s="316"/>
      <c r="H9" s="317" t="s">
        <v>1705</v>
      </c>
      <c r="I9" s="317" t="s">
        <v>1706</v>
      </c>
      <c r="J9" s="319"/>
      <c r="K9" s="317" t="s">
        <v>864</v>
      </c>
      <c r="L9" s="317" t="s">
        <v>1707</v>
      </c>
      <c r="M9" s="317"/>
      <c r="N9" s="317" t="s">
        <v>1707</v>
      </c>
      <c r="O9" s="317"/>
      <c r="P9" s="317"/>
      <c r="Q9" s="317"/>
      <c r="R9" s="317"/>
      <c r="S9" s="320" t="s">
        <v>820</v>
      </c>
      <c r="T9" s="320" t="s">
        <v>820</v>
      </c>
      <c r="U9" s="320" t="s">
        <v>820</v>
      </c>
      <c r="V9" s="317"/>
      <c r="W9" s="317" t="s">
        <v>864</v>
      </c>
      <c r="X9" s="317" t="s">
        <v>1708</v>
      </c>
      <c r="Y9" s="317"/>
      <c r="Z9" s="317"/>
      <c r="AA9" s="317" t="s">
        <v>864</v>
      </c>
      <c r="AB9" s="317" t="s">
        <v>864</v>
      </c>
      <c r="AC9" s="321" t="s">
        <v>1694</v>
      </c>
      <c r="AD9" s="317"/>
      <c r="AE9" s="317"/>
      <c r="AF9" s="317"/>
      <c r="AG9" s="317">
        <v>1</v>
      </c>
      <c r="AH9" s="317"/>
      <c r="AI9" s="320" t="s">
        <v>820</v>
      </c>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2">
        <v>2</v>
      </c>
      <c r="B10" s="322"/>
      <c r="C10" s="322" t="s">
        <v>858</v>
      </c>
      <c r="D10" s="322"/>
      <c r="E10" s="322"/>
      <c r="F10" s="322"/>
      <c r="G10" s="322"/>
      <c r="H10" s="323" t="s">
        <v>1709</v>
      </c>
      <c r="I10" s="323" t="s">
        <v>1710</v>
      </c>
      <c r="J10" s="323" t="s">
        <v>860</v>
      </c>
      <c r="K10" s="323" t="s">
        <v>864</v>
      </c>
      <c r="L10" s="323" t="s">
        <v>831</v>
      </c>
      <c r="M10" s="323"/>
      <c r="N10" s="323" t="s">
        <v>831</v>
      </c>
      <c r="O10" s="323" t="s">
        <v>953</v>
      </c>
      <c r="P10" s="323" t="s">
        <v>954</v>
      </c>
      <c r="Q10" s="323"/>
      <c r="R10" s="323"/>
      <c r="S10" s="325" t="s">
        <v>820</v>
      </c>
      <c r="T10" s="325" t="s">
        <v>820</v>
      </c>
      <c r="U10" s="325" t="s">
        <v>820</v>
      </c>
      <c r="V10" s="323"/>
      <c r="W10" s="323"/>
      <c r="X10" s="323" t="s">
        <v>863</v>
      </c>
      <c r="Y10" s="323"/>
      <c r="Z10" s="323" t="s">
        <v>1711</v>
      </c>
      <c r="AA10" s="323" t="s">
        <v>864</v>
      </c>
      <c r="AB10" s="323" t="s">
        <v>864</v>
      </c>
      <c r="AC10" s="321" t="s">
        <v>1694</v>
      </c>
      <c r="AD10" s="323"/>
      <c r="AE10" s="323"/>
      <c r="AF10" s="323"/>
      <c r="AG10" s="323">
        <v>1</v>
      </c>
      <c r="AH10" s="323">
        <v>1</v>
      </c>
      <c r="AI10" s="325" t="s">
        <v>820</v>
      </c>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6">
        <v>3</v>
      </c>
      <c r="B11" s="326"/>
      <c r="C11" s="326" t="s">
        <v>1712</v>
      </c>
      <c r="D11" s="326"/>
      <c r="E11" s="326"/>
      <c r="F11" s="326"/>
      <c r="G11" s="326"/>
      <c r="H11" s="317" t="s">
        <v>1713</v>
      </c>
      <c r="I11" s="317" t="s">
        <v>1714</v>
      </c>
      <c r="J11" s="317" t="s">
        <v>887</v>
      </c>
      <c r="K11" s="317" t="s">
        <v>864</v>
      </c>
      <c r="L11" s="317" t="s">
        <v>1715</v>
      </c>
      <c r="M11" s="317"/>
      <c r="N11" s="317" t="s">
        <v>1715</v>
      </c>
      <c r="O11" s="317"/>
      <c r="P11" s="317"/>
      <c r="Q11" s="317"/>
      <c r="R11" s="317"/>
      <c r="S11" s="320" t="s">
        <v>820</v>
      </c>
      <c r="T11" s="320" t="s">
        <v>820</v>
      </c>
      <c r="U11" s="320" t="s">
        <v>820</v>
      </c>
      <c r="V11" s="317"/>
      <c r="W11" s="317"/>
      <c r="X11" s="317" t="s">
        <v>863</v>
      </c>
      <c r="Y11" s="317"/>
      <c r="Z11" s="317" t="s">
        <v>1716</v>
      </c>
      <c r="AA11" s="317" t="s">
        <v>864</v>
      </c>
      <c r="AB11" s="317" t="s">
        <v>864</v>
      </c>
      <c r="AC11" s="321" t="s">
        <v>1694</v>
      </c>
      <c r="AD11" s="317"/>
      <c r="AE11" s="317"/>
      <c r="AF11" s="317"/>
      <c r="AG11" s="317">
        <v>1</v>
      </c>
      <c r="AH11" s="317">
        <v>1</v>
      </c>
      <c r="AI11" s="320" t="s">
        <v>820</v>
      </c>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2">
        <v>4</v>
      </c>
      <c r="B12" s="322"/>
      <c r="C12" s="322" t="s">
        <v>880</v>
      </c>
      <c r="D12" s="322"/>
      <c r="E12" s="322"/>
      <c r="F12" s="322"/>
      <c r="G12" s="322"/>
      <c r="H12" s="324" t="s">
        <v>1717</v>
      </c>
      <c r="I12" s="323" t="s">
        <v>1718</v>
      </c>
      <c r="J12" s="323" t="s">
        <v>1719</v>
      </c>
      <c r="K12" s="323" t="s">
        <v>864</v>
      </c>
      <c r="L12" s="323" t="s">
        <v>1720</v>
      </c>
      <c r="M12" s="323"/>
      <c r="N12" s="323" t="s">
        <v>1720</v>
      </c>
      <c r="O12" s="323"/>
      <c r="P12" s="323"/>
      <c r="Q12" s="323"/>
      <c r="R12" s="323"/>
      <c r="S12" s="325" t="s">
        <v>820</v>
      </c>
      <c r="T12" s="325" t="s">
        <v>820</v>
      </c>
      <c r="U12" s="325" t="s">
        <v>820</v>
      </c>
      <c r="V12" s="323"/>
      <c r="W12" s="323"/>
      <c r="X12" s="323" t="s">
        <v>863</v>
      </c>
      <c r="Y12" s="323"/>
      <c r="Z12" s="323" t="s">
        <v>1721</v>
      </c>
      <c r="AA12" s="323" t="s">
        <v>864</v>
      </c>
      <c r="AB12" s="323" t="s">
        <v>864</v>
      </c>
      <c r="AC12" s="321" t="s">
        <v>1694</v>
      </c>
      <c r="AD12" s="323"/>
      <c r="AE12" s="323"/>
      <c r="AF12" s="323"/>
      <c r="AG12" s="323">
        <v>1</v>
      </c>
      <c r="AH12" s="323">
        <v>1</v>
      </c>
      <c r="AI12" s="325" t="s">
        <v>820</v>
      </c>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6">
        <v>5</v>
      </c>
      <c r="B13" s="326"/>
      <c r="C13" s="326" t="s">
        <v>1722</v>
      </c>
      <c r="D13" s="326"/>
      <c r="E13" s="326"/>
      <c r="F13" s="326"/>
      <c r="G13" s="326"/>
      <c r="H13" s="317" t="s">
        <v>1723</v>
      </c>
      <c r="I13" s="317" t="s">
        <v>1724</v>
      </c>
      <c r="J13" s="317" t="s">
        <v>1725</v>
      </c>
      <c r="K13" s="317" t="s">
        <v>864</v>
      </c>
      <c r="L13" s="317" t="s">
        <v>1726</v>
      </c>
      <c r="M13" s="317"/>
      <c r="N13" s="317" t="s">
        <v>1726</v>
      </c>
      <c r="O13" s="317"/>
      <c r="P13" s="317"/>
      <c r="Q13" s="317"/>
      <c r="R13" s="317"/>
      <c r="S13" s="327" t="s">
        <v>817</v>
      </c>
      <c r="T13" s="328" t="s">
        <v>820</v>
      </c>
      <c r="U13" s="329" t="s">
        <v>817</v>
      </c>
      <c r="V13" s="317" t="s">
        <v>864</v>
      </c>
      <c r="W13" s="317"/>
      <c r="X13" s="317" t="s">
        <v>879</v>
      </c>
      <c r="Y13" s="317"/>
      <c r="Z13" s="317" t="s">
        <v>932</v>
      </c>
      <c r="AA13" s="317" t="s">
        <v>864</v>
      </c>
      <c r="AB13" s="317" t="s">
        <v>864</v>
      </c>
      <c r="AC13" s="321" t="s">
        <v>1694</v>
      </c>
      <c r="AD13" s="317"/>
      <c r="AE13" s="317"/>
      <c r="AF13" s="317"/>
      <c r="AG13" s="317">
        <v>1</v>
      </c>
      <c r="AH13" s="317">
        <v>1</v>
      </c>
      <c r="AI13" s="327" t="s">
        <v>817</v>
      </c>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2">
        <v>6</v>
      </c>
      <c r="B14" s="322"/>
      <c r="C14" s="322" t="s">
        <v>1727</v>
      </c>
      <c r="D14" s="322"/>
      <c r="E14" s="322"/>
      <c r="F14" s="322"/>
      <c r="G14" s="322"/>
      <c r="H14" s="323" t="s">
        <v>1728</v>
      </c>
      <c r="I14" s="323" t="s">
        <v>1729</v>
      </c>
      <c r="J14" s="330"/>
      <c r="K14" s="323" t="s">
        <v>864</v>
      </c>
      <c r="L14" s="323" t="s">
        <v>1730</v>
      </c>
      <c r="M14" s="323"/>
      <c r="N14" s="323" t="s">
        <v>1730</v>
      </c>
      <c r="O14" s="323"/>
      <c r="P14" s="323"/>
      <c r="Q14" s="323"/>
      <c r="R14" s="323"/>
      <c r="S14" s="331" t="s">
        <v>823</v>
      </c>
      <c r="T14" s="331" t="s">
        <v>823</v>
      </c>
      <c r="U14" s="331" t="s">
        <v>823</v>
      </c>
      <c r="V14" s="323"/>
      <c r="W14" s="323" t="s">
        <v>864</v>
      </c>
      <c r="X14" s="323" t="s">
        <v>942</v>
      </c>
      <c r="Y14" s="323"/>
      <c r="Z14" s="323"/>
      <c r="AA14" s="323" t="s">
        <v>864</v>
      </c>
      <c r="AB14" s="323" t="s">
        <v>864</v>
      </c>
      <c r="AC14" s="321" t="s">
        <v>1694</v>
      </c>
      <c r="AD14" s="323"/>
      <c r="AE14" s="323"/>
      <c r="AF14" s="323"/>
      <c r="AG14" s="323">
        <v>1</v>
      </c>
      <c r="AH14" s="323">
        <v>1</v>
      </c>
      <c r="AI14" s="331" t="s">
        <v>823</v>
      </c>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6">
        <v>7</v>
      </c>
      <c r="B15" s="326"/>
      <c r="C15" s="326"/>
      <c r="D15" s="326" t="s">
        <v>831</v>
      </c>
      <c r="E15" s="326"/>
      <c r="F15" s="326"/>
      <c r="G15" s="326"/>
      <c r="H15" s="317" t="s">
        <v>1731</v>
      </c>
      <c r="I15" s="317"/>
      <c r="J15" s="317" t="s">
        <v>1732</v>
      </c>
      <c r="K15" s="317" t="s">
        <v>864</v>
      </c>
      <c r="L15" s="317" t="s">
        <v>831</v>
      </c>
      <c r="M15" s="317"/>
      <c r="N15" s="317" t="s">
        <v>831</v>
      </c>
      <c r="O15" s="317"/>
      <c r="P15" s="317"/>
      <c r="Q15" s="317"/>
      <c r="R15" s="317"/>
      <c r="S15" s="320" t="s">
        <v>820</v>
      </c>
      <c r="T15" s="320" t="s">
        <v>820</v>
      </c>
      <c r="U15" s="320" t="s">
        <v>820</v>
      </c>
      <c r="V15" s="317"/>
      <c r="W15" s="317"/>
      <c r="X15" s="317" t="s">
        <v>863</v>
      </c>
      <c r="Y15" s="317"/>
      <c r="Z15" s="317"/>
      <c r="AA15" s="317" t="s">
        <v>864</v>
      </c>
      <c r="AB15" s="317" t="s">
        <v>864</v>
      </c>
      <c r="AC15" s="332" t="s">
        <v>1694</v>
      </c>
      <c r="AD15" s="317"/>
      <c r="AE15" s="317"/>
      <c r="AF15" s="317"/>
      <c r="AG15" s="317">
        <v>1</v>
      </c>
      <c r="AH15" s="317">
        <v>1</v>
      </c>
      <c r="AI15" s="320" t="s">
        <v>820</v>
      </c>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2">
        <v>8</v>
      </c>
      <c r="B16" s="322"/>
      <c r="C16" s="322"/>
      <c r="D16" s="322" t="s">
        <v>1733</v>
      </c>
      <c r="E16" s="322"/>
      <c r="F16" s="322"/>
      <c r="G16" s="322"/>
      <c r="H16" s="323" t="s">
        <v>1734</v>
      </c>
      <c r="I16" s="323" t="s">
        <v>1735</v>
      </c>
      <c r="J16" s="323" t="s">
        <v>1736</v>
      </c>
      <c r="K16" s="323" t="s">
        <v>864</v>
      </c>
      <c r="L16" s="323" t="s">
        <v>1737</v>
      </c>
      <c r="M16" s="323"/>
      <c r="N16" s="323" t="s">
        <v>1737</v>
      </c>
      <c r="O16" s="323"/>
      <c r="P16" s="323"/>
      <c r="Q16" s="323"/>
      <c r="R16" s="323"/>
      <c r="S16" s="333" t="s">
        <v>817</v>
      </c>
      <c r="T16" s="334" t="s">
        <v>817</v>
      </c>
      <c r="U16" s="335" t="s">
        <v>820</v>
      </c>
      <c r="V16" s="323" t="s">
        <v>864</v>
      </c>
      <c r="W16" s="323"/>
      <c r="X16" s="323" t="s">
        <v>863</v>
      </c>
      <c r="Y16" s="323"/>
      <c r="Z16" s="323" t="s">
        <v>1738</v>
      </c>
      <c r="AA16" s="323" t="s">
        <v>864</v>
      </c>
      <c r="AB16" s="323" t="s">
        <v>864</v>
      </c>
      <c r="AC16" s="321" t="s">
        <v>1694</v>
      </c>
      <c r="AD16" s="323"/>
      <c r="AE16" s="323"/>
      <c r="AF16" s="323"/>
      <c r="AG16" s="323">
        <v>1</v>
      </c>
      <c r="AH16" s="323">
        <v>1</v>
      </c>
      <c r="AI16" s="333" t="s">
        <v>817</v>
      </c>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6">
        <v>9</v>
      </c>
      <c r="B17" s="326"/>
      <c r="C17" s="326" t="s">
        <v>1739</v>
      </c>
      <c r="D17" s="326"/>
      <c r="E17" s="326"/>
      <c r="F17" s="326"/>
      <c r="G17" s="326"/>
      <c r="H17" s="318" t="s">
        <v>1740</v>
      </c>
      <c r="I17" s="317" t="s">
        <v>1741</v>
      </c>
      <c r="J17" s="317" t="s">
        <v>1742</v>
      </c>
      <c r="K17" s="317" t="s">
        <v>864</v>
      </c>
      <c r="L17" s="317" t="s">
        <v>1743</v>
      </c>
      <c r="M17" s="317"/>
      <c r="N17" s="317" t="s">
        <v>1743</v>
      </c>
      <c r="O17" s="317"/>
      <c r="P17" s="317"/>
      <c r="Q17" s="317"/>
      <c r="R17" s="317"/>
      <c r="S17" s="327" t="s">
        <v>817</v>
      </c>
      <c r="T17" s="329" t="s">
        <v>817</v>
      </c>
      <c r="U17" s="328" t="s">
        <v>820</v>
      </c>
      <c r="V17" s="317" t="s">
        <v>864</v>
      </c>
      <c r="W17" s="317"/>
      <c r="X17" s="317" t="s">
        <v>863</v>
      </c>
      <c r="Y17" s="317"/>
      <c r="Z17" s="317" t="s">
        <v>1744</v>
      </c>
      <c r="AA17" s="317" t="s">
        <v>864</v>
      </c>
      <c r="AB17" s="317" t="s">
        <v>864</v>
      </c>
      <c r="AC17" s="321" t="s">
        <v>1694</v>
      </c>
      <c r="AD17" s="317"/>
      <c r="AE17" s="317"/>
      <c r="AF17" s="317"/>
      <c r="AG17" s="317">
        <v>1</v>
      </c>
      <c r="AH17" s="317">
        <v>1</v>
      </c>
      <c r="AI17" s="327" t="s">
        <v>817</v>
      </c>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2">
        <v>10</v>
      </c>
      <c r="B18" s="322"/>
      <c r="C18" s="322" t="s">
        <v>1745</v>
      </c>
      <c r="D18" s="322"/>
      <c r="E18" s="322"/>
      <c r="F18" s="322"/>
      <c r="G18" s="322"/>
      <c r="H18" s="323" t="s">
        <v>1746</v>
      </c>
      <c r="I18" s="323" t="s">
        <v>1747</v>
      </c>
      <c r="J18" s="323" t="s">
        <v>1748</v>
      </c>
      <c r="K18" s="323" t="s">
        <v>864</v>
      </c>
      <c r="L18" s="323" t="s">
        <v>1749</v>
      </c>
      <c r="M18" s="323"/>
      <c r="N18" s="323" t="s">
        <v>1749</v>
      </c>
      <c r="O18" s="323"/>
      <c r="P18" s="323"/>
      <c r="Q18" s="323"/>
      <c r="R18" s="323"/>
      <c r="S18" s="333" t="s">
        <v>817</v>
      </c>
      <c r="T18" s="334" t="s">
        <v>817</v>
      </c>
      <c r="U18" s="334" t="s">
        <v>817</v>
      </c>
      <c r="V18" s="323"/>
      <c r="W18" s="323"/>
      <c r="X18" s="323" t="s">
        <v>863</v>
      </c>
      <c r="Y18" s="323"/>
      <c r="Z18" s="323" t="s">
        <v>1750</v>
      </c>
      <c r="AA18" s="323" t="s">
        <v>864</v>
      </c>
      <c r="AB18" s="323" t="s">
        <v>864</v>
      </c>
      <c r="AC18" s="321" t="s">
        <v>1694</v>
      </c>
      <c r="AD18" s="323"/>
      <c r="AE18" s="323"/>
      <c r="AF18" s="323"/>
      <c r="AG18" s="323">
        <v>1</v>
      </c>
      <c r="AH18" s="323">
        <v>1</v>
      </c>
      <c r="AI18" s="333" t="s">
        <v>817</v>
      </c>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6">
        <v>11</v>
      </c>
      <c r="B19" s="326"/>
      <c r="C19" s="326" t="s">
        <v>1751</v>
      </c>
      <c r="D19" s="326"/>
      <c r="E19" s="326"/>
      <c r="F19" s="326"/>
      <c r="G19" s="326"/>
      <c r="H19" s="317" t="s">
        <v>1752</v>
      </c>
      <c r="I19" s="317" t="s">
        <v>1753</v>
      </c>
      <c r="J19" s="317" t="s">
        <v>1754</v>
      </c>
      <c r="K19" s="317" t="s">
        <v>864</v>
      </c>
      <c r="L19" s="317" t="s">
        <v>1755</v>
      </c>
      <c r="M19" s="317"/>
      <c r="N19" s="317" t="s">
        <v>1755</v>
      </c>
      <c r="O19" s="317"/>
      <c r="P19" s="317"/>
      <c r="Q19" s="317"/>
      <c r="R19" s="317"/>
      <c r="S19" s="327" t="s">
        <v>817</v>
      </c>
      <c r="T19" s="327" t="s">
        <v>817</v>
      </c>
      <c r="U19" s="327" t="s">
        <v>817</v>
      </c>
      <c r="V19" s="317"/>
      <c r="W19" s="317"/>
      <c r="X19" s="317" t="s">
        <v>863</v>
      </c>
      <c r="Y19" s="317"/>
      <c r="Z19" s="317"/>
      <c r="AA19" s="317" t="s">
        <v>864</v>
      </c>
      <c r="AB19" s="317" t="s">
        <v>864</v>
      </c>
      <c r="AC19" s="321" t="s">
        <v>1694</v>
      </c>
      <c r="AD19" s="317"/>
      <c r="AE19" s="317"/>
      <c r="AF19" s="317"/>
      <c r="AG19" s="317">
        <v>1</v>
      </c>
      <c r="AH19" s="317">
        <v>1</v>
      </c>
      <c r="AI19" s="327" t="s">
        <v>817</v>
      </c>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6">
        <v>12</v>
      </c>
      <c r="B20" s="336"/>
      <c r="C20" s="336" t="s">
        <v>1756</v>
      </c>
      <c r="D20" s="336"/>
      <c r="E20" s="336"/>
      <c r="F20" s="336"/>
      <c r="G20" s="336"/>
      <c r="H20" s="323" t="s">
        <v>1728</v>
      </c>
      <c r="I20" s="323" t="s">
        <v>1757</v>
      </c>
      <c r="J20" s="330"/>
      <c r="K20" s="323"/>
      <c r="L20" s="323" t="s">
        <v>1758</v>
      </c>
      <c r="M20" s="323"/>
      <c r="N20" s="323" t="s">
        <v>1758</v>
      </c>
      <c r="O20" s="323"/>
      <c r="P20" s="323"/>
      <c r="Q20" s="323"/>
      <c r="R20" s="323"/>
      <c r="S20" s="333" t="s">
        <v>817</v>
      </c>
      <c r="T20" s="333" t="s">
        <v>817</v>
      </c>
      <c r="U20" s="333" t="s">
        <v>817</v>
      </c>
      <c r="V20" s="323"/>
      <c r="W20" s="323" t="s">
        <v>864</v>
      </c>
      <c r="X20" s="323" t="s">
        <v>1759</v>
      </c>
      <c r="Y20" s="323"/>
      <c r="Z20" s="323"/>
      <c r="AA20" s="323" t="s">
        <v>864</v>
      </c>
      <c r="AB20" s="323" t="s">
        <v>864</v>
      </c>
      <c r="AC20" s="332" t="s">
        <v>1694</v>
      </c>
      <c r="AD20" s="323"/>
      <c r="AE20" s="323"/>
      <c r="AF20" s="323"/>
      <c r="AG20" s="323">
        <v>1</v>
      </c>
      <c r="AH20" s="323"/>
      <c r="AI20" s="333" t="s">
        <v>817</v>
      </c>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6">
        <v>13</v>
      </c>
      <c r="B21" s="316"/>
      <c r="C21" s="316"/>
      <c r="D21" s="316" t="s">
        <v>1760</v>
      </c>
      <c r="E21" s="316"/>
      <c r="F21" s="316"/>
      <c r="G21" s="316"/>
      <c r="H21" s="317" t="s">
        <v>1761</v>
      </c>
      <c r="I21" s="317" t="s">
        <v>1762</v>
      </c>
      <c r="J21" s="317" t="s">
        <v>1341</v>
      </c>
      <c r="K21" s="317" t="s">
        <v>864</v>
      </c>
      <c r="L21" s="317" t="s">
        <v>1763</v>
      </c>
      <c r="M21" s="317"/>
      <c r="N21" s="317" t="s">
        <v>1763</v>
      </c>
      <c r="O21" s="317"/>
      <c r="P21" s="317"/>
      <c r="Q21" s="317"/>
      <c r="R21" s="317"/>
      <c r="S21" s="327" t="s">
        <v>817</v>
      </c>
      <c r="T21" s="327" t="s">
        <v>817</v>
      </c>
      <c r="U21" s="327" t="s">
        <v>817</v>
      </c>
      <c r="V21" s="317"/>
      <c r="W21" s="317"/>
      <c r="X21" s="317" t="s">
        <v>863</v>
      </c>
      <c r="Y21" s="317"/>
      <c r="Z21" s="317"/>
      <c r="AA21" s="317" t="s">
        <v>864</v>
      </c>
      <c r="AB21" s="317" t="s">
        <v>864</v>
      </c>
      <c r="AC21" s="321" t="s">
        <v>1694</v>
      </c>
      <c r="AD21" s="317"/>
      <c r="AE21" s="317"/>
      <c r="AF21" s="317"/>
      <c r="AG21" s="317">
        <v>1</v>
      </c>
      <c r="AH21" s="317"/>
      <c r="AI21" s="327" t="s">
        <v>817</v>
      </c>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6">
        <v>14</v>
      </c>
      <c r="B22" s="336"/>
      <c r="C22" s="336"/>
      <c r="D22" s="336" t="s">
        <v>1764</v>
      </c>
      <c r="E22" s="337"/>
      <c r="F22" s="336"/>
      <c r="G22" s="336"/>
      <c r="H22" s="323" t="s">
        <v>1765</v>
      </c>
      <c r="I22" s="323" t="s">
        <v>1766</v>
      </c>
      <c r="J22" s="323" t="s">
        <v>1359</v>
      </c>
      <c r="K22" s="323"/>
      <c r="L22" s="323" t="s">
        <v>1767</v>
      </c>
      <c r="M22" s="323"/>
      <c r="N22" s="323" t="s">
        <v>1767</v>
      </c>
      <c r="O22" s="323"/>
      <c r="P22" s="323"/>
      <c r="Q22" s="323"/>
      <c r="R22" s="323"/>
      <c r="S22" s="333" t="s">
        <v>817</v>
      </c>
      <c r="T22" s="333" t="s">
        <v>817</v>
      </c>
      <c r="U22" s="333" t="s">
        <v>817</v>
      </c>
      <c r="V22" s="323"/>
      <c r="W22" s="323"/>
      <c r="X22" s="323" t="s">
        <v>863</v>
      </c>
      <c r="Y22" s="323"/>
      <c r="Z22" s="323"/>
      <c r="AA22" s="323" t="s">
        <v>864</v>
      </c>
      <c r="AB22" s="323" t="s">
        <v>864</v>
      </c>
      <c r="AC22" s="321" t="s">
        <v>1694</v>
      </c>
      <c r="AD22" s="323"/>
      <c r="AE22" s="323"/>
      <c r="AF22" s="323"/>
      <c r="AG22" s="323">
        <v>1</v>
      </c>
      <c r="AH22" s="323"/>
      <c r="AI22" s="333" t="s">
        <v>817</v>
      </c>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6">
        <v>15</v>
      </c>
      <c r="B23" s="316"/>
      <c r="C23" s="316"/>
      <c r="D23" s="316" t="s">
        <v>1768</v>
      </c>
      <c r="E23" s="316"/>
      <c r="F23" s="316"/>
      <c r="G23" s="316"/>
      <c r="H23" s="317" t="s">
        <v>1769</v>
      </c>
      <c r="I23" s="317" t="s">
        <v>1770</v>
      </c>
      <c r="J23" s="317" t="s">
        <v>1771</v>
      </c>
      <c r="K23" s="317" t="s">
        <v>864</v>
      </c>
      <c r="L23" s="317" t="s">
        <v>1772</v>
      </c>
      <c r="M23" s="317"/>
      <c r="N23" s="317" t="s">
        <v>1772</v>
      </c>
      <c r="O23" s="317"/>
      <c r="P23" s="317"/>
      <c r="Q23" s="317"/>
      <c r="R23" s="317"/>
      <c r="S23" s="327" t="s">
        <v>817</v>
      </c>
      <c r="T23" s="329" t="s">
        <v>817</v>
      </c>
      <c r="U23" s="329" t="s">
        <v>817</v>
      </c>
      <c r="V23" s="317"/>
      <c r="W23" s="317"/>
      <c r="X23" s="317" t="s">
        <v>863</v>
      </c>
      <c r="Y23" s="317"/>
      <c r="Z23" s="317"/>
      <c r="AA23" s="317" t="s">
        <v>864</v>
      </c>
      <c r="AB23" s="317" t="s">
        <v>864</v>
      </c>
      <c r="AC23" s="321" t="s">
        <v>1694</v>
      </c>
      <c r="AD23" s="317"/>
      <c r="AE23" s="317"/>
      <c r="AF23" s="317"/>
      <c r="AG23" s="317">
        <v>1</v>
      </c>
      <c r="AH23" s="317"/>
      <c r="AI23" s="327" t="s">
        <v>817</v>
      </c>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6">
        <v>16</v>
      </c>
      <c r="B24" s="336"/>
      <c r="C24" s="336" t="s">
        <v>1773</v>
      </c>
      <c r="D24" s="336"/>
      <c r="E24" s="336"/>
      <c r="F24" s="336"/>
      <c r="G24" s="336"/>
      <c r="H24" s="323" t="s">
        <v>1774</v>
      </c>
      <c r="I24" s="323" t="s">
        <v>1775</v>
      </c>
      <c r="J24" s="330"/>
      <c r="K24" s="323" t="s">
        <v>864</v>
      </c>
      <c r="L24" s="323" t="s">
        <v>1776</v>
      </c>
      <c r="M24" s="323"/>
      <c r="N24" s="323" t="s">
        <v>1776</v>
      </c>
      <c r="O24" s="323"/>
      <c r="P24" s="323"/>
      <c r="Q24" s="323"/>
      <c r="R24" s="323"/>
      <c r="S24" s="331" t="s">
        <v>823</v>
      </c>
      <c r="T24" s="331" t="s">
        <v>823</v>
      </c>
      <c r="U24" s="331" t="s">
        <v>823</v>
      </c>
      <c r="V24" s="323"/>
      <c r="W24" s="323" t="s">
        <v>864</v>
      </c>
      <c r="X24" s="323" t="s">
        <v>1207</v>
      </c>
      <c r="Y24" s="323"/>
      <c r="Z24" s="323"/>
      <c r="AA24" s="323" t="s">
        <v>864</v>
      </c>
      <c r="AB24" s="323" t="s">
        <v>864</v>
      </c>
      <c r="AC24" s="321" t="s">
        <v>1694</v>
      </c>
      <c r="AD24" s="323"/>
      <c r="AE24" s="323"/>
      <c r="AF24" s="323"/>
      <c r="AG24" s="323">
        <v>1</v>
      </c>
      <c r="AH24" s="323"/>
      <c r="AI24" s="331" t="s">
        <v>823</v>
      </c>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6">
        <v>17</v>
      </c>
      <c r="B25" s="316"/>
      <c r="C25" s="316"/>
      <c r="D25" s="316" t="s">
        <v>1777</v>
      </c>
      <c r="E25" s="316"/>
      <c r="F25" s="316"/>
      <c r="G25" s="316"/>
      <c r="H25" s="317" t="s">
        <v>1728</v>
      </c>
      <c r="I25" s="317" t="s">
        <v>1778</v>
      </c>
      <c r="J25" s="317"/>
      <c r="K25" s="317"/>
      <c r="L25" s="317" t="s">
        <v>1755</v>
      </c>
      <c r="M25" s="317"/>
      <c r="N25" s="317" t="s">
        <v>1755</v>
      </c>
      <c r="O25" s="317"/>
      <c r="P25" s="317"/>
      <c r="Q25" s="317"/>
      <c r="R25" s="317"/>
      <c r="S25" s="327" t="s">
        <v>817</v>
      </c>
      <c r="T25" s="327" t="s">
        <v>817</v>
      </c>
      <c r="U25" s="327" t="s">
        <v>817</v>
      </c>
      <c r="V25" s="317"/>
      <c r="W25" s="317"/>
      <c r="X25" s="317" t="s">
        <v>863</v>
      </c>
      <c r="Y25" s="317"/>
      <c r="Z25" s="317"/>
      <c r="AA25" s="317" t="s">
        <v>864</v>
      </c>
      <c r="AB25" s="317" t="s">
        <v>864</v>
      </c>
      <c r="AC25" s="332" t="s">
        <v>1694</v>
      </c>
      <c r="AD25" s="317"/>
      <c r="AE25" s="317"/>
      <c r="AF25" s="317"/>
      <c r="AG25" s="317">
        <v>1</v>
      </c>
      <c r="AH25" s="317"/>
      <c r="AI25" s="327" t="s">
        <v>817</v>
      </c>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6">
        <v>18</v>
      </c>
      <c r="B26" s="336"/>
      <c r="C26" s="336"/>
      <c r="D26" s="336" t="s">
        <v>1779</v>
      </c>
      <c r="E26" s="337"/>
      <c r="F26" s="336"/>
      <c r="G26" s="336"/>
      <c r="H26" s="323" t="s">
        <v>1728</v>
      </c>
      <c r="I26" s="323" t="s">
        <v>1780</v>
      </c>
      <c r="J26" s="323" t="s">
        <v>1781</v>
      </c>
      <c r="K26" s="323"/>
      <c r="L26" s="323" t="s">
        <v>875</v>
      </c>
      <c r="M26" s="323"/>
      <c r="N26" s="323" t="s">
        <v>875</v>
      </c>
      <c r="O26" s="323"/>
      <c r="P26" s="323"/>
      <c r="Q26" s="323"/>
      <c r="R26" s="323"/>
      <c r="S26" s="325" t="s">
        <v>820</v>
      </c>
      <c r="T26" s="325" t="s">
        <v>820</v>
      </c>
      <c r="U26" s="325" t="s">
        <v>820</v>
      </c>
      <c r="V26" s="323"/>
      <c r="W26" s="323"/>
      <c r="X26" s="323" t="s">
        <v>863</v>
      </c>
      <c r="Y26" s="323"/>
      <c r="Z26" s="323"/>
      <c r="AA26" s="323" t="s">
        <v>864</v>
      </c>
      <c r="AB26" s="323" t="s">
        <v>864</v>
      </c>
      <c r="AC26" s="321" t="s">
        <v>1694</v>
      </c>
      <c r="AD26" s="323"/>
      <c r="AE26" s="323"/>
      <c r="AF26" s="323"/>
      <c r="AG26" s="323">
        <v>1</v>
      </c>
      <c r="AH26" s="323"/>
      <c r="AI26" s="325" t="s">
        <v>820</v>
      </c>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6">
        <v>19</v>
      </c>
      <c r="B27" s="316"/>
      <c r="C27" s="316"/>
      <c r="D27" s="316" t="s">
        <v>1102</v>
      </c>
      <c r="E27" s="316"/>
      <c r="F27" s="316"/>
      <c r="G27" s="316"/>
      <c r="H27" s="317" t="s">
        <v>1728</v>
      </c>
      <c r="I27" s="317" t="s">
        <v>1782</v>
      </c>
      <c r="J27" s="317" t="s">
        <v>1783</v>
      </c>
      <c r="K27" s="317"/>
      <c r="L27" s="317" t="s">
        <v>1784</v>
      </c>
      <c r="M27" s="317"/>
      <c r="N27" s="317" t="s">
        <v>1784</v>
      </c>
      <c r="O27" s="317"/>
      <c r="P27" s="317"/>
      <c r="Q27" s="317"/>
      <c r="R27" s="317"/>
      <c r="S27" s="327" t="s">
        <v>817</v>
      </c>
      <c r="T27" s="327" t="s">
        <v>817</v>
      </c>
      <c r="U27" s="327" t="s">
        <v>817</v>
      </c>
      <c r="V27" s="317"/>
      <c r="W27" s="317"/>
      <c r="X27" s="317" t="s">
        <v>863</v>
      </c>
      <c r="Y27" s="317"/>
      <c r="Z27" s="317" t="s">
        <v>1215</v>
      </c>
      <c r="AA27" s="317" t="s">
        <v>864</v>
      </c>
      <c r="AB27" s="317" t="s">
        <v>864</v>
      </c>
      <c r="AC27" s="321" t="s">
        <v>1694</v>
      </c>
      <c r="AD27" s="317"/>
      <c r="AE27" s="317"/>
      <c r="AF27" s="317"/>
      <c r="AG27" s="317">
        <v>1</v>
      </c>
      <c r="AH27" s="317"/>
      <c r="AI27" s="327" t="s">
        <v>817</v>
      </c>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6">
        <v>20</v>
      </c>
      <c r="B28" s="336"/>
      <c r="C28" s="336" t="s">
        <v>1785</v>
      </c>
      <c r="D28" s="337"/>
      <c r="E28" s="336"/>
      <c r="F28" s="336"/>
      <c r="G28" s="336"/>
      <c r="H28" s="323" t="s">
        <v>1786</v>
      </c>
      <c r="I28" s="323" t="s">
        <v>1787</v>
      </c>
      <c r="J28" s="323" t="s">
        <v>1788</v>
      </c>
      <c r="K28" s="323"/>
      <c r="L28" s="323" t="s">
        <v>1789</v>
      </c>
      <c r="M28" s="323"/>
      <c r="N28" s="323" t="s">
        <v>1789</v>
      </c>
      <c r="O28" s="323"/>
      <c r="P28" s="323"/>
      <c r="Q28" s="323"/>
      <c r="R28" s="323"/>
      <c r="S28" s="333" t="s">
        <v>817</v>
      </c>
      <c r="T28" s="334" t="s">
        <v>817</v>
      </c>
      <c r="U28" s="334" t="s">
        <v>817</v>
      </c>
      <c r="V28" s="323"/>
      <c r="W28" s="323"/>
      <c r="X28" s="323" t="s">
        <v>863</v>
      </c>
      <c r="Y28" s="323"/>
      <c r="Z28" s="323" t="s">
        <v>1790</v>
      </c>
      <c r="AA28" s="323" t="s">
        <v>864</v>
      </c>
      <c r="AB28" s="323" t="s">
        <v>864</v>
      </c>
      <c r="AC28" s="321" t="s">
        <v>1694</v>
      </c>
      <c r="AD28" s="323"/>
      <c r="AE28" s="323"/>
      <c r="AF28" s="323"/>
      <c r="AG28" s="323">
        <v>1</v>
      </c>
      <c r="AH28" s="323"/>
      <c r="AI28" s="333" t="s">
        <v>817</v>
      </c>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6">
        <v>21</v>
      </c>
      <c r="B29" s="326" t="s">
        <v>1791</v>
      </c>
      <c r="C29" s="326"/>
      <c r="D29" s="326"/>
      <c r="E29" s="326"/>
      <c r="F29" s="326"/>
      <c r="G29" s="326"/>
      <c r="H29" s="317" t="s">
        <v>1792</v>
      </c>
      <c r="I29" s="317" t="s">
        <v>1793</v>
      </c>
      <c r="J29" s="338"/>
      <c r="K29" s="317"/>
      <c r="L29" s="317" t="s">
        <v>1794</v>
      </c>
      <c r="M29" s="317"/>
      <c r="N29" s="317" t="s">
        <v>1794</v>
      </c>
      <c r="O29" s="317"/>
      <c r="P29" s="317"/>
      <c r="Q29" s="317"/>
      <c r="R29" s="317"/>
      <c r="S29" s="320" t="s">
        <v>820</v>
      </c>
      <c r="T29" s="320" t="s">
        <v>820</v>
      </c>
      <c r="U29" s="320" t="s">
        <v>820</v>
      </c>
      <c r="V29" s="317"/>
      <c r="W29" s="317" t="s">
        <v>864</v>
      </c>
      <c r="X29" s="317" t="s">
        <v>1795</v>
      </c>
      <c r="Y29" s="317"/>
      <c r="Z29" s="317"/>
      <c r="AA29" s="317" t="s">
        <v>864</v>
      </c>
      <c r="AB29" s="317" t="s">
        <v>864</v>
      </c>
      <c r="AC29" s="321" t="s">
        <v>1694</v>
      </c>
      <c r="AD29" s="317"/>
      <c r="AE29" s="317"/>
      <c r="AF29" s="317"/>
      <c r="AG29" s="317">
        <v>1</v>
      </c>
      <c r="AH29" s="317">
        <v>1</v>
      </c>
      <c r="AI29" s="320" t="s">
        <v>820</v>
      </c>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2">
        <v>22</v>
      </c>
      <c r="B30" s="322"/>
      <c r="C30" s="322" t="s">
        <v>1796</v>
      </c>
      <c r="D30" s="322"/>
      <c r="E30" s="322"/>
      <c r="F30" s="322"/>
      <c r="G30" s="322"/>
      <c r="H30" s="323" t="s">
        <v>1797</v>
      </c>
      <c r="I30" s="323" t="s">
        <v>1798</v>
      </c>
      <c r="J30" s="323" t="s">
        <v>957</v>
      </c>
      <c r="K30" s="323" t="s">
        <v>864</v>
      </c>
      <c r="L30" s="323" t="s">
        <v>831</v>
      </c>
      <c r="M30" s="323"/>
      <c r="N30" s="323" t="s">
        <v>831</v>
      </c>
      <c r="O30" s="323"/>
      <c r="P30" s="323"/>
      <c r="Q30" s="323"/>
      <c r="R30" s="323"/>
      <c r="S30" s="325" t="s">
        <v>820</v>
      </c>
      <c r="T30" s="325" t="s">
        <v>820</v>
      </c>
      <c r="U30" s="325" t="s">
        <v>820</v>
      </c>
      <c r="V30" s="323"/>
      <c r="W30" s="323"/>
      <c r="X30" s="323" t="s">
        <v>863</v>
      </c>
      <c r="Y30" s="323"/>
      <c r="Z30" s="323"/>
      <c r="AA30" s="323" t="s">
        <v>864</v>
      </c>
      <c r="AB30" s="323" t="s">
        <v>864</v>
      </c>
      <c r="AC30" s="332" t="s">
        <v>1694</v>
      </c>
      <c r="AD30" s="323"/>
      <c r="AE30" s="323"/>
      <c r="AF30" s="323"/>
      <c r="AG30" s="323">
        <v>1</v>
      </c>
      <c r="AH30" s="323">
        <v>1</v>
      </c>
      <c r="AI30" s="325" t="s">
        <v>820</v>
      </c>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6">
        <v>23</v>
      </c>
      <c r="B31" s="326"/>
      <c r="C31" s="326" t="s">
        <v>1799</v>
      </c>
      <c r="D31" s="326"/>
      <c r="E31" s="326"/>
      <c r="F31" s="326"/>
      <c r="G31" s="326"/>
      <c r="H31" s="317" t="s">
        <v>1800</v>
      </c>
      <c r="I31" s="317" t="s">
        <v>1801</v>
      </c>
      <c r="J31" s="317" t="s">
        <v>1802</v>
      </c>
      <c r="K31" s="317"/>
      <c r="L31" s="317" t="s">
        <v>1772</v>
      </c>
      <c r="M31" s="317"/>
      <c r="N31" s="317" t="s">
        <v>1772</v>
      </c>
      <c r="O31" s="317"/>
      <c r="P31" s="317"/>
      <c r="Q31" s="317"/>
      <c r="R31" s="317"/>
      <c r="S31" s="327" t="s">
        <v>817</v>
      </c>
      <c r="T31" s="327" t="s">
        <v>817</v>
      </c>
      <c r="U31" s="327" t="s">
        <v>817</v>
      </c>
      <c r="V31" s="317"/>
      <c r="W31" s="317"/>
      <c r="X31" s="317" t="s">
        <v>863</v>
      </c>
      <c r="Y31" s="317"/>
      <c r="Z31" s="317"/>
      <c r="AA31" s="317" t="s">
        <v>864</v>
      </c>
      <c r="AB31" s="317" t="s">
        <v>864</v>
      </c>
      <c r="AC31" s="321" t="s">
        <v>1694</v>
      </c>
      <c r="AD31" s="317"/>
      <c r="AE31" s="317"/>
      <c r="AF31" s="317"/>
      <c r="AG31" s="317">
        <v>1</v>
      </c>
      <c r="AH31" s="317">
        <v>1</v>
      </c>
      <c r="AI31" s="327" t="s">
        <v>817</v>
      </c>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2">
        <v>24</v>
      </c>
      <c r="B32" s="322"/>
      <c r="C32" s="322" t="s">
        <v>1803</v>
      </c>
      <c r="D32" s="322"/>
      <c r="E32" s="322"/>
      <c r="F32" s="322"/>
      <c r="G32" s="322"/>
      <c r="H32" s="323" t="s">
        <v>1804</v>
      </c>
      <c r="I32" s="323" t="s">
        <v>1805</v>
      </c>
      <c r="J32" s="323" t="s">
        <v>1732</v>
      </c>
      <c r="K32" s="323"/>
      <c r="L32" s="323" t="s">
        <v>1806</v>
      </c>
      <c r="M32" s="323"/>
      <c r="N32" s="323" t="s">
        <v>1806</v>
      </c>
      <c r="O32" s="323"/>
      <c r="P32" s="323"/>
      <c r="Q32" s="323"/>
      <c r="R32" s="323"/>
      <c r="S32" s="333" t="s">
        <v>817</v>
      </c>
      <c r="T32" s="335" t="s">
        <v>820</v>
      </c>
      <c r="U32" s="334" t="s">
        <v>817</v>
      </c>
      <c r="V32" s="323" t="s">
        <v>864</v>
      </c>
      <c r="W32" s="323"/>
      <c r="X32" s="323" t="s">
        <v>863</v>
      </c>
      <c r="Y32" s="323"/>
      <c r="Z32" s="323"/>
      <c r="AA32" s="323" t="s">
        <v>864</v>
      </c>
      <c r="AB32" s="323" t="s">
        <v>864</v>
      </c>
      <c r="AC32" s="321" t="s">
        <v>1694</v>
      </c>
      <c r="AD32" s="323"/>
      <c r="AE32" s="323"/>
      <c r="AF32" s="323"/>
      <c r="AG32" s="323">
        <v>1</v>
      </c>
      <c r="AH32" s="323">
        <v>1</v>
      </c>
      <c r="AI32" s="333" t="s">
        <v>817</v>
      </c>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6">
        <v>25</v>
      </c>
      <c r="B33" s="326"/>
      <c r="C33" s="326" t="s">
        <v>1807</v>
      </c>
      <c r="D33" s="326"/>
      <c r="E33" s="326"/>
      <c r="F33" s="326"/>
      <c r="G33" s="326"/>
      <c r="H33" s="317" t="s">
        <v>1728</v>
      </c>
      <c r="I33" s="317" t="s">
        <v>1808</v>
      </c>
      <c r="J33" s="338"/>
      <c r="K33" s="317" t="s">
        <v>864</v>
      </c>
      <c r="L33" s="317" t="s">
        <v>1809</v>
      </c>
      <c r="M33" s="317"/>
      <c r="N33" s="317" t="s">
        <v>1809</v>
      </c>
      <c r="O33" s="317"/>
      <c r="P33" s="317"/>
      <c r="Q33" s="317"/>
      <c r="R33" s="317"/>
      <c r="S33" s="327" t="s">
        <v>817</v>
      </c>
      <c r="T33" s="329" t="s">
        <v>817</v>
      </c>
      <c r="U33" s="329" t="s">
        <v>817</v>
      </c>
      <c r="V33" s="317"/>
      <c r="W33" s="317" t="s">
        <v>864</v>
      </c>
      <c r="X33" s="317" t="s">
        <v>1810</v>
      </c>
      <c r="Y33" s="317"/>
      <c r="Z33" s="317"/>
      <c r="AA33" s="317" t="s">
        <v>864</v>
      </c>
      <c r="AB33" s="317" t="s">
        <v>864</v>
      </c>
      <c r="AC33" s="321" t="s">
        <v>1694</v>
      </c>
      <c r="AD33" s="317"/>
      <c r="AE33" s="317"/>
      <c r="AF33" s="317"/>
      <c r="AG33" s="317">
        <v>1</v>
      </c>
      <c r="AH33" s="317">
        <v>1</v>
      </c>
      <c r="AI33" s="327" t="s">
        <v>817</v>
      </c>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2">
        <v>26</v>
      </c>
      <c r="B34" s="322"/>
      <c r="C34" s="322"/>
      <c r="D34" s="322" t="s">
        <v>1811</v>
      </c>
      <c r="E34" s="339"/>
      <c r="F34" s="322"/>
      <c r="G34" s="322"/>
      <c r="H34" s="323" t="s">
        <v>1812</v>
      </c>
      <c r="I34" s="323" t="s">
        <v>1813</v>
      </c>
      <c r="J34" s="323" t="s">
        <v>1814</v>
      </c>
      <c r="K34" s="323" t="s">
        <v>864</v>
      </c>
      <c r="L34" s="323" t="s">
        <v>1815</v>
      </c>
      <c r="M34" s="323"/>
      <c r="N34" s="323" t="s">
        <v>1815</v>
      </c>
      <c r="O34" s="323"/>
      <c r="P34" s="323"/>
      <c r="Q34" s="323"/>
      <c r="R34" s="323"/>
      <c r="S34" s="323" t="s">
        <v>893</v>
      </c>
      <c r="T34" s="323" t="s">
        <v>893</v>
      </c>
      <c r="U34" s="323" t="s">
        <v>893</v>
      </c>
      <c r="V34" s="323"/>
      <c r="W34" s="323"/>
      <c r="X34" s="323" t="s">
        <v>863</v>
      </c>
      <c r="Y34" s="323"/>
      <c r="Z34" s="323" t="s">
        <v>1816</v>
      </c>
      <c r="AA34" s="323" t="s">
        <v>864</v>
      </c>
      <c r="AB34" s="323" t="s">
        <v>864</v>
      </c>
      <c r="AC34" s="321" t="s">
        <v>1694</v>
      </c>
      <c r="AD34" s="323"/>
      <c r="AE34" s="323"/>
      <c r="AF34" s="323"/>
      <c r="AG34" s="323">
        <v>1</v>
      </c>
      <c r="AH34" s="323">
        <v>1</v>
      </c>
      <c r="AI34" s="323" t="s">
        <v>893</v>
      </c>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6">
        <v>27</v>
      </c>
      <c r="B35" s="326"/>
      <c r="C35" s="326"/>
      <c r="D35" s="326" t="s">
        <v>1817</v>
      </c>
      <c r="E35" s="326"/>
      <c r="F35" s="326"/>
      <c r="G35" s="326"/>
      <c r="H35" s="317" t="s">
        <v>1818</v>
      </c>
      <c r="I35" s="317" t="s">
        <v>1819</v>
      </c>
      <c r="J35" s="317" t="s">
        <v>1820</v>
      </c>
      <c r="K35" s="317" t="s">
        <v>864</v>
      </c>
      <c r="L35" s="317" t="s">
        <v>1821</v>
      </c>
      <c r="M35" s="317"/>
      <c r="N35" s="317" t="s">
        <v>1821</v>
      </c>
      <c r="O35" s="317"/>
      <c r="P35" s="317"/>
      <c r="Q35" s="317"/>
      <c r="R35" s="317"/>
      <c r="S35" s="317" t="s">
        <v>893</v>
      </c>
      <c r="T35" s="317" t="s">
        <v>893</v>
      </c>
      <c r="U35" s="317" t="s">
        <v>893</v>
      </c>
      <c r="V35" s="317"/>
      <c r="W35" s="317"/>
      <c r="X35" s="317" t="s">
        <v>863</v>
      </c>
      <c r="Y35" s="317"/>
      <c r="Z35" s="317" t="s">
        <v>1822</v>
      </c>
      <c r="AA35" s="317" t="s">
        <v>864</v>
      </c>
      <c r="AB35" s="317" t="s">
        <v>864</v>
      </c>
      <c r="AC35" s="332" t="s">
        <v>1694</v>
      </c>
      <c r="AD35" s="317"/>
      <c r="AE35" s="317"/>
      <c r="AF35" s="317"/>
      <c r="AG35" s="317">
        <v>1</v>
      </c>
      <c r="AH35" s="317">
        <v>1</v>
      </c>
      <c r="AI35" s="317" t="s">
        <v>893</v>
      </c>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2">
        <v>28</v>
      </c>
      <c r="B36" s="322"/>
      <c r="C36" s="322"/>
      <c r="D36" s="322" t="s">
        <v>1823</v>
      </c>
      <c r="E36" s="322"/>
      <c r="F36" s="322"/>
      <c r="G36" s="322"/>
      <c r="H36" s="323" t="s">
        <v>1824</v>
      </c>
      <c r="I36" s="323" t="s">
        <v>1825</v>
      </c>
      <c r="J36" s="323" t="s">
        <v>1826</v>
      </c>
      <c r="K36" s="323" t="s">
        <v>864</v>
      </c>
      <c r="L36" s="323" t="s">
        <v>1827</v>
      </c>
      <c r="M36" s="323"/>
      <c r="N36" s="323" t="s">
        <v>1827</v>
      </c>
      <c r="O36" s="323"/>
      <c r="P36" s="323"/>
      <c r="Q36" s="323"/>
      <c r="R36" s="323"/>
      <c r="S36" s="323" t="s">
        <v>893</v>
      </c>
      <c r="T36" s="323" t="s">
        <v>893</v>
      </c>
      <c r="U36" s="323" t="s">
        <v>893</v>
      </c>
      <c r="V36" s="323"/>
      <c r="W36" s="323"/>
      <c r="X36" s="323" t="s">
        <v>863</v>
      </c>
      <c r="Y36" s="323"/>
      <c r="Z36" s="323"/>
      <c r="AA36" s="323" t="s">
        <v>864</v>
      </c>
      <c r="AB36" s="323" t="s">
        <v>864</v>
      </c>
      <c r="AC36" s="321" t="s">
        <v>1694</v>
      </c>
      <c r="AD36" s="323"/>
      <c r="AE36" s="323"/>
      <c r="AF36" s="323"/>
      <c r="AG36" s="323">
        <v>1</v>
      </c>
      <c r="AH36" s="323">
        <v>1</v>
      </c>
      <c r="AI36" s="323" t="s">
        <v>893</v>
      </c>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6">
        <v>29</v>
      </c>
      <c r="B37" s="326"/>
      <c r="C37" s="326"/>
      <c r="D37" s="326" t="s">
        <v>1828</v>
      </c>
      <c r="E37" s="326"/>
      <c r="F37" s="326"/>
      <c r="G37" s="326"/>
      <c r="H37" s="317" t="s">
        <v>1728</v>
      </c>
      <c r="I37" s="317" t="s">
        <v>1829</v>
      </c>
      <c r="J37" s="317" t="s">
        <v>1830</v>
      </c>
      <c r="K37" s="317"/>
      <c r="L37" s="317" t="s">
        <v>1831</v>
      </c>
      <c r="M37" s="317"/>
      <c r="N37" s="317" t="s">
        <v>1831</v>
      </c>
      <c r="O37" s="317"/>
      <c r="P37" s="317"/>
      <c r="Q37" s="317"/>
      <c r="R37" s="317"/>
      <c r="S37" s="327" t="s">
        <v>817</v>
      </c>
      <c r="T37" s="327" t="s">
        <v>817</v>
      </c>
      <c r="U37" s="327" t="s">
        <v>817</v>
      </c>
      <c r="V37" s="317"/>
      <c r="W37" s="317"/>
      <c r="X37" s="317" t="s">
        <v>863</v>
      </c>
      <c r="Y37" s="317"/>
      <c r="Z37" s="317" t="s">
        <v>1832</v>
      </c>
      <c r="AA37" s="317" t="s">
        <v>864</v>
      </c>
      <c r="AB37" s="317" t="s">
        <v>864</v>
      </c>
      <c r="AC37" s="321" t="s">
        <v>1694</v>
      </c>
      <c r="AD37" s="317"/>
      <c r="AE37" s="317"/>
      <c r="AF37" s="317"/>
      <c r="AG37" s="317">
        <v>1</v>
      </c>
      <c r="AH37" s="317">
        <v>1</v>
      </c>
      <c r="AI37" s="327" t="s">
        <v>817</v>
      </c>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2">
        <v>30</v>
      </c>
      <c r="B38" s="322"/>
      <c r="C38" s="322" t="s">
        <v>1833</v>
      </c>
      <c r="D38" s="322"/>
      <c r="E38" s="322"/>
      <c r="F38" s="322"/>
      <c r="G38" s="322"/>
      <c r="H38" s="323" t="s">
        <v>1728</v>
      </c>
      <c r="I38" s="323" t="s">
        <v>1834</v>
      </c>
      <c r="J38" s="323" t="s">
        <v>1835</v>
      </c>
      <c r="K38" s="323"/>
      <c r="L38" s="323" t="s">
        <v>1836</v>
      </c>
      <c r="M38" s="323"/>
      <c r="N38" s="323" t="s">
        <v>1836</v>
      </c>
      <c r="O38" s="323"/>
      <c r="P38" s="323"/>
      <c r="Q38" s="323"/>
      <c r="R38" s="323"/>
      <c r="S38" s="333" t="s">
        <v>817</v>
      </c>
      <c r="T38" s="334" t="s">
        <v>817</v>
      </c>
      <c r="U38" s="334" t="s">
        <v>817</v>
      </c>
      <c r="V38" s="323"/>
      <c r="W38" s="323"/>
      <c r="X38" s="323" t="s">
        <v>863</v>
      </c>
      <c r="Y38" s="323"/>
      <c r="Z38" s="323" t="s">
        <v>1837</v>
      </c>
      <c r="AA38" s="323" t="s">
        <v>864</v>
      </c>
      <c r="AB38" s="323" t="s">
        <v>864</v>
      </c>
      <c r="AC38" s="321" t="s">
        <v>1694</v>
      </c>
      <c r="AD38" s="323"/>
      <c r="AE38" s="323"/>
      <c r="AF38" s="323"/>
      <c r="AG38" s="323">
        <v>1</v>
      </c>
      <c r="AH38" s="323">
        <v>1</v>
      </c>
      <c r="AI38" s="333" t="s">
        <v>817</v>
      </c>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6">
        <v>31</v>
      </c>
      <c r="B39" s="326"/>
      <c r="C39" s="326" t="s">
        <v>1838</v>
      </c>
      <c r="D39" s="340"/>
      <c r="E39" s="326"/>
      <c r="F39" s="326"/>
      <c r="G39" s="326"/>
      <c r="H39" s="317" t="s">
        <v>1839</v>
      </c>
      <c r="I39" s="317" t="s">
        <v>1840</v>
      </c>
      <c r="J39" s="317">
        <v>2</v>
      </c>
      <c r="K39" s="317" t="s">
        <v>864</v>
      </c>
      <c r="L39" s="317" t="s">
        <v>1841</v>
      </c>
      <c r="M39" s="317"/>
      <c r="N39" s="317" t="s">
        <v>1841</v>
      </c>
      <c r="O39" s="317"/>
      <c r="P39" s="317"/>
      <c r="Q39" s="317"/>
      <c r="R39" s="317"/>
      <c r="S39" s="327" t="s">
        <v>817</v>
      </c>
      <c r="T39" s="327" t="s">
        <v>817</v>
      </c>
      <c r="U39" s="327" t="s">
        <v>817</v>
      </c>
      <c r="V39" s="317"/>
      <c r="W39" s="317"/>
      <c r="X39" s="317" t="s">
        <v>863</v>
      </c>
      <c r="Y39" s="317"/>
      <c r="Z39" s="317" t="s">
        <v>1842</v>
      </c>
      <c r="AA39" s="317" t="s">
        <v>864</v>
      </c>
      <c r="AB39" s="317" t="s">
        <v>864</v>
      </c>
      <c r="AC39" s="321" t="s">
        <v>1694</v>
      </c>
      <c r="AD39" s="317"/>
      <c r="AE39" s="317"/>
      <c r="AF39" s="317"/>
      <c r="AG39" s="317">
        <v>1</v>
      </c>
      <c r="AH39" s="317">
        <v>1</v>
      </c>
      <c r="AI39" s="327" t="s">
        <v>817</v>
      </c>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2">
        <v>32</v>
      </c>
      <c r="B40" s="322"/>
      <c r="C40" s="322" t="s">
        <v>1843</v>
      </c>
      <c r="D40" s="322"/>
      <c r="E40" s="322"/>
      <c r="F40" s="322"/>
      <c r="G40" s="322"/>
      <c r="H40" s="323" t="s">
        <v>1844</v>
      </c>
      <c r="I40" s="323" t="s">
        <v>1845</v>
      </c>
      <c r="J40" s="323">
        <v>100</v>
      </c>
      <c r="K40" s="323"/>
      <c r="L40" s="323" t="s">
        <v>1846</v>
      </c>
      <c r="M40" s="323"/>
      <c r="N40" s="323" t="s">
        <v>1846</v>
      </c>
      <c r="O40" s="323"/>
      <c r="P40" s="323"/>
      <c r="Q40" s="323"/>
      <c r="R40" s="323"/>
      <c r="S40" s="333" t="s">
        <v>817</v>
      </c>
      <c r="T40" s="333" t="s">
        <v>817</v>
      </c>
      <c r="U40" s="333" t="s">
        <v>817</v>
      </c>
      <c r="V40" s="323"/>
      <c r="W40" s="323"/>
      <c r="X40" s="323" t="s">
        <v>1380</v>
      </c>
      <c r="Y40" s="323"/>
      <c r="Z40" s="323"/>
      <c r="AA40" s="323" t="s">
        <v>864</v>
      </c>
      <c r="AB40" s="323" t="s">
        <v>864</v>
      </c>
      <c r="AC40" s="332" t="s">
        <v>1694</v>
      </c>
      <c r="AD40" s="323"/>
      <c r="AE40" s="323"/>
      <c r="AF40" s="323"/>
      <c r="AG40" s="323">
        <v>1</v>
      </c>
      <c r="AH40" s="323">
        <v>1</v>
      </c>
      <c r="AI40" s="333" t="s">
        <v>817</v>
      </c>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6">
        <v>33</v>
      </c>
      <c r="B41" s="326"/>
      <c r="C41" s="326" t="s">
        <v>1847</v>
      </c>
      <c r="D41" s="340"/>
      <c r="E41" s="326"/>
      <c r="F41" s="326"/>
      <c r="G41" s="326"/>
      <c r="H41" s="317" t="s">
        <v>1848</v>
      </c>
      <c r="I41" s="317" t="s">
        <v>1849</v>
      </c>
      <c r="J41" s="317" t="s">
        <v>1850</v>
      </c>
      <c r="K41" s="317" t="s">
        <v>864</v>
      </c>
      <c r="L41" s="317" t="s">
        <v>1851</v>
      </c>
      <c r="M41" s="317"/>
      <c r="N41" s="317" t="s">
        <v>1851</v>
      </c>
      <c r="O41" s="317"/>
      <c r="P41" s="317"/>
      <c r="Q41" s="317"/>
      <c r="R41" s="317"/>
      <c r="S41" s="327" t="s">
        <v>817</v>
      </c>
      <c r="T41" s="327" t="s">
        <v>817</v>
      </c>
      <c r="U41" s="327" t="s">
        <v>817</v>
      </c>
      <c r="V41" s="317"/>
      <c r="W41" s="317"/>
      <c r="X41" s="317" t="s">
        <v>879</v>
      </c>
      <c r="Y41" s="317"/>
      <c r="Z41" s="317" t="s">
        <v>932</v>
      </c>
      <c r="AA41" s="317" t="s">
        <v>864</v>
      </c>
      <c r="AB41" s="317" t="s">
        <v>864</v>
      </c>
      <c r="AC41" s="321" t="s">
        <v>1694</v>
      </c>
      <c r="AD41" s="317"/>
      <c r="AE41" s="317"/>
      <c r="AF41" s="317"/>
      <c r="AG41" s="317">
        <v>1</v>
      </c>
      <c r="AH41" s="317">
        <v>1</v>
      </c>
      <c r="AI41" s="327" t="s">
        <v>817</v>
      </c>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2">
        <v>34</v>
      </c>
      <c r="B42" s="322"/>
      <c r="C42" s="322" t="s">
        <v>1852</v>
      </c>
      <c r="D42" s="339"/>
      <c r="E42" s="322"/>
      <c r="F42" s="322"/>
      <c r="G42" s="322"/>
      <c r="H42" s="323" t="s">
        <v>1853</v>
      </c>
      <c r="I42" s="323" t="s">
        <v>1854</v>
      </c>
      <c r="J42" s="323" t="s">
        <v>1855</v>
      </c>
      <c r="K42" s="323" t="s">
        <v>864</v>
      </c>
      <c r="L42" s="323" t="s">
        <v>1856</v>
      </c>
      <c r="M42" s="323"/>
      <c r="N42" s="323" t="s">
        <v>1856</v>
      </c>
      <c r="O42" s="323"/>
      <c r="P42" s="323"/>
      <c r="Q42" s="323"/>
      <c r="R42" s="323"/>
      <c r="S42" s="333" t="s">
        <v>817</v>
      </c>
      <c r="T42" s="333" t="s">
        <v>817</v>
      </c>
      <c r="U42" s="333" t="s">
        <v>817</v>
      </c>
      <c r="V42" s="323"/>
      <c r="W42" s="323"/>
      <c r="X42" s="323" t="s">
        <v>879</v>
      </c>
      <c r="Y42" s="323"/>
      <c r="Z42" s="323" t="s">
        <v>932</v>
      </c>
      <c r="AA42" s="323" t="s">
        <v>864</v>
      </c>
      <c r="AB42" s="323" t="s">
        <v>864</v>
      </c>
      <c r="AC42" s="321" t="s">
        <v>1694</v>
      </c>
      <c r="AD42" s="323"/>
      <c r="AE42" s="323"/>
      <c r="AF42" s="323"/>
      <c r="AG42" s="323">
        <v>1</v>
      </c>
      <c r="AH42" s="323">
        <v>1</v>
      </c>
      <c r="AI42" s="333" t="s">
        <v>817</v>
      </c>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6">
        <v>35</v>
      </c>
      <c r="B43" s="326"/>
      <c r="C43" s="326" t="s">
        <v>1857</v>
      </c>
      <c r="D43" s="340"/>
      <c r="E43" s="340"/>
      <c r="F43" s="326"/>
      <c r="G43" s="326"/>
      <c r="H43" s="317" t="s">
        <v>1858</v>
      </c>
      <c r="I43" s="317" t="s">
        <v>1859</v>
      </c>
      <c r="J43" s="317" t="s">
        <v>1860</v>
      </c>
      <c r="K43" s="317" t="s">
        <v>864</v>
      </c>
      <c r="L43" s="317" t="s">
        <v>1861</v>
      </c>
      <c r="M43" s="317"/>
      <c r="N43" s="317" t="s">
        <v>1861</v>
      </c>
      <c r="O43" s="317"/>
      <c r="P43" s="317"/>
      <c r="Q43" s="317"/>
      <c r="R43" s="317"/>
      <c r="S43" s="327" t="s">
        <v>817</v>
      </c>
      <c r="T43" s="329" t="s">
        <v>817</v>
      </c>
      <c r="U43" s="329" t="s">
        <v>817</v>
      </c>
      <c r="V43" s="317"/>
      <c r="W43" s="317"/>
      <c r="X43" s="317" t="s">
        <v>879</v>
      </c>
      <c r="Y43" s="317"/>
      <c r="Z43" s="317" t="s">
        <v>932</v>
      </c>
      <c r="AA43" s="317" t="s">
        <v>864</v>
      </c>
      <c r="AB43" s="317" t="s">
        <v>864</v>
      </c>
      <c r="AC43" s="321" t="s">
        <v>1694</v>
      </c>
      <c r="AD43" s="317"/>
      <c r="AE43" s="317"/>
      <c r="AF43" s="317"/>
      <c r="AG43" s="317">
        <v>1</v>
      </c>
      <c r="AH43" s="317">
        <v>1</v>
      </c>
      <c r="AI43" s="327" t="s">
        <v>817</v>
      </c>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2">
        <v>36</v>
      </c>
      <c r="B44" s="322"/>
      <c r="C44" s="322" t="s">
        <v>1862</v>
      </c>
      <c r="D44" s="322"/>
      <c r="E44" s="322"/>
      <c r="F44" s="322"/>
      <c r="G44" s="322"/>
      <c r="H44" s="323" t="s">
        <v>1863</v>
      </c>
      <c r="I44" s="323" t="s">
        <v>1864</v>
      </c>
      <c r="J44" s="323" t="s">
        <v>1865</v>
      </c>
      <c r="K44" s="323" t="s">
        <v>864</v>
      </c>
      <c r="L44" s="323" t="s">
        <v>1866</v>
      </c>
      <c r="M44" s="323"/>
      <c r="N44" s="323" t="s">
        <v>1866</v>
      </c>
      <c r="O44" s="323"/>
      <c r="P44" s="323"/>
      <c r="Q44" s="323"/>
      <c r="R44" s="323"/>
      <c r="S44" s="333" t="s">
        <v>817</v>
      </c>
      <c r="T44" s="333" t="s">
        <v>817</v>
      </c>
      <c r="U44" s="333" t="s">
        <v>817</v>
      </c>
      <c r="V44" s="323"/>
      <c r="W44" s="323"/>
      <c r="X44" s="323" t="s">
        <v>863</v>
      </c>
      <c r="Y44" s="323"/>
      <c r="Z44" s="323" t="s">
        <v>1867</v>
      </c>
      <c r="AA44" s="323" t="s">
        <v>864</v>
      </c>
      <c r="AB44" s="323" t="s">
        <v>864</v>
      </c>
      <c r="AC44" s="321" t="s">
        <v>1694</v>
      </c>
      <c r="AD44" s="323"/>
      <c r="AE44" s="323"/>
      <c r="AF44" s="323"/>
      <c r="AG44" s="323">
        <v>1</v>
      </c>
      <c r="AH44" s="323">
        <v>1</v>
      </c>
      <c r="AI44" s="333" t="s">
        <v>817</v>
      </c>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6">
        <v>37</v>
      </c>
      <c r="B45" s="326"/>
      <c r="C45" s="326" t="s">
        <v>1868</v>
      </c>
      <c r="D45" s="340"/>
      <c r="E45" s="326"/>
      <c r="F45" s="326"/>
      <c r="G45" s="326"/>
      <c r="H45" s="317" t="s">
        <v>1728</v>
      </c>
      <c r="I45" s="317" t="s">
        <v>1869</v>
      </c>
      <c r="J45" s="317" t="s">
        <v>1870</v>
      </c>
      <c r="K45" s="317"/>
      <c r="L45" s="317" t="s">
        <v>1871</v>
      </c>
      <c r="M45" s="317"/>
      <c r="N45" s="317" t="s">
        <v>1871</v>
      </c>
      <c r="O45" s="317"/>
      <c r="P45" s="317"/>
      <c r="Q45" s="317"/>
      <c r="R45" s="317"/>
      <c r="S45" s="327" t="s">
        <v>817</v>
      </c>
      <c r="T45" s="327" t="s">
        <v>817</v>
      </c>
      <c r="U45" s="327" t="s">
        <v>817</v>
      </c>
      <c r="V45" s="317"/>
      <c r="W45" s="317"/>
      <c r="X45" s="317" t="s">
        <v>863</v>
      </c>
      <c r="Y45" s="317"/>
      <c r="Z45" s="317" t="s">
        <v>1872</v>
      </c>
      <c r="AA45" s="317" t="s">
        <v>864</v>
      </c>
      <c r="AB45" s="317" t="s">
        <v>864</v>
      </c>
      <c r="AC45" s="332" t="s">
        <v>1694</v>
      </c>
      <c r="AD45" s="317"/>
      <c r="AE45" s="317"/>
      <c r="AF45" s="317"/>
      <c r="AG45" s="317">
        <v>1</v>
      </c>
      <c r="AH45" s="317">
        <v>1</v>
      </c>
      <c r="AI45" s="327" t="s">
        <v>817</v>
      </c>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2">
        <v>38</v>
      </c>
      <c r="B46" s="322"/>
      <c r="C46" s="322" t="s">
        <v>1873</v>
      </c>
      <c r="D46" s="339"/>
      <c r="E46" s="322"/>
      <c r="F46" s="322"/>
      <c r="G46" s="322"/>
      <c r="H46" s="323" t="s">
        <v>1874</v>
      </c>
      <c r="I46" s="323" t="s">
        <v>1875</v>
      </c>
      <c r="J46" s="330"/>
      <c r="K46" s="323"/>
      <c r="L46" s="323" t="s">
        <v>1876</v>
      </c>
      <c r="M46" s="323"/>
      <c r="N46" s="323" t="s">
        <v>1876</v>
      </c>
      <c r="O46" s="323"/>
      <c r="P46" s="323"/>
      <c r="Q46" s="323"/>
      <c r="R46" s="323"/>
      <c r="S46" s="331" t="s">
        <v>823</v>
      </c>
      <c r="T46" s="331" t="s">
        <v>823</v>
      </c>
      <c r="U46" s="331" t="s">
        <v>823</v>
      </c>
      <c r="V46" s="323"/>
      <c r="W46" s="323" t="s">
        <v>864</v>
      </c>
      <c r="X46" s="323" t="s">
        <v>1877</v>
      </c>
      <c r="Y46" s="323"/>
      <c r="Z46" s="323"/>
      <c r="AA46" s="323" t="s">
        <v>864</v>
      </c>
      <c r="AB46" s="323" t="s">
        <v>864</v>
      </c>
      <c r="AC46" s="321" t="s">
        <v>1694</v>
      </c>
      <c r="AD46" s="323"/>
      <c r="AE46" s="323"/>
      <c r="AF46" s="323"/>
      <c r="AG46" s="323">
        <v>1</v>
      </c>
      <c r="AH46" s="323">
        <v>1</v>
      </c>
      <c r="AI46" s="331" t="s">
        <v>823</v>
      </c>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6">
        <v>39</v>
      </c>
      <c r="B47" s="326"/>
      <c r="C47" s="326"/>
      <c r="D47" s="326" t="s">
        <v>1878</v>
      </c>
      <c r="E47" s="326"/>
      <c r="F47" s="326"/>
      <c r="G47" s="326"/>
      <c r="H47" s="317" t="s">
        <v>1879</v>
      </c>
      <c r="I47" s="317" t="s">
        <v>1880</v>
      </c>
      <c r="J47" s="317" t="s">
        <v>1881</v>
      </c>
      <c r="K47" s="317"/>
      <c r="L47" s="317" t="s">
        <v>1763</v>
      </c>
      <c r="M47" s="317"/>
      <c r="N47" s="317" t="s">
        <v>1763</v>
      </c>
      <c r="O47" s="317"/>
      <c r="P47" s="317"/>
      <c r="Q47" s="317"/>
      <c r="R47" s="317"/>
      <c r="S47" s="320" t="s">
        <v>820</v>
      </c>
      <c r="T47" s="320" t="s">
        <v>820</v>
      </c>
      <c r="U47" s="320" t="s">
        <v>820</v>
      </c>
      <c r="V47" s="317"/>
      <c r="W47" s="317"/>
      <c r="X47" s="317" t="s">
        <v>863</v>
      </c>
      <c r="Y47" s="317"/>
      <c r="Z47" s="317"/>
      <c r="AA47" s="317" t="s">
        <v>864</v>
      </c>
      <c r="AB47" s="317" t="s">
        <v>864</v>
      </c>
      <c r="AC47" s="321" t="s">
        <v>1694</v>
      </c>
      <c r="AD47" s="317"/>
      <c r="AE47" s="317"/>
      <c r="AF47" s="317"/>
      <c r="AG47" s="317">
        <v>1</v>
      </c>
      <c r="AH47" s="317">
        <v>1</v>
      </c>
      <c r="AI47" s="320" t="s">
        <v>820</v>
      </c>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2">
        <v>40</v>
      </c>
      <c r="B48" s="322"/>
      <c r="C48" s="322"/>
      <c r="D48" s="322" t="s">
        <v>1882</v>
      </c>
      <c r="E48" s="322"/>
      <c r="F48" s="322"/>
      <c r="G48" s="322"/>
      <c r="H48" s="323" t="s">
        <v>1883</v>
      </c>
      <c r="I48" s="323" t="s">
        <v>1884</v>
      </c>
      <c r="J48" s="323"/>
      <c r="K48" s="323"/>
      <c r="L48" s="323" t="s">
        <v>1885</v>
      </c>
      <c r="M48" s="323"/>
      <c r="N48" s="323" t="s">
        <v>1885</v>
      </c>
      <c r="O48" s="323"/>
      <c r="P48" s="323"/>
      <c r="Q48" s="323"/>
      <c r="R48" s="323"/>
      <c r="S48" s="323" t="s">
        <v>893</v>
      </c>
      <c r="T48" s="341" t="s">
        <v>893</v>
      </c>
      <c r="U48" s="341" t="s">
        <v>893</v>
      </c>
      <c r="V48" s="323"/>
      <c r="W48" s="323"/>
      <c r="X48" s="323" t="s">
        <v>863</v>
      </c>
      <c r="Y48" s="323"/>
      <c r="Z48" s="323"/>
      <c r="AA48" s="323" t="s">
        <v>864</v>
      </c>
      <c r="AB48" s="323" t="s">
        <v>864</v>
      </c>
      <c r="AC48" s="321" t="s">
        <v>1694</v>
      </c>
      <c r="AD48" s="323"/>
      <c r="AE48" s="323"/>
      <c r="AF48" s="323"/>
      <c r="AG48" s="323">
        <v>1</v>
      </c>
      <c r="AH48" s="323">
        <v>1</v>
      </c>
      <c r="AI48" s="323" t="s">
        <v>893</v>
      </c>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2">
        <v>41</v>
      </c>
      <c r="B49" s="342"/>
      <c r="C49" s="342" t="s">
        <v>1886</v>
      </c>
      <c r="D49" s="343"/>
      <c r="E49" s="343"/>
      <c r="F49" s="343"/>
      <c r="G49" s="343"/>
      <c r="H49" s="317" t="s">
        <v>1887</v>
      </c>
      <c r="I49" s="317" t="s">
        <v>1888</v>
      </c>
      <c r="J49" s="338"/>
      <c r="K49" s="317"/>
      <c r="L49" s="317" t="s">
        <v>1889</v>
      </c>
      <c r="M49" s="317"/>
      <c r="N49" s="317" t="s">
        <v>1889</v>
      </c>
      <c r="O49" s="317"/>
      <c r="P49" s="317"/>
      <c r="Q49" s="317"/>
      <c r="R49" s="317"/>
      <c r="S49" s="344" t="s">
        <v>823</v>
      </c>
      <c r="T49" s="344" t="s">
        <v>823</v>
      </c>
      <c r="U49" s="344" t="s">
        <v>823</v>
      </c>
      <c r="V49" s="317"/>
      <c r="W49" s="317" t="s">
        <v>864</v>
      </c>
      <c r="X49" s="317" t="s">
        <v>1890</v>
      </c>
      <c r="Y49" s="317"/>
      <c r="Z49" s="317"/>
      <c r="AA49" s="317" t="s">
        <v>864</v>
      </c>
      <c r="AB49" s="317" t="s">
        <v>864</v>
      </c>
      <c r="AC49" s="321" t="s">
        <v>1694</v>
      </c>
      <c r="AD49" s="317"/>
      <c r="AE49" s="317"/>
      <c r="AF49" s="317"/>
      <c r="AG49" s="317"/>
      <c r="AH49" s="317"/>
      <c r="AI49" s="344" t="s">
        <v>823</v>
      </c>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5">
        <v>42</v>
      </c>
      <c r="B50" s="345"/>
      <c r="C50" s="345"/>
      <c r="D50" s="345" t="s">
        <v>1704</v>
      </c>
      <c r="E50" s="345"/>
      <c r="F50" s="345"/>
      <c r="G50" s="345"/>
      <c r="H50" s="323" t="s">
        <v>1891</v>
      </c>
      <c r="I50" s="323" t="s">
        <v>1892</v>
      </c>
      <c r="J50" s="323" t="s">
        <v>1893</v>
      </c>
      <c r="K50" s="323"/>
      <c r="L50" s="323" t="s">
        <v>1707</v>
      </c>
      <c r="M50" s="323"/>
      <c r="N50" s="323" t="s">
        <v>1707</v>
      </c>
      <c r="O50" s="323"/>
      <c r="P50" s="323"/>
      <c r="Q50" s="323"/>
      <c r="R50" s="323"/>
      <c r="S50" s="325" t="s">
        <v>820</v>
      </c>
      <c r="T50" s="325" t="s">
        <v>820</v>
      </c>
      <c r="U50" s="325" t="s">
        <v>820</v>
      </c>
      <c r="V50" s="323"/>
      <c r="W50" s="323"/>
      <c r="X50" s="323" t="s">
        <v>863</v>
      </c>
      <c r="Y50" s="323"/>
      <c r="Z50" s="323"/>
      <c r="AA50" s="323" t="s">
        <v>864</v>
      </c>
      <c r="AB50" s="323" t="s">
        <v>864</v>
      </c>
      <c r="AC50" s="332" t="s">
        <v>1694</v>
      </c>
      <c r="AD50" s="323"/>
      <c r="AE50" s="323"/>
      <c r="AF50" s="323"/>
      <c r="AG50" s="323"/>
      <c r="AH50" s="323"/>
      <c r="AI50" s="325" t="s">
        <v>820</v>
      </c>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2">
        <v>43</v>
      </c>
      <c r="B51" s="342"/>
      <c r="C51" s="342"/>
      <c r="D51" s="342" t="s">
        <v>1894</v>
      </c>
      <c r="E51" s="346"/>
      <c r="F51" s="342"/>
      <c r="G51" s="342"/>
      <c r="H51" s="317" t="s">
        <v>1728</v>
      </c>
      <c r="I51" s="317" t="s">
        <v>1895</v>
      </c>
      <c r="J51" s="317" t="s">
        <v>1896</v>
      </c>
      <c r="K51" s="317"/>
      <c r="L51" s="317" t="s">
        <v>1897</v>
      </c>
      <c r="M51" s="317"/>
      <c r="N51" s="317" t="s">
        <v>1897</v>
      </c>
      <c r="O51" s="317"/>
      <c r="P51" s="317"/>
      <c r="Q51" s="317"/>
      <c r="R51" s="317"/>
      <c r="S51" s="327" t="s">
        <v>817</v>
      </c>
      <c r="T51" s="327" t="s">
        <v>817</v>
      </c>
      <c r="U51" s="327" t="s">
        <v>817</v>
      </c>
      <c r="V51" s="317"/>
      <c r="W51" s="317"/>
      <c r="X51" s="317" t="s">
        <v>879</v>
      </c>
      <c r="Y51" s="317"/>
      <c r="Z51" s="317" t="s">
        <v>932</v>
      </c>
      <c r="AA51" s="317" t="s">
        <v>864</v>
      </c>
      <c r="AB51" s="317" t="s">
        <v>864</v>
      </c>
      <c r="AC51" s="321" t="s">
        <v>1694</v>
      </c>
      <c r="AD51" s="317"/>
      <c r="AE51" s="317"/>
      <c r="AF51" s="317"/>
      <c r="AG51" s="317"/>
      <c r="AH51" s="317"/>
      <c r="AI51" s="327" t="s">
        <v>817</v>
      </c>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5">
        <v>44</v>
      </c>
      <c r="B52" s="345"/>
      <c r="C52" s="345"/>
      <c r="D52" s="345" t="s">
        <v>1898</v>
      </c>
      <c r="E52" s="345"/>
      <c r="F52" s="345"/>
      <c r="G52" s="345"/>
      <c r="H52" s="323" t="s">
        <v>1728</v>
      </c>
      <c r="I52" s="323" t="s">
        <v>1899</v>
      </c>
      <c r="J52" s="323">
        <v>0</v>
      </c>
      <c r="K52" s="323"/>
      <c r="L52" s="323" t="s">
        <v>1900</v>
      </c>
      <c r="M52" s="323"/>
      <c r="N52" s="323" t="s">
        <v>1900</v>
      </c>
      <c r="O52" s="323"/>
      <c r="P52" s="323"/>
      <c r="Q52" s="323"/>
      <c r="R52" s="323"/>
      <c r="S52" s="333" t="s">
        <v>817</v>
      </c>
      <c r="T52" s="333" t="s">
        <v>817</v>
      </c>
      <c r="U52" s="333" t="s">
        <v>817</v>
      </c>
      <c r="V52" s="323"/>
      <c r="W52" s="323"/>
      <c r="X52" s="323" t="s">
        <v>1380</v>
      </c>
      <c r="Y52" s="323"/>
      <c r="Z52" s="323"/>
      <c r="AA52" s="323" t="s">
        <v>864</v>
      </c>
      <c r="AB52" s="323" t="s">
        <v>864</v>
      </c>
      <c r="AC52" s="321" t="s">
        <v>1694</v>
      </c>
      <c r="AD52" s="323"/>
      <c r="AE52" s="323"/>
      <c r="AF52" s="323"/>
      <c r="AG52" s="323"/>
      <c r="AH52" s="323"/>
      <c r="AI52" s="333" t="s">
        <v>817</v>
      </c>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2">
        <v>45</v>
      </c>
      <c r="B53" s="342"/>
      <c r="C53" s="342"/>
      <c r="D53" s="342" t="s">
        <v>1901</v>
      </c>
      <c r="E53" s="342"/>
      <c r="F53" s="342"/>
      <c r="G53" s="342"/>
      <c r="H53" s="317" t="s">
        <v>1902</v>
      </c>
      <c r="I53" s="317" t="s">
        <v>1903</v>
      </c>
      <c r="J53" s="317">
        <v>0</v>
      </c>
      <c r="K53" s="317"/>
      <c r="L53" s="317" t="s">
        <v>1904</v>
      </c>
      <c r="M53" s="317"/>
      <c r="N53" s="317" t="s">
        <v>1904</v>
      </c>
      <c r="O53" s="317"/>
      <c r="P53" s="317"/>
      <c r="Q53" s="317"/>
      <c r="R53" s="317"/>
      <c r="S53" s="327" t="s">
        <v>817</v>
      </c>
      <c r="T53" s="329" t="s">
        <v>817</v>
      </c>
      <c r="U53" s="329" t="s">
        <v>817</v>
      </c>
      <c r="V53" s="317"/>
      <c r="W53" s="317"/>
      <c r="X53" s="317" t="s">
        <v>1380</v>
      </c>
      <c r="Y53" s="317"/>
      <c r="Z53" s="317"/>
      <c r="AA53" s="317" t="s">
        <v>864</v>
      </c>
      <c r="AB53" s="317" t="s">
        <v>864</v>
      </c>
      <c r="AC53" s="321" t="s">
        <v>1694</v>
      </c>
      <c r="AD53" s="317"/>
      <c r="AE53" s="317"/>
      <c r="AF53" s="317"/>
      <c r="AG53" s="317"/>
      <c r="AH53" s="317"/>
      <c r="AI53" s="327" t="s">
        <v>817</v>
      </c>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5">
        <v>46</v>
      </c>
      <c r="B54" s="345"/>
      <c r="C54" s="345"/>
      <c r="D54" s="345" t="s">
        <v>1905</v>
      </c>
      <c r="E54" s="345"/>
      <c r="F54" s="345"/>
      <c r="G54" s="345"/>
      <c r="H54" s="323" t="s">
        <v>1728</v>
      </c>
      <c r="I54" s="323" t="s">
        <v>1906</v>
      </c>
      <c r="J54" s="323">
        <v>1</v>
      </c>
      <c r="K54" s="323"/>
      <c r="L54" s="323" t="s">
        <v>1907</v>
      </c>
      <c r="M54" s="323"/>
      <c r="N54" s="323" t="s">
        <v>1907</v>
      </c>
      <c r="O54" s="323"/>
      <c r="P54" s="323"/>
      <c r="Q54" s="323"/>
      <c r="R54" s="323"/>
      <c r="S54" s="333" t="s">
        <v>817</v>
      </c>
      <c r="T54" s="333" t="s">
        <v>817</v>
      </c>
      <c r="U54" s="333" t="s">
        <v>817</v>
      </c>
      <c r="V54" s="323"/>
      <c r="W54" s="323"/>
      <c r="X54" s="323" t="s">
        <v>1380</v>
      </c>
      <c r="Y54" s="323"/>
      <c r="Z54" s="323"/>
      <c r="AA54" s="323" t="s">
        <v>864</v>
      </c>
      <c r="AB54" s="323" t="s">
        <v>864</v>
      </c>
      <c r="AC54" s="321" t="s">
        <v>1694</v>
      </c>
      <c r="AD54" s="323"/>
      <c r="AE54" s="323"/>
      <c r="AF54" s="323"/>
      <c r="AG54" s="323"/>
      <c r="AH54" s="323"/>
      <c r="AI54" s="333" t="s">
        <v>817</v>
      </c>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2">
        <v>47</v>
      </c>
      <c r="B55" s="342"/>
      <c r="C55" s="342"/>
      <c r="D55" s="342" t="s">
        <v>1908</v>
      </c>
      <c r="E55" s="342"/>
      <c r="F55" s="342"/>
      <c r="G55" s="342"/>
      <c r="H55" s="317" t="s">
        <v>1728</v>
      </c>
      <c r="I55" s="317" t="s">
        <v>1909</v>
      </c>
      <c r="J55" s="317">
        <v>0</v>
      </c>
      <c r="K55" s="317"/>
      <c r="L55" s="317" t="s">
        <v>1910</v>
      </c>
      <c r="M55" s="317"/>
      <c r="N55" s="317" t="s">
        <v>1910</v>
      </c>
      <c r="O55" s="317"/>
      <c r="P55" s="317"/>
      <c r="Q55" s="317"/>
      <c r="R55" s="317"/>
      <c r="S55" s="327" t="s">
        <v>817</v>
      </c>
      <c r="T55" s="327" t="s">
        <v>817</v>
      </c>
      <c r="U55" s="327" t="s">
        <v>817</v>
      </c>
      <c r="V55" s="317"/>
      <c r="W55" s="317"/>
      <c r="X55" s="317" t="s">
        <v>1380</v>
      </c>
      <c r="Y55" s="317"/>
      <c r="Z55" s="317"/>
      <c r="AA55" s="317" t="s">
        <v>864</v>
      </c>
      <c r="AB55" s="317" t="s">
        <v>864</v>
      </c>
      <c r="AC55" s="332" t="s">
        <v>1694</v>
      </c>
      <c r="AD55" s="317"/>
      <c r="AE55" s="317"/>
      <c r="AF55" s="317"/>
      <c r="AG55" s="317"/>
      <c r="AH55" s="317"/>
      <c r="AI55" s="327" t="s">
        <v>817</v>
      </c>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5">
        <v>48</v>
      </c>
      <c r="B56" s="345"/>
      <c r="C56" s="345"/>
      <c r="D56" s="345" t="s">
        <v>1911</v>
      </c>
      <c r="E56" s="345"/>
      <c r="F56" s="345"/>
      <c r="G56" s="345"/>
      <c r="H56" s="323" t="s">
        <v>1728</v>
      </c>
      <c r="I56" s="323" t="s">
        <v>1912</v>
      </c>
      <c r="J56" s="323">
        <v>0</v>
      </c>
      <c r="K56" s="323"/>
      <c r="L56" s="323" t="s">
        <v>1913</v>
      </c>
      <c r="M56" s="323"/>
      <c r="N56" s="323" t="s">
        <v>1913</v>
      </c>
      <c r="O56" s="323"/>
      <c r="P56" s="323"/>
      <c r="Q56" s="323"/>
      <c r="R56" s="323"/>
      <c r="S56" s="333" t="s">
        <v>817</v>
      </c>
      <c r="T56" s="333" t="s">
        <v>817</v>
      </c>
      <c r="U56" s="333" t="s">
        <v>817</v>
      </c>
      <c r="V56" s="323"/>
      <c r="W56" s="323"/>
      <c r="X56" s="323" t="s">
        <v>1380</v>
      </c>
      <c r="Y56" s="323"/>
      <c r="Z56" s="323"/>
      <c r="AA56" s="323" t="s">
        <v>864</v>
      </c>
      <c r="AB56" s="323" t="s">
        <v>864</v>
      </c>
      <c r="AC56" s="321" t="s">
        <v>1694</v>
      </c>
      <c r="AD56" s="323"/>
      <c r="AE56" s="323"/>
      <c r="AF56" s="323"/>
      <c r="AG56" s="323"/>
      <c r="AH56" s="323"/>
      <c r="AI56" s="333" t="s">
        <v>817</v>
      </c>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2">
        <v>49</v>
      </c>
      <c r="B57" s="342"/>
      <c r="C57" s="342"/>
      <c r="D57" s="342" t="s">
        <v>1914</v>
      </c>
      <c r="E57" s="342"/>
      <c r="F57" s="342"/>
      <c r="G57" s="342"/>
      <c r="H57" s="317" t="s">
        <v>1728</v>
      </c>
      <c r="I57" s="317" t="s">
        <v>1915</v>
      </c>
      <c r="J57" s="317">
        <v>0</v>
      </c>
      <c r="K57" s="317"/>
      <c r="L57" s="317" t="s">
        <v>1916</v>
      </c>
      <c r="M57" s="317"/>
      <c r="N57" s="317" t="s">
        <v>1916</v>
      </c>
      <c r="O57" s="317"/>
      <c r="P57" s="317"/>
      <c r="Q57" s="317"/>
      <c r="R57" s="317"/>
      <c r="S57" s="327" t="s">
        <v>817</v>
      </c>
      <c r="T57" s="327" t="s">
        <v>817</v>
      </c>
      <c r="U57" s="327" t="s">
        <v>817</v>
      </c>
      <c r="V57" s="317"/>
      <c r="W57" s="317"/>
      <c r="X57" s="317" t="s">
        <v>1380</v>
      </c>
      <c r="Y57" s="317"/>
      <c r="Z57" s="317"/>
      <c r="AA57" s="317" t="s">
        <v>864</v>
      </c>
      <c r="AB57" s="317" t="s">
        <v>864</v>
      </c>
      <c r="AC57" s="321" t="s">
        <v>1694</v>
      </c>
      <c r="AD57" s="317"/>
      <c r="AE57" s="317"/>
      <c r="AF57" s="317"/>
      <c r="AG57" s="317"/>
      <c r="AH57" s="317"/>
      <c r="AI57" s="327" t="s">
        <v>817</v>
      </c>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5">
        <v>50</v>
      </c>
      <c r="B58" s="345"/>
      <c r="C58" s="345" t="s">
        <v>1917</v>
      </c>
      <c r="D58" s="347"/>
      <c r="E58" s="347"/>
      <c r="F58" s="347"/>
      <c r="G58" s="347"/>
      <c r="H58" s="323" t="s">
        <v>1728</v>
      </c>
      <c r="I58" s="323" t="s">
        <v>1918</v>
      </c>
      <c r="J58" s="330"/>
      <c r="K58" s="323"/>
      <c r="L58" s="323" t="s">
        <v>1919</v>
      </c>
      <c r="M58" s="323"/>
      <c r="N58" s="323" t="s">
        <v>1919</v>
      </c>
      <c r="O58" s="323"/>
      <c r="P58" s="323"/>
      <c r="Q58" s="323"/>
      <c r="R58" s="323"/>
      <c r="S58" s="331" t="s">
        <v>823</v>
      </c>
      <c r="T58" s="348" t="s">
        <v>823</v>
      </c>
      <c r="U58" s="348" t="s">
        <v>823</v>
      </c>
      <c r="V58" s="323"/>
      <c r="W58" s="323" t="s">
        <v>864</v>
      </c>
      <c r="X58" s="323" t="s">
        <v>1920</v>
      </c>
      <c r="Y58" s="323"/>
      <c r="Z58" s="323"/>
      <c r="AA58" s="323" t="s">
        <v>864</v>
      </c>
      <c r="AB58" s="323" t="s">
        <v>864</v>
      </c>
      <c r="AC58" s="321" t="s">
        <v>1694</v>
      </c>
      <c r="AD58" s="323"/>
      <c r="AE58" s="323"/>
      <c r="AF58" s="323"/>
      <c r="AG58" s="323"/>
      <c r="AH58" s="323"/>
      <c r="AI58" s="331" t="s">
        <v>823</v>
      </c>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2">
        <v>51</v>
      </c>
      <c r="B59" s="342"/>
      <c r="C59" s="342"/>
      <c r="D59" s="342" t="s">
        <v>1921</v>
      </c>
      <c r="E59" s="342"/>
      <c r="F59" s="342"/>
      <c r="G59" s="342"/>
      <c r="H59" s="317" t="s">
        <v>1728</v>
      </c>
      <c r="I59" s="317" t="s">
        <v>1922</v>
      </c>
      <c r="J59" s="317" t="s">
        <v>1923</v>
      </c>
      <c r="K59" s="317"/>
      <c r="L59" s="317" t="s">
        <v>1897</v>
      </c>
      <c r="M59" s="317"/>
      <c r="N59" s="317" t="s">
        <v>1897</v>
      </c>
      <c r="O59" s="317"/>
      <c r="P59" s="317"/>
      <c r="Q59" s="317"/>
      <c r="R59" s="317"/>
      <c r="S59" s="327" t="s">
        <v>817</v>
      </c>
      <c r="T59" s="327" t="s">
        <v>817</v>
      </c>
      <c r="U59" s="327" t="s">
        <v>817</v>
      </c>
      <c r="V59" s="317"/>
      <c r="W59" s="317"/>
      <c r="X59" s="317" t="s">
        <v>879</v>
      </c>
      <c r="Y59" s="317"/>
      <c r="Z59" s="317" t="s">
        <v>932</v>
      </c>
      <c r="AA59" s="317" t="s">
        <v>864</v>
      </c>
      <c r="AB59" s="317" t="s">
        <v>864</v>
      </c>
      <c r="AC59" s="321" t="s">
        <v>1694</v>
      </c>
      <c r="AD59" s="317"/>
      <c r="AE59" s="317"/>
      <c r="AF59" s="317"/>
      <c r="AG59" s="317"/>
      <c r="AH59" s="317"/>
      <c r="AI59" s="327" t="s">
        <v>817</v>
      </c>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5">
        <v>52</v>
      </c>
      <c r="B60" s="345"/>
      <c r="C60" s="345"/>
      <c r="D60" s="345" t="s">
        <v>1924</v>
      </c>
      <c r="E60" s="345"/>
      <c r="F60" s="345"/>
      <c r="G60" s="345"/>
      <c r="H60" s="323" t="s">
        <v>1728</v>
      </c>
      <c r="I60" s="323" t="s">
        <v>1925</v>
      </c>
      <c r="J60" s="323">
        <v>0</v>
      </c>
      <c r="K60" s="323"/>
      <c r="L60" s="323" t="s">
        <v>1926</v>
      </c>
      <c r="M60" s="323"/>
      <c r="N60" s="323" t="s">
        <v>1926</v>
      </c>
      <c r="O60" s="323"/>
      <c r="P60" s="323"/>
      <c r="Q60" s="323"/>
      <c r="R60" s="323"/>
      <c r="S60" s="333" t="s">
        <v>817</v>
      </c>
      <c r="T60" s="333" t="s">
        <v>817</v>
      </c>
      <c r="U60" s="333" t="s">
        <v>817</v>
      </c>
      <c r="V60" s="323"/>
      <c r="W60" s="323"/>
      <c r="X60" s="323" t="s">
        <v>1380</v>
      </c>
      <c r="Y60" s="323"/>
      <c r="Z60" s="323"/>
      <c r="AA60" s="323" t="s">
        <v>864</v>
      </c>
      <c r="AB60" s="323" t="s">
        <v>864</v>
      </c>
      <c r="AC60" s="332" t="s">
        <v>1694</v>
      </c>
      <c r="AD60" s="323"/>
      <c r="AE60" s="323"/>
      <c r="AF60" s="323"/>
      <c r="AG60" s="323"/>
      <c r="AH60" s="323"/>
      <c r="AI60" s="333" t="s">
        <v>817</v>
      </c>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2">
        <v>53</v>
      </c>
      <c r="B61" s="342"/>
      <c r="C61" s="342"/>
      <c r="D61" s="342" t="s">
        <v>1927</v>
      </c>
      <c r="E61" s="342"/>
      <c r="F61" s="342"/>
      <c r="G61" s="342"/>
      <c r="H61" s="317" t="s">
        <v>1728</v>
      </c>
      <c r="I61" s="317" t="s">
        <v>1928</v>
      </c>
      <c r="J61" s="317">
        <v>1</v>
      </c>
      <c r="K61" s="317"/>
      <c r="L61" s="317" t="s">
        <v>1929</v>
      </c>
      <c r="M61" s="317"/>
      <c r="N61" s="317" t="s">
        <v>1929</v>
      </c>
      <c r="O61" s="317"/>
      <c r="P61" s="317"/>
      <c r="Q61" s="317"/>
      <c r="R61" s="317"/>
      <c r="S61" s="327" t="s">
        <v>817</v>
      </c>
      <c r="T61" s="327" t="s">
        <v>817</v>
      </c>
      <c r="U61" s="327" t="s">
        <v>817</v>
      </c>
      <c r="V61" s="317"/>
      <c r="W61" s="317"/>
      <c r="X61" s="317" t="s">
        <v>1380</v>
      </c>
      <c r="Y61" s="317"/>
      <c r="Z61" s="317"/>
      <c r="AA61" s="317" t="s">
        <v>864</v>
      </c>
      <c r="AB61" s="317" t="s">
        <v>864</v>
      </c>
      <c r="AC61" s="321" t="s">
        <v>1694</v>
      </c>
      <c r="AD61" s="317"/>
      <c r="AE61" s="317"/>
      <c r="AF61" s="317"/>
      <c r="AG61" s="317"/>
      <c r="AH61" s="317"/>
      <c r="AI61" s="327" t="s">
        <v>817</v>
      </c>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2">
        <v>54</v>
      </c>
      <c r="B62" s="322"/>
      <c r="C62" s="322" t="s">
        <v>1930</v>
      </c>
      <c r="D62" s="322"/>
      <c r="E62" s="322"/>
      <c r="F62" s="322"/>
      <c r="G62" s="322"/>
      <c r="H62" s="323" t="s">
        <v>1931</v>
      </c>
      <c r="I62" s="323" t="s">
        <v>1932</v>
      </c>
      <c r="J62" s="330"/>
      <c r="K62" s="323" t="s">
        <v>864</v>
      </c>
      <c r="L62" s="323" t="s">
        <v>1933</v>
      </c>
      <c r="M62" s="323"/>
      <c r="N62" s="323" t="s">
        <v>1933</v>
      </c>
      <c r="O62" s="323"/>
      <c r="P62" s="323"/>
      <c r="Q62" s="323"/>
      <c r="R62" s="323"/>
      <c r="S62" s="331" t="s">
        <v>823</v>
      </c>
      <c r="T62" s="331" t="s">
        <v>823</v>
      </c>
      <c r="U62" s="331" t="s">
        <v>823</v>
      </c>
      <c r="V62" s="323"/>
      <c r="W62" s="323" t="s">
        <v>864</v>
      </c>
      <c r="X62" s="323" t="s">
        <v>1934</v>
      </c>
      <c r="Y62" s="323"/>
      <c r="Z62" s="323"/>
      <c r="AA62" s="323" t="s">
        <v>864</v>
      </c>
      <c r="AB62" s="323" t="s">
        <v>864</v>
      </c>
      <c r="AC62" s="321" t="s">
        <v>1694</v>
      </c>
      <c r="AD62" s="323"/>
      <c r="AE62" s="323"/>
      <c r="AF62" s="323"/>
      <c r="AG62" s="323">
        <v>1</v>
      </c>
      <c r="AH62" s="323">
        <v>1</v>
      </c>
      <c r="AI62" s="331" t="s">
        <v>823</v>
      </c>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6">
        <v>55</v>
      </c>
      <c r="B63" s="326"/>
      <c r="C63" s="326"/>
      <c r="D63" s="326" t="s">
        <v>1935</v>
      </c>
      <c r="E63" s="340"/>
      <c r="F63" s="326"/>
      <c r="G63" s="326"/>
      <c r="H63" s="317" t="s">
        <v>1936</v>
      </c>
      <c r="I63" s="317" t="s">
        <v>1937</v>
      </c>
      <c r="J63" s="317" t="s">
        <v>1860</v>
      </c>
      <c r="K63" s="317" t="s">
        <v>864</v>
      </c>
      <c r="L63" s="317" t="s">
        <v>1897</v>
      </c>
      <c r="M63" s="317"/>
      <c r="N63" s="317" t="s">
        <v>1897</v>
      </c>
      <c r="O63" s="317"/>
      <c r="P63" s="317"/>
      <c r="Q63" s="317"/>
      <c r="R63" s="317"/>
      <c r="S63" s="327" t="s">
        <v>817</v>
      </c>
      <c r="T63" s="329" t="s">
        <v>817</v>
      </c>
      <c r="U63" s="329" t="s">
        <v>817</v>
      </c>
      <c r="V63" s="317"/>
      <c r="W63" s="317"/>
      <c r="X63" s="317" t="s">
        <v>879</v>
      </c>
      <c r="Y63" s="317"/>
      <c r="Z63" s="317" t="s">
        <v>932</v>
      </c>
      <c r="AA63" s="317" t="s">
        <v>864</v>
      </c>
      <c r="AB63" s="317" t="s">
        <v>864</v>
      </c>
      <c r="AC63" s="321" t="s">
        <v>1694</v>
      </c>
      <c r="AD63" s="317"/>
      <c r="AE63" s="317"/>
      <c r="AF63" s="317"/>
      <c r="AG63" s="317">
        <v>1</v>
      </c>
      <c r="AH63" s="317">
        <v>1</v>
      </c>
      <c r="AI63" s="327" t="s">
        <v>817</v>
      </c>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6">
        <v>56</v>
      </c>
      <c r="B64" s="336"/>
      <c r="C64" s="336"/>
      <c r="D64" s="336" t="s">
        <v>1823</v>
      </c>
      <c r="E64" s="336"/>
      <c r="F64" s="336"/>
      <c r="G64" s="336"/>
      <c r="H64" s="323" t="s">
        <v>1938</v>
      </c>
      <c r="I64" s="323" t="s">
        <v>1939</v>
      </c>
      <c r="J64" s="323" t="s">
        <v>1940</v>
      </c>
      <c r="K64" s="323" t="s">
        <v>864</v>
      </c>
      <c r="L64" s="323" t="s">
        <v>1784</v>
      </c>
      <c r="M64" s="323"/>
      <c r="N64" s="323" t="s">
        <v>1784</v>
      </c>
      <c r="O64" s="323"/>
      <c r="P64" s="323"/>
      <c r="Q64" s="323"/>
      <c r="R64" s="323"/>
      <c r="S64" s="327" t="s">
        <v>817</v>
      </c>
      <c r="T64" s="325" t="s">
        <v>820</v>
      </c>
      <c r="U64" s="325" t="s">
        <v>820</v>
      </c>
      <c r="V64" s="323"/>
      <c r="W64" s="323"/>
      <c r="X64" s="323" t="s">
        <v>863</v>
      </c>
      <c r="Y64" s="323"/>
      <c r="Z64" s="323" t="s">
        <v>1941</v>
      </c>
      <c r="AA64" s="323" t="s">
        <v>864</v>
      </c>
      <c r="AB64" s="323" t="s">
        <v>864</v>
      </c>
      <c r="AC64" s="321" t="s">
        <v>1694</v>
      </c>
      <c r="AD64" s="323"/>
      <c r="AE64" s="323"/>
      <c r="AF64" s="323"/>
      <c r="AG64" s="323">
        <v>1</v>
      </c>
      <c r="AH64" s="323"/>
      <c r="AI64" s="327" t="s">
        <v>817</v>
      </c>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6">
        <v>57</v>
      </c>
      <c r="B65" s="316"/>
      <c r="C65" s="316"/>
      <c r="D65" s="316" t="s">
        <v>1942</v>
      </c>
      <c r="E65" s="316"/>
      <c r="F65" s="316"/>
      <c r="G65" s="316"/>
      <c r="H65" s="317" t="s">
        <v>1936</v>
      </c>
      <c r="I65" s="317" t="s">
        <v>1943</v>
      </c>
      <c r="J65" s="317" t="s">
        <v>1944</v>
      </c>
      <c r="K65" s="317"/>
      <c r="L65" s="317" t="s">
        <v>1945</v>
      </c>
      <c r="M65" s="317"/>
      <c r="N65" s="317" t="s">
        <v>1945</v>
      </c>
      <c r="O65" s="317"/>
      <c r="P65" s="317"/>
      <c r="Q65" s="317"/>
      <c r="R65" s="317"/>
      <c r="S65" s="344" t="s">
        <v>823</v>
      </c>
      <c r="T65" s="344" t="s">
        <v>823</v>
      </c>
      <c r="U65" s="344" t="s">
        <v>823</v>
      </c>
      <c r="V65" s="317"/>
      <c r="W65" s="317"/>
      <c r="X65" s="317" t="s">
        <v>863</v>
      </c>
      <c r="Y65" s="317"/>
      <c r="Z65" s="317" t="s">
        <v>1946</v>
      </c>
      <c r="AA65" s="317" t="s">
        <v>864</v>
      </c>
      <c r="AB65" s="317" t="s">
        <v>864</v>
      </c>
      <c r="AC65" s="332" t="s">
        <v>1694</v>
      </c>
      <c r="AD65" s="317"/>
      <c r="AE65" s="317"/>
      <c r="AF65" s="317"/>
      <c r="AG65" s="317">
        <v>1</v>
      </c>
      <c r="AH65" s="317"/>
      <c r="AI65" s="344" t="s">
        <v>823</v>
      </c>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2">
        <v>58</v>
      </c>
      <c r="B66" s="322"/>
      <c r="C66" s="322"/>
      <c r="D66" s="322" t="s">
        <v>1947</v>
      </c>
      <c r="E66" s="339"/>
      <c r="F66" s="322"/>
      <c r="G66" s="322"/>
      <c r="H66" s="323" t="s">
        <v>1936</v>
      </c>
      <c r="I66" s="323" t="s">
        <v>1948</v>
      </c>
      <c r="J66" s="323" t="s">
        <v>1949</v>
      </c>
      <c r="K66" s="323"/>
      <c r="L66" s="323" t="s">
        <v>1755</v>
      </c>
      <c r="M66" s="323"/>
      <c r="N66" s="323" t="s">
        <v>1755</v>
      </c>
      <c r="O66" s="323"/>
      <c r="P66" s="323"/>
      <c r="Q66" s="323"/>
      <c r="R66" s="323"/>
      <c r="S66" s="333" t="s">
        <v>817</v>
      </c>
      <c r="T66" s="333" t="s">
        <v>817</v>
      </c>
      <c r="U66" s="333" t="s">
        <v>817</v>
      </c>
      <c r="V66" s="323"/>
      <c r="W66" s="323"/>
      <c r="X66" s="323" t="s">
        <v>863</v>
      </c>
      <c r="Y66" s="323"/>
      <c r="Z66" s="323"/>
      <c r="AA66" s="323" t="s">
        <v>864</v>
      </c>
      <c r="AB66" s="323" t="s">
        <v>864</v>
      </c>
      <c r="AC66" s="321" t="s">
        <v>1694</v>
      </c>
      <c r="AD66" s="323"/>
      <c r="AE66" s="323"/>
      <c r="AF66" s="323"/>
      <c r="AG66" s="323">
        <v>1</v>
      </c>
      <c r="AH66" s="323">
        <v>1</v>
      </c>
      <c r="AI66" s="333" t="s">
        <v>817</v>
      </c>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6">
        <v>59</v>
      </c>
      <c r="B67" s="326"/>
      <c r="C67" s="326"/>
      <c r="D67" s="322" t="s">
        <v>1950</v>
      </c>
      <c r="E67" s="339"/>
      <c r="F67" s="322"/>
      <c r="G67" s="322"/>
      <c r="H67" s="317" t="s">
        <v>1936</v>
      </c>
      <c r="I67" s="317" t="s">
        <v>1951</v>
      </c>
      <c r="J67" s="338"/>
      <c r="K67" s="317"/>
      <c r="L67" s="317" t="s">
        <v>1952</v>
      </c>
      <c r="M67" s="317"/>
      <c r="N67" s="317" t="s">
        <v>1952</v>
      </c>
      <c r="O67" s="317"/>
      <c r="P67" s="317"/>
      <c r="Q67" s="317"/>
      <c r="R67" s="317"/>
      <c r="S67" s="333" t="s">
        <v>817</v>
      </c>
      <c r="T67" s="320" t="s">
        <v>820</v>
      </c>
      <c r="U67" s="320" t="s">
        <v>820</v>
      </c>
      <c r="V67" s="317"/>
      <c r="W67" s="317" t="s">
        <v>864</v>
      </c>
      <c r="X67" s="317" t="s">
        <v>1953</v>
      </c>
      <c r="Y67" s="317"/>
      <c r="Z67" s="317"/>
      <c r="AA67" s="317" t="s">
        <v>864</v>
      </c>
      <c r="AB67" s="317" t="s">
        <v>864</v>
      </c>
      <c r="AC67" s="321" t="s">
        <v>1694</v>
      </c>
      <c r="AD67" s="317" t="s">
        <v>864</v>
      </c>
      <c r="AE67" s="317"/>
      <c r="AF67" s="317"/>
      <c r="AG67" s="317">
        <v>1</v>
      </c>
      <c r="AH67" s="317">
        <v>1</v>
      </c>
      <c r="AI67" s="333" t="s">
        <v>817</v>
      </c>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2">
        <v>60</v>
      </c>
      <c r="B68" s="322"/>
      <c r="C68" s="322"/>
      <c r="D68" s="322"/>
      <c r="E68" s="322" t="s">
        <v>1954</v>
      </c>
      <c r="F68" s="322"/>
      <c r="G68" s="322"/>
      <c r="H68" s="323" t="s">
        <v>1955</v>
      </c>
      <c r="I68" s="323" t="s">
        <v>1956</v>
      </c>
      <c r="J68" s="323" t="s">
        <v>1057</v>
      </c>
      <c r="K68" s="323" t="s">
        <v>864</v>
      </c>
      <c r="L68" s="323" t="s">
        <v>1957</v>
      </c>
      <c r="M68" s="323"/>
      <c r="N68" s="323" t="s">
        <v>1957</v>
      </c>
      <c r="O68" s="323"/>
      <c r="P68" s="323"/>
      <c r="Q68" s="323"/>
      <c r="R68" s="323"/>
      <c r="S68" s="333" t="s">
        <v>817</v>
      </c>
      <c r="T68" s="335" t="s">
        <v>820</v>
      </c>
      <c r="U68" s="335" t="s">
        <v>820</v>
      </c>
      <c r="V68" s="323"/>
      <c r="W68" s="323"/>
      <c r="X68" s="323" t="s">
        <v>863</v>
      </c>
      <c r="Y68" s="323"/>
      <c r="Z68" s="323"/>
      <c r="AA68" s="323" t="s">
        <v>864</v>
      </c>
      <c r="AB68" s="323" t="s">
        <v>864</v>
      </c>
      <c r="AC68" s="321" t="s">
        <v>1694</v>
      </c>
      <c r="AD68" s="323" t="s">
        <v>864</v>
      </c>
      <c r="AE68" s="323"/>
      <c r="AF68" s="323"/>
      <c r="AG68" s="323">
        <v>1</v>
      </c>
      <c r="AH68" s="323">
        <v>1</v>
      </c>
      <c r="AI68" s="333" t="s">
        <v>817</v>
      </c>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2">
        <v>61</v>
      </c>
      <c r="B69" s="342"/>
      <c r="C69" s="342"/>
      <c r="D69" s="342"/>
      <c r="E69" s="342" t="s">
        <v>1958</v>
      </c>
      <c r="F69" s="342"/>
      <c r="G69" s="342"/>
      <c r="H69" s="317" t="s">
        <v>1959</v>
      </c>
      <c r="I69" s="317" t="s">
        <v>1960</v>
      </c>
      <c r="J69" s="317" t="s">
        <v>1065</v>
      </c>
      <c r="K69" s="317"/>
      <c r="L69" s="317" t="s">
        <v>1772</v>
      </c>
      <c r="M69" s="317"/>
      <c r="N69" s="317" t="s">
        <v>1772</v>
      </c>
      <c r="O69" s="317"/>
      <c r="P69" s="317"/>
      <c r="Q69" s="317"/>
      <c r="R69" s="317"/>
      <c r="S69" s="327" t="s">
        <v>817</v>
      </c>
      <c r="T69" s="327" t="s">
        <v>817</v>
      </c>
      <c r="U69" s="327" t="s">
        <v>817</v>
      </c>
      <c r="V69" s="317"/>
      <c r="W69" s="317"/>
      <c r="X69" s="317" t="s">
        <v>863</v>
      </c>
      <c r="Y69" s="317"/>
      <c r="Z69" s="317"/>
      <c r="AA69" s="317" t="s">
        <v>864</v>
      </c>
      <c r="AB69" s="317" t="s">
        <v>864</v>
      </c>
      <c r="AC69" s="321" t="s">
        <v>1694</v>
      </c>
      <c r="AD69" s="317" t="s">
        <v>864</v>
      </c>
      <c r="AE69" s="317"/>
      <c r="AF69" s="317"/>
      <c r="AG69" s="317"/>
      <c r="AH69" s="317"/>
      <c r="AI69" s="327" t="s">
        <v>817</v>
      </c>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2">
        <v>62</v>
      </c>
      <c r="B70" s="322"/>
      <c r="C70" s="322"/>
      <c r="D70" s="322"/>
      <c r="E70" s="322" t="s">
        <v>1102</v>
      </c>
      <c r="F70" s="322"/>
      <c r="G70" s="322"/>
      <c r="H70" s="323" t="s">
        <v>1961</v>
      </c>
      <c r="I70" s="323" t="s">
        <v>1962</v>
      </c>
      <c r="J70" s="323" t="s">
        <v>1963</v>
      </c>
      <c r="K70" s="323" t="s">
        <v>864</v>
      </c>
      <c r="L70" s="323" t="s">
        <v>1784</v>
      </c>
      <c r="M70" s="323"/>
      <c r="N70" s="323" t="s">
        <v>1784</v>
      </c>
      <c r="O70" s="323"/>
      <c r="P70" s="323"/>
      <c r="Q70" s="323"/>
      <c r="R70" s="323"/>
      <c r="S70" s="333" t="s">
        <v>817</v>
      </c>
      <c r="T70" s="333" t="s">
        <v>817</v>
      </c>
      <c r="U70" s="333" t="s">
        <v>817</v>
      </c>
      <c r="V70" s="323"/>
      <c r="W70" s="323"/>
      <c r="X70" s="323" t="s">
        <v>863</v>
      </c>
      <c r="Y70" s="323"/>
      <c r="Z70" s="323"/>
      <c r="AA70" s="323" t="s">
        <v>864</v>
      </c>
      <c r="AB70" s="323" t="s">
        <v>864</v>
      </c>
      <c r="AC70" s="332" t="s">
        <v>1694</v>
      </c>
      <c r="AD70" s="323" t="s">
        <v>864</v>
      </c>
      <c r="AE70" s="323"/>
      <c r="AF70" s="323"/>
      <c r="AG70" s="323">
        <v>1</v>
      </c>
      <c r="AH70" s="323">
        <v>1</v>
      </c>
      <c r="AI70" s="333" t="s">
        <v>817</v>
      </c>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6">
        <v>63</v>
      </c>
      <c r="B71" s="326"/>
      <c r="C71" s="326"/>
      <c r="D71" s="326"/>
      <c r="E71" s="326" t="s">
        <v>1964</v>
      </c>
      <c r="F71" s="340"/>
      <c r="G71" s="326"/>
      <c r="H71" s="317" t="s">
        <v>1728</v>
      </c>
      <c r="I71" s="317" t="s">
        <v>1965</v>
      </c>
      <c r="J71" s="317" t="s">
        <v>1966</v>
      </c>
      <c r="K71" s="317"/>
      <c r="L71" s="317" t="s">
        <v>1967</v>
      </c>
      <c r="M71" s="317"/>
      <c r="N71" s="317" t="s">
        <v>1967</v>
      </c>
      <c r="O71" s="317"/>
      <c r="P71" s="317"/>
      <c r="Q71" s="317"/>
      <c r="R71" s="317"/>
      <c r="S71" s="327" t="s">
        <v>817</v>
      </c>
      <c r="T71" s="327" t="s">
        <v>817</v>
      </c>
      <c r="U71" s="327" t="s">
        <v>817</v>
      </c>
      <c r="V71" s="317"/>
      <c r="W71" s="317"/>
      <c r="X71" s="317" t="s">
        <v>863</v>
      </c>
      <c r="Y71" s="317"/>
      <c r="Z71" s="317"/>
      <c r="AA71" s="317" t="s">
        <v>864</v>
      </c>
      <c r="AB71" s="317" t="s">
        <v>864</v>
      </c>
      <c r="AC71" s="321" t="s">
        <v>1694</v>
      </c>
      <c r="AD71" s="317" t="s">
        <v>864</v>
      </c>
      <c r="AE71" s="317"/>
      <c r="AF71" s="317"/>
      <c r="AG71" s="317">
        <v>1</v>
      </c>
      <c r="AH71" s="317">
        <v>1</v>
      </c>
      <c r="AI71" s="327" t="s">
        <v>817</v>
      </c>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2">
        <v>64</v>
      </c>
      <c r="B72" s="322"/>
      <c r="C72" s="322"/>
      <c r="D72" s="322"/>
      <c r="E72" s="322" t="s">
        <v>1197</v>
      </c>
      <c r="F72" s="322"/>
      <c r="G72" s="322"/>
      <c r="H72" s="323" t="s">
        <v>1728</v>
      </c>
      <c r="I72" s="323" t="s">
        <v>1968</v>
      </c>
      <c r="J72" s="323" t="s">
        <v>1199</v>
      </c>
      <c r="K72" s="323"/>
      <c r="L72" s="323" t="s">
        <v>1969</v>
      </c>
      <c r="M72" s="323"/>
      <c r="N72" s="323" t="s">
        <v>1969</v>
      </c>
      <c r="O72" s="323"/>
      <c r="P72" s="323"/>
      <c r="Q72" s="323"/>
      <c r="R72" s="323"/>
      <c r="S72" s="333" t="s">
        <v>817</v>
      </c>
      <c r="T72" s="333" t="s">
        <v>817</v>
      </c>
      <c r="U72" s="333" t="s">
        <v>817</v>
      </c>
      <c r="V72" s="323"/>
      <c r="W72" s="323"/>
      <c r="X72" s="323" t="s">
        <v>863</v>
      </c>
      <c r="Y72" s="323"/>
      <c r="Z72" s="323"/>
      <c r="AA72" s="323" t="s">
        <v>864</v>
      </c>
      <c r="AB72" s="323" t="s">
        <v>864</v>
      </c>
      <c r="AC72" s="321" t="s">
        <v>1694</v>
      </c>
      <c r="AD72" s="323" t="s">
        <v>864</v>
      </c>
      <c r="AE72" s="323"/>
      <c r="AF72" s="323"/>
      <c r="AG72" s="323">
        <v>1</v>
      </c>
      <c r="AH72" s="323">
        <v>1</v>
      </c>
      <c r="AI72" s="333" t="s">
        <v>817</v>
      </c>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6">
        <v>65</v>
      </c>
      <c r="B73" s="326"/>
      <c r="C73" s="326"/>
      <c r="D73" s="326"/>
      <c r="E73" s="326" t="s">
        <v>1167</v>
      </c>
      <c r="F73" s="326"/>
      <c r="G73" s="326"/>
      <c r="H73" s="317" t="s">
        <v>771</v>
      </c>
      <c r="I73" s="317"/>
      <c r="J73" s="338"/>
      <c r="K73" s="317"/>
      <c r="L73" s="317" t="s">
        <v>1970</v>
      </c>
      <c r="M73" s="317"/>
      <c r="N73" s="317" t="s">
        <v>1970</v>
      </c>
      <c r="O73" s="317"/>
      <c r="P73" s="317"/>
      <c r="Q73" s="317"/>
      <c r="R73" s="317"/>
      <c r="S73" s="344" t="s">
        <v>823</v>
      </c>
      <c r="T73" s="349" t="s">
        <v>1971</v>
      </c>
      <c r="U73" s="349" t="s">
        <v>1971</v>
      </c>
      <c r="V73" s="317"/>
      <c r="W73" s="317" t="s">
        <v>864</v>
      </c>
      <c r="X73" s="317" t="s">
        <v>1169</v>
      </c>
      <c r="Y73" s="317"/>
      <c r="Z73" s="317"/>
      <c r="AA73" s="317" t="s">
        <v>864</v>
      </c>
      <c r="AB73" s="317" t="s">
        <v>864</v>
      </c>
      <c r="AC73" s="321" t="s">
        <v>1694</v>
      </c>
      <c r="AD73" s="317" t="s">
        <v>864</v>
      </c>
      <c r="AE73" s="317"/>
      <c r="AF73" s="317"/>
      <c r="AG73" s="317">
        <v>1</v>
      </c>
      <c r="AH73" s="317">
        <v>1</v>
      </c>
      <c r="AI73" s="344" t="s">
        <v>823</v>
      </c>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2">
        <v>66</v>
      </c>
      <c r="B74" s="322"/>
      <c r="C74" s="322"/>
      <c r="D74" s="322"/>
      <c r="E74" s="322"/>
      <c r="F74" s="322" t="s">
        <v>1972</v>
      </c>
      <c r="G74" s="322"/>
      <c r="H74" s="323" t="s">
        <v>1973</v>
      </c>
      <c r="I74" s="323" t="s">
        <v>1974</v>
      </c>
      <c r="J74" s="323" t="s">
        <v>1975</v>
      </c>
      <c r="K74" s="323" t="s">
        <v>864</v>
      </c>
      <c r="L74" s="323" t="s">
        <v>1976</v>
      </c>
      <c r="M74" s="323"/>
      <c r="N74" s="323" t="s">
        <v>1976</v>
      </c>
      <c r="O74" s="323"/>
      <c r="P74" s="323"/>
      <c r="Q74" s="323"/>
      <c r="R74" s="323"/>
      <c r="S74" s="325" t="s">
        <v>820</v>
      </c>
      <c r="T74" s="325" t="s">
        <v>820</v>
      </c>
      <c r="U74" s="325" t="s">
        <v>820</v>
      </c>
      <c r="V74" s="323"/>
      <c r="W74" s="323"/>
      <c r="X74" s="323" t="s">
        <v>1092</v>
      </c>
      <c r="Y74" s="323"/>
      <c r="Z74" s="323"/>
      <c r="AA74" s="323" t="s">
        <v>864</v>
      </c>
      <c r="AB74" s="323" t="s">
        <v>864</v>
      </c>
      <c r="AC74" s="321" t="s">
        <v>1694</v>
      </c>
      <c r="AD74" s="323" t="s">
        <v>864</v>
      </c>
      <c r="AE74" s="323"/>
      <c r="AF74" s="323"/>
      <c r="AG74" s="323">
        <v>1</v>
      </c>
      <c r="AH74" s="323">
        <v>1</v>
      </c>
      <c r="AI74" s="325" t="s">
        <v>820</v>
      </c>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6">
        <v>67</v>
      </c>
      <c r="B75" s="326"/>
      <c r="C75" s="326"/>
      <c r="D75" s="326"/>
      <c r="E75" s="326"/>
      <c r="F75" s="326" t="s">
        <v>1176</v>
      </c>
      <c r="G75" s="326"/>
      <c r="H75" s="317" t="s">
        <v>1977</v>
      </c>
      <c r="I75" s="317" t="s">
        <v>1978</v>
      </c>
      <c r="J75" s="318" t="s">
        <v>1979</v>
      </c>
      <c r="K75" s="317" t="s">
        <v>864</v>
      </c>
      <c r="L75" s="317" t="s">
        <v>1980</v>
      </c>
      <c r="M75" s="317"/>
      <c r="N75" s="317" t="s">
        <v>1980</v>
      </c>
      <c r="O75" s="317"/>
      <c r="P75" s="317"/>
      <c r="Q75" s="317"/>
      <c r="R75" s="317"/>
      <c r="S75" s="320" t="s">
        <v>820</v>
      </c>
      <c r="T75" s="320" t="s">
        <v>820</v>
      </c>
      <c r="U75" s="320" t="s">
        <v>820</v>
      </c>
      <c r="V75" s="317"/>
      <c r="W75" s="317"/>
      <c r="X75" s="317" t="s">
        <v>1092</v>
      </c>
      <c r="Y75" s="317"/>
      <c r="Z75" s="317"/>
      <c r="AA75" s="317" t="s">
        <v>864</v>
      </c>
      <c r="AB75" s="317" t="s">
        <v>864</v>
      </c>
      <c r="AC75" s="332" t="s">
        <v>1694</v>
      </c>
      <c r="AD75" s="317" t="s">
        <v>864</v>
      </c>
      <c r="AE75" s="317"/>
      <c r="AF75" s="317"/>
      <c r="AG75" s="317">
        <v>1</v>
      </c>
      <c r="AH75" s="317">
        <v>1</v>
      </c>
      <c r="AI75" s="320" t="s">
        <v>820</v>
      </c>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2">
        <v>68</v>
      </c>
      <c r="B76" s="322"/>
      <c r="C76" s="322"/>
      <c r="D76" s="322"/>
      <c r="E76" s="322"/>
      <c r="F76" s="322" t="s">
        <v>1981</v>
      </c>
      <c r="G76" s="322"/>
      <c r="H76" s="323" t="s">
        <v>1982</v>
      </c>
      <c r="I76" s="323" t="s">
        <v>1983</v>
      </c>
      <c r="J76" s="323">
        <v>1</v>
      </c>
      <c r="K76" s="323" t="s">
        <v>864</v>
      </c>
      <c r="L76" s="323" t="s">
        <v>1984</v>
      </c>
      <c r="M76" s="323"/>
      <c r="N76" s="323" t="s">
        <v>1984</v>
      </c>
      <c r="O76" s="323"/>
      <c r="P76" s="323"/>
      <c r="Q76" s="323"/>
      <c r="R76" s="323"/>
      <c r="S76" s="333" t="s">
        <v>817</v>
      </c>
      <c r="T76" s="333" t="s">
        <v>817</v>
      </c>
      <c r="U76" s="333" t="s">
        <v>817</v>
      </c>
      <c r="V76" s="323"/>
      <c r="W76" s="323"/>
      <c r="X76" s="323" t="s">
        <v>1092</v>
      </c>
      <c r="Y76" s="323"/>
      <c r="Z76" s="323"/>
      <c r="AA76" s="323" t="s">
        <v>864</v>
      </c>
      <c r="AB76" s="323" t="s">
        <v>864</v>
      </c>
      <c r="AC76" s="321" t="s">
        <v>1694</v>
      </c>
      <c r="AD76" s="323" t="s">
        <v>864</v>
      </c>
      <c r="AE76" s="323"/>
      <c r="AF76" s="323"/>
      <c r="AG76" s="323">
        <v>1</v>
      </c>
      <c r="AH76" s="323">
        <v>1</v>
      </c>
      <c r="AI76" s="333" t="s">
        <v>817</v>
      </c>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6">
        <v>69</v>
      </c>
      <c r="B77" s="326"/>
      <c r="C77" s="326"/>
      <c r="D77" s="326"/>
      <c r="E77" s="326" t="s">
        <v>1051</v>
      </c>
      <c r="F77" s="326"/>
      <c r="G77" s="326"/>
      <c r="H77" s="317" t="s">
        <v>1985</v>
      </c>
      <c r="I77" s="317" t="s">
        <v>1986</v>
      </c>
      <c r="J77" s="317" t="s">
        <v>1987</v>
      </c>
      <c r="K77" s="317" t="s">
        <v>864</v>
      </c>
      <c r="L77" s="317" t="s">
        <v>1194</v>
      </c>
      <c r="M77" s="317"/>
      <c r="N77" s="317" t="s">
        <v>1194</v>
      </c>
      <c r="O77" s="317"/>
      <c r="P77" s="317"/>
      <c r="Q77" s="317"/>
      <c r="R77" s="317"/>
      <c r="S77" s="344" t="s">
        <v>823</v>
      </c>
      <c r="T77" s="344" t="s">
        <v>823</v>
      </c>
      <c r="U77" s="344" t="s">
        <v>823</v>
      </c>
      <c r="V77" s="317"/>
      <c r="W77" s="317"/>
      <c r="X77" s="317" t="s">
        <v>863</v>
      </c>
      <c r="Y77" s="317"/>
      <c r="Z77" s="317"/>
      <c r="AA77" s="317" t="s">
        <v>864</v>
      </c>
      <c r="AB77" s="317" t="s">
        <v>864</v>
      </c>
      <c r="AC77" s="321" t="s">
        <v>1694</v>
      </c>
      <c r="AD77" s="317" t="s">
        <v>864</v>
      </c>
      <c r="AE77" s="317"/>
      <c r="AF77" s="317"/>
      <c r="AG77" s="317">
        <v>1</v>
      </c>
      <c r="AH77" s="317">
        <v>1</v>
      </c>
      <c r="AI77" s="344" t="s">
        <v>823</v>
      </c>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2">
        <v>70</v>
      </c>
      <c r="B78" s="322"/>
      <c r="C78" s="322" t="s">
        <v>1988</v>
      </c>
      <c r="D78" s="322"/>
      <c r="E78" s="322"/>
      <c r="F78" s="322"/>
      <c r="G78" s="322"/>
      <c r="H78" s="323" t="s">
        <v>1728</v>
      </c>
      <c r="I78" s="323" t="s">
        <v>1989</v>
      </c>
      <c r="J78" s="323" t="s">
        <v>1990</v>
      </c>
      <c r="K78" s="323"/>
      <c r="L78" s="323" t="s">
        <v>1991</v>
      </c>
      <c r="M78" s="323"/>
      <c r="N78" s="323" t="s">
        <v>1991</v>
      </c>
      <c r="O78" s="323"/>
      <c r="P78" s="323"/>
      <c r="Q78" s="323"/>
      <c r="R78" s="323"/>
      <c r="S78" s="333" t="s">
        <v>817</v>
      </c>
      <c r="T78" s="334" t="s">
        <v>817</v>
      </c>
      <c r="U78" s="334" t="s">
        <v>817</v>
      </c>
      <c r="V78" s="323"/>
      <c r="W78" s="323"/>
      <c r="X78" s="323" t="s">
        <v>863</v>
      </c>
      <c r="Y78" s="323"/>
      <c r="Z78" s="323" t="s">
        <v>1992</v>
      </c>
      <c r="AA78" s="323" t="s">
        <v>864</v>
      </c>
      <c r="AB78" s="323" t="s">
        <v>864</v>
      </c>
      <c r="AC78" s="321" t="s">
        <v>1694</v>
      </c>
      <c r="AD78" s="323"/>
      <c r="AE78" s="323"/>
      <c r="AF78" s="323"/>
      <c r="AG78" s="323">
        <v>1</v>
      </c>
      <c r="AH78" s="323">
        <v>1</v>
      </c>
      <c r="AI78" s="333" t="s">
        <v>817</v>
      </c>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6">
        <v>71</v>
      </c>
      <c r="B79" s="326"/>
      <c r="C79" s="326" t="s">
        <v>1751</v>
      </c>
      <c r="D79" s="326"/>
      <c r="E79" s="326"/>
      <c r="F79" s="326"/>
      <c r="G79" s="326"/>
      <c r="H79" s="317" t="s">
        <v>1728</v>
      </c>
      <c r="I79" s="317" t="s">
        <v>1993</v>
      </c>
      <c r="J79" s="317" t="s">
        <v>1994</v>
      </c>
      <c r="K79" s="317" t="s">
        <v>864</v>
      </c>
      <c r="L79" s="317" t="s">
        <v>1755</v>
      </c>
      <c r="M79" s="317"/>
      <c r="N79" s="317" t="s">
        <v>1755</v>
      </c>
      <c r="O79" s="317"/>
      <c r="P79" s="317"/>
      <c r="Q79" s="317"/>
      <c r="R79" s="317"/>
      <c r="S79" s="327" t="s">
        <v>817</v>
      </c>
      <c r="T79" s="327" t="s">
        <v>817</v>
      </c>
      <c r="U79" s="327" t="s">
        <v>817</v>
      </c>
      <c r="V79" s="317"/>
      <c r="W79" s="317"/>
      <c r="X79" s="317" t="s">
        <v>863</v>
      </c>
      <c r="Y79" s="317"/>
      <c r="Z79" s="317"/>
      <c r="AA79" s="317" t="s">
        <v>864</v>
      </c>
      <c r="AB79" s="317" t="s">
        <v>864</v>
      </c>
      <c r="AC79" s="321" t="s">
        <v>1694</v>
      </c>
      <c r="AD79" s="317"/>
      <c r="AE79" s="317"/>
      <c r="AF79" s="317"/>
      <c r="AG79" s="317">
        <v>1</v>
      </c>
      <c r="AH79" s="317">
        <v>1</v>
      </c>
      <c r="AI79" s="327" t="s">
        <v>817</v>
      </c>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2">
        <v>72</v>
      </c>
      <c r="B80" s="322" t="s">
        <v>1995</v>
      </c>
      <c r="C80" s="322"/>
      <c r="D80" s="322"/>
      <c r="E80" s="322"/>
      <c r="F80" s="322"/>
      <c r="G80" s="322"/>
      <c r="H80" s="323" t="s">
        <v>1996</v>
      </c>
      <c r="I80" s="323" t="s">
        <v>1997</v>
      </c>
      <c r="J80" s="330"/>
      <c r="K80" s="323"/>
      <c r="L80" s="323" t="s">
        <v>1998</v>
      </c>
      <c r="M80" s="323"/>
      <c r="N80" s="323" t="s">
        <v>1998</v>
      </c>
      <c r="O80" s="323"/>
      <c r="P80" s="323"/>
      <c r="Q80" s="323"/>
      <c r="R80" s="323"/>
      <c r="S80" s="331" t="s">
        <v>823</v>
      </c>
      <c r="T80" s="331" t="s">
        <v>823</v>
      </c>
      <c r="U80" s="331" t="s">
        <v>823</v>
      </c>
      <c r="V80" s="323"/>
      <c r="W80" s="323" t="s">
        <v>864</v>
      </c>
      <c r="X80" s="323" t="s">
        <v>1999</v>
      </c>
      <c r="Y80" s="323"/>
      <c r="Z80" s="323"/>
      <c r="AA80" s="323" t="s">
        <v>864</v>
      </c>
      <c r="AB80" s="323" t="s">
        <v>864</v>
      </c>
      <c r="AC80" s="332" t="s">
        <v>1694</v>
      </c>
      <c r="AD80" s="323"/>
      <c r="AE80" s="323"/>
      <c r="AF80" s="323"/>
      <c r="AG80" s="323">
        <v>1</v>
      </c>
      <c r="AH80" s="323">
        <v>1</v>
      </c>
      <c r="AI80" s="331" t="s">
        <v>823</v>
      </c>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6">
        <v>73</v>
      </c>
      <c r="B81" s="326"/>
      <c r="C81" s="326" t="s">
        <v>1102</v>
      </c>
      <c r="D81" s="326"/>
      <c r="E81" s="326"/>
      <c r="F81" s="326"/>
      <c r="G81" s="326"/>
      <c r="H81" s="317" t="s">
        <v>2000</v>
      </c>
      <c r="I81" s="317" t="s">
        <v>2001</v>
      </c>
      <c r="J81" s="317" t="s">
        <v>2002</v>
      </c>
      <c r="K81" s="317" t="s">
        <v>864</v>
      </c>
      <c r="L81" s="317" t="s">
        <v>1784</v>
      </c>
      <c r="M81" s="317"/>
      <c r="N81" s="317" t="s">
        <v>1784</v>
      </c>
      <c r="O81" s="317"/>
      <c r="P81" s="317"/>
      <c r="Q81" s="317"/>
      <c r="R81" s="317"/>
      <c r="S81" s="320" t="s">
        <v>820</v>
      </c>
      <c r="T81" s="320" t="s">
        <v>820</v>
      </c>
      <c r="U81" s="320" t="s">
        <v>820</v>
      </c>
      <c r="V81" s="317"/>
      <c r="W81" s="317"/>
      <c r="X81" s="317" t="s">
        <v>863</v>
      </c>
      <c r="Y81" s="317"/>
      <c r="Z81" s="317" t="s">
        <v>2003</v>
      </c>
      <c r="AA81" s="317" t="s">
        <v>864</v>
      </c>
      <c r="AB81" s="317" t="s">
        <v>864</v>
      </c>
      <c r="AC81" s="321" t="s">
        <v>1694</v>
      </c>
      <c r="AD81" s="317"/>
      <c r="AE81" s="317"/>
      <c r="AF81" s="317"/>
      <c r="AG81" s="317">
        <v>1</v>
      </c>
      <c r="AH81" s="317">
        <v>1</v>
      </c>
      <c r="AI81" s="320" t="s">
        <v>820</v>
      </c>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2">
        <v>74</v>
      </c>
      <c r="B82" s="322"/>
      <c r="C82" s="322" t="s">
        <v>1751</v>
      </c>
      <c r="D82" s="322"/>
      <c r="E82" s="322"/>
      <c r="F82" s="322"/>
      <c r="G82" s="322"/>
      <c r="H82" s="323" t="s">
        <v>2004</v>
      </c>
      <c r="I82" s="323" t="s">
        <v>2005</v>
      </c>
      <c r="J82" s="323" t="s">
        <v>2006</v>
      </c>
      <c r="K82" s="323" t="s">
        <v>864</v>
      </c>
      <c r="L82" s="323" t="s">
        <v>1755</v>
      </c>
      <c r="M82" s="323"/>
      <c r="N82" s="323" t="s">
        <v>1755</v>
      </c>
      <c r="O82" s="323"/>
      <c r="P82" s="323"/>
      <c r="Q82" s="323"/>
      <c r="R82" s="323"/>
      <c r="S82" s="333" t="s">
        <v>817</v>
      </c>
      <c r="T82" s="333" t="s">
        <v>817</v>
      </c>
      <c r="U82" s="333" t="s">
        <v>817</v>
      </c>
      <c r="V82" s="323"/>
      <c r="W82" s="323"/>
      <c r="X82" s="323" t="s">
        <v>863</v>
      </c>
      <c r="Y82" s="323"/>
      <c r="Z82" s="323"/>
      <c r="AA82" s="323" t="s">
        <v>864</v>
      </c>
      <c r="AB82" s="323" t="s">
        <v>864</v>
      </c>
      <c r="AC82" s="321" t="s">
        <v>1694</v>
      </c>
      <c r="AD82" s="323"/>
      <c r="AE82" s="323"/>
      <c r="AF82" s="323"/>
      <c r="AG82" s="323">
        <v>1</v>
      </c>
      <c r="AH82" s="323">
        <v>1</v>
      </c>
      <c r="AI82" s="333" t="s">
        <v>817</v>
      </c>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6">
        <v>75</v>
      </c>
      <c r="B83" s="326"/>
      <c r="C83" s="326" t="s">
        <v>2007</v>
      </c>
      <c r="D83" s="326"/>
      <c r="E83" s="326"/>
      <c r="F83" s="326"/>
      <c r="G83" s="326"/>
      <c r="H83" s="317" t="s">
        <v>2008</v>
      </c>
      <c r="I83" s="317" t="s">
        <v>2009</v>
      </c>
      <c r="J83" s="317" t="s">
        <v>2010</v>
      </c>
      <c r="K83" s="317" t="s">
        <v>864</v>
      </c>
      <c r="L83" s="317" t="s">
        <v>831</v>
      </c>
      <c r="M83" s="317"/>
      <c r="N83" s="317" t="s">
        <v>831</v>
      </c>
      <c r="O83" s="317"/>
      <c r="P83" s="317"/>
      <c r="Q83" s="317"/>
      <c r="R83" s="317"/>
      <c r="S83" s="333" t="s">
        <v>817</v>
      </c>
      <c r="T83" s="328" t="s">
        <v>820</v>
      </c>
      <c r="U83" s="329" t="s">
        <v>817</v>
      </c>
      <c r="V83" s="317" t="s">
        <v>864</v>
      </c>
      <c r="W83" s="317"/>
      <c r="X83" s="317" t="s">
        <v>863</v>
      </c>
      <c r="Y83" s="317"/>
      <c r="Z83" s="317"/>
      <c r="AA83" s="317" t="s">
        <v>864</v>
      </c>
      <c r="AB83" s="317" t="s">
        <v>864</v>
      </c>
      <c r="AC83" s="321" t="s">
        <v>1694</v>
      </c>
      <c r="AD83" s="317"/>
      <c r="AE83" s="317"/>
      <c r="AF83" s="317"/>
      <c r="AG83" s="317">
        <v>1</v>
      </c>
      <c r="AH83" s="317">
        <v>1</v>
      </c>
      <c r="AI83" s="320" t="s">
        <v>820</v>
      </c>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2">
        <v>76</v>
      </c>
      <c r="B84" s="322"/>
      <c r="C84" s="322" t="s">
        <v>2011</v>
      </c>
      <c r="D84" s="339"/>
      <c r="E84" s="322"/>
      <c r="F84" s="322"/>
      <c r="G84" s="322"/>
      <c r="H84" s="323" t="s">
        <v>2012</v>
      </c>
      <c r="I84" s="323" t="s">
        <v>2013</v>
      </c>
      <c r="J84" s="323" t="s">
        <v>2014</v>
      </c>
      <c r="K84" s="323" t="s">
        <v>864</v>
      </c>
      <c r="L84" s="323" t="s">
        <v>1763</v>
      </c>
      <c r="M84" s="323"/>
      <c r="N84" s="323" t="s">
        <v>1763</v>
      </c>
      <c r="O84" s="323"/>
      <c r="P84" s="323"/>
      <c r="Q84" s="323"/>
      <c r="R84" s="323"/>
      <c r="S84" s="333" t="s">
        <v>817</v>
      </c>
      <c r="T84" s="333" t="s">
        <v>817</v>
      </c>
      <c r="U84" s="333" t="s">
        <v>817</v>
      </c>
      <c r="V84" s="323"/>
      <c r="W84" s="323"/>
      <c r="X84" s="323" t="s">
        <v>863</v>
      </c>
      <c r="Y84" s="323"/>
      <c r="Z84" s="323"/>
      <c r="AA84" s="323" t="s">
        <v>864</v>
      </c>
      <c r="AB84" s="323" t="s">
        <v>864</v>
      </c>
      <c r="AC84" s="321" t="s">
        <v>1694</v>
      </c>
      <c r="AD84" s="323"/>
      <c r="AE84" s="323"/>
      <c r="AF84" s="323"/>
      <c r="AG84" s="323">
        <v>1</v>
      </c>
      <c r="AH84" s="323">
        <v>1</v>
      </c>
      <c r="AI84" s="333" t="s">
        <v>817</v>
      </c>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6">
        <v>77</v>
      </c>
      <c r="B85" s="326"/>
      <c r="C85" s="326" t="s">
        <v>2015</v>
      </c>
      <c r="D85" s="326"/>
      <c r="E85" s="326"/>
      <c r="F85" s="326"/>
      <c r="G85" s="326"/>
      <c r="H85" s="317" t="s">
        <v>2016</v>
      </c>
      <c r="I85" s="317" t="s">
        <v>2017</v>
      </c>
      <c r="J85" s="317" t="s">
        <v>2018</v>
      </c>
      <c r="K85" s="317" t="s">
        <v>864</v>
      </c>
      <c r="L85" s="317" t="s">
        <v>1772</v>
      </c>
      <c r="M85" s="317"/>
      <c r="N85" s="317" t="s">
        <v>1772</v>
      </c>
      <c r="O85" s="317"/>
      <c r="P85" s="317"/>
      <c r="Q85" s="317"/>
      <c r="R85" s="317"/>
      <c r="S85" s="327" t="s">
        <v>817</v>
      </c>
      <c r="T85" s="328" t="s">
        <v>820</v>
      </c>
      <c r="U85" s="329" t="s">
        <v>817</v>
      </c>
      <c r="V85" s="317" t="s">
        <v>864</v>
      </c>
      <c r="W85" s="317"/>
      <c r="X85" s="317" t="s">
        <v>863</v>
      </c>
      <c r="Y85" s="317"/>
      <c r="Z85" s="317"/>
      <c r="AA85" s="317" t="s">
        <v>864</v>
      </c>
      <c r="AB85" s="317" t="s">
        <v>864</v>
      </c>
      <c r="AC85" s="332" t="s">
        <v>1694</v>
      </c>
      <c r="AD85" s="317"/>
      <c r="AE85" s="317"/>
      <c r="AF85" s="317"/>
      <c r="AG85" s="317">
        <v>1</v>
      </c>
      <c r="AH85" s="317">
        <v>1</v>
      </c>
      <c r="AI85" s="320" t="s">
        <v>820</v>
      </c>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2">
        <v>78</v>
      </c>
      <c r="B86" s="322"/>
      <c r="C86" s="322" t="s">
        <v>2019</v>
      </c>
      <c r="D86" s="322"/>
      <c r="E86" s="322"/>
      <c r="F86" s="322"/>
      <c r="G86" s="322"/>
      <c r="H86" s="323" t="s">
        <v>2020</v>
      </c>
      <c r="I86" s="323" t="s">
        <v>2021</v>
      </c>
      <c r="J86" s="323" t="s">
        <v>1865</v>
      </c>
      <c r="K86" s="323" t="s">
        <v>864</v>
      </c>
      <c r="L86" s="323" t="s">
        <v>1866</v>
      </c>
      <c r="M86" s="323"/>
      <c r="N86" s="323" t="s">
        <v>1866</v>
      </c>
      <c r="O86" s="323"/>
      <c r="P86" s="323"/>
      <c r="Q86" s="323"/>
      <c r="R86" s="323"/>
      <c r="S86" s="333" t="s">
        <v>817</v>
      </c>
      <c r="T86" s="333" t="s">
        <v>817</v>
      </c>
      <c r="U86" s="333" t="s">
        <v>817</v>
      </c>
      <c r="V86" s="323"/>
      <c r="W86" s="323"/>
      <c r="X86" s="323" t="s">
        <v>863</v>
      </c>
      <c r="Y86" s="323"/>
      <c r="Z86" s="323" t="s">
        <v>2022</v>
      </c>
      <c r="AA86" s="323" t="s">
        <v>864</v>
      </c>
      <c r="AB86" s="323" t="s">
        <v>864</v>
      </c>
      <c r="AC86" s="321" t="s">
        <v>1694</v>
      </c>
      <c r="AD86" s="323"/>
      <c r="AE86" s="323"/>
      <c r="AF86" s="323"/>
      <c r="AG86" s="323">
        <v>1</v>
      </c>
      <c r="AH86" s="323">
        <v>1</v>
      </c>
      <c r="AI86" s="320" t="s">
        <v>820</v>
      </c>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6">
        <v>79</v>
      </c>
      <c r="B87" s="326"/>
      <c r="C87" s="326" t="s">
        <v>2023</v>
      </c>
      <c r="D87" s="326"/>
      <c r="E87" s="326"/>
      <c r="F87" s="326"/>
      <c r="G87" s="326"/>
      <c r="H87" s="318" t="s">
        <v>2024</v>
      </c>
      <c r="I87" s="317" t="s">
        <v>2025</v>
      </c>
      <c r="J87" s="317" t="s">
        <v>2026</v>
      </c>
      <c r="K87" s="317" t="s">
        <v>864</v>
      </c>
      <c r="L87" s="317" t="s">
        <v>2027</v>
      </c>
      <c r="M87" s="317"/>
      <c r="N87" s="317" t="s">
        <v>2027</v>
      </c>
      <c r="O87" s="317"/>
      <c r="P87" s="317"/>
      <c r="Q87" s="317"/>
      <c r="R87" s="317"/>
      <c r="S87" s="327" t="s">
        <v>817</v>
      </c>
      <c r="T87" s="328" t="s">
        <v>820</v>
      </c>
      <c r="U87" s="329" t="s">
        <v>817</v>
      </c>
      <c r="V87" s="317" t="s">
        <v>864</v>
      </c>
      <c r="W87" s="317"/>
      <c r="X87" s="317" t="s">
        <v>879</v>
      </c>
      <c r="Y87" s="317"/>
      <c r="Z87" s="317"/>
      <c r="AA87" s="317" t="s">
        <v>864</v>
      </c>
      <c r="AB87" s="317" t="s">
        <v>864</v>
      </c>
      <c r="AC87" s="321" t="s">
        <v>1694</v>
      </c>
      <c r="AD87" s="317"/>
      <c r="AE87" s="317"/>
      <c r="AF87" s="317"/>
      <c r="AG87" s="317">
        <v>1</v>
      </c>
      <c r="AH87" s="317">
        <v>1</v>
      </c>
      <c r="AI87" s="327" t="s">
        <v>817</v>
      </c>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2">
        <v>80</v>
      </c>
      <c r="B88" s="322"/>
      <c r="C88" s="322" t="s">
        <v>2028</v>
      </c>
      <c r="D88" s="322"/>
      <c r="E88" s="322"/>
      <c r="F88" s="322"/>
      <c r="G88" s="322"/>
      <c r="H88" s="323" t="s">
        <v>2029</v>
      </c>
      <c r="I88" s="323" t="s">
        <v>2030</v>
      </c>
      <c r="J88" s="323" t="s">
        <v>2031</v>
      </c>
      <c r="K88" s="323" t="s">
        <v>864</v>
      </c>
      <c r="L88" s="323" t="s">
        <v>2032</v>
      </c>
      <c r="M88" s="323"/>
      <c r="N88" s="323" t="s">
        <v>2032</v>
      </c>
      <c r="O88" s="323"/>
      <c r="P88" s="323"/>
      <c r="Q88" s="323"/>
      <c r="R88" s="323"/>
      <c r="S88" s="333" t="s">
        <v>817</v>
      </c>
      <c r="T88" s="334" t="s">
        <v>817</v>
      </c>
      <c r="U88" s="334" t="s">
        <v>817</v>
      </c>
      <c r="V88" s="323"/>
      <c r="W88" s="323"/>
      <c r="X88" s="323" t="s">
        <v>879</v>
      </c>
      <c r="Y88" s="323"/>
      <c r="Z88" s="323"/>
      <c r="AA88" s="323" t="s">
        <v>864</v>
      </c>
      <c r="AB88" s="323" t="s">
        <v>864</v>
      </c>
      <c r="AC88" s="321" t="s">
        <v>1694</v>
      </c>
      <c r="AD88" s="323"/>
      <c r="AE88" s="323"/>
      <c r="AF88" s="323"/>
      <c r="AG88" s="323">
        <v>1</v>
      </c>
      <c r="AH88" s="323">
        <v>1</v>
      </c>
      <c r="AI88" s="327" t="s">
        <v>817</v>
      </c>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6">
        <v>81</v>
      </c>
      <c r="B89" s="326"/>
      <c r="C89" s="326" t="s">
        <v>2033</v>
      </c>
      <c r="D89" s="326"/>
      <c r="E89" s="326"/>
      <c r="F89" s="326"/>
      <c r="G89" s="326"/>
      <c r="H89" s="317" t="s">
        <v>2034</v>
      </c>
      <c r="I89" s="317" t="s">
        <v>2035</v>
      </c>
      <c r="J89" s="317" t="s">
        <v>2036</v>
      </c>
      <c r="K89" s="317" t="s">
        <v>864</v>
      </c>
      <c r="L89" s="317" t="s">
        <v>2037</v>
      </c>
      <c r="M89" s="317"/>
      <c r="N89" s="317" t="s">
        <v>2037</v>
      </c>
      <c r="O89" s="317"/>
      <c r="P89" s="317"/>
      <c r="Q89" s="317"/>
      <c r="R89" s="317"/>
      <c r="S89" s="331" t="s">
        <v>823</v>
      </c>
      <c r="T89" s="331" t="s">
        <v>823</v>
      </c>
      <c r="U89" s="331" t="s">
        <v>823</v>
      </c>
      <c r="V89" s="317"/>
      <c r="W89" s="317"/>
      <c r="X89" s="317" t="s">
        <v>863</v>
      </c>
      <c r="Y89" s="317"/>
      <c r="Z89" s="317"/>
      <c r="AA89" s="317" t="s">
        <v>864</v>
      </c>
      <c r="AB89" s="317" t="s">
        <v>864</v>
      </c>
      <c r="AC89" s="321" t="s">
        <v>1694</v>
      </c>
      <c r="AD89" s="317"/>
      <c r="AE89" s="317"/>
      <c r="AF89" s="317"/>
      <c r="AG89" s="317">
        <v>1</v>
      </c>
      <c r="AH89" s="317">
        <v>1</v>
      </c>
      <c r="AI89" s="331" t="s">
        <v>823</v>
      </c>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6">
        <v>82</v>
      </c>
      <c r="B90" s="336"/>
      <c r="C90" s="336" t="s">
        <v>2038</v>
      </c>
      <c r="D90" s="336"/>
      <c r="E90" s="336"/>
      <c r="F90" s="336"/>
      <c r="G90" s="336"/>
      <c r="H90" s="323" t="s">
        <v>2039</v>
      </c>
      <c r="I90" s="323" t="s">
        <v>2040</v>
      </c>
      <c r="J90" s="323"/>
      <c r="K90" s="323" t="s">
        <v>864</v>
      </c>
      <c r="L90" s="323" t="s">
        <v>2041</v>
      </c>
      <c r="M90" s="323"/>
      <c r="N90" s="323" t="s">
        <v>2041</v>
      </c>
      <c r="O90" s="323"/>
      <c r="P90" s="323"/>
      <c r="Q90" s="323"/>
      <c r="R90" s="323"/>
      <c r="S90" s="331" t="s">
        <v>823</v>
      </c>
      <c r="T90" s="331" t="s">
        <v>823</v>
      </c>
      <c r="U90" s="331" t="s">
        <v>823</v>
      </c>
      <c r="V90" s="323"/>
      <c r="W90" s="323"/>
      <c r="X90" s="323" t="s">
        <v>863</v>
      </c>
      <c r="Y90" s="323"/>
      <c r="Z90" s="323"/>
      <c r="AA90" s="323" t="s">
        <v>864</v>
      </c>
      <c r="AB90" s="323" t="s">
        <v>864</v>
      </c>
      <c r="AC90" s="332" t="s">
        <v>1694</v>
      </c>
      <c r="AD90" s="323"/>
      <c r="AE90" s="323"/>
      <c r="AF90" s="323"/>
      <c r="AG90" s="323">
        <v>1</v>
      </c>
      <c r="AH90" s="323"/>
      <c r="AI90" s="331" t="s">
        <v>823</v>
      </c>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6">
        <v>83</v>
      </c>
      <c r="B91" s="316"/>
      <c r="C91" s="316" t="s">
        <v>2042</v>
      </c>
      <c r="D91" s="316"/>
      <c r="E91" s="316"/>
      <c r="F91" s="316"/>
      <c r="G91" s="316"/>
      <c r="H91" s="317" t="s">
        <v>2043</v>
      </c>
      <c r="I91" s="317" t="s">
        <v>2044</v>
      </c>
      <c r="J91" s="317"/>
      <c r="K91" s="317" t="s">
        <v>864</v>
      </c>
      <c r="L91" s="317" t="s">
        <v>2045</v>
      </c>
      <c r="M91" s="317"/>
      <c r="N91" s="317" t="s">
        <v>2045</v>
      </c>
      <c r="O91" s="317"/>
      <c r="P91" s="317"/>
      <c r="Q91" s="317"/>
      <c r="R91" s="317"/>
      <c r="S91" s="344" t="s">
        <v>823</v>
      </c>
      <c r="T91" s="344" t="s">
        <v>823</v>
      </c>
      <c r="U91" s="344" t="s">
        <v>823</v>
      </c>
      <c r="V91" s="317"/>
      <c r="W91" s="317"/>
      <c r="X91" s="317" t="s">
        <v>863</v>
      </c>
      <c r="Y91" s="317"/>
      <c r="Z91" s="317"/>
      <c r="AA91" s="317" t="s">
        <v>864</v>
      </c>
      <c r="AB91" s="317" t="s">
        <v>864</v>
      </c>
      <c r="AC91" s="321" t="s">
        <v>1694</v>
      </c>
      <c r="AD91" s="317"/>
      <c r="AE91" s="317"/>
      <c r="AF91" s="317"/>
      <c r="AG91" s="317">
        <v>1</v>
      </c>
      <c r="AH91" s="317"/>
      <c r="AI91" s="331" t="s">
        <v>823</v>
      </c>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6">
        <v>84</v>
      </c>
      <c r="B92" s="336"/>
      <c r="C92" s="336" t="s">
        <v>2046</v>
      </c>
      <c r="D92" s="336"/>
      <c r="E92" s="336"/>
      <c r="F92" s="336"/>
      <c r="G92" s="336"/>
      <c r="H92" s="324" t="s">
        <v>2047</v>
      </c>
      <c r="I92" s="323" t="s">
        <v>2048</v>
      </c>
      <c r="J92" s="323" t="s">
        <v>2049</v>
      </c>
      <c r="K92" s="323" t="s">
        <v>864</v>
      </c>
      <c r="L92" s="323" t="s">
        <v>2050</v>
      </c>
      <c r="M92" s="323"/>
      <c r="N92" s="323" t="s">
        <v>2050</v>
      </c>
      <c r="O92" s="323"/>
      <c r="P92" s="323"/>
      <c r="Q92" s="323"/>
      <c r="R92" s="323"/>
      <c r="S92" s="333" t="s">
        <v>817</v>
      </c>
      <c r="T92" s="333" t="s">
        <v>817</v>
      </c>
      <c r="U92" s="333" t="s">
        <v>817</v>
      </c>
      <c r="V92" s="323"/>
      <c r="W92" s="323"/>
      <c r="X92" s="323" t="s">
        <v>863</v>
      </c>
      <c r="Y92" s="323"/>
      <c r="Z92" s="323"/>
      <c r="AA92" s="323" t="s">
        <v>864</v>
      </c>
      <c r="AB92" s="323" t="s">
        <v>864</v>
      </c>
      <c r="AC92" s="321" t="s">
        <v>1694</v>
      </c>
      <c r="AD92" s="323"/>
      <c r="AE92" s="323"/>
      <c r="AF92" s="323"/>
      <c r="AG92" s="323">
        <v>1</v>
      </c>
      <c r="AH92" s="323"/>
      <c r="AI92" s="333" t="s">
        <v>817</v>
      </c>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6">
        <v>85</v>
      </c>
      <c r="B93" s="326"/>
      <c r="C93" s="326" t="s">
        <v>2051</v>
      </c>
      <c r="D93" s="326" t="s">
        <v>2052</v>
      </c>
      <c r="E93" s="326"/>
      <c r="F93" s="326"/>
      <c r="G93" s="326"/>
      <c r="H93" s="317" t="s">
        <v>2053</v>
      </c>
      <c r="I93" s="317" t="s">
        <v>1951</v>
      </c>
      <c r="J93" s="338"/>
      <c r="K93" s="317" t="s">
        <v>864</v>
      </c>
      <c r="L93" s="317" t="s">
        <v>1952</v>
      </c>
      <c r="M93" s="317"/>
      <c r="N93" s="317" t="s">
        <v>1952</v>
      </c>
      <c r="O93" s="317"/>
      <c r="P93" s="317"/>
      <c r="Q93" s="317"/>
      <c r="R93" s="317"/>
      <c r="S93" s="327" t="s">
        <v>817</v>
      </c>
      <c r="T93" s="329" t="s">
        <v>817</v>
      </c>
      <c r="U93" s="329" t="s">
        <v>817</v>
      </c>
      <c r="V93" s="317"/>
      <c r="W93" s="317" t="s">
        <v>864</v>
      </c>
      <c r="X93" s="317" t="s">
        <v>1953</v>
      </c>
      <c r="Y93" s="317"/>
      <c r="Z93" s="317"/>
      <c r="AA93" s="317" t="s">
        <v>864</v>
      </c>
      <c r="AB93" s="317" t="s">
        <v>864</v>
      </c>
      <c r="AC93" s="321" t="s">
        <v>1694</v>
      </c>
      <c r="AD93" s="317"/>
      <c r="AE93" s="317" t="s">
        <v>2054</v>
      </c>
      <c r="AF93" s="317"/>
      <c r="AG93" s="317">
        <v>1</v>
      </c>
      <c r="AH93" s="317">
        <v>1</v>
      </c>
      <c r="AI93" s="333" t="s">
        <v>817</v>
      </c>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2">
        <v>86</v>
      </c>
      <c r="B94" s="322"/>
      <c r="C94" s="322" t="s">
        <v>2055</v>
      </c>
      <c r="D94" s="322"/>
      <c r="E94" s="322"/>
      <c r="F94" s="322"/>
      <c r="G94" s="322"/>
      <c r="H94" s="323" t="s">
        <v>2056</v>
      </c>
      <c r="I94" s="323" t="s">
        <v>2057</v>
      </c>
      <c r="J94" s="323">
        <v>5</v>
      </c>
      <c r="K94" s="323" t="s">
        <v>864</v>
      </c>
      <c r="L94" s="323" t="s">
        <v>2058</v>
      </c>
      <c r="M94" s="323"/>
      <c r="N94" s="323" t="s">
        <v>2058</v>
      </c>
      <c r="O94" s="323"/>
      <c r="P94" s="323"/>
      <c r="Q94" s="323"/>
      <c r="R94" s="323"/>
      <c r="S94" s="333" t="s">
        <v>817</v>
      </c>
      <c r="T94" s="333" t="s">
        <v>817</v>
      </c>
      <c r="U94" s="333" t="s">
        <v>817</v>
      </c>
      <c r="V94" s="323"/>
      <c r="W94" s="323"/>
      <c r="X94" s="323" t="s">
        <v>863</v>
      </c>
      <c r="Y94" s="323"/>
      <c r="Z94" s="323" t="s">
        <v>2059</v>
      </c>
      <c r="AA94" s="323" t="s">
        <v>864</v>
      </c>
      <c r="AB94" s="323" t="s">
        <v>864</v>
      </c>
      <c r="AC94" s="321" t="s">
        <v>1694</v>
      </c>
      <c r="AD94" s="323"/>
      <c r="AE94" s="323"/>
      <c r="AF94" s="323"/>
      <c r="AG94" s="323">
        <v>1</v>
      </c>
      <c r="AH94" s="323">
        <v>1</v>
      </c>
      <c r="AI94" s="333" t="s">
        <v>817</v>
      </c>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2">
        <v>87</v>
      </c>
      <c r="B95" s="342" t="s">
        <v>2060</v>
      </c>
      <c r="C95" s="343"/>
      <c r="D95" s="343"/>
      <c r="E95" s="343"/>
      <c r="F95" s="343"/>
      <c r="G95" s="343"/>
      <c r="H95" s="317" t="s">
        <v>2061</v>
      </c>
      <c r="I95" s="317" t="s">
        <v>2062</v>
      </c>
      <c r="J95" s="338"/>
      <c r="K95" s="317"/>
      <c r="L95" s="317" t="s">
        <v>2063</v>
      </c>
      <c r="M95" s="317"/>
      <c r="N95" s="317" t="s">
        <v>2063</v>
      </c>
      <c r="O95" s="317"/>
      <c r="P95" s="317"/>
      <c r="Q95" s="317"/>
      <c r="R95" s="317"/>
      <c r="S95" s="344" t="s">
        <v>823</v>
      </c>
      <c r="T95" s="317"/>
      <c r="U95" s="350" t="s">
        <v>823</v>
      </c>
      <c r="V95" s="317"/>
      <c r="W95" s="317" t="s">
        <v>864</v>
      </c>
      <c r="X95" s="317" t="s">
        <v>1365</v>
      </c>
      <c r="Y95" s="317"/>
      <c r="Z95" s="317"/>
      <c r="AA95" s="317" t="s">
        <v>864</v>
      </c>
      <c r="AB95" s="317" t="s">
        <v>864</v>
      </c>
      <c r="AC95" s="332" t="s">
        <v>1694</v>
      </c>
      <c r="AD95" s="317"/>
      <c r="AE95" s="317"/>
      <c r="AF95" s="317"/>
      <c r="AG95" s="317"/>
      <c r="AH95" s="317"/>
      <c r="AI95" s="344" t="s">
        <v>823</v>
      </c>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1">
        <v>88</v>
      </c>
      <c r="B96" s="351"/>
      <c r="C96" s="351" t="s">
        <v>2064</v>
      </c>
      <c r="D96" s="351"/>
      <c r="E96" s="351"/>
      <c r="F96" s="351"/>
      <c r="G96" s="351"/>
      <c r="H96" s="323" t="s">
        <v>2065</v>
      </c>
      <c r="I96" s="323" t="s">
        <v>2066</v>
      </c>
      <c r="J96" s="330"/>
      <c r="K96" s="323" t="s">
        <v>864</v>
      </c>
      <c r="L96" s="323" t="s">
        <v>2067</v>
      </c>
      <c r="M96" s="323"/>
      <c r="N96" s="323" t="s">
        <v>2067</v>
      </c>
      <c r="O96" s="323"/>
      <c r="P96" s="323"/>
      <c r="Q96" s="323"/>
      <c r="R96" s="323"/>
      <c r="S96" s="325" t="s">
        <v>820</v>
      </c>
      <c r="T96" s="323"/>
      <c r="U96" s="352" t="s">
        <v>820</v>
      </c>
      <c r="V96" s="323"/>
      <c r="W96" s="323" t="s">
        <v>864</v>
      </c>
      <c r="X96" s="323" t="s">
        <v>2068</v>
      </c>
      <c r="Y96" s="323"/>
      <c r="Z96" s="323"/>
      <c r="AA96" s="323" t="s">
        <v>864</v>
      </c>
      <c r="AB96" s="323" t="s">
        <v>864</v>
      </c>
      <c r="AC96" s="321" t="s">
        <v>1694</v>
      </c>
      <c r="AD96" s="323"/>
      <c r="AE96" s="323"/>
      <c r="AF96" s="323"/>
      <c r="AG96" s="323"/>
      <c r="AH96" s="323">
        <v>1</v>
      </c>
      <c r="AI96" s="325" t="s">
        <v>820</v>
      </c>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3">
        <v>89</v>
      </c>
      <c r="B97" s="353"/>
      <c r="C97" s="353"/>
      <c r="D97" s="353" t="s">
        <v>2069</v>
      </c>
      <c r="E97" s="354"/>
      <c r="F97" s="353"/>
      <c r="G97" s="353"/>
      <c r="H97" s="317" t="s">
        <v>2070</v>
      </c>
      <c r="I97" s="317" t="s">
        <v>2071</v>
      </c>
      <c r="J97" s="317" t="s">
        <v>2072</v>
      </c>
      <c r="K97" s="317"/>
      <c r="L97" s="317" t="s">
        <v>2073</v>
      </c>
      <c r="M97" s="317"/>
      <c r="N97" s="317" t="s">
        <v>2073</v>
      </c>
      <c r="O97" s="317"/>
      <c r="P97" s="317"/>
      <c r="Q97" s="317"/>
      <c r="R97" s="317"/>
      <c r="S97" s="317" t="s">
        <v>893</v>
      </c>
      <c r="T97" s="317"/>
      <c r="U97" s="355" t="s">
        <v>893</v>
      </c>
      <c r="V97" s="317"/>
      <c r="W97" s="317"/>
      <c r="X97" s="317" t="s">
        <v>863</v>
      </c>
      <c r="Y97" s="317"/>
      <c r="Z97" s="317" t="s">
        <v>2074</v>
      </c>
      <c r="AA97" s="317" t="s">
        <v>864</v>
      </c>
      <c r="AB97" s="317" t="s">
        <v>864</v>
      </c>
      <c r="AC97" s="321" t="s">
        <v>1694</v>
      </c>
      <c r="AD97" s="317"/>
      <c r="AE97" s="317"/>
      <c r="AF97" s="317"/>
      <c r="AG97" s="317"/>
      <c r="AH97" s="317">
        <v>1</v>
      </c>
      <c r="AI97" s="317" t="s">
        <v>893</v>
      </c>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5">
        <v>90</v>
      </c>
      <c r="B98" s="345"/>
      <c r="C98" s="345"/>
      <c r="D98" s="345" t="s">
        <v>2075</v>
      </c>
      <c r="E98" s="345"/>
      <c r="F98" s="345"/>
      <c r="G98" s="345"/>
      <c r="H98" s="323" t="s">
        <v>2076</v>
      </c>
      <c r="I98" s="323" t="s">
        <v>2077</v>
      </c>
      <c r="J98" s="323"/>
      <c r="K98" s="323"/>
      <c r="L98" s="323" t="s">
        <v>2078</v>
      </c>
      <c r="M98" s="323"/>
      <c r="N98" s="323" t="s">
        <v>2078</v>
      </c>
      <c r="O98" s="323"/>
      <c r="P98" s="323"/>
      <c r="Q98" s="323"/>
      <c r="R98" s="323"/>
      <c r="S98" s="331" t="s">
        <v>823</v>
      </c>
      <c r="T98" s="341"/>
      <c r="U98" s="356" t="s">
        <v>823</v>
      </c>
      <c r="V98" s="323"/>
      <c r="W98" s="323"/>
      <c r="X98" s="323" t="s">
        <v>863</v>
      </c>
      <c r="Y98" s="323"/>
      <c r="Z98" s="323" t="s">
        <v>2079</v>
      </c>
      <c r="AA98" s="323" t="s">
        <v>864</v>
      </c>
      <c r="AB98" s="323" t="s">
        <v>864</v>
      </c>
      <c r="AC98" s="321" t="s">
        <v>1694</v>
      </c>
      <c r="AD98" s="323"/>
      <c r="AE98" s="323"/>
      <c r="AF98" s="323"/>
      <c r="AG98" s="323"/>
      <c r="AH98" s="323"/>
      <c r="AI98" s="331" t="s">
        <v>823</v>
      </c>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2">
        <v>91</v>
      </c>
      <c r="B99" s="342"/>
      <c r="C99" s="342"/>
      <c r="D99" s="342" t="s">
        <v>2080</v>
      </c>
      <c r="E99" s="342"/>
      <c r="F99" s="342"/>
      <c r="G99" s="342"/>
      <c r="H99" s="317" t="s">
        <v>2081</v>
      </c>
      <c r="I99" s="317" t="s">
        <v>2082</v>
      </c>
      <c r="J99" s="317"/>
      <c r="K99" s="317"/>
      <c r="L99" s="317" t="s">
        <v>2083</v>
      </c>
      <c r="M99" s="317"/>
      <c r="N99" s="317" t="s">
        <v>2083</v>
      </c>
      <c r="O99" s="317"/>
      <c r="P99" s="317"/>
      <c r="Q99" s="317"/>
      <c r="R99" s="317"/>
      <c r="S99" s="344" t="s">
        <v>823</v>
      </c>
      <c r="T99" s="317"/>
      <c r="U99" s="350" t="s">
        <v>823</v>
      </c>
      <c r="V99" s="317"/>
      <c r="W99" s="317"/>
      <c r="X99" s="317" t="s">
        <v>863</v>
      </c>
      <c r="Y99" s="317"/>
      <c r="Z99" s="317"/>
      <c r="AA99" s="317" t="s">
        <v>864</v>
      </c>
      <c r="AB99" s="317" t="s">
        <v>864</v>
      </c>
      <c r="AC99" s="321" t="s">
        <v>1694</v>
      </c>
      <c r="AD99" s="317"/>
      <c r="AE99" s="317"/>
      <c r="AF99" s="317"/>
      <c r="AG99" s="317"/>
      <c r="AH99" s="317"/>
      <c r="AI99" s="344" t="s">
        <v>823</v>
      </c>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1">
        <v>92</v>
      </c>
      <c r="B100" s="351"/>
      <c r="C100" s="351" t="s">
        <v>2084</v>
      </c>
      <c r="D100" s="351"/>
      <c r="E100" s="351"/>
      <c r="F100" s="351"/>
      <c r="G100" s="351"/>
      <c r="H100" s="323" t="s">
        <v>2085</v>
      </c>
      <c r="I100" s="323" t="s">
        <v>2086</v>
      </c>
      <c r="J100" s="323" t="s">
        <v>2036</v>
      </c>
      <c r="K100" s="323" t="s">
        <v>864</v>
      </c>
      <c r="L100" s="323" t="s">
        <v>831</v>
      </c>
      <c r="M100" s="323"/>
      <c r="N100" s="323" t="s">
        <v>831</v>
      </c>
      <c r="O100" s="323"/>
      <c r="P100" s="323"/>
      <c r="Q100" s="323"/>
      <c r="R100" s="323"/>
      <c r="S100" s="333" t="s">
        <v>817</v>
      </c>
      <c r="T100" s="323"/>
      <c r="U100" s="357" t="s">
        <v>817</v>
      </c>
      <c r="V100" s="323"/>
      <c r="W100" s="323"/>
      <c r="X100" s="323" t="s">
        <v>863</v>
      </c>
      <c r="Y100" s="323"/>
      <c r="Z100" s="323" t="s">
        <v>2087</v>
      </c>
      <c r="AA100" s="323" t="s">
        <v>864</v>
      </c>
      <c r="AB100" s="323" t="s">
        <v>864</v>
      </c>
      <c r="AC100" s="332" t="s">
        <v>1694</v>
      </c>
      <c r="AD100" s="323"/>
      <c r="AE100" s="323"/>
      <c r="AF100" s="323"/>
      <c r="AG100" s="323"/>
      <c r="AH100" s="323">
        <v>1</v>
      </c>
      <c r="AI100" s="325" t="s">
        <v>820</v>
      </c>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3">
        <v>93</v>
      </c>
      <c r="B101" s="353"/>
      <c r="C101" s="353" t="s">
        <v>2011</v>
      </c>
      <c r="D101" s="354"/>
      <c r="E101" s="353"/>
      <c r="F101" s="353"/>
      <c r="G101" s="353"/>
      <c r="H101" s="317" t="s">
        <v>2088</v>
      </c>
      <c r="I101" s="317" t="s">
        <v>2089</v>
      </c>
      <c r="J101" s="317" t="s">
        <v>2014</v>
      </c>
      <c r="K101" s="317" t="s">
        <v>864</v>
      </c>
      <c r="L101" s="317" t="s">
        <v>1763</v>
      </c>
      <c r="M101" s="317"/>
      <c r="N101" s="317" t="s">
        <v>1763</v>
      </c>
      <c r="O101" s="317"/>
      <c r="P101" s="317"/>
      <c r="Q101" s="317"/>
      <c r="R101" s="317"/>
      <c r="S101" s="327" t="s">
        <v>817</v>
      </c>
      <c r="T101" s="317"/>
      <c r="U101" s="358" t="s">
        <v>817</v>
      </c>
      <c r="V101" s="317"/>
      <c r="W101" s="317"/>
      <c r="X101" s="317" t="s">
        <v>863</v>
      </c>
      <c r="Y101" s="317"/>
      <c r="Z101" s="317"/>
      <c r="AA101" s="317" t="s">
        <v>864</v>
      </c>
      <c r="AB101" s="317" t="s">
        <v>864</v>
      </c>
      <c r="AC101" s="321" t="s">
        <v>1694</v>
      </c>
      <c r="AD101" s="317"/>
      <c r="AE101" s="317"/>
      <c r="AF101" s="317"/>
      <c r="AG101" s="317"/>
      <c r="AH101" s="317">
        <v>1</v>
      </c>
      <c r="AI101" s="327" t="s">
        <v>817</v>
      </c>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1">
        <v>94</v>
      </c>
      <c r="B102" s="351"/>
      <c r="C102" s="351" t="s">
        <v>2090</v>
      </c>
      <c r="D102" s="351"/>
      <c r="E102" s="351"/>
      <c r="F102" s="351"/>
      <c r="G102" s="351"/>
      <c r="H102" s="323" t="s">
        <v>2091</v>
      </c>
      <c r="I102" s="323" t="s">
        <v>2092</v>
      </c>
      <c r="J102" s="323" t="s">
        <v>2093</v>
      </c>
      <c r="K102" s="323" t="s">
        <v>864</v>
      </c>
      <c r="L102" s="323" t="s">
        <v>1772</v>
      </c>
      <c r="M102" s="323"/>
      <c r="N102" s="323" t="s">
        <v>1772</v>
      </c>
      <c r="O102" s="323"/>
      <c r="P102" s="323"/>
      <c r="Q102" s="323"/>
      <c r="R102" s="323"/>
      <c r="S102" s="333" t="s">
        <v>817</v>
      </c>
      <c r="T102" s="323"/>
      <c r="U102" s="357" t="s">
        <v>817</v>
      </c>
      <c r="V102" s="323"/>
      <c r="W102" s="323"/>
      <c r="X102" s="323" t="s">
        <v>863</v>
      </c>
      <c r="Y102" s="323"/>
      <c r="Z102" s="323"/>
      <c r="AA102" s="323" t="s">
        <v>864</v>
      </c>
      <c r="AB102" s="323" t="s">
        <v>864</v>
      </c>
      <c r="AC102" s="321" t="s">
        <v>1694</v>
      </c>
      <c r="AD102" s="323"/>
      <c r="AE102" s="323"/>
      <c r="AF102" s="323"/>
      <c r="AG102" s="323"/>
      <c r="AH102" s="323">
        <v>1</v>
      </c>
      <c r="AI102" s="325" t="s">
        <v>820</v>
      </c>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3">
        <v>95</v>
      </c>
      <c r="B103" s="353"/>
      <c r="C103" s="353" t="s">
        <v>2094</v>
      </c>
      <c r="D103" s="353"/>
      <c r="E103" s="353"/>
      <c r="F103" s="353"/>
      <c r="G103" s="353"/>
      <c r="H103" s="317" t="s">
        <v>2095</v>
      </c>
      <c r="I103" s="317"/>
      <c r="J103" s="317"/>
      <c r="K103" s="317" t="s">
        <v>864</v>
      </c>
      <c r="L103" s="317" t="s">
        <v>1755</v>
      </c>
      <c r="M103" s="317"/>
      <c r="N103" s="317" t="s">
        <v>1755</v>
      </c>
      <c r="O103" s="317"/>
      <c r="P103" s="317"/>
      <c r="Q103" s="317"/>
      <c r="R103" s="317"/>
      <c r="S103" s="327" t="s">
        <v>817</v>
      </c>
      <c r="T103" s="349"/>
      <c r="U103" s="358" t="s">
        <v>817</v>
      </c>
      <c r="V103" s="317"/>
      <c r="W103" s="317"/>
      <c r="X103" s="317" t="s">
        <v>863</v>
      </c>
      <c r="Y103" s="317"/>
      <c r="Z103" s="317"/>
      <c r="AA103" s="317" t="s">
        <v>864</v>
      </c>
      <c r="AB103" s="317" t="s">
        <v>864</v>
      </c>
      <c r="AC103" s="321" t="s">
        <v>1694</v>
      </c>
      <c r="AD103" s="317"/>
      <c r="AE103" s="317"/>
      <c r="AF103" s="317"/>
      <c r="AG103" s="317"/>
      <c r="AH103" s="317">
        <v>1</v>
      </c>
      <c r="AI103" s="327" t="s">
        <v>817</v>
      </c>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1">
        <v>96</v>
      </c>
      <c r="B104" s="351"/>
      <c r="C104" s="351" t="s">
        <v>2096</v>
      </c>
      <c r="D104" s="351"/>
      <c r="E104" s="351"/>
      <c r="F104" s="351"/>
      <c r="G104" s="351"/>
      <c r="H104" s="323" t="s">
        <v>2097</v>
      </c>
      <c r="I104" s="323" t="s">
        <v>2098</v>
      </c>
      <c r="J104" s="330"/>
      <c r="K104" s="323" t="s">
        <v>864</v>
      </c>
      <c r="L104" s="323" t="s">
        <v>2099</v>
      </c>
      <c r="M104" s="323"/>
      <c r="N104" s="323" t="s">
        <v>2099</v>
      </c>
      <c r="O104" s="323"/>
      <c r="P104" s="323"/>
      <c r="Q104" s="323"/>
      <c r="R104" s="323"/>
      <c r="S104" s="331" t="s">
        <v>823</v>
      </c>
      <c r="T104" s="323"/>
      <c r="U104" s="356" t="s">
        <v>823</v>
      </c>
      <c r="V104" s="323"/>
      <c r="W104" s="323" t="s">
        <v>864</v>
      </c>
      <c r="X104" s="323" t="s">
        <v>2100</v>
      </c>
      <c r="Y104" s="323"/>
      <c r="Z104" s="323"/>
      <c r="AA104" s="323" t="s">
        <v>864</v>
      </c>
      <c r="AB104" s="323" t="s">
        <v>864</v>
      </c>
      <c r="AC104" s="321" t="s">
        <v>1694</v>
      </c>
      <c r="AD104" s="323"/>
      <c r="AE104" s="323"/>
      <c r="AF104" s="323"/>
      <c r="AG104" s="323"/>
      <c r="AH104" s="323">
        <v>1</v>
      </c>
      <c r="AI104" s="331" t="s">
        <v>823</v>
      </c>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3">
        <v>97</v>
      </c>
      <c r="B105" s="353"/>
      <c r="C105" s="353"/>
      <c r="D105" s="353" t="s">
        <v>2101</v>
      </c>
      <c r="E105" s="354"/>
      <c r="F105" s="353"/>
      <c r="G105" s="353"/>
      <c r="H105" s="317" t="s">
        <v>2102</v>
      </c>
      <c r="I105" s="317" t="s">
        <v>2103</v>
      </c>
      <c r="J105" s="317" t="s">
        <v>2104</v>
      </c>
      <c r="K105" s="317" t="s">
        <v>864</v>
      </c>
      <c r="L105" s="317" t="s">
        <v>1897</v>
      </c>
      <c r="M105" s="317"/>
      <c r="N105" s="317" t="s">
        <v>1897</v>
      </c>
      <c r="O105" s="317"/>
      <c r="P105" s="317"/>
      <c r="Q105" s="317"/>
      <c r="R105" s="317"/>
      <c r="S105" s="327" t="s">
        <v>817</v>
      </c>
      <c r="T105" s="317"/>
      <c r="U105" s="358" t="s">
        <v>817</v>
      </c>
      <c r="V105" s="317"/>
      <c r="W105" s="317"/>
      <c r="X105" s="317" t="s">
        <v>879</v>
      </c>
      <c r="Y105" s="317"/>
      <c r="Z105" s="317"/>
      <c r="AA105" s="317" t="s">
        <v>864</v>
      </c>
      <c r="AB105" s="317" t="s">
        <v>864</v>
      </c>
      <c r="AC105" s="332" t="s">
        <v>1694</v>
      </c>
      <c r="AD105" s="317"/>
      <c r="AE105" s="317"/>
      <c r="AF105" s="317"/>
      <c r="AG105" s="317"/>
      <c r="AH105" s="317">
        <v>1</v>
      </c>
      <c r="AI105" s="327" t="s">
        <v>817</v>
      </c>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1">
        <v>98</v>
      </c>
      <c r="B106" s="351"/>
      <c r="C106" s="351"/>
      <c r="D106" s="351" t="s">
        <v>1823</v>
      </c>
      <c r="E106" s="351"/>
      <c r="F106" s="351"/>
      <c r="G106" s="351"/>
      <c r="H106" s="323" t="s">
        <v>2105</v>
      </c>
      <c r="I106" s="323" t="s">
        <v>2106</v>
      </c>
      <c r="J106" s="323" t="s">
        <v>2107</v>
      </c>
      <c r="K106" s="323" t="s">
        <v>864</v>
      </c>
      <c r="L106" s="323" t="s">
        <v>1784</v>
      </c>
      <c r="M106" s="323"/>
      <c r="N106" s="323" t="s">
        <v>1784</v>
      </c>
      <c r="O106" s="323"/>
      <c r="P106" s="323"/>
      <c r="Q106" s="323"/>
      <c r="R106" s="323"/>
      <c r="S106" s="325" t="s">
        <v>820</v>
      </c>
      <c r="T106" s="323"/>
      <c r="U106" s="352" t="s">
        <v>820</v>
      </c>
      <c r="V106" s="323"/>
      <c r="W106" s="323"/>
      <c r="X106" s="323" t="s">
        <v>863</v>
      </c>
      <c r="Y106" s="323"/>
      <c r="Z106" s="323" t="s">
        <v>2108</v>
      </c>
      <c r="AA106" s="323" t="s">
        <v>864</v>
      </c>
      <c r="AB106" s="323" t="s">
        <v>864</v>
      </c>
      <c r="AC106" s="321" t="s">
        <v>1694</v>
      </c>
      <c r="AD106" s="323"/>
      <c r="AE106" s="323"/>
      <c r="AF106" s="323"/>
      <c r="AG106" s="323"/>
      <c r="AH106" s="323">
        <v>1</v>
      </c>
      <c r="AI106" s="325" t="s">
        <v>820</v>
      </c>
      <c r="AJ106" s="524" t="s">
        <v>2109</v>
      </c>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3">
        <v>99</v>
      </c>
      <c r="B107" s="353"/>
      <c r="C107" s="353"/>
      <c r="D107" s="353" t="s">
        <v>1777</v>
      </c>
      <c r="E107" s="353"/>
      <c r="F107" s="353"/>
      <c r="G107" s="353"/>
      <c r="H107" s="317" t="s">
        <v>2110</v>
      </c>
      <c r="I107" s="317"/>
      <c r="J107" s="317" t="s">
        <v>2111</v>
      </c>
      <c r="K107" s="317" t="s">
        <v>864</v>
      </c>
      <c r="L107" s="317" t="s">
        <v>1755</v>
      </c>
      <c r="M107" s="317"/>
      <c r="N107" s="317" t="s">
        <v>1755</v>
      </c>
      <c r="O107" s="317"/>
      <c r="P107" s="317"/>
      <c r="Q107" s="317"/>
      <c r="R107" s="317"/>
      <c r="S107" s="327" t="s">
        <v>817</v>
      </c>
      <c r="T107" s="317"/>
      <c r="U107" s="358" t="s">
        <v>817</v>
      </c>
      <c r="V107" s="317"/>
      <c r="W107" s="317"/>
      <c r="X107" s="317" t="s">
        <v>863</v>
      </c>
      <c r="Y107" s="317"/>
      <c r="Z107" s="317"/>
      <c r="AA107" s="317" t="s">
        <v>864</v>
      </c>
      <c r="AB107" s="317" t="s">
        <v>864</v>
      </c>
      <c r="AC107" s="321" t="s">
        <v>1694</v>
      </c>
      <c r="AD107" s="317"/>
      <c r="AE107" s="317"/>
      <c r="AF107" s="317"/>
      <c r="AG107" s="317"/>
      <c r="AH107" s="317">
        <v>1</v>
      </c>
      <c r="AI107" s="327" t="s">
        <v>817</v>
      </c>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1">
        <v>100</v>
      </c>
      <c r="B108" s="351"/>
      <c r="C108" s="351"/>
      <c r="D108" s="351" t="s">
        <v>2112</v>
      </c>
      <c r="E108" s="351"/>
      <c r="F108" s="351"/>
      <c r="G108" s="351"/>
      <c r="H108" s="323" t="s">
        <v>2113</v>
      </c>
      <c r="I108" s="323" t="s">
        <v>2114</v>
      </c>
      <c r="J108" s="323"/>
      <c r="K108" s="323"/>
      <c r="L108" s="323" t="s">
        <v>831</v>
      </c>
      <c r="M108" s="323"/>
      <c r="N108" s="323" t="s">
        <v>831</v>
      </c>
      <c r="O108" s="323"/>
      <c r="P108" s="323"/>
      <c r="Q108" s="323"/>
      <c r="R108" s="323"/>
      <c r="S108" s="333" t="s">
        <v>817</v>
      </c>
      <c r="T108" s="341"/>
      <c r="U108" s="357" t="s">
        <v>817</v>
      </c>
      <c r="V108" s="323"/>
      <c r="W108" s="323"/>
      <c r="X108" s="323" t="s">
        <v>863</v>
      </c>
      <c r="Y108" s="323"/>
      <c r="Z108" s="323"/>
      <c r="AA108" s="323" t="s">
        <v>864</v>
      </c>
      <c r="AB108" s="323" t="s">
        <v>864</v>
      </c>
      <c r="AC108" s="321" t="s">
        <v>1694</v>
      </c>
      <c r="AD108" s="323"/>
      <c r="AE108" s="323"/>
      <c r="AF108" s="323"/>
      <c r="AG108" s="323"/>
      <c r="AH108" s="323">
        <v>1</v>
      </c>
      <c r="AI108" s="333" t="s">
        <v>817</v>
      </c>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3">
        <v>101</v>
      </c>
      <c r="B109" s="353"/>
      <c r="C109" s="353"/>
      <c r="D109" s="353" t="s">
        <v>2115</v>
      </c>
      <c r="E109" s="354" t="s">
        <v>2052</v>
      </c>
      <c r="F109" s="353"/>
      <c r="G109" s="353"/>
      <c r="H109" s="317" t="s">
        <v>2116</v>
      </c>
      <c r="I109" s="317" t="s">
        <v>2117</v>
      </c>
      <c r="J109" s="338"/>
      <c r="K109" s="317" t="s">
        <v>864</v>
      </c>
      <c r="L109" s="317" t="s">
        <v>1952</v>
      </c>
      <c r="M109" s="317"/>
      <c r="N109" s="317" t="s">
        <v>1952</v>
      </c>
      <c r="O109" s="317"/>
      <c r="P109" s="317"/>
      <c r="Q109" s="317"/>
      <c r="R109" s="317"/>
      <c r="S109" s="344" t="s">
        <v>823</v>
      </c>
      <c r="T109" s="317"/>
      <c r="U109" s="350" t="s">
        <v>823</v>
      </c>
      <c r="V109" s="317"/>
      <c r="W109" s="317" t="s">
        <v>864</v>
      </c>
      <c r="X109" s="317" t="s">
        <v>1953</v>
      </c>
      <c r="Y109" s="317"/>
      <c r="Z109" s="317"/>
      <c r="AA109" s="317" t="s">
        <v>864</v>
      </c>
      <c r="AB109" s="317" t="s">
        <v>864</v>
      </c>
      <c r="AC109" s="321" t="s">
        <v>1694</v>
      </c>
      <c r="AD109" s="317"/>
      <c r="AE109" s="317"/>
      <c r="AF109" s="317"/>
      <c r="AG109" s="317"/>
      <c r="AH109" s="317">
        <v>1</v>
      </c>
      <c r="AI109" s="344" t="s">
        <v>823</v>
      </c>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5">
        <v>102</v>
      </c>
      <c r="B110" s="345"/>
      <c r="C110" s="345" t="s">
        <v>2118</v>
      </c>
      <c r="D110" s="345"/>
      <c r="E110" s="345"/>
      <c r="F110" s="345"/>
      <c r="G110" s="345"/>
      <c r="H110" s="323" t="s">
        <v>2119</v>
      </c>
      <c r="I110" s="323" t="s">
        <v>2120</v>
      </c>
      <c r="J110" s="323">
        <v>1</v>
      </c>
      <c r="K110" s="323"/>
      <c r="L110" s="323" t="s">
        <v>2121</v>
      </c>
      <c r="M110" s="323"/>
      <c r="N110" s="323" t="s">
        <v>2121</v>
      </c>
      <c r="O110" s="323"/>
      <c r="P110" s="323"/>
      <c r="Q110" s="323"/>
      <c r="R110" s="323"/>
      <c r="S110" s="333" t="s">
        <v>817</v>
      </c>
      <c r="T110" s="323"/>
      <c r="U110" s="357" t="s">
        <v>817</v>
      </c>
      <c r="V110" s="323"/>
      <c r="W110" s="323"/>
      <c r="X110" s="323" t="s">
        <v>1092</v>
      </c>
      <c r="Y110" s="323"/>
      <c r="Z110" s="323"/>
      <c r="AA110" s="323" t="s">
        <v>864</v>
      </c>
      <c r="AB110" s="323" t="s">
        <v>864</v>
      </c>
      <c r="AC110" s="332" t="s">
        <v>1694</v>
      </c>
      <c r="AD110" s="323"/>
      <c r="AE110" s="323"/>
      <c r="AF110" s="323"/>
      <c r="AG110" s="323"/>
      <c r="AH110" s="323"/>
      <c r="AI110" s="333" t="s">
        <v>817</v>
      </c>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2">
        <v>103</v>
      </c>
      <c r="B111" s="342"/>
      <c r="C111" s="342" t="s">
        <v>2122</v>
      </c>
      <c r="D111" s="346"/>
      <c r="E111" s="342"/>
      <c r="F111" s="342"/>
      <c r="G111" s="342"/>
      <c r="H111" s="317" t="s">
        <v>2123</v>
      </c>
      <c r="I111" s="317" t="s">
        <v>2124</v>
      </c>
      <c r="J111" s="317"/>
      <c r="K111" s="317"/>
      <c r="L111" s="317" t="s">
        <v>2125</v>
      </c>
      <c r="M111" s="317"/>
      <c r="N111" s="317" t="s">
        <v>2125</v>
      </c>
      <c r="O111" s="317"/>
      <c r="P111" s="317"/>
      <c r="Q111" s="317"/>
      <c r="R111" s="317"/>
      <c r="S111" s="327" t="s">
        <v>817</v>
      </c>
      <c r="T111" s="317"/>
      <c r="U111" s="358" t="s">
        <v>817</v>
      </c>
      <c r="V111" s="317"/>
      <c r="W111" s="317"/>
      <c r="X111" s="317" t="s">
        <v>863</v>
      </c>
      <c r="Y111" s="317"/>
      <c r="Z111" s="317" t="s">
        <v>2126</v>
      </c>
      <c r="AA111" s="317" t="s">
        <v>864</v>
      </c>
      <c r="AB111" s="317" t="s">
        <v>864</v>
      </c>
      <c r="AC111" s="321" t="s">
        <v>1694</v>
      </c>
      <c r="AD111" s="317"/>
      <c r="AE111" s="317"/>
      <c r="AF111" s="317"/>
      <c r="AG111" s="317"/>
      <c r="AH111" s="317"/>
      <c r="AI111" s="327" t="s">
        <v>817</v>
      </c>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1">
        <v>104</v>
      </c>
      <c r="B112" s="351"/>
      <c r="C112" s="351" t="s">
        <v>2127</v>
      </c>
      <c r="D112" s="351"/>
      <c r="E112" s="351"/>
      <c r="F112" s="351"/>
      <c r="G112" s="351"/>
      <c r="H112" s="323" t="s">
        <v>2128</v>
      </c>
      <c r="I112" s="323" t="s">
        <v>2129</v>
      </c>
      <c r="J112" s="323" t="s">
        <v>2130</v>
      </c>
      <c r="K112" s="323" t="s">
        <v>864</v>
      </c>
      <c r="L112" s="323" t="s">
        <v>1866</v>
      </c>
      <c r="M112" s="323"/>
      <c r="N112" s="323" t="s">
        <v>1866</v>
      </c>
      <c r="O112" s="323"/>
      <c r="P112" s="323"/>
      <c r="Q112" s="323"/>
      <c r="R112" s="323"/>
      <c r="S112" s="333" t="s">
        <v>817</v>
      </c>
      <c r="T112" s="323"/>
      <c r="U112" s="357" t="s">
        <v>817</v>
      </c>
      <c r="V112" s="323"/>
      <c r="W112" s="323"/>
      <c r="X112" s="323" t="s">
        <v>863</v>
      </c>
      <c r="Y112" s="323"/>
      <c r="Z112" s="323" t="s">
        <v>2131</v>
      </c>
      <c r="AA112" s="323" t="s">
        <v>864</v>
      </c>
      <c r="AB112" s="323" t="s">
        <v>864</v>
      </c>
      <c r="AC112" s="321" t="s">
        <v>1694</v>
      </c>
      <c r="AD112" s="323"/>
      <c r="AE112" s="323"/>
      <c r="AF112" s="323"/>
      <c r="AG112" s="323"/>
      <c r="AH112" s="323">
        <v>1</v>
      </c>
      <c r="AI112" s="325" t="s">
        <v>820</v>
      </c>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2">
        <v>105</v>
      </c>
      <c r="B113" s="342"/>
      <c r="C113" s="342" t="s">
        <v>2132</v>
      </c>
      <c r="D113" s="342"/>
      <c r="E113" s="342"/>
      <c r="F113" s="342"/>
      <c r="G113" s="342"/>
      <c r="H113" s="317" t="s">
        <v>2133</v>
      </c>
      <c r="I113" s="317" t="s">
        <v>2134</v>
      </c>
      <c r="J113" s="317" t="s">
        <v>1282</v>
      </c>
      <c r="K113" s="317"/>
      <c r="L113" s="317" t="s">
        <v>2135</v>
      </c>
      <c r="M113" s="317"/>
      <c r="N113" s="317" t="s">
        <v>2135</v>
      </c>
      <c r="O113" s="317"/>
      <c r="P113" s="317"/>
      <c r="Q113" s="317"/>
      <c r="R113" s="317"/>
      <c r="S113" s="327" t="s">
        <v>817</v>
      </c>
      <c r="T113" s="349"/>
      <c r="U113" s="358" t="s">
        <v>817</v>
      </c>
      <c r="V113" s="317"/>
      <c r="W113" s="317"/>
      <c r="X113" s="317" t="s">
        <v>863</v>
      </c>
      <c r="Y113" s="317"/>
      <c r="Z113" s="317"/>
      <c r="AA113" s="317" t="s">
        <v>864</v>
      </c>
      <c r="AB113" s="317" t="s">
        <v>864</v>
      </c>
      <c r="AC113" s="321" t="s">
        <v>1694</v>
      </c>
      <c r="AD113" s="317"/>
      <c r="AE113" s="317"/>
      <c r="AF113" s="317"/>
      <c r="AG113" s="317"/>
      <c r="AH113" s="317"/>
      <c r="AI113" s="327" t="s">
        <v>817</v>
      </c>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5">
        <v>106</v>
      </c>
      <c r="B114" s="345"/>
      <c r="C114" s="345" t="s">
        <v>2136</v>
      </c>
      <c r="D114" s="347"/>
      <c r="E114" s="347"/>
      <c r="F114" s="347"/>
      <c r="G114" s="347"/>
      <c r="H114" s="323" t="s">
        <v>2137</v>
      </c>
      <c r="I114" s="323" t="s">
        <v>2138</v>
      </c>
      <c r="J114" s="330"/>
      <c r="K114" s="323" t="s">
        <v>864</v>
      </c>
      <c r="L114" s="323" t="s">
        <v>2139</v>
      </c>
      <c r="M114" s="323"/>
      <c r="N114" s="323" t="s">
        <v>2139</v>
      </c>
      <c r="O114" s="323"/>
      <c r="P114" s="323"/>
      <c r="Q114" s="323"/>
      <c r="R114" s="323"/>
      <c r="S114" s="331" t="s">
        <v>823</v>
      </c>
      <c r="T114" s="323"/>
      <c r="U114" s="356" t="s">
        <v>823</v>
      </c>
      <c r="V114" s="323"/>
      <c r="W114" s="323" t="s">
        <v>864</v>
      </c>
      <c r="X114" s="323" t="s">
        <v>1264</v>
      </c>
      <c r="Y114" s="323"/>
      <c r="Z114" s="323"/>
      <c r="AA114" s="323" t="s">
        <v>864</v>
      </c>
      <c r="AB114" s="323" t="s">
        <v>864</v>
      </c>
      <c r="AC114" s="321" t="s">
        <v>1694</v>
      </c>
      <c r="AD114" s="323"/>
      <c r="AE114" s="323"/>
      <c r="AF114" s="323"/>
      <c r="AG114" s="323"/>
      <c r="AH114" s="323"/>
      <c r="AI114" s="331" t="s">
        <v>823</v>
      </c>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2">
        <v>107</v>
      </c>
      <c r="B115" s="342"/>
      <c r="C115" s="342"/>
      <c r="D115" s="342" t="s">
        <v>2140</v>
      </c>
      <c r="E115" s="342"/>
      <c r="F115" s="342"/>
      <c r="G115" s="342"/>
      <c r="H115" s="317" t="s">
        <v>2141</v>
      </c>
      <c r="I115" s="317" t="s">
        <v>2142</v>
      </c>
      <c r="J115" s="317" t="s">
        <v>1268</v>
      </c>
      <c r="K115" s="317" t="s">
        <v>864</v>
      </c>
      <c r="L115" s="317" t="s">
        <v>1784</v>
      </c>
      <c r="M115" s="317"/>
      <c r="N115" s="317" t="s">
        <v>1784</v>
      </c>
      <c r="O115" s="317"/>
      <c r="P115" s="317"/>
      <c r="Q115" s="317"/>
      <c r="R115" s="317"/>
      <c r="S115" s="320" t="s">
        <v>820</v>
      </c>
      <c r="T115" s="317"/>
      <c r="U115" s="359" t="s">
        <v>820</v>
      </c>
      <c r="V115" s="317"/>
      <c r="W115" s="317"/>
      <c r="X115" s="317" t="s">
        <v>863</v>
      </c>
      <c r="Y115" s="317"/>
      <c r="Z115" s="317" t="s">
        <v>1269</v>
      </c>
      <c r="AA115" s="317" t="s">
        <v>864</v>
      </c>
      <c r="AB115" s="317" t="s">
        <v>864</v>
      </c>
      <c r="AC115" s="332" t="s">
        <v>1694</v>
      </c>
      <c r="AD115" s="317"/>
      <c r="AE115" s="317"/>
      <c r="AF115" s="317"/>
      <c r="AG115" s="317"/>
      <c r="AH115" s="317"/>
      <c r="AI115" s="320" t="s">
        <v>820</v>
      </c>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5">
        <v>108</v>
      </c>
      <c r="B116" s="345"/>
      <c r="C116" s="345"/>
      <c r="D116" s="345" t="s">
        <v>2143</v>
      </c>
      <c r="E116" s="345"/>
      <c r="F116" s="345"/>
      <c r="G116" s="345"/>
      <c r="H116" s="323" t="s">
        <v>2144</v>
      </c>
      <c r="I116" s="323" t="s">
        <v>2145</v>
      </c>
      <c r="J116" s="376">
        <v>606070707</v>
      </c>
      <c r="K116" s="323" t="s">
        <v>864</v>
      </c>
      <c r="L116" s="323" t="s">
        <v>2146</v>
      </c>
      <c r="M116" s="323"/>
      <c r="N116" s="323" t="s">
        <v>2146</v>
      </c>
      <c r="O116" s="323"/>
      <c r="P116" s="323"/>
      <c r="Q116" s="323"/>
      <c r="R116" s="323"/>
      <c r="S116" s="325" t="s">
        <v>820</v>
      </c>
      <c r="T116" s="323"/>
      <c r="U116" s="352" t="s">
        <v>820</v>
      </c>
      <c r="V116" s="323"/>
      <c r="W116" s="323"/>
      <c r="X116" s="323" t="s">
        <v>863</v>
      </c>
      <c r="Y116" s="323"/>
      <c r="Z116" s="323"/>
      <c r="AA116" s="323" t="s">
        <v>864</v>
      </c>
      <c r="AB116" s="323" t="s">
        <v>864</v>
      </c>
      <c r="AC116" s="321" t="s">
        <v>1694</v>
      </c>
      <c r="AD116" s="323"/>
      <c r="AE116" s="323"/>
      <c r="AF116" s="323"/>
      <c r="AG116" s="323"/>
      <c r="AH116" s="323"/>
      <c r="AI116" s="325" t="s">
        <v>820</v>
      </c>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60">
        <f>COUNTA(A9:A116)</f>
        <v>108</v>
      </c>
      <c r="B117" s="360">
        <f t="shared" ref="B117:G117" si="0">COUNTA(B9:B116)</f>
        <v>4</v>
      </c>
      <c r="C117" s="360">
        <f t="shared" si="0"/>
        <v>54</v>
      </c>
      <c r="D117" s="360">
        <f t="shared" si="0"/>
        <v>41</v>
      </c>
      <c r="E117" s="360">
        <f t="shared" si="0"/>
        <v>8</v>
      </c>
      <c r="F117" s="360">
        <f t="shared" si="0"/>
        <v>3</v>
      </c>
      <c r="G117" s="360">
        <f t="shared" si="0"/>
        <v>0</v>
      </c>
      <c r="H117" s="361"/>
      <c r="I117" s="361"/>
      <c r="J117" s="361"/>
      <c r="K117" s="361"/>
      <c r="L117" s="361"/>
      <c r="M117" s="361"/>
      <c r="N117" s="361"/>
      <c r="O117" s="361"/>
      <c r="P117" s="361"/>
      <c r="Q117" s="361"/>
      <c r="R117" s="361"/>
      <c r="S117" s="361"/>
      <c r="T117" s="361"/>
      <c r="U117" s="361"/>
      <c r="V117" s="361"/>
      <c r="W117" s="361">
        <v>21</v>
      </c>
      <c r="X117" s="361">
        <v>128</v>
      </c>
      <c r="Y117" s="361"/>
      <c r="Z117" s="361"/>
      <c r="AA117" s="361"/>
      <c r="AB117" s="361"/>
      <c r="AC117" s="362" t="s">
        <v>1694</v>
      </c>
      <c r="AD117" s="361">
        <v>11</v>
      </c>
      <c r="AE117" s="361">
        <v>1</v>
      </c>
      <c r="AF117" s="361">
        <v>0</v>
      </c>
      <c r="AG117" s="361">
        <v>82</v>
      </c>
      <c r="AH117" s="361">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3"/>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4"/>
      <c r="C119" s="364"/>
      <c r="D119" s="364"/>
      <c r="E119" s="364"/>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3"/>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3"/>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3"/>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3"/>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3"/>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3"/>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3"/>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3"/>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3"/>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3"/>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5"/>
      <c r="C139" s="365"/>
      <c r="D139" s="365"/>
      <c r="E139" s="365"/>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6"/>
      <c r="B140" s="367"/>
      <c r="C140" s="367"/>
      <c r="D140" s="367"/>
      <c r="E140" s="367"/>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6"/>
      <c r="B141" s="367"/>
      <c r="C141" s="367"/>
      <c r="D141" s="367"/>
      <c r="E141" s="367"/>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6"/>
      <c r="B142" s="367"/>
      <c r="C142" s="367"/>
      <c r="D142" s="367"/>
      <c r="E142" s="367"/>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6"/>
      <c r="B143" s="367"/>
      <c r="C143" s="367"/>
      <c r="D143" s="367"/>
      <c r="E143" s="367"/>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6"/>
      <c r="B144" s="367"/>
      <c r="C144" s="367"/>
      <c r="D144" s="367"/>
      <c r="E144" s="367"/>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6"/>
      <c r="B145" s="367"/>
      <c r="C145" s="367"/>
      <c r="D145" s="367"/>
      <c r="E145" s="367"/>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6"/>
      <c r="B146" s="367"/>
      <c r="C146" s="367"/>
      <c r="D146" s="367"/>
      <c r="E146" s="367"/>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68"/>
      <c r="B147" s="369"/>
      <c r="C147" s="369"/>
      <c r="D147" s="369"/>
      <c r="E147" s="369"/>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68"/>
      <c r="B148" s="369"/>
      <c r="C148" s="369"/>
      <c r="D148" s="369"/>
      <c r="E148" s="369"/>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68"/>
      <c r="B149" s="369"/>
      <c r="C149" s="369"/>
      <c r="D149" s="369"/>
      <c r="E149" s="369"/>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68"/>
      <c r="B150" s="369"/>
      <c r="C150" s="369"/>
      <c r="D150" s="369"/>
      <c r="E150" s="369"/>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68"/>
      <c r="B151" s="369"/>
      <c r="C151" s="369"/>
      <c r="D151" s="369"/>
      <c r="E151" s="369"/>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68"/>
      <c r="B152" s="369"/>
      <c r="C152" s="369"/>
      <c r="D152" s="369"/>
      <c r="E152" s="369"/>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68"/>
      <c r="B153" s="369"/>
      <c r="C153" s="369"/>
      <c r="D153" s="369"/>
      <c r="E153" s="369"/>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68"/>
      <c r="B154" s="369"/>
      <c r="C154" s="369"/>
      <c r="D154" s="369"/>
      <c r="E154" s="369"/>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6"/>
      <c r="B155" s="367"/>
      <c r="C155" s="367"/>
      <c r="D155" s="367"/>
      <c r="E155" s="367"/>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70"/>
      <c r="B156" s="371"/>
      <c r="C156" s="371"/>
      <c r="D156" s="371"/>
      <c r="E156" s="371"/>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70"/>
      <c r="B157" s="371"/>
      <c r="C157" s="371"/>
      <c r="D157" s="371"/>
      <c r="E157" s="371"/>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70"/>
      <c r="B158" s="371"/>
      <c r="C158" s="371"/>
      <c r="D158" s="371"/>
      <c r="E158" s="371"/>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70"/>
      <c r="B159" s="371"/>
      <c r="C159" s="371"/>
      <c r="D159" s="371"/>
      <c r="E159" s="371"/>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70"/>
      <c r="B160" s="371"/>
      <c r="C160" s="371"/>
      <c r="D160" s="371"/>
      <c r="E160" s="371"/>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70"/>
      <c r="B161" s="371"/>
      <c r="C161" s="371"/>
      <c r="D161" s="371"/>
      <c r="E161" s="371"/>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70"/>
      <c r="B162" s="371"/>
      <c r="C162" s="371"/>
      <c r="D162" s="371"/>
      <c r="E162" s="371"/>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6"/>
      <c r="B163" s="367"/>
      <c r="C163" s="367"/>
      <c r="D163" s="367"/>
      <c r="E163" s="367"/>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6"/>
      <c r="B164" s="367"/>
      <c r="C164" s="367"/>
      <c r="D164" s="367"/>
      <c r="E164" s="367"/>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6"/>
      <c r="B165" s="367"/>
      <c r="C165" s="367"/>
      <c r="D165" s="367"/>
      <c r="E165" s="367"/>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2"/>
      <c r="C166" s="372"/>
      <c r="D166" s="372"/>
      <c r="E166" s="372"/>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2"/>
      <c r="C167" s="372"/>
      <c r="D167" s="372"/>
      <c r="E167" s="372"/>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4">
    <mergeCell ref="H1:L2"/>
    <mergeCell ref="O7:R7"/>
    <mergeCell ref="AA7:AB7"/>
    <mergeCell ref="AG7:AH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45"/>
  <sheetViews>
    <sheetView zoomScale="115" zoomScaleNormal="115" workbookViewId="0">
      <pane xSplit="7" ySplit="8" topLeftCell="H44" activePane="bottomRight" state="frozen"/>
      <selection pane="bottomRight" activeCell="D44" sqref="D44"/>
      <selection pane="bottomLeft" activeCell="A9" sqref="A9"/>
      <selection pane="topRight" activeCell="H1" sqref="H1"/>
    </sheetView>
  </sheetViews>
  <sheetFormatPr defaultColWidth="9.5" defaultRowHeight="12" customHeight="1"/>
  <cols>
    <col min="1" max="1" width="4.625" style="128" customWidth="1"/>
    <col min="2" max="2" width="27.125" style="128" customWidth="1"/>
    <col min="3" max="3" width="29.375" style="128" customWidth="1"/>
    <col min="4" max="4" width="27.375" style="128" customWidth="1"/>
    <col min="5" max="5" width="9.125" style="128" customWidth="1"/>
    <col min="6" max="6" width="8.625" style="128" customWidth="1"/>
    <col min="7" max="7" width="9.125" style="96" customWidth="1"/>
    <col min="8" max="8" width="63.875" style="96" customWidth="1"/>
    <col min="9" max="9" width="33.5" style="225" customWidth="1"/>
    <col min="10" max="10" width="17.875" style="159" customWidth="1"/>
    <col min="11" max="11" width="10.5" style="96" customWidth="1"/>
    <col min="12" max="12" width="6" style="173" customWidth="1"/>
    <col min="13" max="13" width="18.5" style="96" customWidth="1"/>
    <col min="14" max="14" width="12.625" style="278" customWidth="1"/>
    <col min="15" max="15" width="28.125" style="96" customWidth="1"/>
    <col min="16" max="16" width="8.875" style="96" customWidth="1"/>
    <col min="17" max="17" width="8.125" style="96" customWidth="1"/>
    <col min="18" max="18" width="2.37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c r="C1" s="129"/>
      <c r="E1" s="150"/>
      <c r="F1" s="157"/>
      <c r="G1" s="128"/>
      <c r="H1" s="692"/>
      <c r="I1" s="692"/>
      <c r="X1" s="128"/>
      <c r="ALR1"/>
    </row>
    <row r="2" spans="1:1006" ht="13.5" customHeight="1">
      <c r="C2" s="141"/>
      <c r="D2" s="285"/>
      <c r="E2" s="152"/>
      <c r="F2" s="157"/>
      <c r="G2" s="128"/>
      <c r="H2" s="692"/>
      <c r="I2" s="692"/>
      <c r="X2" s="128"/>
      <c r="ALR2"/>
    </row>
    <row r="3" spans="1:1006" ht="13.5" customHeight="1">
      <c r="C3" s="142"/>
      <c r="E3" s="151"/>
      <c r="G3" s="128"/>
      <c r="X3" s="128"/>
      <c r="ALR3"/>
    </row>
    <row r="4" spans="1:1006" ht="13.5" customHeight="1">
      <c r="C4" s="143"/>
      <c r="E4" s="153"/>
      <c r="G4" s="137"/>
      <c r="X4" s="128"/>
      <c r="ALR4"/>
    </row>
    <row r="5" spans="1:1006" s="149" customFormat="1" ht="13.5" customHeight="1">
      <c r="A5" s="128"/>
      <c r="B5" s="128"/>
      <c r="C5" s="145"/>
      <c r="D5" s="146"/>
      <c r="E5" s="291"/>
      <c r="F5" s="146"/>
      <c r="G5" s="148"/>
      <c r="H5" s="148"/>
      <c r="I5" s="275"/>
      <c r="J5" s="160"/>
      <c r="K5" s="148"/>
      <c r="L5" s="186"/>
      <c r="M5" s="148"/>
      <c r="N5" s="280"/>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8"/>
      <c r="E7" s="138"/>
      <c r="F7" s="138"/>
      <c r="P7" s="695" t="s">
        <v>829</v>
      </c>
      <c r="Q7" s="695"/>
      <c r="W7" s="668" t="s">
        <v>685</v>
      </c>
      <c r="X7" s="128"/>
      <c r="ALR7"/>
    </row>
    <row r="8" spans="1:1006" s="238" customFormat="1" ht="55.5" customHeight="1">
      <c r="A8" s="233" t="s">
        <v>831</v>
      </c>
      <c r="B8" s="382" t="s">
        <v>832</v>
      </c>
      <c r="C8" s="279" t="s">
        <v>833</v>
      </c>
      <c r="D8" s="279" t="s">
        <v>834</v>
      </c>
      <c r="E8" s="279" t="s">
        <v>835</v>
      </c>
      <c r="F8" s="279" t="s">
        <v>836</v>
      </c>
      <c r="G8" s="279" t="s">
        <v>837</v>
      </c>
      <c r="H8" s="234" t="s">
        <v>9</v>
      </c>
      <c r="I8" s="234" t="s">
        <v>838</v>
      </c>
      <c r="J8" s="234" t="s">
        <v>2147</v>
      </c>
      <c r="K8" s="234" t="s">
        <v>677</v>
      </c>
      <c r="L8" s="234" t="s">
        <v>3</v>
      </c>
      <c r="M8" s="234" t="s">
        <v>913</v>
      </c>
      <c r="N8" s="284" t="s">
        <v>914</v>
      </c>
      <c r="O8" s="234" t="s">
        <v>849</v>
      </c>
      <c r="P8" s="229" t="s">
        <v>850</v>
      </c>
      <c r="Q8" s="229" t="s">
        <v>851</v>
      </c>
      <c r="R8" s="230" t="s">
        <v>852</v>
      </c>
      <c r="S8" s="235" t="s">
        <v>853</v>
      </c>
      <c r="T8" s="235" t="s">
        <v>854</v>
      </c>
      <c r="U8" s="236" t="s">
        <v>855</v>
      </c>
      <c r="V8" s="235" t="s">
        <v>856</v>
      </c>
      <c r="W8" s="237" t="s">
        <v>915</v>
      </c>
    </row>
    <row r="9" spans="1:1006" s="224" customFormat="1" ht="13.5" customHeight="1">
      <c r="A9" s="225">
        <v>1</v>
      </c>
      <c r="B9" s="217" t="s">
        <v>916</v>
      </c>
      <c r="C9" s="240"/>
      <c r="D9" s="678"/>
      <c r="E9" s="678"/>
      <c r="F9" s="678"/>
      <c r="G9" s="678"/>
      <c r="H9" s="714" t="s">
        <v>950</v>
      </c>
      <c r="I9" s="317" t="s">
        <v>951</v>
      </c>
      <c r="J9" s="715" t="s">
        <v>919</v>
      </c>
      <c r="K9" s="714" t="s">
        <v>820</v>
      </c>
      <c r="L9" s="716"/>
      <c r="M9" s="714" t="s">
        <v>863</v>
      </c>
      <c r="N9" s="717"/>
      <c r="O9" s="714"/>
      <c r="P9" s="718"/>
      <c r="Q9" s="718" t="s">
        <v>864</v>
      </c>
      <c r="R9" s="232"/>
      <c r="S9" s="719"/>
      <c r="T9" s="714"/>
      <c r="U9" s="720"/>
      <c r="V9" s="714"/>
      <c r="W9" s="717">
        <v>1</v>
      </c>
    </row>
    <row r="10" spans="1:1006" s="224" customFormat="1" ht="13.5" customHeight="1">
      <c r="A10" s="225">
        <v>2</v>
      </c>
      <c r="B10" s="217" t="s">
        <v>2148</v>
      </c>
      <c r="C10" s="240"/>
      <c r="D10" s="241"/>
      <c r="E10" s="241"/>
      <c r="F10" s="241"/>
      <c r="G10" s="241"/>
      <c r="H10" s="714" t="s">
        <v>2149</v>
      </c>
      <c r="I10" s="730"/>
      <c r="J10" s="715" t="s">
        <v>2150</v>
      </c>
      <c r="K10" s="714" t="s">
        <v>820</v>
      </c>
      <c r="L10" s="716"/>
      <c r="M10" s="714" t="s">
        <v>863</v>
      </c>
      <c r="N10" s="717"/>
      <c r="O10" s="714"/>
      <c r="P10" s="718"/>
      <c r="Q10" s="718" t="s">
        <v>864</v>
      </c>
      <c r="R10" s="232"/>
      <c r="S10" s="719"/>
      <c r="T10" s="714"/>
      <c r="U10" s="720"/>
      <c r="V10" s="714"/>
      <c r="W10" s="717"/>
    </row>
    <row r="11" spans="1:1006" s="224" customFormat="1" ht="14.25" customHeight="1">
      <c r="A11" s="225">
        <v>3</v>
      </c>
      <c r="B11" s="217" t="s">
        <v>2151</v>
      </c>
      <c r="C11" s="240"/>
      <c r="D11" s="241"/>
      <c r="E11" s="241"/>
      <c r="F11" s="241"/>
      <c r="G11" s="241"/>
      <c r="H11" s="714" t="s">
        <v>2152</v>
      </c>
      <c r="I11" s="715"/>
      <c r="J11" s="715" t="s">
        <v>2153</v>
      </c>
      <c r="K11" s="714" t="s">
        <v>823</v>
      </c>
      <c r="L11" s="716" t="s">
        <v>864</v>
      </c>
      <c r="M11" s="243" t="s">
        <v>1365</v>
      </c>
      <c r="N11" s="717"/>
      <c r="O11" s="714"/>
      <c r="P11" s="718"/>
      <c r="Q11" s="718" t="s">
        <v>864</v>
      </c>
      <c r="R11" s="232"/>
      <c r="S11" s="719"/>
      <c r="T11" s="714"/>
      <c r="U11" s="720"/>
      <c r="V11" s="714"/>
      <c r="W11" s="717"/>
    </row>
    <row r="12" spans="1:1006" s="224" customFormat="1" ht="14.25" customHeight="1">
      <c r="A12" s="225">
        <v>4</v>
      </c>
      <c r="B12" s="217"/>
      <c r="C12" s="678" t="s">
        <v>2154</v>
      </c>
      <c r="D12" s="241"/>
      <c r="E12" s="241"/>
      <c r="F12" s="241"/>
      <c r="G12" s="241"/>
      <c r="H12" s="714" t="s">
        <v>2155</v>
      </c>
      <c r="I12" s="715"/>
      <c r="J12" s="715" t="s">
        <v>2156</v>
      </c>
      <c r="K12" s="714" t="s">
        <v>820</v>
      </c>
      <c r="L12" s="716"/>
      <c r="M12" s="714" t="s">
        <v>879</v>
      </c>
      <c r="N12" s="717"/>
      <c r="O12" s="714" t="s">
        <v>932</v>
      </c>
      <c r="P12" s="718"/>
      <c r="Q12" s="718" t="s">
        <v>864</v>
      </c>
      <c r="R12" s="232"/>
      <c r="S12" s="719"/>
      <c r="T12" s="714"/>
      <c r="U12" s="720"/>
      <c r="V12" s="714"/>
      <c r="W12" s="717"/>
    </row>
    <row r="13" spans="1:1006" s="224" customFormat="1" ht="13.5" customHeight="1">
      <c r="A13" s="225">
        <v>5</v>
      </c>
      <c r="B13" s="217"/>
      <c r="C13" s="218" t="s">
        <v>2157</v>
      </c>
      <c r="D13" s="241"/>
      <c r="E13" s="241"/>
      <c r="F13" s="241"/>
      <c r="G13" s="241"/>
      <c r="H13" s="255" t="s">
        <v>2158</v>
      </c>
      <c r="I13" s="715"/>
      <c r="J13" s="715" t="s">
        <v>2159</v>
      </c>
      <c r="K13" s="714" t="s">
        <v>820</v>
      </c>
      <c r="L13" s="716"/>
      <c r="M13" s="714" t="s">
        <v>863</v>
      </c>
      <c r="N13" s="717"/>
      <c r="O13" s="714"/>
      <c r="P13" s="718"/>
      <c r="Q13" s="718" t="s">
        <v>864</v>
      </c>
      <c r="R13" s="232"/>
      <c r="S13" s="719" t="s">
        <v>2160</v>
      </c>
      <c r="T13" s="714"/>
      <c r="U13" s="720"/>
      <c r="V13" s="714"/>
      <c r="W13" s="717"/>
    </row>
    <row r="14" spans="1:1006" s="224" customFormat="1" ht="13.5" customHeight="1">
      <c r="A14" s="225">
        <v>6</v>
      </c>
      <c r="B14" s="217"/>
      <c r="C14" s="241" t="s">
        <v>1102</v>
      </c>
      <c r="D14" s="241"/>
      <c r="E14" s="241"/>
      <c r="F14" s="241"/>
      <c r="G14" s="241"/>
      <c r="H14" s="714" t="s">
        <v>2161</v>
      </c>
      <c r="I14" s="715"/>
      <c r="J14" s="715" t="s">
        <v>970</v>
      </c>
      <c r="K14" s="714" t="s">
        <v>820</v>
      </c>
      <c r="L14" s="716"/>
      <c r="M14" s="714" t="s">
        <v>863</v>
      </c>
      <c r="N14" s="717" t="s">
        <v>864</v>
      </c>
      <c r="O14" s="255" t="s">
        <v>2162</v>
      </c>
      <c r="P14" s="718"/>
      <c r="Q14" s="718" t="s">
        <v>864</v>
      </c>
      <c r="R14" s="232"/>
      <c r="S14" s="719"/>
      <c r="T14" s="714"/>
      <c r="U14" s="720"/>
      <c r="V14" s="714"/>
      <c r="W14" s="717"/>
    </row>
    <row r="15" spans="1:1006" s="224" customFormat="1" ht="13.5" customHeight="1">
      <c r="A15" s="225">
        <v>7</v>
      </c>
      <c r="B15" s="217"/>
      <c r="C15" s="678" t="s">
        <v>2163</v>
      </c>
      <c r="D15" s="241"/>
      <c r="E15" s="241"/>
      <c r="F15" s="241"/>
      <c r="G15" s="241"/>
      <c r="H15" s="714"/>
      <c r="I15" s="715"/>
      <c r="J15" s="715" t="s">
        <v>2164</v>
      </c>
      <c r="K15" s="714" t="s">
        <v>817</v>
      </c>
      <c r="L15" s="716"/>
      <c r="M15" s="714" t="s">
        <v>863</v>
      </c>
      <c r="N15" s="717"/>
      <c r="O15" s="714"/>
      <c r="P15" s="718"/>
      <c r="Q15" s="718" t="s">
        <v>864</v>
      </c>
      <c r="R15" s="232"/>
      <c r="S15" s="719"/>
      <c r="T15" s="714"/>
      <c r="U15" s="720"/>
      <c r="V15" s="714"/>
      <c r="W15" s="717"/>
    </row>
    <row r="16" spans="1:1006" s="224" customFormat="1" ht="13.5" customHeight="1">
      <c r="A16" s="225">
        <v>8</v>
      </c>
      <c r="B16" s="217"/>
      <c r="C16" s="241" t="s">
        <v>1104</v>
      </c>
      <c r="D16" s="241"/>
      <c r="E16" s="241"/>
      <c r="F16" s="241"/>
      <c r="G16" s="241"/>
      <c r="H16" s="714" t="s">
        <v>2165</v>
      </c>
      <c r="I16" s="715"/>
      <c r="J16" s="715" t="s">
        <v>871</v>
      </c>
      <c r="K16" s="714" t="s">
        <v>817</v>
      </c>
      <c r="L16" s="716"/>
      <c r="M16" s="714" t="s">
        <v>863</v>
      </c>
      <c r="N16" s="717"/>
      <c r="O16" s="714"/>
      <c r="P16" s="718"/>
      <c r="Q16" s="718" t="s">
        <v>864</v>
      </c>
      <c r="R16" s="232"/>
      <c r="S16" s="719"/>
      <c r="T16" s="714"/>
      <c r="U16" s="720"/>
      <c r="V16" s="714"/>
      <c r="W16" s="717"/>
    </row>
    <row r="17" spans="1:23" s="224" customFormat="1" ht="13.5" customHeight="1">
      <c r="A17" s="225">
        <v>9</v>
      </c>
      <c r="B17" s="217"/>
      <c r="C17" s="241" t="s">
        <v>2011</v>
      </c>
      <c r="D17" s="241"/>
      <c r="E17" s="241"/>
      <c r="F17" s="241"/>
      <c r="G17" s="241"/>
      <c r="H17" s="714" t="s">
        <v>2166</v>
      </c>
      <c r="I17" s="715"/>
      <c r="J17" s="715" t="s">
        <v>2167</v>
      </c>
      <c r="K17" s="714" t="s">
        <v>817</v>
      </c>
      <c r="L17" s="716"/>
      <c r="M17" s="714" t="s">
        <v>863</v>
      </c>
      <c r="N17" s="717"/>
      <c r="O17" s="714"/>
      <c r="P17" s="718"/>
      <c r="Q17" s="718" t="s">
        <v>864</v>
      </c>
      <c r="R17" s="232"/>
      <c r="S17" s="719"/>
      <c r="T17" s="714"/>
      <c r="U17" s="720"/>
      <c r="V17" s="714"/>
      <c r="W17" s="717"/>
    </row>
    <row r="18" spans="1:23" s="224" customFormat="1" ht="13.5" customHeight="1">
      <c r="A18" s="225">
        <v>10</v>
      </c>
      <c r="B18" s="217"/>
      <c r="C18" s="241" t="s">
        <v>2168</v>
      </c>
      <c r="D18" s="241"/>
      <c r="E18" s="241"/>
      <c r="F18" s="241"/>
      <c r="G18" s="241"/>
      <c r="H18" s="714" t="s">
        <v>2169</v>
      </c>
      <c r="I18" s="715"/>
      <c r="J18" s="715" t="s">
        <v>2170</v>
      </c>
      <c r="K18" s="714" t="s">
        <v>817</v>
      </c>
      <c r="L18" s="716"/>
      <c r="M18" s="714" t="s">
        <v>863</v>
      </c>
      <c r="N18" s="717"/>
      <c r="O18" s="714"/>
      <c r="P18" s="718"/>
      <c r="Q18" s="718" t="s">
        <v>864</v>
      </c>
      <c r="R18" s="232"/>
      <c r="S18" s="719"/>
      <c r="T18" s="714"/>
      <c r="U18" s="720"/>
      <c r="V18" s="714"/>
      <c r="W18" s="717"/>
    </row>
    <row r="19" spans="1:23" s="224" customFormat="1" ht="13.5" customHeight="1">
      <c r="A19" s="225">
        <v>11</v>
      </c>
      <c r="B19" s="217"/>
      <c r="C19" s="241" t="s">
        <v>2171</v>
      </c>
      <c r="D19" s="241"/>
      <c r="E19" s="241"/>
      <c r="F19" s="241"/>
      <c r="G19" s="241"/>
      <c r="H19" s="714"/>
      <c r="I19" s="715"/>
      <c r="J19" s="715" t="s">
        <v>2172</v>
      </c>
      <c r="K19" s="714" t="s">
        <v>817</v>
      </c>
      <c r="L19" s="716"/>
      <c r="M19" s="714" t="s">
        <v>863</v>
      </c>
      <c r="N19" s="717"/>
      <c r="O19" s="714"/>
      <c r="P19" s="718"/>
      <c r="Q19" s="718" t="s">
        <v>864</v>
      </c>
      <c r="R19" s="232"/>
      <c r="S19" s="719"/>
      <c r="T19" s="714"/>
      <c r="U19" s="720"/>
      <c r="V19" s="714"/>
      <c r="W19" s="717"/>
    </row>
    <row r="20" spans="1:23" s="224" customFormat="1" ht="13.5" customHeight="1">
      <c r="A20" s="225">
        <v>12</v>
      </c>
      <c r="B20" s="217"/>
      <c r="C20" s="241" t="s">
        <v>2173</v>
      </c>
      <c r="D20" s="241"/>
      <c r="E20" s="241"/>
      <c r="F20" s="241"/>
      <c r="G20" s="241"/>
      <c r="H20" s="714" t="s">
        <v>2174</v>
      </c>
      <c r="I20" s="715"/>
      <c r="J20" s="715" t="s">
        <v>2175</v>
      </c>
      <c r="K20" s="714" t="s">
        <v>817</v>
      </c>
      <c r="L20" s="716"/>
      <c r="M20" s="714" t="s">
        <v>863</v>
      </c>
      <c r="N20" s="717"/>
      <c r="O20" s="714"/>
      <c r="P20" s="718"/>
      <c r="Q20" s="718" t="s">
        <v>864</v>
      </c>
      <c r="R20" s="232"/>
      <c r="S20" s="719"/>
      <c r="T20" s="714"/>
      <c r="U20" s="720"/>
      <c r="V20" s="714"/>
      <c r="W20" s="717"/>
    </row>
    <row r="21" spans="1:23" s="224" customFormat="1" ht="13.5" customHeight="1">
      <c r="A21" s="225">
        <v>13</v>
      </c>
      <c r="B21" s="217"/>
      <c r="C21" s="241" t="s">
        <v>2176</v>
      </c>
      <c r="D21" s="241"/>
      <c r="E21" s="241"/>
      <c r="F21" s="241"/>
      <c r="G21" s="241"/>
      <c r="H21" s="714" t="s">
        <v>2176</v>
      </c>
      <c r="I21" s="715"/>
      <c r="J21" s="715" t="s">
        <v>2177</v>
      </c>
      <c r="K21" s="714" t="s">
        <v>817</v>
      </c>
      <c r="L21" s="716"/>
      <c r="M21" s="714" t="s">
        <v>863</v>
      </c>
      <c r="N21" s="717"/>
      <c r="O21" s="714"/>
      <c r="P21" s="718"/>
      <c r="Q21" s="718" t="s">
        <v>864</v>
      </c>
      <c r="R21" s="232"/>
      <c r="S21" s="719"/>
      <c r="T21" s="714"/>
      <c r="U21" s="720"/>
      <c r="V21" s="714"/>
      <c r="W21" s="717"/>
    </row>
    <row r="22" spans="1:23" s="224" customFormat="1" ht="13.5" customHeight="1">
      <c r="A22" s="225">
        <v>14</v>
      </c>
      <c r="B22" s="217"/>
      <c r="C22" s="241" t="s">
        <v>2178</v>
      </c>
      <c r="D22" s="241"/>
      <c r="E22" s="241"/>
      <c r="F22" s="241"/>
      <c r="G22" s="241"/>
      <c r="H22" s="714" t="s">
        <v>2178</v>
      </c>
      <c r="I22" s="715"/>
      <c r="J22" s="715" t="s">
        <v>2179</v>
      </c>
      <c r="K22" s="714" t="s">
        <v>817</v>
      </c>
      <c r="L22" s="716"/>
      <c r="M22" s="714" t="s">
        <v>863</v>
      </c>
      <c r="N22" s="717"/>
      <c r="O22" s="714"/>
      <c r="P22" s="718"/>
      <c r="Q22" s="718" t="s">
        <v>864</v>
      </c>
      <c r="R22" s="232"/>
      <c r="S22" s="719"/>
      <c r="T22" s="714"/>
      <c r="U22" s="720"/>
      <c r="V22" s="714"/>
      <c r="W22" s="717"/>
    </row>
    <row r="23" spans="1:23" s="224" customFormat="1" ht="13.5" customHeight="1">
      <c r="A23" s="225">
        <v>15</v>
      </c>
      <c r="B23" s="217"/>
      <c r="C23" s="241" t="s">
        <v>2180</v>
      </c>
      <c r="D23" s="241"/>
      <c r="E23" s="241"/>
      <c r="F23" s="241"/>
      <c r="G23" s="241"/>
      <c r="H23" s="714" t="s">
        <v>2181</v>
      </c>
      <c r="I23" s="715"/>
      <c r="J23" s="715" t="s">
        <v>2182</v>
      </c>
      <c r="K23" s="714" t="s">
        <v>817</v>
      </c>
      <c r="L23" s="716" t="s">
        <v>864</v>
      </c>
      <c r="M23" s="243" t="s">
        <v>2182</v>
      </c>
      <c r="N23" s="717"/>
      <c r="O23" s="714"/>
      <c r="P23" s="718"/>
      <c r="Q23" s="718" t="s">
        <v>864</v>
      </c>
      <c r="R23" s="232"/>
      <c r="S23" s="719"/>
      <c r="T23" s="714"/>
      <c r="U23" s="720"/>
      <c r="V23" s="714"/>
      <c r="W23" s="717"/>
    </row>
    <row r="24" spans="1:23" s="224" customFormat="1" ht="13.5" customHeight="1">
      <c r="A24" s="225">
        <v>16</v>
      </c>
      <c r="B24" s="217"/>
      <c r="C24" s="241"/>
      <c r="D24" s="241" t="s">
        <v>1102</v>
      </c>
      <c r="E24" s="241"/>
      <c r="F24" s="241"/>
      <c r="G24" s="241"/>
      <c r="H24" s="714" t="s">
        <v>2183</v>
      </c>
      <c r="I24" s="715"/>
      <c r="J24" s="715" t="s">
        <v>1575</v>
      </c>
      <c r="K24" s="714" t="s">
        <v>817</v>
      </c>
      <c r="L24" s="716"/>
      <c r="M24" s="714" t="s">
        <v>863</v>
      </c>
      <c r="N24" s="717" t="s">
        <v>864</v>
      </c>
      <c r="O24" s="714" t="s">
        <v>2184</v>
      </c>
      <c r="P24" s="718"/>
      <c r="Q24" s="718" t="s">
        <v>864</v>
      </c>
      <c r="R24" s="232"/>
      <c r="S24" s="719" t="s">
        <v>2185</v>
      </c>
      <c r="T24" s="714"/>
      <c r="U24" s="720"/>
      <c r="V24" s="714"/>
      <c r="W24" s="717"/>
    </row>
    <row r="25" spans="1:23" s="224" customFormat="1" ht="13.5" customHeight="1">
      <c r="A25" s="225">
        <v>17</v>
      </c>
      <c r="B25" s="217"/>
      <c r="C25" s="241"/>
      <c r="D25" s="241" t="s">
        <v>1104</v>
      </c>
      <c r="E25" s="241"/>
      <c r="F25" s="241"/>
      <c r="G25" s="241"/>
      <c r="H25" s="714" t="s">
        <v>2186</v>
      </c>
      <c r="I25" s="715"/>
      <c r="J25" s="715" t="s">
        <v>871</v>
      </c>
      <c r="K25" s="714" t="s">
        <v>817</v>
      </c>
      <c r="L25" s="716"/>
      <c r="M25" s="714" t="s">
        <v>863</v>
      </c>
      <c r="N25" s="717"/>
      <c r="O25" s="714"/>
      <c r="P25" s="718"/>
      <c r="Q25" s="718" t="s">
        <v>864</v>
      </c>
      <c r="R25" s="232"/>
      <c r="S25" s="719"/>
      <c r="T25" s="714"/>
      <c r="U25" s="720"/>
      <c r="V25" s="714"/>
      <c r="W25" s="717"/>
    </row>
    <row r="26" spans="1:23" s="224" customFormat="1" ht="13.5" customHeight="1">
      <c r="A26" s="225">
        <v>18</v>
      </c>
      <c r="B26" s="217"/>
      <c r="C26" s="217" t="s">
        <v>2187</v>
      </c>
      <c r="D26" s="241"/>
      <c r="E26" s="241"/>
      <c r="F26" s="241"/>
      <c r="G26" s="241"/>
      <c r="H26" s="714"/>
      <c r="I26" s="715"/>
      <c r="J26" s="715" t="s">
        <v>2188</v>
      </c>
      <c r="K26" s="714" t="s">
        <v>817</v>
      </c>
      <c r="L26" s="716" t="s">
        <v>864</v>
      </c>
      <c r="M26" s="243" t="s">
        <v>2188</v>
      </c>
      <c r="N26" s="717"/>
      <c r="O26" s="714"/>
      <c r="P26" s="718"/>
      <c r="Q26" s="718" t="s">
        <v>864</v>
      </c>
      <c r="R26" s="232"/>
      <c r="S26" s="719"/>
      <c r="T26" s="714"/>
      <c r="U26" s="720"/>
      <c r="V26" s="714"/>
      <c r="W26" s="717"/>
    </row>
    <row r="27" spans="1:23" s="224" customFormat="1" ht="13.5" customHeight="1">
      <c r="A27" s="225">
        <v>19</v>
      </c>
      <c r="B27" s="217"/>
      <c r="C27" s="217"/>
      <c r="D27" s="241" t="s">
        <v>2189</v>
      </c>
      <c r="E27" s="241"/>
      <c r="F27" s="241"/>
      <c r="G27" s="241"/>
      <c r="H27" s="714"/>
      <c r="I27" s="715"/>
      <c r="J27" s="715" t="s">
        <v>2156</v>
      </c>
      <c r="K27" s="714" t="s">
        <v>817</v>
      </c>
      <c r="L27" s="716"/>
      <c r="M27" s="714" t="s">
        <v>879</v>
      </c>
      <c r="N27" s="717"/>
      <c r="O27" s="714" t="s">
        <v>932</v>
      </c>
      <c r="P27" s="718"/>
      <c r="Q27" s="718" t="s">
        <v>864</v>
      </c>
      <c r="R27" s="232"/>
      <c r="S27" s="719"/>
      <c r="T27" s="714"/>
      <c r="U27" s="720"/>
      <c r="V27" s="714"/>
      <c r="W27" s="717"/>
    </row>
    <row r="28" spans="1:23" s="224" customFormat="1" ht="13.5" customHeight="1">
      <c r="A28" s="225">
        <v>20</v>
      </c>
      <c r="B28" s="217"/>
      <c r="C28" s="217"/>
      <c r="D28" s="241" t="s">
        <v>2190</v>
      </c>
      <c r="E28" s="241"/>
      <c r="F28" s="241"/>
      <c r="G28" s="241"/>
      <c r="H28" s="714" t="s">
        <v>2191</v>
      </c>
      <c r="I28" s="715"/>
      <c r="J28" s="715" t="s">
        <v>888</v>
      </c>
      <c r="K28" s="714" t="s">
        <v>817</v>
      </c>
      <c r="L28" s="716"/>
      <c r="M28" s="714" t="s">
        <v>863</v>
      </c>
      <c r="N28" s="717" t="s">
        <v>864</v>
      </c>
      <c r="O28" s="714" t="s">
        <v>2192</v>
      </c>
      <c r="P28" s="718"/>
      <c r="Q28" s="718" t="s">
        <v>864</v>
      </c>
      <c r="R28" s="232"/>
      <c r="S28" s="719" t="s">
        <v>2185</v>
      </c>
      <c r="T28" s="714"/>
      <c r="U28" s="720"/>
      <c r="V28" s="714"/>
      <c r="W28" s="717"/>
    </row>
    <row r="29" spans="1:23" s="224" customFormat="1" ht="13.5" customHeight="1">
      <c r="A29" s="225">
        <v>21</v>
      </c>
      <c r="B29" s="217"/>
      <c r="C29" s="217"/>
      <c r="D29" s="241" t="s">
        <v>2193</v>
      </c>
      <c r="E29" s="241"/>
      <c r="F29" s="241"/>
      <c r="G29" s="241"/>
      <c r="H29" s="714" t="s">
        <v>2194</v>
      </c>
      <c r="I29" s="715"/>
      <c r="J29" s="715" t="s">
        <v>2195</v>
      </c>
      <c r="K29" s="714" t="s">
        <v>817</v>
      </c>
      <c r="L29" s="716"/>
      <c r="M29" s="714" t="s">
        <v>863</v>
      </c>
      <c r="N29" s="717" t="s">
        <v>864</v>
      </c>
      <c r="O29" s="714" t="s">
        <v>2196</v>
      </c>
      <c r="P29" s="718"/>
      <c r="Q29" s="718" t="s">
        <v>864</v>
      </c>
      <c r="R29" s="232"/>
      <c r="S29" s="719"/>
      <c r="T29" s="714"/>
      <c r="U29" s="720"/>
      <c r="V29" s="714"/>
      <c r="W29" s="717"/>
    </row>
    <row r="30" spans="1:23" s="224" customFormat="1" ht="13.5" customHeight="1">
      <c r="A30" s="225">
        <v>22</v>
      </c>
      <c r="B30" s="217"/>
      <c r="C30" s="678" t="s">
        <v>1259</v>
      </c>
      <c r="D30" s="241"/>
      <c r="E30" s="241"/>
      <c r="F30" s="241"/>
      <c r="G30" s="241"/>
      <c r="H30" s="714" t="s">
        <v>2197</v>
      </c>
      <c r="I30" s="715"/>
      <c r="J30" s="715" t="s">
        <v>1264</v>
      </c>
      <c r="K30" s="714" t="s">
        <v>817</v>
      </c>
      <c r="L30" s="716" t="s">
        <v>864</v>
      </c>
      <c r="M30" s="714" t="s">
        <v>1264</v>
      </c>
      <c r="N30" s="717"/>
      <c r="O30" s="714"/>
      <c r="P30" s="718"/>
      <c r="Q30" s="718" t="s">
        <v>864</v>
      </c>
      <c r="R30" s="232"/>
      <c r="S30" s="719"/>
      <c r="T30" s="714"/>
      <c r="U30" s="720"/>
      <c r="V30" s="714"/>
      <c r="W30" s="717"/>
    </row>
    <row r="31" spans="1:23" s="224" customFormat="1" ht="13.5" customHeight="1">
      <c r="A31" s="225">
        <v>23</v>
      </c>
      <c r="B31" s="217"/>
      <c r="C31" s="241"/>
      <c r="D31" s="241" t="s">
        <v>1266</v>
      </c>
      <c r="E31" s="241"/>
      <c r="F31" s="241"/>
      <c r="G31" s="241"/>
      <c r="H31" s="714" t="s">
        <v>2198</v>
      </c>
      <c r="I31" s="715" t="s">
        <v>1268</v>
      </c>
      <c r="J31" s="715" t="s">
        <v>970</v>
      </c>
      <c r="K31" s="714" t="s">
        <v>817</v>
      </c>
      <c r="L31" s="716"/>
      <c r="M31" s="714" t="s">
        <v>863</v>
      </c>
      <c r="N31" s="717" t="s">
        <v>864</v>
      </c>
      <c r="O31" s="714" t="s">
        <v>1269</v>
      </c>
      <c r="P31" s="718"/>
      <c r="Q31" s="718" t="s">
        <v>864</v>
      </c>
      <c r="R31" s="232"/>
      <c r="S31" s="719"/>
      <c r="T31" s="714"/>
      <c r="U31" s="720"/>
      <c r="V31" s="714"/>
      <c r="W31" s="717"/>
    </row>
    <row r="32" spans="1:23" s="224" customFormat="1" ht="13.5" customHeight="1">
      <c r="A32" s="225">
        <v>24</v>
      </c>
      <c r="B32" s="217"/>
      <c r="D32" s="224" t="s">
        <v>1271</v>
      </c>
      <c r="F32" s="225"/>
      <c r="G32" s="241"/>
      <c r="H32" s="714" t="s">
        <v>2199</v>
      </c>
      <c r="I32" s="273" t="s">
        <v>1273</v>
      </c>
      <c r="J32" s="715" t="s">
        <v>1013</v>
      </c>
      <c r="K32" s="714" t="s">
        <v>817</v>
      </c>
      <c r="L32" s="716"/>
      <c r="M32" s="714" t="s">
        <v>863</v>
      </c>
      <c r="N32" s="278"/>
      <c r="O32" s="714"/>
      <c r="P32" s="718"/>
      <c r="Q32" s="718" t="s">
        <v>864</v>
      </c>
      <c r="R32" s="232"/>
      <c r="S32" s="719"/>
      <c r="T32" s="714"/>
      <c r="U32" s="720"/>
      <c r="V32" s="714"/>
      <c r="W32" s="717"/>
    </row>
    <row r="33" spans="1:1009" s="224" customFormat="1" ht="13.5" customHeight="1">
      <c r="A33" s="225">
        <v>25</v>
      </c>
      <c r="B33" s="217"/>
      <c r="C33" s="678" t="s">
        <v>12</v>
      </c>
      <c r="D33" s="241"/>
      <c r="E33" s="241"/>
      <c r="F33" s="241"/>
      <c r="G33" s="241"/>
      <c r="H33" s="714" t="s">
        <v>2200</v>
      </c>
      <c r="I33" s="715"/>
      <c r="J33" s="715" t="s">
        <v>939</v>
      </c>
      <c r="K33" s="714" t="s">
        <v>823</v>
      </c>
      <c r="L33" s="716"/>
      <c r="M33" s="714" t="s">
        <v>863</v>
      </c>
      <c r="N33" s="717"/>
      <c r="O33" s="714"/>
      <c r="P33" s="714"/>
      <c r="Q33" s="717" t="s">
        <v>864</v>
      </c>
      <c r="R33" s="232"/>
      <c r="S33" s="719"/>
      <c r="T33" s="714"/>
      <c r="U33" s="720"/>
      <c r="V33" s="714"/>
      <c r="W33" s="717"/>
    </row>
    <row r="34" spans="1:1009" s="224" customFormat="1" ht="12" customHeight="1">
      <c r="A34" s="225">
        <f>SUBTOTAL(103,createCase1418[ID])</f>
        <v>25</v>
      </c>
      <c r="C34" s="225">
        <f>SUBTOTAL(103,createCase1418[Donnée (Niveau 2)])</f>
        <v>15</v>
      </c>
      <c r="D34" s="225">
        <f>SUBTOTAL(103,createCase1418[Donnée (Niveau 3)])</f>
        <v>7</v>
      </c>
      <c r="E34" s="225">
        <f>SUBTOTAL(103,createCase1418[Donnée (Niveau 4)])</f>
        <v>0</v>
      </c>
      <c r="F34" s="225">
        <f>SUBTOTAL(103,createCase1418[Donnée (Niveau 5)])</f>
        <v>0</v>
      </c>
      <c r="G34" s="225">
        <f>SUBTOTAL(103,createCase1418[Donnée (Niveau 6)])</f>
        <v>0</v>
      </c>
      <c r="H34" s="225">
        <f>SUBTOTAL(103,createCase1418[Description])</f>
        <v>21</v>
      </c>
      <c r="I34" s="225">
        <f>SUBTOTAL(103,createCase1418[Exemples])</f>
        <v>3</v>
      </c>
      <c r="J34" s="239">
        <f>SUBTOTAL(103,createCase1418[Balise])</f>
        <v>25</v>
      </c>
      <c r="K34" s="225"/>
      <c r="L34" s="234">
        <f>SUBTOTAL(103,createCase1418[Objet])</f>
        <v>4</v>
      </c>
      <c r="M34" s="225">
        <f>SUBTOTAL(103,createCase1418[Format (ou type)])</f>
        <v>25</v>
      </c>
      <c r="N34" s="274"/>
      <c r="O34" s="225"/>
      <c r="P34" s="225"/>
      <c r="Q34" s="225"/>
      <c r="S34" s="271">
        <f>SUBTOTAL(103,createCase1418[Commentaire Hub Santé])</f>
        <v>3</v>
      </c>
      <c r="T34" s="225">
        <f>SUBTOTAL(103,createCase1418[Commentaire Philippe Dreyfus])</f>
        <v>0</v>
      </c>
      <c r="U34" s="239"/>
      <c r="V34" s="225">
        <f>SUBTOTAL(103,createCase1418[Commentaire Yann Penverne])</f>
        <v>0</v>
      </c>
      <c r="W34" s="225">
        <f>SUBTOTAL(103,createCase1418[Métier])-COUNTIFS(createCase1418[Métier],"=X")</f>
        <v>1</v>
      </c>
    </row>
    <row r="35" spans="1:1009" s="128" customFormat="1" ht="12" customHeight="1">
      <c r="A35" s="3"/>
      <c r="B35" s="3"/>
      <c r="C35" s="131"/>
      <c r="D35" s="131"/>
      <c r="E35" s="131"/>
      <c r="F35" s="131"/>
      <c r="G35" s="5"/>
      <c r="H35" s="155"/>
      <c r="I35" s="225"/>
      <c r="J35" s="155"/>
      <c r="K35" s="5"/>
      <c r="L35" s="188"/>
      <c r="M35" s="5"/>
      <c r="N35" s="56"/>
      <c r="O35" s="56"/>
      <c r="P35" s="714"/>
      <c r="Q35" s="714"/>
      <c r="R35"/>
      <c r="S35" s="178"/>
      <c r="T35" s="5"/>
      <c r="U35" s="159"/>
      <c r="V35" s="56"/>
      <c r="W35" s="56"/>
      <c r="ALS35"/>
      <c r="ALT35"/>
      <c r="ALU35"/>
    </row>
    <row r="36" spans="1:1009" s="128" customFormat="1" ht="12" customHeight="1">
      <c r="A36" s="129"/>
      <c r="B36" s="129"/>
      <c r="C36" s="129"/>
      <c r="D36" s="129"/>
      <c r="E36" s="129"/>
      <c r="F36" s="129"/>
      <c r="G36" s="96"/>
      <c r="H36" s="96"/>
      <c r="I36" s="225"/>
      <c r="J36" s="159"/>
      <c r="K36" s="96"/>
      <c r="L36" s="173"/>
      <c r="M36" s="96"/>
      <c r="N36" s="278"/>
      <c r="O36" s="96"/>
      <c r="P36" s="96"/>
      <c r="Q36" s="96"/>
      <c r="R36"/>
      <c r="S36" s="179"/>
      <c r="T36" s="96"/>
      <c r="U36" s="159"/>
      <c r="V36" s="96"/>
      <c r="W36" s="96"/>
      <c r="ALS36"/>
      <c r="ALT36"/>
      <c r="ALU36"/>
    </row>
    <row r="37" spans="1:1009" s="128" customFormat="1" ht="12" customHeight="1">
      <c r="I37" s="224"/>
      <c r="L37" s="173"/>
      <c r="M37" s="96"/>
      <c r="N37" s="278"/>
      <c r="O37" s="96"/>
      <c r="P37" s="96"/>
      <c r="Q37" s="96"/>
      <c r="R37"/>
      <c r="S37" s="179"/>
      <c r="T37" s="96"/>
      <c r="U37" s="159"/>
      <c r="V37" s="96"/>
      <c r="W37" s="96"/>
      <c r="ALS37"/>
      <c r="ALT37"/>
      <c r="ALU37"/>
    </row>
    <row r="38" spans="1:1009" s="128" customFormat="1" ht="12" customHeight="1">
      <c r="I38" s="224"/>
      <c r="L38" s="173"/>
      <c r="M38" s="96"/>
      <c r="N38" s="278"/>
      <c r="O38" s="96"/>
      <c r="P38" s="96"/>
      <c r="Q38" s="96"/>
      <c r="R38"/>
      <c r="S38" s="179"/>
      <c r="T38" s="96"/>
      <c r="U38" s="159"/>
      <c r="V38" s="96"/>
      <c r="W38" s="96"/>
      <c r="ALS38"/>
      <c r="ALT38"/>
      <c r="ALU38"/>
    </row>
    <row r="39" spans="1:1009" ht="12" customHeight="1">
      <c r="A39" s="123"/>
      <c r="B39" s="123"/>
      <c r="C39" s="123"/>
      <c r="D39" s="123"/>
      <c r="E39" s="123"/>
      <c r="F39" s="123"/>
      <c r="G39" s="112"/>
      <c r="H39" s="112"/>
      <c r="I39" s="277"/>
      <c r="J39" s="161"/>
      <c r="K39" s="112"/>
      <c r="L39" s="190"/>
      <c r="M39" s="112"/>
      <c r="N39" s="125"/>
      <c r="O39" s="112"/>
      <c r="P39" s="112"/>
      <c r="Q39" s="112"/>
      <c r="S39" s="180"/>
      <c r="T39" s="112"/>
      <c r="V39" s="112"/>
      <c r="W39" s="112"/>
    </row>
    <row r="40" spans="1:1009" ht="12" customHeight="1">
      <c r="A40" s="123"/>
      <c r="B40" s="123"/>
      <c r="C40" s="123"/>
      <c r="D40" s="123"/>
      <c r="E40" s="123"/>
      <c r="F40" s="123"/>
      <c r="G40" s="112"/>
      <c r="H40" s="112"/>
      <c r="I40" s="277"/>
      <c r="J40" s="161"/>
      <c r="K40" s="112"/>
      <c r="L40" s="190"/>
      <c r="M40" s="112"/>
      <c r="N40" s="125"/>
      <c r="O40" s="112"/>
      <c r="P40" s="112"/>
      <c r="Q40" s="112"/>
      <c r="S40" s="180"/>
      <c r="T40" s="112"/>
      <c r="V40" s="112"/>
      <c r="W40" s="112"/>
    </row>
    <row r="41" spans="1:1009" ht="12" customHeight="1">
      <c r="A41" s="130"/>
      <c r="B41" s="130"/>
      <c r="C41" s="130"/>
      <c r="D41" s="130"/>
      <c r="E41" s="130"/>
      <c r="F41" s="130"/>
    </row>
    <row r="42" spans="1:1009" ht="12" customHeight="1">
      <c r="A42" s="130"/>
      <c r="B42" s="130"/>
      <c r="C42" s="130"/>
      <c r="D42" s="130"/>
      <c r="E42" s="130"/>
      <c r="F42" s="130"/>
    </row>
    <row r="43" spans="1:1009" s="96" customFormat="1" ht="12" customHeight="1">
      <c r="A43" s="130"/>
      <c r="B43" s="130"/>
      <c r="C43" s="130"/>
      <c r="D43" s="130"/>
      <c r="E43" s="130"/>
      <c r="F43" s="130"/>
      <c r="I43" s="225"/>
      <c r="J43" s="159"/>
      <c r="L43" s="173"/>
      <c r="N43" s="278"/>
      <c r="R43"/>
      <c r="S43" s="179"/>
      <c r="U43" s="159"/>
      <c r="X43"/>
      <c r="Y43" s="128"/>
      <c r="Z43" s="128"/>
      <c r="AA43" s="128"/>
      <c r="AB43" s="128"/>
      <c r="AC43" s="128"/>
      <c r="AD43" s="128"/>
      <c r="AE43" s="128"/>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c r="ALT43"/>
      <c r="ALU43"/>
    </row>
    <row r="44" spans="1:1009" s="96" customFormat="1" ht="12" customHeight="1">
      <c r="A44" s="136"/>
      <c r="B44" s="136"/>
      <c r="C44" s="136"/>
      <c r="D44" s="136"/>
      <c r="E44" s="136"/>
      <c r="F44" s="136"/>
      <c r="I44" s="225"/>
      <c r="J44" s="159"/>
      <c r="L44" s="173"/>
      <c r="N44" s="278"/>
      <c r="R44"/>
      <c r="S44" s="179"/>
      <c r="U44" s="159"/>
      <c r="X44"/>
      <c r="Y44" s="128"/>
      <c r="Z44" s="128"/>
      <c r="AA44" s="128"/>
      <c r="AB44" s="128"/>
      <c r="AC44" s="128"/>
      <c r="AD44" s="128"/>
      <c r="AE44" s="128"/>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c r="ALT44"/>
      <c r="ALU44"/>
    </row>
    <row r="45" spans="1:1009" s="96" customFormat="1" ht="12" customHeight="1">
      <c r="A45" s="136"/>
      <c r="B45" s="136"/>
      <c r="C45" s="136"/>
      <c r="D45" s="136"/>
      <c r="E45" s="136"/>
      <c r="F45" s="136"/>
      <c r="I45" s="225"/>
      <c r="J45" s="159"/>
      <c r="L45" s="173"/>
      <c r="N45" s="278"/>
      <c r="R45"/>
      <c r="S45" s="179"/>
      <c r="U45" s="159"/>
      <c r="X45"/>
      <c r="Y45" s="128"/>
      <c r="Z45" s="128"/>
      <c r="AA45" s="128"/>
      <c r="AB45" s="128"/>
      <c r="AC45" s="128"/>
      <c r="AD45" s="128"/>
      <c r="AE45" s="128"/>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c r="ALT45"/>
      <c r="ALU45"/>
    </row>
  </sheetData>
  <mergeCells count="2">
    <mergeCell ref="H1:I2"/>
    <mergeCell ref="P7:Q7"/>
  </mergeCells>
  <phoneticPr fontId="78" type="noConversion"/>
  <conditionalFormatting sqref="A35:F36 A39:F857">
    <cfRule type="expression" dxfId="927" priority="56">
      <formula>AND($W35=1,$V35=1)</formula>
    </cfRule>
    <cfRule type="expression" dxfId="926" priority="58">
      <formula>$V35=1</formula>
    </cfRule>
    <cfRule type="expression" dxfId="925" priority="57">
      <formula>$W35=1</formula>
    </cfRule>
    <cfRule type="expression" dxfId="924" priority="55">
      <formula>OR($W35="X",$V35="X")</formula>
    </cfRule>
  </conditionalFormatting>
  <conditionalFormatting sqref="A9:G9 B10:G10 A10:A33">
    <cfRule type="expression" dxfId="923" priority="59">
      <formula>#REF!=1</formula>
    </cfRule>
    <cfRule type="expression" dxfId="922" priority="62">
      <formula>OR($W9="X",#REF!="X")</formula>
    </cfRule>
  </conditionalFormatting>
  <conditionalFormatting sqref="A9:G15 A10:A33 A16:B16 B23:G25 D26:G29 B33:G33 D16:G16 B17:C22 E17:G22 B26:B32">
    <cfRule type="expression" dxfId="921" priority="60">
      <formula>AND($W9=1,#REF!=1)</formula>
    </cfRule>
  </conditionalFormatting>
  <conditionalFormatting sqref="A9:G15 A10:A33 A16:B16 D16:G16 B17:C22 E17:G22 B23:G25 B26:B32 B33:G33">
    <cfRule type="expression" dxfId="920" priority="49">
      <formula>$W9=1</formula>
    </cfRule>
  </conditionalFormatting>
  <conditionalFormatting sqref="A9:G15 A10:A33 A16:B16 D16:G16 B17:C22 E17:G22 B23:G25 D26:G29 B26:B32 B33:G33">
    <cfRule type="expression" dxfId="919" priority="61">
      <formula>AND(NOT(ISBLANK($Q9)),ISBLANK(#REF!),ISBLANK($W9))</formula>
    </cfRule>
  </conditionalFormatting>
  <conditionalFormatting sqref="B11:G15 D16:G16 B16:B22 C17:C22 E17:G22 B23:G25 D26:G29 B26:B32 B33:G33">
    <cfRule type="expression" dxfId="918" priority="64">
      <formula>#REF!=1</formula>
    </cfRule>
    <cfRule type="expression" dxfId="917" priority="63">
      <formula>OR($W11="X",#REF!="X")</formula>
    </cfRule>
  </conditionalFormatting>
  <conditionalFormatting sqref="C9:C25 D16 C33">
    <cfRule type="expression" dxfId="916" priority="50">
      <formula>AND($L9="X",$B9&lt;&gt;"")</formula>
    </cfRule>
  </conditionalFormatting>
  <conditionalFormatting sqref="C16">
    <cfRule type="expression" dxfId="915" priority="22">
      <formula>AND(NOT(ISBLANK($Q16)),ISBLANK(#REF!),ISBLANK($W16))</formula>
    </cfRule>
    <cfRule type="expression" dxfId="914" priority="23">
      <formula>OR($W16="X",#REF!="X")</formula>
    </cfRule>
    <cfRule type="expression" dxfId="913" priority="24">
      <formula>#REF!=1</formula>
    </cfRule>
    <cfRule type="expression" dxfId="912" priority="20">
      <formula>$W16=1</formula>
    </cfRule>
    <cfRule type="expression" dxfId="911" priority="21">
      <formula>AND($W16=1,#REF!=1)</formula>
    </cfRule>
  </conditionalFormatting>
  <conditionalFormatting sqref="C26:C29">
    <cfRule type="expression" dxfId="910" priority="1363">
      <formula>$W26=1</formula>
    </cfRule>
    <cfRule type="expression" dxfId="909" priority="1364">
      <formula>AND(NOT(ISBLANK($Q26)),ISBLANK(#REF!),ISBLANK($W26))</formula>
    </cfRule>
    <cfRule type="expression" dxfId="908" priority="1371">
      <formula>OR($W26="X",#REF!="X")</formula>
    </cfRule>
    <cfRule type="expression" dxfId="907" priority="1372">
      <formula>#REF!=1</formula>
    </cfRule>
    <cfRule type="expression" dxfId="906" priority="1378">
      <formula>AND($L26="X",$B26&lt;&gt;"")</formula>
    </cfRule>
    <cfRule type="expression" dxfId="905" priority="1358">
      <formula>AND($W26=1,#REF!=1)</formula>
    </cfRule>
  </conditionalFormatting>
  <conditionalFormatting sqref="C30 C31:F31">
    <cfRule type="expression" dxfId="904" priority="18">
      <formula>$AC30=1</formula>
    </cfRule>
  </conditionalFormatting>
  <conditionalFormatting sqref="C30 C31:F32">
    <cfRule type="expression" dxfId="903" priority="17">
      <formula>OR($AD30="X",$AC30="X")</formula>
    </cfRule>
    <cfRule type="expression" dxfId="902" priority="19">
      <formula>AND(NOT(ISBLANK($W30)),ISBLANK($AC30),ISBLANK($AD30))</formula>
    </cfRule>
    <cfRule type="expression" dxfId="901" priority="16">
      <formula>$AD30=1</formula>
    </cfRule>
  </conditionalFormatting>
  <conditionalFormatting sqref="C30:C32">
    <cfRule type="expression" dxfId="900" priority="10">
      <formula>AND($R30="X",OR($B30&lt;&gt;"",$C30&lt;&gt;""))</formula>
    </cfRule>
  </conditionalFormatting>
  <conditionalFormatting sqref="C31:F32 C30">
    <cfRule type="expression" dxfId="899" priority="15">
      <formula>AND($AD30=1,$AC30=1)</formula>
    </cfRule>
  </conditionalFormatting>
  <conditionalFormatting sqref="D9:D15 D23:D30 D33">
    <cfRule type="expression" dxfId="898" priority="51">
      <formula>AND($L9="X",OR($B9&lt;&gt;"",$C9&lt;&gt;""))</formula>
    </cfRule>
  </conditionalFormatting>
  <conditionalFormatting sqref="D31:D32">
    <cfRule type="expression" dxfId="897" priority="12">
      <formula>AND($R31="X",OR($B31&lt;&gt;"",$C31&lt;&gt;"",$D31&lt;&gt;""))</formula>
    </cfRule>
  </conditionalFormatting>
  <conditionalFormatting sqref="D26:G30">
    <cfRule type="expression" dxfId="896" priority="1">
      <formula>$W26=1</formula>
    </cfRule>
  </conditionalFormatting>
  <conditionalFormatting sqref="D30:G30">
    <cfRule type="expression" dxfId="895" priority="2">
      <formula>AND($W30=1,#REF!=1)</formula>
    </cfRule>
    <cfRule type="expression" dxfId="894" priority="3">
      <formula>AND(NOT(ISBLANK($Q30)),ISBLANK(#REF!),ISBLANK($W30))</formula>
    </cfRule>
    <cfRule type="expression" dxfId="893" priority="4">
      <formula>OR($W30="X",#REF!="X")</formula>
    </cfRule>
    <cfRule type="expression" dxfId="892" priority="5">
      <formula>#REF!=1</formula>
    </cfRule>
  </conditionalFormatting>
  <conditionalFormatting sqref="E9:E15 E23:E30 E33">
    <cfRule type="expression" dxfId="891" priority="52">
      <formula>AND($L9="X",OR($B9&lt;&gt;"",$C9&lt;&gt;"",$D9&lt;&gt;""))</formula>
    </cfRule>
  </conditionalFormatting>
  <conditionalFormatting sqref="E16">
    <cfRule type="expression" dxfId="890" priority="1557">
      <formula>AND($L16="X",OR($B16&lt;&gt;"",$D16&lt;&gt;"",#REF!&lt;&gt;""))</formula>
    </cfRule>
  </conditionalFormatting>
  <conditionalFormatting sqref="E17:E22">
    <cfRule type="expression" dxfId="889" priority="1575">
      <formula>AND($L17="X",OR($B17&lt;&gt;"",$C17&lt;&gt;"",#REF!&lt;&gt;""))</formula>
    </cfRule>
  </conditionalFormatting>
  <conditionalFormatting sqref="E31:E32">
    <cfRule type="expression" dxfId="888" priority="13">
      <formula>AND($R31="X",OR($B31&lt;&gt;"",$C31&lt;&gt;"",$D31&lt;&gt;"",$E31&lt;&gt;""))</formula>
    </cfRule>
  </conditionalFormatting>
  <conditionalFormatting sqref="F1:F2">
    <cfRule type="dataBar" priority="47">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5 F23:F30 F33">
    <cfRule type="expression" dxfId="887" priority="53">
      <formula>AND($L9="X",OR($B9&lt;&gt;"",$C9&lt;&gt;"",$D9&lt;&gt;"",$E9&lt;&gt;""))</formula>
    </cfRule>
  </conditionalFormatting>
  <conditionalFormatting sqref="F16">
    <cfRule type="expression" dxfId="886" priority="1559">
      <formula>AND($L16="X",OR($B16&lt;&gt;"",$D16&lt;&gt;"",#REF!&lt;&gt;"",$E16&lt;&gt;""))</formula>
    </cfRule>
  </conditionalFormatting>
  <conditionalFormatting sqref="F17:F22">
    <cfRule type="expression" dxfId="885" priority="1577">
      <formula>AND($L17="X",OR($B17&lt;&gt;"",$C17&lt;&gt;"",#REF!&lt;&gt;"",$E17&lt;&gt;""))</formula>
    </cfRule>
  </conditionalFormatting>
  <conditionalFormatting sqref="F31:F32">
    <cfRule type="expression" dxfId="884" priority="14">
      <formula>AND($R31="X",OR($B31&lt;&gt;"",$C31&lt;&gt;"",$D31&lt;&gt;"",$E31&lt;&gt;"",$F31&lt;&gt;""))</formula>
    </cfRule>
  </conditionalFormatting>
  <conditionalFormatting sqref="G9:G15 G23:G30 G33">
    <cfRule type="expression" dxfId="883" priority="54">
      <formula>AND($L9="X",OR($B9&lt;&gt;"",$C9&lt;&gt;"",$D9&lt;&gt;"",$E9&lt;&gt;"",$F9&lt;&gt;""))</formula>
    </cfRule>
  </conditionalFormatting>
  <conditionalFormatting sqref="G16">
    <cfRule type="expression" dxfId="882" priority="1561">
      <formula>AND($L16="X",OR($B16&lt;&gt;"",$D16&lt;&gt;"",#REF!&lt;&gt;"",$E16&lt;&gt;"",$F16&lt;&gt;""))</formula>
    </cfRule>
  </conditionalFormatting>
  <conditionalFormatting sqref="G17:G22">
    <cfRule type="expression" dxfId="881" priority="1579">
      <formula>AND($L17="X",OR($B17&lt;&gt;"",$C17&lt;&gt;"",#REF!&lt;&gt;"",$E17&lt;&gt;"",$F17&lt;&gt;""))</formula>
    </cfRule>
  </conditionalFormatting>
  <conditionalFormatting sqref="H35:H36 H39:H857">
    <cfRule type="expression" dxfId="880" priority="48">
      <formula>$K35="X"</formula>
    </cfRule>
  </conditionalFormatting>
  <conditionalFormatting sqref="I11:I33">
    <cfRule type="expression" dxfId="879" priority="46">
      <formula>$L11="X"</formula>
    </cfRule>
  </conditionalFormatting>
  <conditionalFormatting sqref="I30:I32">
    <cfRule type="expression" dxfId="878" priority="11">
      <formula>$R30="X"</formula>
    </cfRule>
  </conditionalFormatting>
  <conditionalFormatting sqref="K9:K14 K33">
    <cfRule type="cellIs" dxfId="877" priority="44" operator="equal">
      <formula>"0..n"</formula>
    </cfRule>
    <cfRule type="cellIs" dxfId="876" priority="45" operator="equal">
      <formula>"0..1"</formula>
    </cfRule>
    <cfRule type="cellIs" dxfId="875" priority="43"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28"/>
  <sheetViews>
    <sheetView zoomScale="85" zoomScaleNormal="85" workbookViewId="0">
      <pane xSplit="7" ySplit="8" topLeftCell="I9" activePane="bottomRight" state="frozen"/>
      <selection pane="bottomRight" activeCell="F22" sqref="F22"/>
      <selection pane="bottomLeft" activeCell="A9" sqref="A9"/>
      <selection pane="topRight" activeCell="H1" sqref="H1"/>
    </sheetView>
  </sheetViews>
  <sheetFormatPr defaultColWidth="9.5" defaultRowHeight="12" customHeight="1"/>
  <cols>
    <col min="1" max="1" width="4.625" style="128" customWidth="1"/>
    <col min="2" max="2" width="27.1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17.875" style="159" customWidth="1"/>
    <col min="11" max="11" width="10.5" style="96" customWidth="1"/>
    <col min="12" max="12" width="6" style="173" customWidth="1"/>
    <col min="13" max="13" width="18.5" style="96" customWidth="1"/>
    <col min="14" max="14" width="12.625" style="278" customWidth="1"/>
    <col min="15" max="15" width="28.125" style="96" customWidth="1"/>
    <col min="16" max="16" width="8.875" style="96" customWidth="1"/>
    <col min="17" max="17" width="8.125" style="96" customWidth="1"/>
    <col min="18" max="18" width="2.37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c r="C1" s="129"/>
      <c r="E1" s="150"/>
      <c r="F1" s="157"/>
      <c r="G1" s="128"/>
      <c r="H1" s="692"/>
      <c r="I1" s="692"/>
      <c r="X1" s="128"/>
      <c r="ALR1"/>
    </row>
    <row r="2" spans="1:1006" ht="13.5" customHeight="1">
      <c r="C2" s="141"/>
      <c r="D2" s="285"/>
      <c r="E2" s="152"/>
      <c r="F2" s="157"/>
      <c r="G2" s="128"/>
      <c r="H2" s="692"/>
      <c r="I2" s="692"/>
      <c r="X2" s="128"/>
      <c r="ALR2"/>
    </row>
    <row r="3" spans="1:1006" ht="13.5" customHeight="1">
      <c r="C3" s="142"/>
      <c r="E3" s="151"/>
      <c r="G3" s="128"/>
      <c r="X3" s="128"/>
      <c r="ALR3"/>
    </row>
    <row r="4" spans="1:1006" ht="13.5" customHeight="1">
      <c r="C4" s="143"/>
      <c r="E4" s="153"/>
      <c r="G4" s="137"/>
      <c r="X4" s="128"/>
      <c r="ALR4"/>
    </row>
    <row r="5" spans="1:1006" s="149" customFormat="1" ht="13.5" customHeight="1">
      <c r="A5" s="128"/>
      <c r="B5" s="128"/>
      <c r="C5" s="145"/>
      <c r="D5" s="146"/>
      <c r="E5" s="291"/>
      <c r="F5" s="146"/>
      <c r="G5" s="148"/>
      <c r="H5" s="148"/>
      <c r="I5" s="275"/>
      <c r="J5" s="160"/>
      <c r="K5" s="148"/>
      <c r="L5" s="186"/>
      <c r="M5" s="148"/>
      <c r="N5" s="280"/>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8"/>
      <c r="E7" s="138"/>
      <c r="F7" s="138"/>
      <c r="P7" s="695" t="s">
        <v>829</v>
      </c>
      <c r="Q7" s="695"/>
      <c r="W7" s="668" t="s">
        <v>685</v>
      </c>
      <c r="X7" s="128"/>
      <c r="ALR7"/>
    </row>
    <row r="8" spans="1:1006" s="238" customFormat="1" ht="55.5" customHeight="1">
      <c r="A8" s="233" t="s">
        <v>831</v>
      </c>
      <c r="B8" s="382" t="s">
        <v>832</v>
      </c>
      <c r="C8" s="279" t="s">
        <v>833</v>
      </c>
      <c r="D8" s="279" t="s">
        <v>834</v>
      </c>
      <c r="E8" s="279" t="s">
        <v>835</v>
      </c>
      <c r="F8" s="279" t="s">
        <v>836</v>
      </c>
      <c r="G8" s="279" t="s">
        <v>837</v>
      </c>
      <c r="H8" s="234" t="s">
        <v>9</v>
      </c>
      <c r="I8" s="234" t="s">
        <v>838</v>
      </c>
      <c r="J8" s="234" t="s">
        <v>2147</v>
      </c>
      <c r="K8" s="234" t="s">
        <v>677</v>
      </c>
      <c r="L8" s="234" t="s">
        <v>3</v>
      </c>
      <c r="M8" s="234" t="s">
        <v>913</v>
      </c>
      <c r="N8" s="284" t="s">
        <v>914</v>
      </c>
      <c r="O8" s="234" t="s">
        <v>849</v>
      </c>
      <c r="P8" s="229" t="s">
        <v>850</v>
      </c>
      <c r="Q8" s="229" t="s">
        <v>851</v>
      </c>
      <c r="R8" s="230" t="s">
        <v>852</v>
      </c>
      <c r="S8" s="235" t="s">
        <v>853</v>
      </c>
      <c r="T8" s="235" t="s">
        <v>854</v>
      </c>
      <c r="U8" s="236" t="s">
        <v>855</v>
      </c>
      <c r="V8" s="235" t="s">
        <v>856</v>
      </c>
      <c r="W8" s="237" t="s">
        <v>915</v>
      </c>
    </row>
    <row r="9" spans="1:1006" s="224" customFormat="1" ht="13.5" customHeight="1">
      <c r="A9" s="225">
        <v>1</v>
      </c>
      <c r="B9" s="217" t="s">
        <v>916</v>
      </c>
      <c r="C9" s="240"/>
      <c r="D9" s="678"/>
      <c r="E9" s="678"/>
      <c r="F9" s="678"/>
      <c r="G9" s="678"/>
      <c r="H9" s="714" t="s">
        <v>950</v>
      </c>
      <c r="I9" s="317" t="s">
        <v>951</v>
      </c>
      <c r="J9" s="715" t="s">
        <v>919</v>
      </c>
      <c r="K9" s="714" t="s">
        <v>820</v>
      </c>
      <c r="L9" s="716"/>
      <c r="M9" s="714" t="s">
        <v>863</v>
      </c>
      <c r="N9" s="717"/>
      <c r="O9" s="714"/>
      <c r="P9" s="718"/>
      <c r="Q9" s="718" t="s">
        <v>864</v>
      </c>
      <c r="R9" s="232"/>
      <c r="S9" s="719"/>
      <c r="T9" s="714"/>
      <c r="U9" s="720"/>
      <c r="V9" s="714"/>
      <c r="W9" s="717">
        <v>1</v>
      </c>
    </row>
    <row r="10" spans="1:1006" s="224" customFormat="1" ht="13.5" customHeight="1">
      <c r="A10" s="225">
        <v>2</v>
      </c>
      <c r="B10" s="217" t="s">
        <v>2201</v>
      </c>
      <c r="C10" s="240"/>
      <c r="D10" s="241"/>
      <c r="E10" s="241"/>
      <c r="F10" s="241"/>
      <c r="G10" s="241"/>
      <c r="H10" s="714" t="s">
        <v>2202</v>
      </c>
      <c r="I10" s="730"/>
      <c r="J10" s="715" t="s">
        <v>2203</v>
      </c>
      <c r="K10" s="714" t="s">
        <v>820</v>
      </c>
      <c r="L10" s="716"/>
      <c r="M10" s="714" t="s">
        <v>863</v>
      </c>
      <c r="N10" s="717"/>
      <c r="O10" s="714"/>
      <c r="P10" s="718"/>
      <c r="Q10" s="718" t="s">
        <v>864</v>
      </c>
      <c r="R10" s="232"/>
      <c r="S10" s="719"/>
      <c r="T10" s="714"/>
      <c r="U10" s="720"/>
      <c r="V10" s="714"/>
      <c r="W10" s="717"/>
    </row>
    <row r="11" spans="1:1006" s="224" customFormat="1" ht="13.5" customHeight="1">
      <c r="A11" s="225">
        <v>3</v>
      </c>
      <c r="B11" s="217" t="s">
        <v>2204</v>
      </c>
      <c r="C11" s="240"/>
      <c r="D11" s="241"/>
      <c r="E11" s="241"/>
      <c r="F11" s="241"/>
      <c r="G11" s="241"/>
      <c r="H11" s="714" t="s">
        <v>2205</v>
      </c>
      <c r="I11" s="715" t="s">
        <v>930</v>
      </c>
      <c r="J11" s="714" t="s">
        <v>2206</v>
      </c>
      <c r="K11" s="714" t="s">
        <v>817</v>
      </c>
      <c r="L11" s="716" t="s">
        <v>864</v>
      </c>
      <c r="M11" s="714" t="s">
        <v>2207</v>
      </c>
      <c r="N11" s="717"/>
      <c r="O11" s="714" t="s">
        <v>932</v>
      </c>
      <c r="P11" s="718"/>
      <c r="Q11" s="718" t="s">
        <v>864</v>
      </c>
      <c r="R11" s="232"/>
      <c r="S11" s="719"/>
      <c r="T11" s="714"/>
      <c r="U11" s="720"/>
      <c r="V11" s="714"/>
      <c r="W11" s="717"/>
    </row>
    <row r="12" spans="1:1006" s="224" customFormat="1" ht="13.5" customHeight="1">
      <c r="A12" s="225">
        <v>4</v>
      </c>
      <c r="B12" s="217"/>
      <c r="C12" s="217" t="s">
        <v>2208</v>
      </c>
      <c r="D12" s="241"/>
      <c r="E12" s="241"/>
      <c r="F12" s="241"/>
      <c r="G12" s="241"/>
      <c r="H12" s="714" t="s">
        <v>2209</v>
      </c>
      <c r="I12" s="730"/>
      <c r="J12" s="715" t="s">
        <v>2156</v>
      </c>
      <c r="K12" s="714" t="s">
        <v>820</v>
      </c>
      <c r="L12" s="716"/>
      <c r="M12" s="714" t="s">
        <v>879</v>
      </c>
      <c r="N12" s="717"/>
      <c r="O12" s="714" t="s">
        <v>932</v>
      </c>
      <c r="P12" s="718"/>
      <c r="Q12" s="718" t="s">
        <v>864</v>
      </c>
      <c r="R12" s="232"/>
      <c r="S12" s="719"/>
      <c r="T12" s="714"/>
      <c r="U12" s="720"/>
      <c r="V12" s="714"/>
      <c r="W12" s="717"/>
    </row>
    <row r="13" spans="1:1006" s="224" customFormat="1" ht="13.5" customHeight="1">
      <c r="A13" s="225">
        <v>5</v>
      </c>
      <c r="B13" s="217"/>
      <c r="C13" s="217" t="s">
        <v>2210</v>
      </c>
      <c r="D13" s="241"/>
      <c r="E13" s="241"/>
      <c r="F13" s="241"/>
      <c r="G13" s="241"/>
      <c r="H13" s="714"/>
      <c r="I13" s="730"/>
      <c r="J13" s="715" t="s">
        <v>2211</v>
      </c>
      <c r="K13" s="714" t="s">
        <v>817</v>
      </c>
      <c r="L13" s="716"/>
      <c r="M13" s="714" t="s">
        <v>863</v>
      </c>
      <c r="N13" s="717"/>
      <c r="O13" s="714"/>
      <c r="P13" s="718"/>
      <c r="Q13" s="718" t="s">
        <v>864</v>
      </c>
      <c r="R13" s="232"/>
      <c r="S13" s="719"/>
      <c r="T13" s="714"/>
      <c r="U13" s="720"/>
      <c r="V13" s="714"/>
      <c r="W13" s="717"/>
    </row>
    <row r="14" spans="1:1006" s="224" customFormat="1" ht="13.5" customHeight="1">
      <c r="A14" s="225">
        <v>6</v>
      </c>
      <c r="B14" s="217"/>
      <c r="C14" s="217" t="s">
        <v>2212</v>
      </c>
      <c r="D14" s="241"/>
      <c r="E14" s="241"/>
      <c r="F14" s="241"/>
      <c r="G14" s="241"/>
      <c r="H14" s="714"/>
      <c r="I14" s="730"/>
      <c r="J14" s="715" t="s">
        <v>2213</v>
      </c>
      <c r="K14" s="714" t="s">
        <v>817</v>
      </c>
      <c r="L14" s="716"/>
      <c r="M14" s="714" t="s">
        <v>863</v>
      </c>
      <c r="N14" s="717"/>
      <c r="O14" s="714"/>
      <c r="P14" s="718"/>
      <c r="Q14" s="718" t="s">
        <v>864</v>
      </c>
      <c r="R14" s="232"/>
      <c r="S14" s="719"/>
      <c r="T14" s="714"/>
      <c r="U14" s="720"/>
      <c r="V14" s="714"/>
      <c r="W14" s="717"/>
    </row>
    <row r="15" spans="1:1006" s="224" customFormat="1" ht="13.5" customHeight="1">
      <c r="A15" s="225">
        <v>7</v>
      </c>
      <c r="B15" s="217"/>
      <c r="C15" s="253" t="s">
        <v>2214</v>
      </c>
      <c r="D15" s="221"/>
      <c r="E15" s="221"/>
      <c r="F15" s="221"/>
      <c r="G15" s="221"/>
      <c r="H15" s="714"/>
      <c r="I15" s="131"/>
      <c r="J15" s="715" t="s">
        <v>2215</v>
      </c>
      <c r="K15" s="714" t="s">
        <v>820</v>
      </c>
      <c r="L15" s="716"/>
      <c r="M15" s="714" t="s">
        <v>863</v>
      </c>
      <c r="N15" s="717" t="s">
        <v>864</v>
      </c>
      <c r="O15" s="714" t="s">
        <v>2216</v>
      </c>
      <c r="P15" s="718"/>
      <c r="Q15" s="718" t="s">
        <v>864</v>
      </c>
      <c r="R15" s="232"/>
      <c r="S15" s="719" t="s">
        <v>2217</v>
      </c>
      <c r="T15" s="714"/>
      <c r="U15" s="720"/>
      <c r="V15" s="714"/>
      <c r="W15" s="717"/>
    </row>
    <row r="16" spans="1:1006" s="224" customFormat="1" ht="13.5" customHeight="1">
      <c r="A16" s="225">
        <v>8</v>
      </c>
      <c r="B16" s="217"/>
      <c r="C16" s="217" t="s">
        <v>2218</v>
      </c>
      <c r="D16" s="241"/>
      <c r="E16" s="241"/>
      <c r="F16" s="241"/>
      <c r="G16" s="241"/>
      <c r="H16" s="714"/>
      <c r="I16" s="715"/>
      <c r="J16" s="715" t="s">
        <v>939</v>
      </c>
      <c r="K16" s="714" t="s">
        <v>817</v>
      </c>
      <c r="L16" s="716"/>
      <c r="M16" s="714" t="s">
        <v>863</v>
      </c>
      <c r="N16" s="714"/>
      <c r="O16" s="714"/>
      <c r="P16" s="714"/>
      <c r="Q16" s="717" t="s">
        <v>864</v>
      </c>
      <c r="R16" s="232"/>
      <c r="S16" s="714"/>
      <c r="T16" s="717"/>
      <c r="U16" s="717"/>
      <c r="V16" s="717"/>
      <c r="W16" s="717"/>
      <c r="X16" s="232"/>
      <c r="Y16" s="719"/>
      <c r="Z16" s="714"/>
      <c r="AA16" s="720"/>
      <c r="AB16" s="714"/>
      <c r="AC16" s="717"/>
      <c r="AD16" s="717"/>
      <c r="AE16" s="718"/>
    </row>
    <row r="17" spans="1:1009" s="224" customFormat="1" ht="12" customHeight="1">
      <c r="A17" s="225">
        <f>SUBTOTAL(103,createCase141814[ID])</f>
        <v>8</v>
      </c>
      <c r="C17" s="225">
        <f>SUBTOTAL(103,createCase141814[Donnée (Niveau 2)])</f>
        <v>5</v>
      </c>
      <c r="D17" s="225">
        <f>SUBTOTAL(103,createCase141814[Donnée (Niveau 3)])</f>
        <v>0</v>
      </c>
      <c r="E17" s="225">
        <f>SUBTOTAL(103,createCase141814[Donnée (Niveau 4)])</f>
        <v>0</v>
      </c>
      <c r="F17" s="225">
        <f>SUBTOTAL(103,createCase141814[Donnée (Niveau 5)])</f>
        <v>0</v>
      </c>
      <c r="G17" s="225">
        <f>SUBTOTAL(103,createCase141814[Donnée (Niveau 6)])</f>
        <v>0</v>
      </c>
      <c r="H17" s="225">
        <f>SUBTOTAL(103,createCase141814[Description])</f>
        <v>4</v>
      </c>
      <c r="I17" s="225">
        <f>SUBTOTAL(103,createCase141814[Exemples])</f>
        <v>2</v>
      </c>
      <c r="J17" s="239">
        <f>SUBTOTAL(103,createCase141814[Balise])</f>
        <v>8</v>
      </c>
      <c r="K17" s="225"/>
      <c r="L17" s="234">
        <f>SUBTOTAL(103,createCase141814[Objet])</f>
        <v>1</v>
      </c>
      <c r="M17" s="225">
        <f>SUBTOTAL(103,createCase141814[Format (ou type)])</f>
        <v>8</v>
      </c>
      <c r="N17" s="274"/>
      <c r="O17" s="225"/>
      <c r="P17" s="225"/>
      <c r="Q17" s="225"/>
      <c r="S17" s="271">
        <f>SUBTOTAL(103,createCase141814[Commentaire Hub Santé])</f>
        <v>1</v>
      </c>
      <c r="T17" s="225">
        <f>SUBTOTAL(103,createCase141814[Commentaire Philippe Dreyfus])</f>
        <v>0</v>
      </c>
      <c r="U17" s="225"/>
      <c r="V17" s="225">
        <f>SUBTOTAL(103,createCase141814[Commentaire Yann Penverne])</f>
        <v>0</v>
      </c>
      <c r="W17" s="225">
        <f>SUBTOTAL(103,createCase141814[Métier])-COUNTIFS(createCase141814[Métier],"=X")</f>
        <v>1</v>
      </c>
    </row>
    <row r="18" spans="1:1009" s="128" customFormat="1" ht="12" customHeight="1">
      <c r="A18" s="3"/>
      <c r="B18" s="3"/>
      <c r="C18" s="131"/>
      <c r="D18" s="131"/>
      <c r="E18" s="131"/>
      <c r="F18" s="131"/>
      <c r="G18" s="5"/>
      <c r="H18" s="155"/>
      <c r="I18" s="225"/>
      <c r="J18" s="155"/>
      <c r="K18" s="5"/>
      <c r="L18" s="188"/>
      <c r="M18" s="5"/>
      <c r="N18" s="56"/>
      <c r="O18" s="56"/>
      <c r="P18" s="714"/>
      <c r="Q18" s="714"/>
      <c r="R18"/>
      <c r="S18" s="178"/>
      <c r="T18" s="5"/>
      <c r="U18" s="159"/>
      <c r="V18" s="56"/>
      <c r="W18" s="56"/>
      <c r="ALS18"/>
      <c r="ALT18"/>
      <c r="ALU18"/>
    </row>
    <row r="19" spans="1:1009" s="128" customFormat="1" ht="12" customHeight="1">
      <c r="A19" s="129"/>
      <c r="B19" s="129"/>
      <c r="C19" s="129"/>
      <c r="D19" s="129"/>
      <c r="E19" s="129"/>
      <c r="F19" s="129"/>
      <c r="G19" s="96"/>
      <c r="H19" s="96"/>
      <c r="I19" s="225"/>
      <c r="J19" s="159"/>
      <c r="K19" s="96"/>
      <c r="L19" s="173"/>
      <c r="M19" s="96"/>
      <c r="N19" s="278"/>
      <c r="O19" s="96"/>
      <c r="P19" s="96"/>
      <c r="Q19" s="96"/>
      <c r="R19"/>
      <c r="S19" s="179"/>
      <c r="T19" s="96"/>
      <c r="U19" s="159"/>
      <c r="V19" s="96"/>
      <c r="W19" s="96"/>
      <c r="ALS19"/>
      <c r="ALT19"/>
      <c r="ALU19"/>
    </row>
    <row r="20" spans="1:1009" s="128" customFormat="1" ht="12" customHeight="1">
      <c r="I20" s="224"/>
      <c r="L20" s="173"/>
      <c r="M20" s="96"/>
      <c r="N20" s="278"/>
      <c r="O20" s="96"/>
      <c r="P20" s="96"/>
      <c r="Q20" s="96"/>
      <c r="R20"/>
      <c r="S20" s="179"/>
      <c r="T20" s="96"/>
      <c r="U20" s="159"/>
      <c r="V20" s="96"/>
      <c r="W20" s="96"/>
      <c r="ALS20"/>
      <c r="ALT20"/>
      <c r="ALU20"/>
    </row>
    <row r="21" spans="1:1009" s="128" customFormat="1" ht="12" customHeight="1">
      <c r="I21" s="224"/>
      <c r="L21" s="173"/>
      <c r="M21" s="96"/>
      <c r="N21" s="278"/>
      <c r="O21" s="96"/>
      <c r="P21" s="96"/>
      <c r="Q21" s="96"/>
      <c r="R21"/>
      <c r="S21" s="179"/>
      <c r="T21" s="96"/>
      <c r="U21" s="159"/>
      <c r="V21" s="96"/>
      <c r="W21" s="96"/>
      <c r="ALS21"/>
      <c r="ALT21"/>
      <c r="ALU21"/>
    </row>
    <row r="22" spans="1:1009" ht="12" customHeight="1">
      <c r="A22" s="123"/>
      <c r="B22" s="123"/>
      <c r="C22" s="123"/>
      <c r="D22" s="123"/>
      <c r="E22" s="123"/>
      <c r="F22" s="123"/>
      <c r="G22" s="112"/>
      <c r="H22" s="112"/>
      <c r="I22" s="277"/>
      <c r="J22" s="161"/>
      <c r="K22" s="112"/>
      <c r="L22" s="190"/>
      <c r="M22" s="112"/>
      <c r="N22" s="125"/>
      <c r="O22" s="112"/>
      <c r="P22" s="112"/>
      <c r="Q22" s="112"/>
      <c r="S22" s="180"/>
      <c r="T22" s="112"/>
      <c r="V22" s="112"/>
      <c r="W22" s="112"/>
    </row>
    <row r="23" spans="1:1009" ht="12" customHeight="1">
      <c r="A23" s="123"/>
      <c r="B23" s="123"/>
      <c r="C23" s="123"/>
      <c r="D23" s="123"/>
      <c r="E23" s="123"/>
      <c r="F23" s="123"/>
      <c r="G23" s="112"/>
      <c r="H23" s="112"/>
      <c r="I23" s="277"/>
      <c r="J23" s="161"/>
      <c r="K23" s="112"/>
      <c r="L23" s="190"/>
      <c r="M23" s="112"/>
      <c r="N23" s="125"/>
      <c r="O23" s="112"/>
      <c r="P23" s="112"/>
      <c r="Q23" s="112"/>
      <c r="S23" s="180"/>
      <c r="T23" s="112"/>
      <c r="V23" s="112"/>
      <c r="W23" s="112"/>
    </row>
    <row r="24" spans="1:1009" ht="12" customHeight="1">
      <c r="A24" s="130"/>
      <c r="B24" s="130"/>
      <c r="C24" s="130"/>
      <c r="D24" s="130"/>
      <c r="E24" s="130"/>
      <c r="F24" s="130"/>
    </row>
    <row r="25" spans="1:1009" ht="12" customHeight="1">
      <c r="A25" s="130"/>
      <c r="B25" s="130"/>
      <c r="C25" s="130"/>
      <c r="D25" s="130"/>
      <c r="E25" s="130"/>
      <c r="F25" s="130"/>
    </row>
    <row r="26" spans="1:1009" s="96" customFormat="1" ht="12" customHeight="1">
      <c r="A26" s="130"/>
      <c r="B26" s="130"/>
      <c r="C26" s="130"/>
      <c r="D26" s="130"/>
      <c r="E26" s="130"/>
      <c r="F26" s="130"/>
      <c r="I26" s="225"/>
      <c r="J26" s="159"/>
      <c r="L26" s="173"/>
      <c r="N26" s="278"/>
      <c r="R26"/>
      <c r="S26" s="179"/>
      <c r="U26" s="159"/>
      <c r="X26"/>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c r="BL26" s="128"/>
      <c r="BM26" s="128"/>
      <c r="BN26" s="128"/>
      <c r="BO26" s="128"/>
      <c r="BP26" s="128"/>
      <c r="BQ26" s="128"/>
      <c r="BR26" s="128"/>
      <c r="BS26" s="128"/>
      <c r="BT26" s="128"/>
      <c r="BU26" s="128"/>
      <c r="BV26" s="128"/>
      <c r="BW26" s="128"/>
      <c r="BX26" s="128"/>
      <c r="BY26" s="128"/>
      <c r="BZ26" s="128"/>
      <c r="CA26" s="128"/>
      <c r="CB26" s="128"/>
      <c r="CC26" s="128"/>
      <c r="CD26" s="128"/>
      <c r="CE26" s="128"/>
      <c r="CF26" s="128"/>
      <c r="CG26" s="128"/>
      <c r="CH26" s="128"/>
      <c r="CI26" s="128"/>
      <c r="CJ26" s="128"/>
      <c r="CK26" s="128"/>
      <c r="CL26" s="128"/>
      <c r="CM26" s="128"/>
      <c r="CN26" s="128"/>
      <c r="CO26" s="128"/>
      <c r="CP26" s="128"/>
      <c r="CQ26" s="128"/>
      <c r="CR26" s="128"/>
      <c r="CS26" s="128"/>
      <c r="CT26" s="128"/>
      <c r="CU26" s="128"/>
      <c r="CV26" s="128"/>
      <c r="CW26" s="128"/>
      <c r="CX26" s="128"/>
      <c r="CY26" s="128"/>
      <c r="CZ26" s="128"/>
      <c r="DA26" s="128"/>
      <c r="DB26" s="128"/>
      <c r="DC26" s="128"/>
      <c r="DD26" s="128"/>
      <c r="DE26" s="128"/>
      <c r="DF26" s="128"/>
      <c r="DG26" s="128"/>
      <c r="DH26" s="128"/>
      <c r="DI26" s="128"/>
      <c r="DJ26" s="128"/>
      <c r="DK26" s="128"/>
      <c r="DL26" s="128"/>
      <c r="DM26" s="128"/>
      <c r="DN26" s="128"/>
      <c r="DO26" s="128"/>
      <c r="DP26" s="128"/>
      <c r="DQ26" s="128"/>
      <c r="DR26" s="128"/>
      <c r="DS26" s="128"/>
      <c r="DT26" s="128"/>
      <c r="DU26" s="128"/>
      <c r="DV26" s="128"/>
      <c r="DW26" s="128"/>
      <c r="DX26" s="128"/>
      <c r="DY26" s="128"/>
      <c r="DZ26" s="128"/>
      <c r="EA26" s="128"/>
      <c r="EB26" s="128"/>
      <c r="EC26" s="128"/>
      <c r="ED26" s="128"/>
      <c r="EE26" s="128"/>
      <c r="EF26" s="128"/>
      <c r="EG26" s="128"/>
      <c r="EH26" s="128"/>
      <c r="EI26" s="128"/>
      <c r="EJ26" s="128"/>
      <c r="EK26" s="128"/>
      <c r="EL26" s="128"/>
      <c r="EM26" s="128"/>
      <c r="EN26" s="128"/>
      <c r="EO26" s="128"/>
      <c r="EP26" s="128"/>
      <c r="EQ26" s="128"/>
      <c r="ER26" s="128"/>
      <c r="ES26" s="128"/>
      <c r="ET26" s="128"/>
      <c r="EU26" s="128"/>
      <c r="EV26" s="128"/>
      <c r="EW26" s="128"/>
      <c r="EX26" s="128"/>
      <c r="EY26" s="128"/>
      <c r="EZ26" s="128"/>
      <c r="FA26" s="128"/>
      <c r="FB26" s="128"/>
      <c r="FC26" s="128"/>
      <c r="FD26" s="128"/>
      <c r="FE26" s="128"/>
      <c r="FF26" s="128"/>
      <c r="FG26" s="128"/>
      <c r="FH26" s="128"/>
      <c r="FI26" s="128"/>
      <c r="FJ26" s="128"/>
      <c r="FK26" s="128"/>
      <c r="FL26" s="128"/>
      <c r="FM26" s="128"/>
      <c r="FN26" s="128"/>
      <c r="FO26" s="128"/>
      <c r="FP26" s="128"/>
      <c r="FQ26" s="128"/>
      <c r="FR26" s="128"/>
      <c r="FS26" s="128"/>
      <c r="FT26" s="128"/>
      <c r="FU26" s="128"/>
      <c r="FV26" s="128"/>
      <c r="FW26" s="128"/>
      <c r="FX26" s="128"/>
      <c r="FY26" s="128"/>
      <c r="FZ26" s="128"/>
      <c r="GA26" s="128"/>
      <c r="GB26" s="128"/>
      <c r="GC26" s="128"/>
      <c r="GD26" s="128"/>
      <c r="GE26" s="128"/>
      <c r="GF26" s="128"/>
      <c r="GG26" s="128"/>
      <c r="GH26" s="128"/>
      <c r="GI26" s="128"/>
      <c r="GJ26" s="128"/>
      <c r="GK26" s="128"/>
      <c r="GL26" s="128"/>
      <c r="GM26" s="128"/>
      <c r="GN26" s="128"/>
      <c r="GO26" s="128"/>
      <c r="GP26" s="128"/>
      <c r="GQ26" s="128"/>
      <c r="GR26" s="128"/>
      <c r="GS26" s="128"/>
      <c r="GT26" s="128"/>
      <c r="GU26" s="128"/>
      <c r="GV26" s="128"/>
      <c r="GW26" s="128"/>
      <c r="GX26" s="128"/>
      <c r="GY26" s="128"/>
      <c r="GZ26" s="128"/>
      <c r="HA26" s="128"/>
      <c r="HB26" s="128"/>
      <c r="HC26" s="128"/>
      <c r="HD26" s="128"/>
      <c r="HE26" s="128"/>
      <c r="HF26" s="128"/>
      <c r="HG26" s="128"/>
      <c r="HH26" s="128"/>
      <c r="HI26" s="128"/>
      <c r="HJ26" s="128"/>
      <c r="HK26" s="128"/>
      <c r="HL26" s="128"/>
      <c r="HM26" s="128"/>
      <c r="HN26" s="128"/>
      <c r="HO26" s="128"/>
      <c r="HP26" s="128"/>
      <c r="HQ26" s="128"/>
      <c r="HR26" s="128"/>
      <c r="HS26" s="128"/>
      <c r="HT26" s="128"/>
      <c r="HU26" s="128"/>
      <c r="HV26" s="128"/>
      <c r="HW26" s="128"/>
      <c r="HX26" s="128"/>
      <c r="HY26" s="128"/>
      <c r="HZ26" s="128"/>
      <c r="IA26" s="128"/>
      <c r="IB26" s="128"/>
      <c r="IC26" s="128"/>
      <c r="ID26" s="128"/>
      <c r="IE26" s="128"/>
      <c r="IF26" s="128"/>
      <c r="IG26" s="128"/>
      <c r="IH26" s="128"/>
      <c r="II26" s="128"/>
      <c r="IJ26" s="128"/>
      <c r="IK26" s="128"/>
      <c r="IL26" s="128"/>
      <c r="IM26" s="128"/>
      <c r="IN26" s="128"/>
      <c r="IO26" s="128"/>
      <c r="IP26" s="128"/>
      <c r="IQ26" s="128"/>
      <c r="IR26" s="128"/>
      <c r="IS26" s="128"/>
      <c r="IT26" s="128"/>
      <c r="IU26" s="128"/>
      <c r="IV26" s="128"/>
      <c r="IW26" s="128"/>
      <c r="IX26" s="128"/>
      <c r="IY26" s="128"/>
      <c r="IZ26" s="128"/>
      <c r="JA26" s="128"/>
      <c r="JB26" s="128"/>
      <c r="JC26" s="128"/>
      <c r="JD26" s="128"/>
      <c r="JE26" s="128"/>
      <c r="JF26" s="128"/>
      <c r="JG26" s="128"/>
      <c r="JH26" s="128"/>
      <c r="JI26" s="128"/>
      <c r="JJ26" s="128"/>
      <c r="JK26" s="128"/>
      <c r="JL26" s="128"/>
      <c r="JM26" s="128"/>
      <c r="JN26" s="128"/>
      <c r="JO26" s="128"/>
      <c r="JP26" s="128"/>
      <c r="JQ26" s="128"/>
      <c r="JR26" s="128"/>
      <c r="JS26" s="128"/>
      <c r="JT26" s="128"/>
      <c r="JU26" s="128"/>
      <c r="JV26" s="128"/>
      <c r="JW26" s="128"/>
      <c r="JX26" s="128"/>
      <c r="JY26" s="128"/>
      <c r="JZ26" s="128"/>
      <c r="KA26" s="128"/>
      <c r="KB26" s="128"/>
      <c r="KC26" s="128"/>
      <c r="KD26" s="128"/>
      <c r="KE26" s="128"/>
      <c r="KF26" s="128"/>
      <c r="KG26" s="128"/>
      <c r="KH26" s="128"/>
      <c r="KI26" s="128"/>
      <c r="KJ26" s="128"/>
      <c r="KK26" s="128"/>
      <c r="KL26" s="128"/>
      <c r="KM26" s="128"/>
      <c r="KN26" s="128"/>
      <c r="KO26" s="128"/>
      <c r="KP26" s="128"/>
      <c r="KQ26" s="128"/>
      <c r="KR26" s="128"/>
      <c r="KS26" s="128"/>
      <c r="KT26" s="128"/>
      <c r="KU26" s="128"/>
      <c r="KV26" s="128"/>
      <c r="KW26" s="128"/>
      <c r="KX26" s="128"/>
      <c r="KY26" s="128"/>
      <c r="KZ26" s="128"/>
      <c r="LA26" s="128"/>
      <c r="LB26" s="128"/>
      <c r="LC26" s="128"/>
      <c r="LD26" s="128"/>
      <c r="LE26" s="128"/>
      <c r="LF26" s="128"/>
      <c r="LG26" s="128"/>
      <c r="LH26" s="128"/>
      <c r="LI26" s="128"/>
      <c r="LJ26" s="128"/>
      <c r="LK26" s="128"/>
      <c r="LL26" s="128"/>
      <c r="LM26" s="128"/>
      <c r="LN26" s="128"/>
      <c r="LO26" s="128"/>
      <c r="LP26" s="128"/>
      <c r="LQ26" s="128"/>
      <c r="LR26" s="128"/>
      <c r="LS26" s="128"/>
      <c r="LT26" s="128"/>
      <c r="LU26" s="128"/>
      <c r="LV26" s="128"/>
      <c r="LW26" s="128"/>
      <c r="LX26" s="128"/>
      <c r="LY26" s="128"/>
      <c r="LZ26" s="128"/>
      <c r="MA26" s="128"/>
      <c r="MB26" s="128"/>
      <c r="MC26" s="128"/>
      <c r="MD26" s="128"/>
      <c r="ME26" s="128"/>
      <c r="MF26" s="128"/>
      <c r="MG26" s="128"/>
      <c r="MH26" s="128"/>
      <c r="MI26" s="128"/>
      <c r="MJ26" s="128"/>
      <c r="MK26" s="128"/>
      <c r="ML26" s="128"/>
      <c r="MM26" s="128"/>
      <c r="MN26" s="128"/>
      <c r="MO26" s="128"/>
      <c r="MP26" s="128"/>
      <c r="MQ26" s="128"/>
      <c r="MR26" s="128"/>
      <c r="MS26" s="128"/>
      <c r="MT26" s="128"/>
      <c r="MU26" s="128"/>
      <c r="MV26" s="128"/>
      <c r="MW26" s="128"/>
      <c r="MX26" s="128"/>
      <c r="MY26" s="128"/>
      <c r="MZ26" s="128"/>
      <c r="NA26" s="128"/>
      <c r="NB26" s="128"/>
      <c r="NC26" s="128"/>
      <c r="ND26" s="128"/>
      <c r="NE26" s="128"/>
      <c r="NF26" s="128"/>
      <c r="NG26" s="128"/>
      <c r="NH26" s="128"/>
      <c r="NI26" s="128"/>
      <c r="NJ26" s="128"/>
      <c r="NK26" s="128"/>
      <c r="NL26" s="128"/>
      <c r="NM26" s="128"/>
      <c r="NN26" s="128"/>
      <c r="NO26" s="128"/>
      <c r="NP26" s="128"/>
      <c r="NQ26" s="128"/>
      <c r="NR26" s="128"/>
      <c r="NS26" s="128"/>
      <c r="NT26" s="128"/>
      <c r="NU26" s="128"/>
      <c r="NV26" s="128"/>
      <c r="NW26" s="128"/>
      <c r="NX26" s="128"/>
      <c r="NY26" s="128"/>
      <c r="NZ26" s="128"/>
      <c r="OA26" s="128"/>
      <c r="OB26" s="128"/>
      <c r="OC26" s="128"/>
      <c r="OD26" s="128"/>
      <c r="OE26" s="128"/>
      <c r="OF26" s="128"/>
      <c r="OG26" s="128"/>
      <c r="OH26" s="128"/>
      <c r="OI26" s="128"/>
      <c r="OJ26" s="128"/>
      <c r="OK26" s="128"/>
      <c r="OL26" s="128"/>
      <c r="OM26" s="128"/>
      <c r="ON26" s="128"/>
      <c r="OO26" s="128"/>
      <c r="OP26" s="128"/>
      <c r="OQ26" s="128"/>
      <c r="OR26" s="128"/>
      <c r="OS26" s="128"/>
      <c r="OT26" s="128"/>
      <c r="OU26" s="128"/>
      <c r="OV26" s="128"/>
      <c r="OW26" s="128"/>
      <c r="OX26" s="128"/>
      <c r="OY26" s="128"/>
      <c r="OZ26" s="128"/>
      <c r="PA26" s="128"/>
      <c r="PB26" s="128"/>
      <c r="PC26" s="128"/>
      <c r="PD26" s="128"/>
      <c r="PE26" s="128"/>
      <c r="PF26" s="128"/>
      <c r="PG26" s="128"/>
      <c r="PH26" s="128"/>
      <c r="PI26" s="128"/>
      <c r="PJ26" s="128"/>
      <c r="PK26" s="128"/>
      <c r="PL26" s="128"/>
      <c r="PM26" s="128"/>
      <c r="PN26" s="128"/>
      <c r="PO26" s="128"/>
      <c r="PP26" s="128"/>
      <c r="PQ26" s="128"/>
      <c r="PR26" s="128"/>
      <c r="PS26" s="128"/>
      <c r="PT26" s="128"/>
      <c r="PU26" s="128"/>
      <c r="PV26" s="128"/>
      <c r="PW26" s="128"/>
      <c r="PX26" s="128"/>
      <c r="PY26" s="128"/>
      <c r="PZ26" s="128"/>
      <c r="QA26" s="128"/>
      <c r="QB26" s="128"/>
      <c r="QC26" s="128"/>
      <c r="QD26" s="128"/>
      <c r="QE26" s="128"/>
      <c r="QF26" s="128"/>
      <c r="QG26" s="128"/>
      <c r="QH26" s="128"/>
      <c r="QI26" s="128"/>
      <c r="QJ26" s="128"/>
      <c r="QK26" s="128"/>
      <c r="QL26" s="128"/>
      <c r="QM26" s="128"/>
      <c r="QN26" s="128"/>
      <c r="QO26" s="128"/>
      <c r="QP26" s="128"/>
      <c r="QQ26" s="128"/>
      <c r="QR26" s="128"/>
      <c r="QS26" s="128"/>
      <c r="QT26" s="128"/>
      <c r="QU26" s="128"/>
      <c r="QV26" s="128"/>
      <c r="QW26" s="128"/>
      <c r="QX26" s="128"/>
      <c r="QY26" s="128"/>
      <c r="QZ26" s="128"/>
      <c r="RA26" s="128"/>
      <c r="RB26" s="128"/>
      <c r="RC26" s="128"/>
      <c r="RD26" s="128"/>
      <c r="RE26" s="128"/>
      <c r="RF26" s="128"/>
      <c r="RG26" s="128"/>
      <c r="RH26" s="128"/>
      <c r="RI26" s="128"/>
      <c r="RJ26" s="128"/>
      <c r="RK26" s="128"/>
      <c r="RL26" s="128"/>
      <c r="RM26" s="128"/>
      <c r="RN26" s="128"/>
      <c r="RO26" s="128"/>
      <c r="RP26" s="128"/>
      <c r="RQ26" s="128"/>
      <c r="RR26" s="128"/>
      <c r="RS26" s="128"/>
      <c r="RT26" s="128"/>
      <c r="RU26" s="128"/>
      <c r="RV26" s="128"/>
      <c r="RW26" s="128"/>
      <c r="RX26" s="128"/>
      <c r="RY26" s="128"/>
      <c r="RZ26" s="128"/>
      <c r="SA26" s="128"/>
      <c r="SB26" s="128"/>
      <c r="SC26" s="128"/>
      <c r="SD26" s="128"/>
      <c r="SE26" s="128"/>
      <c r="SF26" s="128"/>
      <c r="SG26" s="128"/>
      <c r="SH26" s="128"/>
      <c r="SI26" s="128"/>
      <c r="SJ26" s="128"/>
      <c r="SK26" s="128"/>
      <c r="SL26" s="128"/>
      <c r="SM26" s="128"/>
      <c r="SN26" s="128"/>
      <c r="SO26" s="128"/>
      <c r="SP26" s="128"/>
      <c r="SQ26" s="128"/>
      <c r="SR26" s="128"/>
      <c r="SS26" s="128"/>
      <c r="ST26" s="128"/>
      <c r="SU26" s="128"/>
      <c r="SV26" s="128"/>
      <c r="SW26" s="128"/>
      <c r="SX26" s="128"/>
      <c r="SY26" s="128"/>
      <c r="SZ26" s="128"/>
      <c r="TA26" s="128"/>
      <c r="TB26" s="128"/>
      <c r="TC26" s="128"/>
      <c r="TD26" s="128"/>
      <c r="TE26" s="128"/>
      <c r="TF26" s="128"/>
      <c r="TG26" s="128"/>
      <c r="TH26" s="128"/>
      <c r="TI26" s="128"/>
      <c r="TJ26" s="128"/>
      <c r="TK26" s="128"/>
      <c r="TL26" s="128"/>
      <c r="TM26" s="128"/>
      <c r="TN26" s="128"/>
      <c r="TO26" s="128"/>
      <c r="TP26" s="128"/>
      <c r="TQ26" s="128"/>
      <c r="TR26" s="128"/>
      <c r="TS26" s="128"/>
      <c r="TT26" s="128"/>
      <c r="TU26" s="128"/>
      <c r="TV26" s="128"/>
      <c r="TW26" s="128"/>
      <c r="TX26" s="128"/>
      <c r="TY26" s="128"/>
      <c r="TZ26" s="128"/>
      <c r="UA26" s="128"/>
      <c r="UB26" s="128"/>
      <c r="UC26" s="128"/>
      <c r="UD26" s="128"/>
      <c r="UE26" s="128"/>
      <c r="UF26" s="128"/>
      <c r="UG26" s="128"/>
      <c r="UH26" s="128"/>
      <c r="UI26" s="128"/>
      <c r="UJ26" s="128"/>
      <c r="UK26" s="128"/>
      <c r="UL26" s="128"/>
      <c r="UM26" s="128"/>
      <c r="UN26" s="128"/>
      <c r="UO26" s="128"/>
      <c r="UP26" s="128"/>
      <c r="UQ26" s="128"/>
      <c r="UR26" s="128"/>
      <c r="US26" s="128"/>
      <c r="UT26" s="128"/>
      <c r="UU26" s="128"/>
      <c r="UV26" s="128"/>
      <c r="UW26" s="128"/>
      <c r="UX26" s="128"/>
      <c r="UY26" s="128"/>
      <c r="UZ26" s="128"/>
      <c r="VA26" s="128"/>
      <c r="VB26" s="128"/>
      <c r="VC26" s="128"/>
      <c r="VD26" s="128"/>
      <c r="VE26" s="128"/>
      <c r="VF26" s="128"/>
      <c r="VG26" s="128"/>
      <c r="VH26" s="128"/>
      <c r="VI26" s="128"/>
      <c r="VJ26" s="128"/>
      <c r="VK26" s="128"/>
      <c r="VL26" s="128"/>
      <c r="VM26" s="128"/>
      <c r="VN26" s="128"/>
      <c r="VO26" s="128"/>
      <c r="VP26" s="128"/>
      <c r="VQ26" s="128"/>
      <c r="VR26" s="128"/>
      <c r="VS26" s="128"/>
      <c r="VT26" s="128"/>
      <c r="VU26" s="128"/>
      <c r="VV26" s="128"/>
      <c r="VW26" s="128"/>
      <c r="VX26" s="128"/>
      <c r="VY26" s="128"/>
      <c r="VZ26" s="128"/>
      <c r="WA26" s="128"/>
      <c r="WB26" s="128"/>
      <c r="WC26" s="128"/>
      <c r="WD26" s="128"/>
      <c r="WE26" s="128"/>
      <c r="WF26" s="128"/>
      <c r="WG26" s="128"/>
      <c r="WH26" s="128"/>
      <c r="WI26" s="128"/>
      <c r="WJ26" s="128"/>
      <c r="WK26" s="128"/>
      <c r="WL26" s="128"/>
      <c r="WM26" s="128"/>
      <c r="WN26" s="128"/>
      <c r="WO26" s="128"/>
      <c r="WP26" s="128"/>
      <c r="WQ26" s="128"/>
      <c r="WR26" s="128"/>
      <c r="WS26" s="128"/>
      <c r="WT26" s="128"/>
      <c r="WU26" s="128"/>
      <c r="WV26" s="128"/>
      <c r="WW26" s="128"/>
      <c r="WX26" s="128"/>
      <c r="WY26" s="128"/>
      <c r="WZ26" s="128"/>
      <c r="XA26" s="128"/>
      <c r="XB26" s="128"/>
      <c r="XC26" s="128"/>
      <c r="XD26" s="128"/>
      <c r="XE26" s="128"/>
      <c r="XF26" s="128"/>
      <c r="XG26" s="128"/>
      <c r="XH26" s="128"/>
      <c r="XI26" s="128"/>
      <c r="XJ26" s="128"/>
      <c r="XK26" s="128"/>
      <c r="XL26" s="128"/>
      <c r="XM26" s="128"/>
      <c r="XN26" s="128"/>
      <c r="XO26" s="128"/>
      <c r="XP26" s="128"/>
      <c r="XQ26" s="128"/>
      <c r="XR26" s="128"/>
      <c r="XS26" s="128"/>
      <c r="XT26" s="128"/>
      <c r="XU26" s="128"/>
      <c r="XV26" s="128"/>
      <c r="XW26" s="128"/>
      <c r="XX26" s="128"/>
      <c r="XY26" s="128"/>
      <c r="XZ26" s="128"/>
      <c r="YA26" s="128"/>
      <c r="YB26" s="128"/>
      <c r="YC26" s="128"/>
      <c r="YD26" s="128"/>
      <c r="YE26" s="128"/>
      <c r="YF26" s="128"/>
      <c r="YG26" s="128"/>
      <c r="YH26" s="128"/>
      <c r="YI26" s="128"/>
      <c r="YJ26" s="128"/>
      <c r="YK26" s="128"/>
      <c r="YL26" s="128"/>
      <c r="YM26" s="128"/>
      <c r="YN26" s="128"/>
      <c r="YO26" s="128"/>
      <c r="YP26" s="128"/>
      <c r="YQ26" s="128"/>
      <c r="YR26" s="128"/>
      <c r="YS26" s="128"/>
      <c r="YT26" s="128"/>
      <c r="YU26" s="128"/>
      <c r="YV26" s="128"/>
      <c r="YW26" s="128"/>
      <c r="YX26" s="128"/>
      <c r="YY26" s="128"/>
      <c r="YZ26" s="128"/>
      <c r="ZA26" s="128"/>
      <c r="ZB26" s="128"/>
      <c r="ZC26" s="128"/>
      <c r="ZD26" s="128"/>
      <c r="ZE26" s="128"/>
      <c r="ZF26" s="128"/>
      <c r="ZG26" s="128"/>
      <c r="ZH26" s="128"/>
      <c r="ZI26" s="128"/>
      <c r="ZJ26" s="128"/>
      <c r="ZK26" s="128"/>
      <c r="ZL26" s="128"/>
      <c r="ZM26" s="128"/>
      <c r="ZN26" s="128"/>
      <c r="ZO26" s="128"/>
      <c r="ZP26" s="128"/>
      <c r="ZQ26" s="128"/>
      <c r="ZR26" s="128"/>
      <c r="ZS26" s="128"/>
      <c r="ZT26" s="128"/>
      <c r="ZU26" s="128"/>
      <c r="ZV26" s="128"/>
      <c r="ZW26" s="128"/>
      <c r="ZX26" s="128"/>
      <c r="ZY26" s="128"/>
      <c r="ZZ26" s="128"/>
      <c r="AAA26" s="128"/>
      <c r="AAB26" s="128"/>
      <c r="AAC26" s="128"/>
      <c r="AAD26" s="128"/>
      <c r="AAE26" s="128"/>
      <c r="AAF26" s="128"/>
      <c r="AAG26" s="128"/>
      <c r="AAH26" s="128"/>
      <c r="AAI26" s="128"/>
      <c r="AAJ26" s="128"/>
      <c r="AAK26" s="128"/>
      <c r="AAL26" s="128"/>
      <c r="AAM26" s="128"/>
      <c r="AAN26" s="128"/>
      <c r="AAO26" s="128"/>
      <c r="AAP26" s="128"/>
      <c r="AAQ26" s="128"/>
      <c r="AAR26" s="128"/>
      <c r="AAS26" s="128"/>
      <c r="AAT26" s="128"/>
      <c r="AAU26" s="128"/>
      <c r="AAV26" s="128"/>
      <c r="AAW26" s="128"/>
      <c r="AAX26" s="128"/>
      <c r="AAY26" s="128"/>
      <c r="AAZ26" s="128"/>
      <c r="ABA26" s="128"/>
      <c r="ABB26" s="128"/>
      <c r="ABC26" s="128"/>
      <c r="ABD26" s="128"/>
      <c r="ABE26" s="128"/>
      <c r="ABF26" s="128"/>
      <c r="ABG26" s="128"/>
      <c r="ABH26" s="128"/>
      <c r="ABI26" s="128"/>
      <c r="ABJ26" s="128"/>
      <c r="ABK26" s="128"/>
      <c r="ABL26" s="128"/>
      <c r="ABM26" s="128"/>
      <c r="ABN26" s="128"/>
      <c r="ABO26" s="128"/>
      <c r="ABP26" s="128"/>
      <c r="ABQ26" s="128"/>
      <c r="ABR26" s="128"/>
      <c r="ABS26" s="128"/>
      <c r="ABT26" s="128"/>
      <c r="ABU26" s="128"/>
      <c r="ABV26" s="128"/>
      <c r="ABW26" s="128"/>
      <c r="ABX26" s="128"/>
      <c r="ABY26" s="128"/>
      <c r="ABZ26" s="128"/>
      <c r="ACA26" s="128"/>
      <c r="ACB26" s="128"/>
      <c r="ACC26" s="128"/>
      <c r="ACD26" s="128"/>
      <c r="ACE26" s="128"/>
      <c r="ACF26" s="128"/>
      <c r="ACG26" s="128"/>
      <c r="ACH26" s="128"/>
      <c r="ACI26" s="128"/>
      <c r="ACJ26" s="128"/>
      <c r="ACK26" s="128"/>
      <c r="ACL26" s="128"/>
      <c r="ACM26" s="128"/>
      <c r="ACN26" s="128"/>
      <c r="ACO26" s="128"/>
      <c r="ACP26" s="128"/>
      <c r="ACQ26" s="128"/>
      <c r="ACR26" s="128"/>
      <c r="ACS26" s="128"/>
      <c r="ACT26" s="128"/>
      <c r="ACU26" s="128"/>
      <c r="ACV26" s="128"/>
      <c r="ACW26" s="128"/>
      <c r="ACX26" s="128"/>
      <c r="ACY26" s="128"/>
      <c r="ACZ26" s="128"/>
      <c r="ADA26" s="128"/>
      <c r="ADB26" s="128"/>
      <c r="ADC26" s="128"/>
      <c r="ADD26" s="128"/>
      <c r="ADE26" s="128"/>
      <c r="ADF26" s="128"/>
      <c r="ADG26" s="128"/>
      <c r="ADH26" s="128"/>
      <c r="ADI26" s="128"/>
      <c r="ADJ26" s="128"/>
      <c r="ADK26" s="128"/>
      <c r="ADL26" s="128"/>
      <c r="ADM26" s="128"/>
      <c r="ADN26" s="128"/>
      <c r="ADO26" s="128"/>
      <c r="ADP26" s="128"/>
      <c r="ADQ26" s="128"/>
      <c r="ADR26" s="128"/>
      <c r="ADS26" s="128"/>
      <c r="ADT26" s="128"/>
      <c r="ADU26" s="128"/>
      <c r="ADV26" s="128"/>
      <c r="ADW26" s="128"/>
      <c r="ADX26" s="128"/>
      <c r="ADY26" s="128"/>
      <c r="ADZ26" s="128"/>
      <c r="AEA26" s="128"/>
      <c r="AEB26" s="128"/>
      <c r="AEC26" s="128"/>
      <c r="AED26" s="128"/>
      <c r="AEE26" s="128"/>
      <c r="AEF26" s="128"/>
      <c r="AEG26" s="128"/>
      <c r="AEH26" s="128"/>
      <c r="AEI26" s="128"/>
      <c r="AEJ26" s="128"/>
      <c r="AEK26" s="128"/>
      <c r="AEL26" s="128"/>
      <c r="AEM26" s="128"/>
      <c r="AEN26" s="128"/>
      <c r="AEO26" s="128"/>
      <c r="AEP26" s="128"/>
      <c r="AEQ26" s="128"/>
      <c r="AER26" s="128"/>
      <c r="AES26" s="128"/>
      <c r="AET26" s="128"/>
      <c r="AEU26" s="128"/>
      <c r="AEV26" s="128"/>
      <c r="AEW26" s="128"/>
      <c r="AEX26" s="128"/>
      <c r="AEY26" s="128"/>
      <c r="AEZ26" s="128"/>
      <c r="AFA26" s="128"/>
      <c r="AFB26" s="128"/>
      <c r="AFC26" s="128"/>
      <c r="AFD26" s="128"/>
      <c r="AFE26" s="128"/>
      <c r="AFF26" s="128"/>
      <c r="AFG26" s="128"/>
      <c r="AFH26" s="128"/>
      <c r="AFI26" s="128"/>
      <c r="AFJ26" s="128"/>
      <c r="AFK26" s="128"/>
      <c r="AFL26" s="128"/>
      <c r="AFM26" s="128"/>
      <c r="AFN26" s="128"/>
      <c r="AFO26" s="128"/>
      <c r="AFP26" s="128"/>
      <c r="AFQ26" s="128"/>
      <c r="AFR26" s="128"/>
      <c r="AFS26" s="128"/>
      <c r="AFT26" s="128"/>
      <c r="AFU26" s="128"/>
      <c r="AFV26" s="128"/>
      <c r="AFW26" s="128"/>
      <c r="AFX26" s="128"/>
      <c r="AFY26" s="128"/>
      <c r="AFZ26" s="128"/>
      <c r="AGA26" s="128"/>
      <c r="AGB26" s="128"/>
      <c r="AGC26" s="128"/>
      <c r="AGD26" s="128"/>
      <c r="AGE26" s="128"/>
      <c r="AGF26" s="128"/>
      <c r="AGG26" s="128"/>
      <c r="AGH26" s="128"/>
      <c r="AGI26" s="128"/>
      <c r="AGJ26" s="128"/>
      <c r="AGK26" s="128"/>
      <c r="AGL26" s="128"/>
      <c r="AGM26" s="128"/>
      <c r="AGN26" s="128"/>
      <c r="AGO26" s="128"/>
      <c r="AGP26" s="128"/>
      <c r="AGQ26" s="128"/>
      <c r="AGR26" s="128"/>
      <c r="AGS26" s="128"/>
      <c r="AGT26" s="128"/>
      <c r="AGU26" s="128"/>
      <c r="AGV26" s="128"/>
      <c r="AGW26" s="128"/>
      <c r="AGX26" s="128"/>
      <c r="AGY26" s="128"/>
      <c r="AGZ26" s="128"/>
      <c r="AHA26" s="128"/>
      <c r="AHB26" s="128"/>
      <c r="AHC26" s="128"/>
      <c r="AHD26" s="128"/>
      <c r="AHE26" s="128"/>
      <c r="AHF26" s="128"/>
      <c r="AHG26" s="128"/>
      <c r="AHH26" s="128"/>
      <c r="AHI26" s="128"/>
      <c r="AHJ26" s="128"/>
      <c r="AHK26" s="128"/>
      <c r="AHL26" s="128"/>
      <c r="AHM26" s="128"/>
      <c r="AHN26" s="128"/>
      <c r="AHO26" s="128"/>
      <c r="AHP26" s="128"/>
      <c r="AHQ26" s="128"/>
      <c r="AHR26" s="128"/>
      <c r="AHS26" s="128"/>
      <c r="AHT26" s="128"/>
      <c r="AHU26" s="128"/>
      <c r="AHV26" s="128"/>
      <c r="AHW26" s="128"/>
      <c r="AHX26" s="128"/>
      <c r="AHY26" s="128"/>
      <c r="AHZ26" s="128"/>
      <c r="AIA26" s="128"/>
      <c r="AIB26" s="128"/>
      <c r="AIC26" s="128"/>
      <c r="AID26" s="128"/>
      <c r="AIE26" s="128"/>
      <c r="AIF26" s="128"/>
      <c r="AIG26" s="128"/>
      <c r="AIH26" s="128"/>
      <c r="AII26" s="128"/>
      <c r="AIJ26" s="128"/>
      <c r="AIK26" s="128"/>
      <c r="AIL26" s="128"/>
      <c r="AIM26" s="128"/>
      <c r="AIN26" s="128"/>
      <c r="AIO26" s="128"/>
      <c r="AIP26" s="128"/>
      <c r="AIQ26" s="128"/>
      <c r="AIR26" s="128"/>
      <c r="AIS26" s="128"/>
      <c r="AIT26" s="128"/>
      <c r="AIU26" s="128"/>
      <c r="AIV26" s="128"/>
      <c r="AIW26" s="128"/>
      <c r="AIX26" s="128"/>
      <c r="AIY26" s="128"/>
      <c r="AIZ26" s="128"/>
      <c r="AJA26" s="128"/>
      <c r="AJB26" s="128"/>
      <c r="AJC26" s="128"/>
      <c r="AJD26" s="128"/>
      <c r="AJE26" s="128"/>
      <c r="AJF26" s="128"/>
      <c r="AJG26" s="128"/>
      <c r="AJH26" s="128"/>
      <c r="AJI26" s="128"/>
      <c r="AJJ26" s="128"/>
      <c r="AJK26" s="128"/>
      <c r="AJL26" s="128"/>
      <c r="AJM26" s="128"/>
      <c r="AJN26" s="128"/>
      <c r="AJO26" s="128"/>
      <c r="AJP26" s="128"/>
      <c r="AJQ26" s="128"/>
      <c r="AJR26" s="128"/>
      <c r="AJS26" s="128"/>
      <c r="AJT26" s="128"/>
      <c r="AJU26" s="128"/>
      <c r="AJV26" s="128"/>
      <c r="AJW26" s="128"/>
      <c r="AJX26" s="128"/>
      <c r="AJY26" s="128"/>
      <c r="AJZ26" s="128"/>
      <c r="AKA26" s="128"/>
      <c r="AKB26" s="128"/>
      <c r="AKC26" s="128"/>
      <c r="AKD26" s="128"/>
      <c r="AKE26" s="128"/>
      <c r="AKF26" s="128"/>
      <c r="AKG26" s="128"/>
      <c r="AKH26" s="128"/>
      <c r="AKI26" s="128"/>
      <c r="AKJ26" s="128"/>
      <c r="AKK26" s="128"/>
      <c r="AKL26" s="128"/>
      <c r="AKM26" s="128"/>
      <c r="AKN26" s="128"/>
      <c r="AKO26" s="128"/>
      <c r="AKP26" s="128"/>
      <c r="AKQ26" s="128"/>
      <c r="AKR26" s="128"/>
      <c r="AKS26" s="128"/>
      <c r="AKT26" s="128"/>
      <c r="AKU26" s="128"/>
      <c r="AKV26" s="128"/>
      <c r="AKW26" s="128"/>
      <c r="AKX26" s="128"/>
      <c r="AKY26" s="128"/>
      <c r="AKZ26" s="128"/>
      <c r="ALA26" s="128"/>
      <c r="ALB26" s="128"/>
      <c r="ALC26" s="128"/>
      <c r="ALD26" s="128"/>
      <c r="ALE26" s="128"/>
      <c r="ALF26" s="128"/>
      <c r="ALG26" s="128"/>
      <c r="ALH26" s="128"/>
      <c r="ALI26" s="128"/>
      <c r="ALJ26" s="128"/>
      <c r="ALK26" s="128"/>
      <c r="ALL26" s="128"/>
      <c r="ALM26" s="128"/>
      <c r="ALN26" s="128"/>
      <c r="ALO26" s="128"/>
      <c r="ALP26" s="128"/>
      <c r="ALQ26" s="128"/>
      <c r="ALR26" s="128"/>
      <c r="ALS26"/>
      <c r="ALT26"/>
      <c r="ALU26"/>
    </row>
    <row r="27" spans="1:1009" s="96" customFormat="1" ht="12" customHeight="1">
      <c r="A27" s="136"/>
      <c r="B27" s="136"/>
      <c r="C27" s="136"/>
      <c r="D27" s="136"/>
      <c r="E27" s="136"/>
      <c r="F27" s="136"/>
      <c r="I27" s="225"/>
      <c r="J27" s="159"/>
      <c r="L27" s="173"/>
      <c r="N27" s="278"/>
      <c r="R27"/>
      <c r="S27" s="179"/>
      <c r="U27" s="159"/>
      <c r="X27"/>
      <c r="Y27" s="128"/>
      <c r="Z27" s="128"/>
      <c r="AA27" s="128"/>
      <c r="AB27" s="128"/>
      <c r="AC27" s="128"/>
      <c r="AD27" s="128"/>
      <c r="AE27" s="128"/>
      <c r="AF27" s="128"/>
      <c r="AG27" s="128"/>
      <c r="AH27" s="128"/>
      <c r="AI27" s="128"/>
      <c r="AJ27" s="128"/>
      <c r="AK27" s="128"/>
      <c r="AL27" s="128"/>
      <c r="AM27" s="128"/>
      <c r="AN27" s="128"/>
      <c r="AO27" s="128"/>
      <c r="AP27" s="128"/>
      <c r="AQ27" s="128"/>
      <c r="AR27" s="128"/>
      <c r="AS27" s="128"/>
      <c r="AT27" s="128"/>
      <c r="AU27" s="128"/>
      <c r="AV27" s="128"/>
      <c r="AW27" s="128"/>
      <c r="AX27" s="128"/>
      <c r="AY27" s="128"/>
      <c r="AZ27" s="128"/>
      <c r="BA27" s="128"/>
      <c r="BB27" s="128"/>
      <c r="BC27" s="128"/>
      <c r="BD27" s="128"/>
      <c r="BE27" s="128"/>
      <c r="BF27" s="128"/>
      <c r="BG27" s="128"/>
      <c r="BH27" s="128"/>
      <c r="BI27" s="128"/>
      <c r="BJ27" s="128"/>
      <c r="BK27" s="128"/>
      <c r="BL27" s="128"/>
      <c r="BM27" s="128"/>
      <c r="BN27" s="128"/>
      <c r="BO27" s="128"/>
      <c r="BP27" s="128"/>
      <c r="BQ27" s="128"/>
      <c r="BR27" s="128"/>
      <c r="BS27" s="128"/>
      <c r="BT27" s="128"/>
      <c r="BU27" s="128"/>
      <c r="BV27" s="128"/>
      <c r="BW27" s="128"/>
      <c r="BX27" s="128"/>
      <c r="BY27" s="128"/>
      <c r="BZ27" s="128"/>
      <c r="CA27" s="128"/>
      <c r="CB27" s="128"/>
      <c r="CC27" s="128"/>
      <c r="CD27" s="128"/>
      <c r="CE27" s="128"/>
      <c r="CF27" s="128"/>
      <c r="CG27" s="128"/>
      <c r="CH27" s="128"/>
      <c r="CI27" s="128"/>
      <c r="CJ27" s="128"/>
      <c r="CK27" s="128"/>
      <c r="CL27" s="128"/>
      <c r="CM27" s="128"/>
      <c r="CN27" s="128"/>
      <c r="CO27" s="128"/>
      <c r="CP27" s="128"/>
      <c r="CQ27" s="128"/>
      <c r="CR27" s="128"/>
      <c r="CS27" s="128"/>
      <c r="CT27" s="128"/>
      <c r="CU27" s="128"/>
      <c r="CV27" s="128"/>
      <c r="CW27" s="128"/>
      <c r="CX27" s="128"/>
      <c r="CY27" s="128"/>
      <c r="CZ27" s="128"/>
      <c r="DA27" s="128"/>
      <c r="DB27" s="128"/>
      <c r="DC27" s="128"/>
      <c r="DD27" s="128"/>
      <c r="DE27" s="128"/>
      <c r="DF27" s="128"/>
      <c r="DG27" s="128"/>
      <c r="DH27" s="128"/>
      <c r="DI27" s="128"/>
      <c r="DJ27" s="128"/>
      <c r="DK27" s="128"/>
      <c r="DL27" s="128"/>
      <c r="DM27" s="128"/>
      <c r="DN27" s="128"/>
      <c r="DO27" s="128"/>
      <c r="DP27" s="128"/>
      <c r="DQ27" s="128"/>
      <c r="DR27" s="128"/>
      <c r="DS27" s="128"/>
      <c r="DT27" s="128"/>
      <c r="DU27" s="128"/>
      <c r="DV27" s="128"/>
      <c r="DW27" s="128"/>
      <c r="DX27" s="128"/>
      <c r="DY27" s="128"/>
      <c r="DZ27" s="128"/>
      <c r="EA27" s="128"/>
      <c r="EB27" s="128"/>
      <c r="EC27" s="128"/>
      <c r="ED27" s="128"/>
      <c r="EE27" s="128"/>
      <c r="EF27" s="128"/>
      <c r="EG27" s="128"/>
      <c r="EH27" s="128"/>
      <c r="EI27" s="128"/>
      <c r="EJ27" s="128"/>
      <c r="EK27" s="128"/>
      <c r="EL27" s="128"/>
      <c r="EM27" s="128"/>
      <c r="EN27" s="128"/>
      <c r="EO27" s="128"/>
      <c r="EP27" s="128"/>
      <c r="EQ27" s="128"/>
      <c r="ER27" s="128"/>
      <c r="ES27" s="128"/>
      <c r="ET27" s="128"/>
      <c r="EU27" s="128"/>
      <c r="EV27" s="128"/>
      <c r="EW27" s="128"/>
      <c r="EX27" s="128"/>
      <c r="EY27" s="128"/>
      <c r="EZ27" s="128"/>
      <c r="FA27" s="128"/>
      <c r="FB27" s="128"/>
      <c r="FC27" s="128"/>
      <c r="FD27" s="128"/>
      <c r="FE27" s="128"/>
      <c r="FF27" s="128"/>
      <c r="FG27" s="128"/>
      <c r="FH27" s="128"/>
      <c r="FI27" s="128"/>
      <c r="FJ27" s="128"/>
      <c r="FK27" s="128"/>
      <c r="FL27" s="128"/>
      <c r="FM27" s="128"/>
      <c r="FN27" s="128"/>
      <c r="FO27" s="128"/>
      <c r="FP27" s="128"/>
      <c r="FQ27" s="128"/>
      <c r="FR27" s="128"/>
      <c r="FS27" s="128"/>
      <c r="FT27" s="128"/>
      <c r="FU27" s="128"/>
      <c r="FV27" s="128"/>
      <c r="FW27" s="128"/>
      <c r="FX27" s="128"/>
      <c r="FY27" s="128"/>
      <c r="FZ27" s="128"/>
      <c r="GA27" s="128"/>
      <c r="GB27" s="128"/>
      <c r="GC27" s="128"/>
      <c r="GD27" s="128"/>
      <c r="GE27" s="128"/>
      <c r="GF27" s="128"/>
      <c r="GG27" s="128"/>
      <c r="GH27" s="128"/>
      <c r="GI27" s="128"/>
      <c r="GJ27" s="128"/>
      <c r="GK27" s="128"/>
      <c r="GL27" s="128"/>
      <c r="GM27" s="128"/>
      <c r="GN27" s="128"/>
      <c r="GO27" s="128"/>
      <c r="GP27" s="128"/>
      <c r="GQ27" s="128"/>
      <c r="GR27" s="128"/>
      <c r="GS27" s="128"/>
      <c r="GT27" s="128"/>
      <c r="GU27" s="128"/>
      <c r="GV27" s="128"/>
      <c r="GW27" s="128"/>
      <c r="GX27" s="128"/>
      <c r="GY27" s="128"/>
      <c r="GZ27" s="128"/>
      <c r="HA27" s="128"/>
      <c r="HB27" s="128"/>
      <c r="HC27" s="128"/>
      <c r="HD27" s="128"/>
      <c r="HE27" s="128"/>
      <c r="HF27" s="128"/>
      <c r="HG27" s="128"/>
      <c r="HH27" s="128"/>
      <c r="HI27" s="128"/>
      <c r="HJ27" s="128"/>
      <c r="HK27" s="128"/>
      <c r="HL27" s="128"/>
      <c r="HM27" s="128"/>
      <c r="HN27" s="128"/>
      <c r="HO27" s="128"/>
      <c r="HP27" s="128"/>
      <c r="HQ27" s="128"/>
      <c r="HR27" s="128"/>
      <c r="HS27" s="128"/>
      <c r="HT27" s="128"/>
      <c r="HU27" s="128"/>
      <c r="HV27" s="128"/>
      <c r="HW27" s="128"/>
      <c r="HX27" s="128"/>
      <c r="HY27" s="128"/>
      <c r="HZ27" s="128"/>
      <c r="IA27" s="128"/>
      <c r="IB27" s="128"/>
      <c r="IC27" s="128"/>
      <c r="ID27" s="128"/>
      <c r="IE27" s="128"/>
      <c r="IF27" s="128"/>
      <c r="IG27" s="128"/>
      <c r="IH27" s="128"/>
      <c r="II27" s="128"/>
      <c r="IJ27" s="128"/>
      <c r="IK27" s="128"/>
      <c r="IL27" s="128"/>
      <c r="IM27" s="128"/>
      <c r="IN27" s="128"/>
      <c r="IO27" s="128"/>
      <c r="IP27" s="128"/>
      <c r="IQ27" s="128"/>
      <c r="IR27" s="128"/>
      <c r="IS27" s="128"/>
      <c r="IT27" s="128"/>
      <c r="IU27" s="128"/>
      <c r="IV27" s="128"/>
      <c r="IW27" s="128"/>
      <c r="IX27" s="128"/>
      <c r="IY27" s="128"/>
      <c r="IZ27" s="128"/>
      <c r="JA27" s="128"/>
      <c r="JB27" s="128"/>
      <c r="JC27" s="128"/>
      <c r="JD27" s="128"/>
      <c r="JE27" s="128"/>
      <c r="JF27" s="128"/>
      <c r="JG27" s="128"/>
      <c r="JH27" s="128"/>
      <c r="JI27" s="128"/>
      <c r="JJ27" s="128"/>
      <c r="JK27" s="128"/>
      <c r="JL27" s="128"/>
      <c r="JM27" s="128"/>
      <c r="JN27" s="128"/>
      <c r="JO27" s="128"/>
      <c r="JP27" s="128"/>
      <c r="JQ27" s="128"/>
      <c r="JR27" s="128"/>
      <c r="JS27" s="128"/>
      <c r="JT27" s="128"/>
      <c r="JU27" s="128"/>
      <c r="JV27" s="128"/>
      <c r="JW27" s="128"/>
      <c r="JX27" s="128"/>
      <c r="JY27" s="128"/>
      <c r="JZ27" s="128"/>
      <c r="KA27" s="128"/>
      <c r="KB27" s="128"/>
      <c r="KC27" s="128"/>
      <c r="KD27" s="128"/>
      <c r="KE27" s="128"/>
      <c r="KF27" s="128"/>
      <c r="KG27" s="128"/>
      <c r="KH27" s="128"/>
      <c r="KI27" s="128"/>
      <c r="KJ27" s="128"/>
      <c r="KK27" s="128"/>
      <c r="KL27" s="128"/>
      <c r="KM27" s="128"/>
      <c r="KN27" s="128"/>
      <c r="KO27" s="128"/>
      <c r="KP27" s="128"/>
      <c r="KQ27" s="128"/>
      <c r="KR27" s="128"/>
      <c r="KS27" s="128"/>
      <c r="KT27" s="128"/>
      <c r="KU27" s="128"/>
      <c r="KV27" s="128"/>
      <c r="KW27" s="128"/>
      <c r="KX27" s="128"/>
      <c r="KY27" s="128"/>
      <c r="KZ27" s="128"/>
      <c r="LA27" s="128"/>
      <c r="LB27" s="128"/>
      <c r="LC27" s="128"/>
      <c r="LD27" s="128"/>
      <c r="LE27" s="128"/>
      <c r="LF27" s="128"/>
      <c r="LG27" s="128"/>
      <c r="LH27" s="128"/>
      <c r="LI27" s="128"/>
      <c r="LJ27" s="128"/>
      <c r="LK27" s="128"/>
      <c r="LL27" s="128"/>
      <c r="LM27" s="128"/>
      <c r="LN27" s="128"/>
      <c r="LO27" s="128"/>
      <c r="LP27" s="128"/>
      <c r="LQ27" s="128"/>
      <c r="LR27" s="128"/>
      <c r="LS27" s="128"/>
      <c r="LT27" s="128"/>
      <c r="LU27" s="128"/>
      <c r="LV27" s="128"/>
      <c r="LW27" s="128"/>
      <c r="LX27" s="128"/>
      <c r="LY27" s="128"/>
      <c r="LZ27" s="128"/>
      <c r="MA27" s="128"/>
      <c r="MB27" s="128"/>
      <c r="MC27" s="128"/>
      <c r="MD27" s="128"/>
      <c r="ME27" s="128"/>
      <c r="MF27" s="128"/>
      <c r="MG27" s="128"/>
      <c r="MH27" s="128"/>
      <c r="MI27" s="128"/>
      <c r="MJ27" s="128"/>
      <c r="MK27" s="128"/>
      <c r="ML27" s="128"/>
      <c r="MM27" s="128"/>
      <c r="MN27" s="128"/>
      <c r="MO27" s="128"/>
      <c r="MP27" s="128"/>
      <c r="MQ27" s="128"/>
      <c r="MR27" s="128"/>
      <c r="MS27" s="128"/>
      <c r="MT27" s="128"/>
      <c r="MU27" s="128"/>
      <c r="MV27" s="128"/>
      <c r="MW27" s="128"/>
      <c r="MX27" s="128"/>
      <c r="MY27" s="128"/>
      <c r="MZ27" s="128"/>
      <c r="NA27" s="128"/>
      <c r="NB27" s="128"/>
      <c r="NC27" s="128"/>
      <c r="ND27" s="128"/>
      <c r="NE27" s="128"/>
      <c r="NF27" s="128"/>
      <c r="NG27" s="128"/>
      <c r="NH27" s="128"/>
      <c r="NI27" s="128"/>
      <c r="NJ27" s="128"/>
      <c r="NK27" s="128"/>
      <c r="NL27" s="128"/>
      <c r="NM27" s="128"/>
      <c r="NN27" s="128"/>
      <c r="NO27" s="128"/>
      <c r="NP27" s="128"/>
      <c r="NQ27" s="128"/>
      <c r="NR27" s="128"/>
      <c r="NS27" s="128"/>
      <c r="NT27" s="128"/>
      <c r="NU27" s="128"/>
      <c r="NV27" s="128"/>
      <c r="NW27" s="128"/>
      <c r="NX27" s="128"/>
      <c r="NY27" s="128"/>
      <c r="NZ27" s="128"/>
      <c r="OA27" s="128"/>
      <c r="OB27" s="128"/>
      <c r="OC27" s="128"/>
      <c r="OD27" s="128"/>
      <c r="OE27" s="128"/>
      <c r="OF27" s="128"/>
      <c r="OG27" s="128"/>
      <c r="OH27" s="128"/>
      <c r="OI27" s="128"/>
      <c r="OJ27" s="128"/>
      <c r="OK27" s="128"/>
      <c r="OL27" s="128"/>
      <c r="OM27" s="128"/>
      <c r="ON27" s="128"/>
      <c r="OO27" s="128"/>
      <c r="OP27" s="128"/>
      <c r="OQ27" s="128"/>
      <c r="OR27" s="128"/>
      <c r="OS27" s="128"/>
      <c r="OT27" s="128"/>
      <c r="OU27" s="128"/>
      <c r="OV27" s="128"/>
      <c r="OW27" s="128"/>
      <c r="OX27" s="128"/>
      <c r="OY27" s="128"/>
      <c r="OZ27" s="128"/>
      <c r="PA27" s="128"/>
      <c r="PB27" s="128"/>
      <c r="PC27" s="128"/>
      <c r="PD27" s="128"/>
      <c r="PE27" s="128"/>
      <c r="PF27" s="128"/>
      <c r="PG27" s="128"/>
      <c r="PH27" s="128"/>
      <c r="PI27" s="128"/>
      <c r="PJ27" s="128"/>
      <c r="PK27" s="128"/>
      <c r="PL27" s="128"/>
      <c r="PM27" s="128"/>
      <c r="PN27" s="128"/>
      <c r="PO27" s="128"/>
      <c r="PP27" s="128"/>
      <c r="PQ27" s="128"/>
      <c r="PR27" s="128"/>
      <c r="PS27" s="128"/>
      <c r="PT27" s="128"/>
      <c r="PU27" s="128"/>
      <c r="PV27" s="128"/>
      <c r="PW27" s="128"/>
      <c r="PX27" s="128"/>
      <c r="PY27" s="128"/>
      <c r="PZ27" s="128"/>
      <c r="QA27" s="128"/>
      <c r="QB27" s="128"/>
      <c r="QC27" s="128"/>
      <c r="QD27" s="128"/>
      <c r="QE27" s="128"/>
      <c r="QF27" s="128"/>
      <c r="QG27" s="128"/>
      <c r="QH27" s="128"/>
      <c r="QI27" s="128"/>
      <c r="QJ27" s="128"/>
      <c r="QK27" s="128"/>
      <c r="QL27" s="128"/>
      <c r="QM27" s="128"/>
      <c r="QN27" s="128"/>
      <c r="QO27" s="128"/>
      <c r="QP27" s="128"/>
      <c r="QQ27" s="128"/>
      <c r="QR27" s="128"/>
      <c r="QS27" s="128"/>
      <c r="QT27" s="128"/>
      <c r="QU27" s="128"/>
      <c r="QV27" s="128"/>
      <c r="QW27" s="128"/>
      <c r="QX27" s="128"/>
      <c r="QY27" s="128"/>
      <c r="QZ27" s="128"/>
      <c r="RA27" s="128"/>
      <c r="RB27" s="128"/>
      <c r="RC27" s="128"/>
      <c r="RD27" s="128"/>
      <c r="RE27" s="128"/>
      <c r="RF27" s="128"/>
      <c r="RG27" s="128"/>
      <c r="RH27" s="128"/>
      <c r="RI27" s="128"/>
      <c r="RJ27" s="128"/>
      <c r="RK27" s="128"/>
      <c r="RL27" s="128"/>
      <c r="RM27" s="128"/>
      <c r="RN27" s="128"/>
      <c r="RO27" s="128"/>
      <c r="RP27" s="128"/>
      <c r="RQ27" s="128"/>
      <c r="RR27" s="128"/>
      <c r="RS27" s="128"/>
      <c r="RT27" s="128"/>
      <c r="RU27" s="128"/>
      <c r="RV27" s="128"/>
      <c r="RW27" s="128"/>
      <c r="RX27" s="128"/>
      <c r="RY27" s="128"/>
      <c r="RZ27" s="128"/>
      <c r="SA27" s="128"/>
      <c r="SB27" s="128"/>
      <c r="SC27" s="128"/>
      <c r="SD27" s="128"/>
      <c r="SE27" s="128"/>
      <c r="SF27" s="128"/>
      <c r="SG27" s="128"/>
      <c r="SH27" s="128"/>
      <c r="SI27" s="128"/>
      <c r="SJ27" s="128"/>
      <c r="SK27" s="128"/>
      <c r="SL27" s="128"/>
      <c r="SM27" s="128"/>
      <c r="SN27" s="128"/>
      <c r="SO27" s="128"/>
      <c r="SP27" s="128"/>
      <c r="SQ27" s="128"/>
      <c r="SR27" s="128"/>
      <c r="SS27" s="128"/>
      <c r="ST27" s="128"/>
      <c r="SU27" s="128"/>
      <c r="SV27" s="128"/>
      <c r="SW27" s="128"/>
      <c r="SX27" s="128"/>
      <c r="SY27" s="128"/>
      <c r="SZ27" s="128"/>
      <c r="TA27" s="128"/>
      <c r="TB27" s="128"/>
      <c r="TC27" s="128"/>
      <c r="TD27" s="128"/>
      <c r="TE27" s="128"/>
      <c r="TF27" s="128"/>
      <c r="TG27" s="128"/>
      <c r="TH27" s="128"/>
      <c r="TI27" s="128"/>
      <c r="TJ27" s="128"/>
      <c r="TK27" s="128"/>
      <c r="TL27" s="128"/>
      <c r="TM27" s="128"/>
      <c r="TN27" s="128"/>
      <c r="TO27" s="128"/>
      <c r="TP27" s="128"/>
      <c r="TQ27" s="128"/>
      <c r="TR27" s="128"/>
      <c r="TS27" s="128"/>
      <c r="TT27" s="128"/>
      <c r="TU27" s="128"/>
      <c r="TV27" s="128"/>
      <c r="TW27" s="128"/>
      <c r="TX27" s="128"/>
      <c r="TY27" s="128"/>
      <c r="TZ27" s="128"/>
      <c r="UA27" s="128"/>
      <c r="UB27" s="128"/>
      <c r="UC27" s="128"/>
      <c r="UD27" s="128"/>
      <c r="UE27" s="128"/>
      <c r="UF27" s="128"/>
      <c r="UG27" s="128"/>
      <c r="UH27" s="128"/>
      <c r="UI27" s="128"/>
      <c r="UJ27" s="128"/>
      <c r="UK27" s="128"/>
      <c r="UL27" s="128"/>
      <c r="UM27" s="128"/>
      <c r="UN27" s="128"/>
      <c r="UO27" s="128"/>
      <c r="UP27" s="128"/>
      <c r="UQ27" s="128"/>
      <c r="UR27" s="128"/>
      <c r="US27" s="128"/>
      <c r="UT27" s="128"/>
      <c r="UU27" s="128"/>
      <c r="UV27" s="128"/>
      <c r="UW27" s="128"/>
      <c r="UX27" s="128"/>
      <c r="UY27" s="128"/>
      <c r="UZ27" s="128"/>
      <c r="VA27" s="128"/>
      <c r="VB27" s="128"/>
      <c r="VC27" s="128"/>
      <c r="VD27" s="128"/>
      <c r="VE27" s="128"/>
      <c r="VF27" s="128"/>
      <c r="VG27" s="128"/>
      <c r="VH27" s="128"/>
      <c r="VI27" s="128"/>
      <c r="VJ27" s="128"/>
      <c r="VK27" s="128"/>
      <c r="VL27" s="128"/>
      <c r="VM27" s="128"/>
      <c r="VN27" s="128"/>
      <c r="VO27" s="128"/>
      <c r="VP27" s="128"/>
      <c r="VQ27" s="128"/>
      <c r="VR27" s="128"/>
      <c r="VS27" s="128"/>
      <c r="VT27" s="128"/>
      <c r="VU27" s="128"/>
      <c r="VV27" s="128"/>
      <c r="VW27" s="128"/>
      <c r="VX27" s="128"/>
      <c r="VY27" s="128"/>
      <c r="VZ27" s="128"/>
      <c r="WA27" s="128"/>
      <c r="WB27" s="128"/>
      <c r="WC27" s="128"/>
      <c r="WD27" s="128"/>
      <c r="WE27" s="128"/>
      <c r="WF27" s="128"/>
      <c r="WG27" s="128"/>
      <c r="WH27" s="128"/>
      <c r="WI27" s="128"/>
      <c r="WJ27" s="128"/>
      <c r="WK27" s="128"/>
      <c r="WL27" s="128"/>
      <c r="WM27" s="128"/>
      <c r="WN27" s="128"/>
      <c r="WO27" s="128"/>
      <c r="WP27" s="128"/>
      <c r="WQ27" s="128"/>
      <c r="WR27" s="128"/>
      <c r="WS27" s="128"/>
      <c r="WT27" s="128"/>
      <c r="WU27" s="128"/>
      <c r="WV27" s="128"/>
      <c r="WW27" s="128"/>
      <c r="WX27" s="128"/>
      <c r="WY27" s="128"/>
      <c r="WZ27" s="128"/>
      <c r="XA27" s="128"/>
      <c r="XB27" s="128"/>
      <c r="XC27" s="128"/>
      <c r="XD27" s="128"/>
      <c r="XE27" s="128"/>
      <c r="XF27" s="128"/>
      <c r="XG27" s="128"/>
      <c r="XH27" s="128"/>
      <c r="XI27" s="128"/>
      <c r="XJ27" s="128"/>
      <c r="XK27" s="128"/>
      <c r="XL27" s="128"/>
      <c r="XM27" s="128"/>
      <c r="XN27" s="128"/>
      <c r="XO27" s="128"/>
      <c r="XP27" s="128"/>
      <c r="XQ27" s="128"/>
      <c r="XR27" s="128"/>
      <c r="XS27" s="128"/>
      <c r="XT27" s="128"/>
      <c r="XU27" s="128"/>
      <c r="XV27" s="128"/>
      <c r="XW27" s="128"/>
      <c r="XX27" s="128"/>
      <c r="XY27" s="128"/>
      <c r="XZ27" s="128"/>
      <c r="YA27" s="128"/>
      <c r="YB27" s="128"/>
      <c r="YC27" s="128"/>
      <c r="YD27" s="128"/>
      <c r="YE27" s="128"/>
      <c r="YF27" s="128"/>
      <c r="YG27" s="128"/>
      <c r="YH27" s="128"/>
      <c r="YI27" s="128"/>
      <c r="YJ27" s="128"/>
      <c r="YK27" s="128"/>
      <c r="YL27" s="128"/>
      <c r="YM27" s="128"/>
      <c r="YN27" s="128"/>
      <c r="YO27" s="128"/>
      <c r="YP27" s="128"/>
      <c r="YQ27" s="128"/>
      <c r="YR27" s="128"/>
      <c r="YS27" s="128"/>
      <c r="YT27" s="128"/>
      <c r="YU27" s="128"/>
      <c r="YV27" s="128"/>
      <c r="YW27" s="128"/>
      <c r="YX27" s="128"/>
      <c r="YY27" s="128"/>
      <c r="YZ27" s="128"/>
      <c r="ZA27" s="128"/>
      <c r="ZB27" s="128"/>
      <c r="ZC27" s="128"/>
      <c r="ZD27" s="128"/>
      <c r="ZE27" s="128"/>
      <c r="ZF27" s="128"/>
      <c r="ZG27" s="128"/>
      <c r="ZH27" s="128"/>
      <c r="ZI27" s="128"/>
      <c r="ZJ27" s="128"/>
      <c r="ZK27" s="128"/>
      <c r="ZL27" s="128"/>
      <c r="ZM27" s="128"/>
      <c r="ZN27" s="128"/>
      <c r="ZO27" s="128"/>
      <c r="ZP27" s="128"/>
      <c r="ZQ27" s="128"/>
      <c r="ZR27" s="128"/>
      <c r="ZS27" s="128"/>
      <c r="ZT27" s="128"/>
      <c r="ZU27" s="128"/>
      <c r="ZV27" s="128"/>
      <c r="ZW27" s="128"/>
      <c r="ZX27" s="128"/>
      <c r="ZY27" s="128"/>
      <c r="ZZ27" s="128"/>
      <c r="AAA27" s="128"/>
      <c r="AAB27" s="128"/>
      <c r="AAC27" s="128"/>
      <c r="AAD27" s="128"/>
      <c r="AAE27" s="128"/>
      <c r="AAF27" s="128"/>
      <c r="AAG27" s="128"/>
      <c r="AAH27" s="128"/>
      <c r="AAI27" s="128"/>
      <c r="AAJ27" s="128"/>
      <c r="AAK27" s="128"/>
      <c r="AAL27" s="128"/>
      <c r="AAM27" s="128"/>
      <c r="AAN27" s="128"/>
      <c r="AAO27" s="128"/>
      <c r="AAP27" s="128"/>
      <c r="AAQ27" s="128"/>
      <c r="AAR27" s="128"/>
      <c r="AAS27" s="128"/>
      <c r="AAT27" s="128"/>
      <c r="AAU27" s="128"/>
      <c r="AAV27" s="128"/>
      <c r="AAW27" s="128"/>
      <c r="AAX27" s="128"/>
      <c r="AAY27" s="128"/>
      <c r="AAZ27" s="128"/>
      <c r="ABA27" s="128"/>
      <c r="ABB27" s="128"/>
      <c r="ABC27" s="128"/>
      <c r="ABD27" s="128"/>
      <c r="ABE27" s="128"/>
      <c r="ABF27" s="128"/>
      <c r="ABG27" s="128"/>
      <c r="ABH27" s="128"/>
      <c r="ABI27" s="128"/>
      <c r="ABJ27" s="128"/>
      <c r="ABK27" s="128"/>
      <c r="ABL27" s="128"/>
      <c r="ABM27" s="128"/>
      <c r="ABN27" s="128"/>
      <c r="ABO27" s="128"/>
      <c r="ABP27" s="128"/>
      <c r="ABQ27" s="128"/>
      <c r="ABR27" s="128"/>
      <c r="ABS27" s="128"/>
      <c r="ABT27" s="128"/>
      <c r="ABU27" s="128"/>
      <c r="ABV27" s="128"/>
      <c r="ABW27" s="128"/>
      <c r="ABX27" s="128"/>
      <c r="ABY27" s="128"/>
      <c r="ABZ27" s="128"/>
      <c r="ACA27" s="128"/>
      <c r="ACB27" s="128"/>
      <c r="ACC27" s="128"/>
      <c r="ACD27" s="128"/>
      <c r="ACE27" s="128"/>
      <c r="ACF27" s="128"/>
      <c r="ACG27" s="128"/>
      <c r="ACH27" s="128"/>
      <c r="ACI27" s="128"/>
      <c r="ACJ27" s="128"/>
      <c r="ACK27" s="128"/>
      <c r="ACL27" s="128"/>
      <c r="ACM27" s="128"/>
      <c r="ACN27" s="128"/>
      <c r="ACO27" s="128"/>
      <c r="ACP27" s="128"/>
      <c r="ACQ27" s="128"/>
      <c r="ACR27" s="128"/>
      <c r="ACS27" s="128"/>
      <c r="ACT27" s="128"/>
      <c r="ACU27" s="128"/>
      <c r="ACV27" s="128"/>
      <c r="ACW27" s="128"/>
      <c r="ACX27" s="128"/>
      <c r="ACY27" s="128"/>
      <c r="ACZ27" s="128"/>
      <c r="ADA27" s="128"/>
      <c r="ADB27" s="128"/>
      <c r="ADC27" s="128"/>
      <c r="ADD27" s="128"/>
      <c r="ADE27" s="128"/>
      <c r="ADF27" s="128"/>
      <c r="ADG27" s="128"/>
      <c r="ADH27" s="128"/>
      <c r="ADI27" s="128"/>
      <c r="ADJ27" s="128"/>
      <c r="ADK27" s="128"/>
      <c r="ADL27" s="128"/>
      <c r="ADM27" s="128"/>
      <c r="ADN27" s="128"/>
      <c r="ADO27" s="128"/>
      <c r="ADP27" s="128"/>
      <c r="ADQ27" s="128"/>
      <c r="ADR27" s="128"/>
      <c r="ADS27" s="128"/>
      <c r="ADT27" s="128"/>
      <c r="ADU27" s="128"/>
      <c r="ADV27" s="128"/>
      <c r="ADW27" s="128"/>
      <c r="ADX27" s="128"/>
      <c r="ADY27" s="128"/>
      <c r="ADZ27" s="128"/>
      <c r="AEA27" s="128"/>
      <c r="AEB27" s="128"/>
      <c r="AEC27" s="128"/>
      <c r="AED27" s="128"/>
      <c r="AEE27" s="128"/>
      <c r="AEF27" s="128"/>
      <c r="AEG27" s="128"/>
      <c r="AEH27" s="128"/>
      <c r="AEI27" s="128"/>
      <c r="AEJ27" s="128"/>
      <c r="AEK27" s="128"/>
      <c r="AEL27" s="128"/>
      <c r="AEM27" s="128"/>
      <c r="AEN27" s="128"/>
      <c r="AEO27" s="128"/>
      <c r="AEP27" s="128"/>
      <c r="AEQ27" s="128"/>
      <c r="AER27" s="128"/>
      <c r="AES27" s="128"/>
      <c r="AET27" s="128"/>
      <c r="AEU27" s="128"/>
      <c r="AEV27" s="128"/>
      <c r="AEW27" s="128"/>
      <c r="AEX27" s="128"/>
      <c r="AEY27" s="128"/>
      <c r="AEZ27" s="128"/>
      <c r="AFA27" s="128"/>
      <c r="AFB27" s="128"/>
      <c r="AFC27" s="128"/>
      <c r="AFD27" s="128"/>
      <c r="AFE27" s="128"/>
      <c r="AFF27" s="128"/>
      <c r="AFG27" s="128"/>
      <c r="AFH27" s="128"/>
      <c r="AFI27" s="128"/>
      <c r="AFJ27" s="128"/>
      <c r="AFK27" s="128"/>
      <c r="AFL27" s="128"/>
      <c r="AFM27" s="128"/>
      <c r="AFN27" s="128"/>
      <c r="AFO27" s="128"/>
      <c r="AFP27" s="128"/>
      <c r="AFQ27" s="128"/>
      <c r="AFR27" s="128"/>
      <c r="AFS27" s="128"/>
      <c r="AFT27" s="128"/>
      <c r="AFU27" s="128"/>
      <c r="AFV27" s="128"/>
      <c r="AFW27" s="128"/>
      <c r="AFX27" s="128"/>
      <c r="AFY27" s="128"/>
      <c r="AFZ27" s="128"/>
      <c r="AGA27" s="128"/>
      <c r="AGB27" s="128"/>
      <c r="AGC27" s="128"/>
      <c r="AGD27" s="128"/>
      <c r="AGE27" s="128"/>
      <c r="AGF27" s="128"/>
      <c r="AGG27" s="128"/>
      <c r="AGH27" s="128"/>
      <c r="AGI27" s="128"/>
      <c r="AGJ27" s="128"/>
      <c r="AGK27" s="128"/>
      <c r="AGL27" s="128"/>
      <c r="AGM27" s="128"/>
      <c r="AGN27" s="128"/>
      <c r="AGO27" s="128"/>
      <c r="AGP27" s="128"/>
      <c r="AGQ27" s="128"/>
      <c r="AGR27" s="128"/>
      <c r="AGS27" s="128"/>
      <c r="AGT27" s="128"/>
      <c r="AGU27" s="128"/>
      <c r="AGV27" s="128"/>
      <c r="AGW27" s="128"/>
      <c r="AGX27" s="128"/>
      <c r="AGY27" s="128"/>
      <c r="AGZ27" s="128"/>
      <c r="AHA27" s="128"/>
      <c r="AHB27" s="128"/>
      <c r="AHC27" s="128"/>
      <c r="AHD27" s="128"/>
      <c r="AHE27" s="128"/>
      <c r="AHF27" s="128"/>
      <c r="AHG27" s="128"/>
      <c r="AHH27" s="128"/>
      <c r="AHI27" s="128"/>
      <c r="AHJ27" s="128"/>
      <c r="AHK27" s="128"/>
      <c r="AHL27" s="128"/>
      <c r="AHM27" s="128"/>
      <c r="AHN27" s="128"/>
      <c r="AHO27" s="128"/>
      <c r="AHP27" s="128"/>
      <c r="AHQ27" s="128"/>
      <c r="AHR27" s="128"/>
      <c r="AHS27" s="128"/>
      <c r="AHT27" s="128"/>
      <c r="AHU27" s="128"/>
      <c r="AHV27" s="128"/>
      <c r="AHW27" s="128"/>
      <c r="AHX27" s="128"/>
      <c r="AHY27" s="128"/>
      <c r="AHZ27" s="128"/>
      <c r="AIA27" s="128"/>
      <c r="AIB27" s="128"/>
      <c r="AIC27" s="128"/>
      <c r="AID27" s="128"/>
      <c r="AIE27" s="128"/>
      <c r="AIF27" s="128"/>
      <c r="AIG27" s="128"/>
      <c r="AIH27" s="128"/>
      <c r="AII27" s="128"/>
      <c r="AIJ27" s="128"/>
      <c r="AIK27" s="128"/>
      <c r="AIL27" s="128"/>
      <c r="AIM27" s="128"/>
      <c r="AIN27" s="128"/>
      <c r="AIO27" s="128"/>
      <c r="AIP27" s="128"/>
      <c r="AIQ27" s="128"/>
      <c r="AIR27" s="128"/>
      <c r="AIS27" s="128"/>
      <c r="AIT27" s="128"/>
      <c r="AIU27" s="128"/>
      <c r="AIV27" s="128"/>
      <c r="AIW27" s="128"/>
      <c r="AIX27" s="128"/>
      <c r="AIY27" s="128"/>
      <c r="AIZ27" s="128"/>
      <c r="AJA27" s="128"/>
      <c r="AJB27" s="128"/>
      <c r="AJC27" s="128"/>
      <c r="AJD27" s="128"/>
      <c r="AJE27" s="128"/>
      <c r="AJF27" s="128"/>
      <c r="AJG27" s="128"/>
      <c r="AJH27" s="128"/>
      <c r="AJI27" s="128"/>
      <c r="AJJ27" s="128"/>
      <c r="AJK27" s="128"/>
      <c r="AJL27" s="128"/>
      <c r="AJM27" s="128"/>
      <c r="AJN27" s="128"/>
      <c r="AJO27" s="128"/>
      <c r="AJP27" s="128"/>
      <c r="AJQ27" s="128"/>
      <c r="AJR27" s="128"/>
      <c r="AJS27" s="128"/>
      <c r="AJT27" s="128"/>
      <c r="AJU27" s="128"/>
      <c r="AJV27" s="128"/>
      <c r="AJW27" s="128"/>
      <c r="AJX27" s="128"/>
      <c r="AJY27" s="128"/>
      <c r="AJZ27" s="128"/>
      <c r="AKA27" s="128"/>
      <c r="AKB27" s="128"/>
      <c r="AKC27" s="128"/>
      <c r="AKD27" s="128"/>
      <c r="AKE27" s="128"/>
      <c r="AKF27" s="128"/>
      <c r="AKG27" s="128"/>
      <c r="AKH27" s="128"/>
      <c r="AKI27" s="128"/>
      <c r="AKJ27" s="128"/>
      <c r="AKK27" s="128"/>
      <c r="AKL27" s="128"/>
      <c r="AKM27" s="128"/>
      <c r="AKN27" s="128"/>
      <c r="AKO27" s="128"/>
      <c r="AKP27" s="128"/>
      <c r="AKQ27" s="128"/>
      <c r="AKR27" s="128"/>
      <c r="AKS27" s="128"/>
      <c r="AKT27" s="128"/>
      <c r="AKU27" s="128"/>
      <c r="AKV27" s="128"/>
      <c r="AKW27" s="128"/>
      <c r="AKX27" s="128"/>
      <c r="AKY27" s="128"/>
      <c r="AKZ27" s="128"/>
      <c r="ALA27" s="128"/>
      <c r="ALB27" s="128"/>
      <c r="ALC27" s="128"/>
      <c r="ALD27" s="128"/>
      <c r="ALE27" s="128"/>
      <c r="ALF27" s="128"/>
      <c r="ALG27" s="128"/>
      <c r="ALH27" s="128"/>
      <c r="ALI27" s="128"/>
      <c r="ALJ27" s="128"/>
      <c r="ALK27" s="128"/>
      <c r="ALL27" s="128"/>
      <c r="ALM27" s="128"/>
      <c r="ALN27" s="128"/>
      <c r="ALO27" s="128"/>
      <c r="ALP27" s="128"/>
      <c r="ALQ27" s="128"/>
      <c r="ALR27" s="128"/>
      <c r="ALS27"/>
      <c r="ALT27"/>
      <c r="ALU27"/>
    </row>
    <row r="28" spans="1:1009" s="96" customFormat="1" ht="12" customHeight="1">
      <c r="A28" s="136"/>
      <c r="B28" s="136"/>
      <c r="C28" s="136"/>
      <c r="D28" s="136"/>
      <c r="E28" s="136"/>
      <c r="F28" s="136"/>
      <c r="I28" s="225"/>
      <c r="J28" s="159"/>
      <c r="L28" s="173"/>
      <c r="N28" s="278"/>
      <c r="R28"/>
      <c r="S28" s="179"/>
      <c r="U28" s="159"/>
      <c r="X28"/>
      <c r="Y28" s="128"/>
      <c r="Z28" s="128"/>
      <c r="AA28" s="128"/>
      <c r="AB28" s="128"/>
      <c r="AC28" s="128"/>
      <c r="AD28" s="128"/>
      <c r="AE28" s="128"/>
      <c r="AF28" s="128"/>
      <c r="AG28" s="128"/>
      <c r="AH28" s="128"/>
      <c r="AI28" s="128"/>
      <c r="AJ28" s="128"/>
      <c r="AK28" s="128"/>
      <c r="AL28" s="128"/>
      <c r="AM28" s="128"/>
      <c r="AN28" s="128"/>
      <c r="AO28" s="128"/>
      <c r="AP28" s="128"/>
      <c r="AQ28" s="128"/>
      <c r="AR28" s="128"/>
      <c r="AS28" s="128"/>
      <c r="AT28" s="128"/>
      <c r="AU28" s="128"/>
      <c r="AV28" s="128"/>
      <c r="AW28" s="128"/>
      <c r="AX28" s="128"/>
      <c r="AY28" s="128"/>
      <c r="AZ28" s="128"/>
      <c r="BA28" s="128"/>
      <c r="BB28" s="128"/>
      <c r="BC28" s="128"/>
      <c r="BD28" s="128"/>
      <c r="BE28" s="128"/>
      <c r="BF28" s="128"/>
      <c r="BG28" s="128"/>
      <c r="BH28" s="128"/>
      <c r="BI28" s="128"/>
      <c r="BJ28" s="128"/>
      <c r="BK28" s="128"/>
      <c r="BL28" s="128"/>
      <c r="BM28" s="128"/>
      <c r="BN28" s="128"/>
      <c r="BO28" s="128"/>
      <c r="BP28" s="128"/>
      <c r="BQ28" s="128"/>
      <c r="BR28" s="128"/>
      <c r="BS28" s="128"/>
      <c r="BT28" s="128"/>
      <c r="BU28" s="128"/>
      <c r="BV28" s="128"/>
      <c r="BW28" s="128"/>
      <c r="BX28" s="128"/>
      <c r="BY28" s="128"/>
      <c r="BZ28" s="128"/>
      <c r="CA28" s="128"/>
      <c r="CB28" s="128"/>
      <c r="CC28" s="128"/>
      <c r="CD28" s="128"/>
      <c r="CE28" s="128"/>
      <c r="CF28" s="128"/>
      <c r="CG28" s="128"/>
      <c r="CH28" s="128"/>
      <c r="CI28" s="128"/>
      <c r="CJ28" s="128"/>
      <c r="CK28" s="128"/>
      <c r="CL28" s="128"/>
      <c r="CM28" s="128"/>
      <c r="CN28" s="128"/>
      <c r="CO28" s="128"/>
      <c r="CP28" s="128"/>
      <c r="CQ28" s="128"/>
      <c r="CR28" s="128"/>
      <c r="CS28" s="128"/>
      <c r="CT28" s="128"/>
      <c r="CU28" s="128"/>
      <c r="CV28" s="128"/>
      <c r="CW28" s="128"/>
      <c r="CX28" s="128"/>
      <c r="CY28" s="128"/>
      <c r="CZ28" s="128"/>
      <c r="DA28" s="128"/>
      <c r="DB28" s="128"/>
      <c r="DC28" s="128"/>
      <c r="DD28" s="128"/>
      <c r="DE28" s="128"/>
      <c r="DF28" s="128"/>
      <c r="DG28" s="128"/>
      <c r="DH28" s="128"/>
      <c r="DI28" s="128"/>
      <c r="DJ28" s="128"/>
      <c r="DK28" s="128"/>
      <c r="DL28" s="128"/>
      <c r="DM28" s="128"/>
      <c r="DN28" s="128"/>
      <c r="DO28" s="128"/>
      <c r="DP28" s="128"/>
      <c r="DQ28" s="128"/>
      <c r="DR28" s="128"/>
      <c r="DS28" s="128"/>
      <c r="DT28" s="128"/>
      <c r="DU28" s="128"/>
      <c r="DV28" s="128"/>
      <c r="DW28" s="128"/>
      <c r="DX28" s="128"/>
      <c r="DY28" s="128"/>
      <c r="DZ28" s="128"/>
      <c r="EA28" s="128"/>
      <c r="EB28" s="128"/>
      <c r="EC28" s="128"/>
      <c r="ED28" s="128"/>
      <c r="EE28" s="128"/>
      <c r="EF28" s="128"/>
      <c r="EG28" s="128"/>
      <c r="EH28" s="128"/>
      <c r="EI28" s="128"/>
      <c r="EJ28" s="128"/>
      <c r="EK28" s="128"/>
      <c r="EL28" s="128"/>
      <c r="EM28" s="128"/>
      <c r="EN28" s="128"/>
      <c r="EO28" s="128"/>
      <c r="EP28" s="128"/>
      <c r="EQ28" s="128"/>
      <c r="ER28" s="128"/>
      <c r="ES28" s="128"/>
      <c r="ET28" s="128"/>
      <c r="EU28" s="128"/>
      <c r="EV28" s="128"/>
      <c r="EW28" s="128"/>
      <c r="EX28" s="128"/>
      <c r="EY28" s="128"/>
      <c r="EZ28" s="128"/>
      <c r="FA28" s="128"/>
      <c r="FB28" s="128"/>
      <c r="FC28" s="128"/>
      <c r="FD28" s="128"/>
      <c r="FE28" s="128"/>
      <c r="FF28" s="128"/>
      <c r="FG28" s="128"/>
      <c r="FH28" s="128"/>
      <c r="FI28" s="128"/>
      <c r="FJ28" s="128"/>
      <c r="FK28" s="128"/>
      <c r="FL28" s="128"/>
      <c r="FM28" s="128"/>
      <c r="FN28" s="128"/>
      <c r="FO28" s="128"/>
      <c r="FP28" s="128"/>
      <c r="FQ28" s="128"/>
      <c r="FR28" s="128"/>
      <c r="FS28" s="128"/>
      <c r="FT28" s="128"/>
      <c r="FU28" s="128"/>
      <c r="FV28" s="128"/>
      <c r="FW28" s="128"/>
      <c r="FX28" s="128"/>
      <c r="FY28" s="128"/>
      <c r="FZ28" s="128"/>
      <c r="GA28" s="128"/>
      <c r="GB28" s="128"/>
      <c r="GC28" s="128"/>
      <c r="GD28" s="128"/>
      <c r="GE28" s="128"/>
      <c r="GF28" s="128"/>
      <c r="GG28" s="128"/>
      <c r="GH28" s="128"/>
      <c r="GI28" s="128"/>
      <c r="GJ28" s="128"/>
      <c r="GK28" s="128"/>
      <c r="GL28" s="128"/>
      <c r="GM28" s="128"/>
      <c r="GN28" s="128"/>
      <c r="GO28" s="128"/>
      <c r="GP28" s="128"/>
      <c r="GQ28" s="128"/>
      <c r="GR28" s="128"/>
      <c r="GS28" s="128"/>
      <c r="GT28" s="128"/>
      <c r="GU28" s="128"/>
      <c r="GV28" s="128"/>
      <c r="GW28" s="128"/>
      <c r="GX28" s="128"/>
      <c r="GY28" s="128"/>
      <c r="GZ28" s="128"/>
      <c r="HA28" s="128"/>
      <c r="HB28" s="128"/>
      <c r="HC28" s="128"/>
      <c r="HD28" s="128"/>
      <c r="HE28" s="128"/>
      <c r="HF28" s="128"/>
      <c r="HG28" s="128"/>
      <c r="HH28" s="128"/>
      <c r="HI28" s="128"/>
      <c r="HJ28" s="128"/>
      <c r="HK28" s="128"/>
      <c r="HL28" s="128"/>
      <c r="HM28" s="128"/>
      <c r="HN28" s="128"/>
      <c r="HO28" s="128"/>
      <c r="HP28" s="128"/>
      <c r="HQ28" s="128"/>
      <c r="HR28" s="128"/>
      <c r="HS28" s="128"/>
      <c r="HT28" s="128"/>
      <c r="HU28" s="128"/>
      <c r="HV28" s="128"/>
      <c r="HW28" s="128"/>
      <c r="HX28" s="128"/>
      <c r="HY28" s="128"/>
      <c r="HZ28" s="128"/>
      <c r="IA28" s="128"/>
      <c r="IB28" s="128"/>
      <c r="IC28" s="128"/>
      <c r="ID28" s="128"/>
      <c r="IE28" s="128"/>
      <c r="IF28" s="128"/>
      <c r="IG28" s="128"/>
      <c r="IH28" s="128"/>
      <c r="II28" s="128"/>
      <c r="IJ28" s="128"/>
      <c r="IK28" s="128"/>
      <c r="IL28" s="128"/>
      <c r="IM28" s="128"/>
      <c r="IN28" s="128"/>
      <c r="IO28" s="128"/>
      <c r="IP28" s="128"/>
      <c r="IQ28" s="128"/>
      <c r="IR28" s="128"/>
      <c r="IS28" s="128"/>
      <c r="IT28" s="128"/>
      <c r="IU28" s="128"/>
      <c r="IV28" s="128"/>
      <c r="IW28" s="128"/>
      <c r="IX28" s="128"/>
      <c r="IY28" s="128"/>
      <c r="IZ28" s="128"/>
      <c r="JA28" s="128"/>
      <c r="JB28" s="128"/>
      <c r="JC28" s="128"/>
      <c r="JD28" s="128"/>
      <c r="JE28" s="128"/>
      <c r="JF28" s="128"/>
      <c r="JG28" s="128"/>
      <c r="JH28" s="128"/>
      <c r="JI28" s="128"/>
      <c r="JJ28" s="128"/>
      <c r="JK28" s="128"/>
      <c r="JL28" s="128"/>
      <c r="JM28" s="128"/>
      <c r="JN28" s="128"/>
      <c r="JO28" s="128"/>
      <c r="JP28" s="128"/>
      <c r="JQ28" s="128"/>
      <c r="JR28" s="128"/>
      <c r="JS28" s="128"/>
      <c r="JT28" s="128"/>
      <c r="JU28" s="128"/>
      <c r="JV28" s="128"/>
      <c r="JW28" s="128"/>
      <c r="JX28" s="128"/>
      <c r="JY28" s="128"/>
      <c r="JZ28" s="128"/>
      <c r="KA28" s="128"/>
      <c r="KB28" s="128"/>
      <c r="KC28" s="128"/>
      <c r="KD28" s="128"/>
      <c r="KE28" s="128"/>
      <c r="KF28" s="128"/>
      <c r="KG28" s="128"/>
      <c r="KH28" s="128"/>
      <c r="KI28" s="128"/>
      <c r="KJ28" s="128"/>
      <c r="KK28" s="128"/>
      <c r="KL28" s="128"/>
      <c r="KM28" s="128"/>
      <c r="KN28" s="128"/>
      <c r="KO28" s="128"/>
      <c r="KP28" s="128"/>
      <c r="KQ28" s="128"/>
      <c r="KR28" s="128"/>
      <c r="KS28" s="128"/>
      <c r="KT28" s="128"/>
      <c r="KU28" s="128"/>
      <c r="KV28" s="128"/>
      <c r="KW28" s="128"/>
      <c r="KX28" s="128"/>
      <c r="KY28" s="128"/>
      <c r="KZ28" s="128"/>
      <c r="LA28" s="128"/>
      <c r="LB28" s="128"/>
      <c r="LC28" s="128"/>
      <c r="LD28" s="128"/>
      <c r="LE28" s="128"/>
      <c r="LF28" s="128"/>
      <c r="LG28" s="128"/>
      <c r="LH28" s="128"/>
      <c r="LI28" s="128"/>
      <c r="LJ28" s="128"/>
      <c r="LK28" s="128"/>
      <c r="LL28" s="128"/>
      <c r="LM28" s="128"/>
      <c r="LN28" s="128"/>
      <c r="LO28" s="128"/>
      <c r="LP28" s="128"/>
      <c r="LQ28" s="128"/>
      <c r="LR28" s="128"/>
      <c r="LS28" s="128"/>
      <c r="LT28" s="128"/>
      <c r="LU28" s="128"/>
      <c r="LV28" s="128"/>
      <c r="LW28" s="128"/>
      <c r="LX28" s="128"/>
      <c r="LY28" s="128"/>
      <c r="LZ28" s="128"/>
      <c r="MA28" s="128"/>
      <c r="MB28" s="128"/>
      <c r="MC28" s="128"/>
      <c r="MD28" s="128"/>
      <c r="ME28" s="128"/>
      <c r="MF28" s="128"/>
      <c r="MG28" s="128"/>
      <c r="MH28" s="128"/>
      <c r="MI28" s="128"/>
      <c r="MJ28" s="128"/>
      <c r="MK28" s="128"/>
      <c r="ML28" s="128"/>
      <c r="MM28" s="128"/>
      <c r="MN28" s="128"/>
      <c r="MO28" s="128"/>
      <c r="MP28" s="128"/>
      <c r="MQ28" s="128"/>
      <c r="MR28" s="128"/>
      <c r="MS28" s="128"/>
      <c r="MT28" s="128"/>
      <c r="MU28" s="128"/>
      <c r="MV28" s="128"/>
      <c r="MW28" s="128"/>
      <c r="MX28" s="128"/>
      <c r="MY28" s="128"/>
      <c r="MZ28" s="128"/>
      <c r="NA28" s="128"/>
      <c r="NB28" s="128"/>
      <c r="NC28" s="128"/>
      <c r="ND28" s="128"/>
      <c r="NE28" s="128"/>
      <c r="NF28" s="128"/>
      <c r="NG28" s="128"/>
      <c r="NH28" s="128"/>
      <c r="NI28" s="128"/>
      <c r="NJ28" s="128"/>
      <c r="NK28" s="128"/>
      <c r="NL28" s="128"/>
      <c r="NM28" s="128"/>
      <c r="NN28" s="128"/>
      <c r="NO28" s="128"/>
      <c r="NP28" s="128"/>
      <c r="NQ28" s="128"/>
      <c r="NR28" s="128"/>
      <c r="NS28" s="128"/>
      <c r="NT28" s="128"/>
      <c r="NU28" s="128"/>
      <c r="NV28" s="128"/>
      <c r="NW28" s="128"/>
      <c r="NX28" s="128"/>
      <c r="NY28" s="128"/>
      <c r="NZ28" s="128"/>
      <c r="OA28" s="128"/>
      <c r="OB28" s="128"/>
      <c r="OC28" s="128"/>
      <c r="OD28" s="128"/>
      <c r="OE28" s="128"/>
      <c r="OF28" s="128"/>
      <c r="OG28" s="128"/>
      <c r="OH28" s="128"/>
      <c r="OI28" s="128"/>
      <c r="OJ28" s="128"/>
      <c r="OK28" s="128"/>
      <c r="OL28" s="128"/>
      <c r="OM28" s="128"/>
      <c r="ON28" s="128"/>
      <c r="OO28" s="128"/>
      <c r="OP28" s="128"/>
      <c r="OQ28" s="128"/>
      <c r="OR28" s="128"/>
      <c r="OS28" s="128"/>
      <c r="OT28" s="128"/>
      <c r="OU28" s="128"/>
      <c r="OV28" s="128"/>
      <c r="OW28" s="128"/>
      <c r="OX28" s="128"/>
      <c r="OY28" s="128"/>
      <c r="OZ28" s="128"/>
      <c r="PA28" s="128"/>
      <c r="PB28" s="128"/>
      <c r="PC28" s="128"/>
      <c r="PD28" s="128"/>
      <c r="PE28" s="128"/>
      <c r="PF28" s="128"/>
      <c r="PG28" s="128"/>
      <c r="PH28" s="128"/>
      <c r="PI28" s="128"/>
      <c r="PJ28" s="128"/>
      <c r="PK28" s="128"/>
      <c r="PL28" s="128"/>
      <c r="PM28" s="128"/>
      <c r="PN28" s="128"/>
      <c r="PO28" s="128"/>
      <c r="PP28" s="128"/>
      <c r="PQ28" s="128"/>
      <c r="PR28" s="128"/>
      <c r="PS28" s="128"/>
      <c r="PT28" s="128"/>
      <c r="PU28" s="128"/>
      <c r="PV28" s="128"/>
      <c r="PW28" s="128"/>
      <c r="PX28" s="128"/>
      <c r="PY28" s="128"/>
      <c r="PZ28" s="128"/>
      <c r="QA28" s="128"/>
      <c r="QB28" s="128"/>
      <c r="QC28" s="128"/>
      <c r="QD28" s="128"/>
      <c r="QE28" s="128"/>
      <c r="QF28" s="128"/>
      <c r="QG28" s="128"/>
      <c r="QH28" s="128"/>
      <c r="QI28" s="128"/>
      <c r="QJ28" s="128"/>
      <c r="QK28" s="128"/>
      <c r="QL28" s="128"/>
      <c r="QM28" s="128"/>
      <c r="QN28" s="128"/>
      <c r="QO28" s="128"/>
      <c r="QP28" s="128"/>
      <c r="QQ28" s="128"/>
      <c r="QR28" s="128"/>
      <c r="QS28" s="128"/>
      <c r="QT28" s="128"/>
      <c r="QU28" s="128"/>
      <c r="QV28" s="128"/>
      <c r="QW28" s="128"/>
      <c r="QX28" s="128"/>
      <c r="QY28" s="128"/>
      <c r="QZ28" s="128"/>
      <c r="RA28" s="128"/>
      <c r="RB28" s="128"/>
      <c r="RC28" s="128"/>
      <c r="RD28" s="128"/>
      <c r="RE28" s="128"/>
      <c r="RF28" s="128"/>
      <c r="RG28" s="128"/>
      <c r="RH28" s="128"/>
      <c r="RI28" s="128"/>
      <c r="RJ28" s="128"/>
      <c r="RK28" s="128"/>
      <c r="RL28" s="128"/>
      <c r="RM28" s="128"/>
      <c r="RN28" s="128"/>
      <c r="RO28" s="128"/>
      <c r="RP28" s="128"/>
      <c r="RQ28" s="128"/>
      <c r="RR28" s="128"/>
      <c r="RS28" s="128"/>
      <c r="RT28" s="128"/>
      <c r="RU28" s="128"/>
      <c r="RV28" s="128"/>
      <c r="RW28" s="128"/>
      <c r="RX28" s="128"/>
      <c r="RY28" s="128"/>
      <c r="RZ28" s="128"/>
      <c r="SA28" s="128"/>
      <c r="SB28" s="128"/>
      <c r="SC28" s="128"/>
      <c r="SD28" s="128"/>
      <c r="SE28" s="128"/>
      <c r="SF28" s="128"/>
      <c r="SG28" s="128"/>
      <c r="SH28" s="128"/>
      <c r="SI28" s="128"/>
      <c r="SJ28" s="128"/>
      <c r="SK28" s="128"/>
      <c r="SL28" s="128"/>
      <c r="SM28" s="128"/>
      <c r="SN28" s="128"/>
      <c r="SO28" s="128"/>
      <c r="SP28" s="128"/>
      <c r="SQ28" s="128"/>
      <c r="SR28" s="128"/>
      <c r="SS28" s="128"/>
      <c r="ST28" s="128"/>
      <c r="SU28" s="128"/>
      <c r="SV28" s="128"/>
      <c r="SW28" s="128"/>
      <c r="SX28" s="128"/>
      <c r="SY28" s="128"/>
      <c r="SZ28" s="128"/>
      <c r="TA28" s="128"/>
      <c r="TB28" s="128"/>
      <c r="TC28" s="128"/>
      <c r="TD28" s="128"/>
      <c r="TE28" s="128"/>
      <c r="TF28" s="128"/>
      <c r="TG28" s="128"/>
      <c r="TH28" s="128"/>
      <c r="TI28" s="128"/>
      <c r="TJ28" s="128"/>
      <c r="TK28" s="128"/>
      <c r="TL28" s="128"/>
      <c r="TM28" s="128"/>
      <c r="TN28" s="128"/>
      <c r="TO28" s="128"/>
      <c r="TP28" s="128"/>
      <c r="TQ28" s="128"/>
      <c r="TR28" s="128"/>
      <c r="TS28" s="128"/>
      <c r="TT28" s="128"/>
      <c r="TU28" s="128"/>
      <c r="TV28" s="128"/>
      <c r="TW28" s="128"/>
      <c r="TX28" s="128"/>
      <c r="TY28" s="128"/>
      <c r="TZ28" s="128"/>
      <c r="UA28" s="128"/>
      <c r="UB28" s="128"/>
      <c r="UC28" s="128"/>
      <c r="UD28" s="128"/>
      <c r="UE28" s="128"/>
      <c r="UF28" s="128"/>
      <c r="UG28" s="128"/>
      <c r="UH28" s="128"/>
      <c r="UI28" s="128"/>
      <c r="UJ28" s="128"/>
      <c r="UK28" s="128"/>
      <c r="UL28" s="128"/>
      <c r="UM28" s="128"/>
      <c r="UN28" s="128"/>
      <c r="UO28" s="128"/>
      <c r="UP28" s="128"/>
      <c r="UQ28" s="128"/>
      <c r="UR28" s="128"/>
      <c r="US28" s="128"/>
      <c r="UT28" s="128"/>
      <c r="UU28" s="128"/>
      <c r="UV28" s="128"/>
      <c r="UW28" s="128"/>
      <c r="UX28" s="128"/>
      <c r="UY28" s="128"/>
      <c r="UZ28" s="128"/>
      <c r="VA28" s="128"/>
      <c r="VB28" s="128"/>
      <c r="VC28" s="128"/>
      <c r="VD28" s="128"/>
      <c r="VE28" s="128"/>
      <c r="VF28" s="128"/>
      <c r="VG28" s="128"/>
      <c r="VH28" s="128"/>
      <c r="VI28" s="128"/>
      <c r="VJ28" s="128"/>
      <c r="VK28" s="128"/>
      <c r="VL28" s="128"/>
      <c r="VM28" s="128"/>
      <c r="VN28" s="128"/>
      <c r="VO28" s="128"/>
      <c r="VP28" s="128"/>
      <c r="VQ28" s="128"/>
      <c r="VR28" s="128"/>
      <c r="VS28" s="128"/>
      <c r="VT28" s="128"/>
      <c r="VU28" s="128"/>
      <c r="VV28" s="128"/>
      <c r="VW28" s="128"/>
      <c r="VX28" s="128"/>
      <c r="VY28" s="128"/>
      <c r="VZ28" s="128"/>
      <c r="WA28" s="128"/>
      <c r="WB28" s="128"/>
      <c r="WC28" s="128"/>
      <c r="WD28" s="128"/>
      <c r="WE28" s="128"/>
      <c r="WF28" s="128"/>
      <c r="WG28" s="128"/>
      <c r="WH28" s="128"/>
      <c r="WI28" s="128"/>
      <c r="WJ28" s="128"/>
      <c r="WK28" s="128"/>
      <c r="WL28" s="128"/>
      <c r="WM28" s="128"/>
      <c r="WN28" s="128"/>
      <c r="WO28" s="128"/>
      <c r="WP28" s="128"/>
      <c r="WQ28" s="128"/>
      <c r="WR28" s="128"/>
      <c r="WS28" s="128"/>
      <c r="WT28" s="128"/>
      <c r="WU28" s="128"/>
      <c r="WV28" s="128"/>
      <c r="WW28" s="128"/>
      <c r="WX28" s="128"/>
      <c r="WY28" s="128"/>
      <c r="WZ28" s="128"/>
      <c r="XA28" s="128"/>
      <c r="XB28" s="128"/>
      <c r="XC28" s="128"/>
      <c r="XD28" s="128"/>
      <c r="XE28" s="128"/>
      <c r="XF28" s="128"/>
      <c r="XG28" s="128"/>
      <c r="XH28" s="128"/>
      <c r="XI28" s="128"/>
      <c r="XJ28" s="128"/>
      <c r="XK28" s="128"/>
      <c r="XL28" s="128"/>
      <c r="XM28" s="128"/>
      <c r="XN28" s="128"/>
      <c r="XO28" s="128"/>
      <c r="XP28" s="128"/>
      <c r="XQ28" s="128"/>
      <c r="XR28" s="128"/>
      <c r="XS28" s="128"/>
      <c r="XT28" s="128"/>
      <c r="XU28" s="128"/>
      <c r="XV28" s="128"/>
      <c r="XW28" s="128"/>
      <c r="XX28" s="128"/>
      <c r="XY28" s="128"/>
      <c r="XZ28" s="128"/>
      <c r="YA28" s="128"/>
      <c r="YB28" s="128"/>
      <c r="YC28" s="128"/>
      <c r="YD28" s="128"/>
      <c r="YE28" s="128"/>
      <c r="YF28" s="128"/>
      <c r="YG28" s="128"/>
      <c r="YH28" s="128"/>
      <c r="YI28" s="128"/>
      <c r="YJ28" s="128"/>
      <c r="YK28" s="128"/>
      <c r="YL28" s="128"/>
      <c r="YM28" s="128"/>
      <c r="YN28" s="128"/>
      <c r="YO28" s="128"/>
      <c r="YP28" s="128"/>
      <c r="YQ28" s="128"/>
      <c r="YR28" s="128"/>
      <c r="YS28" s="128"/>
      <c r="YT28" s="128"/>
      <c r="YU28" s="128"/>
      <c r="YV28" s="128"/>
      <c r="YW28" s="128"/>
      <c r="YX28" s="128"/>
      <c r="YY28" s="128"/>
      <c r="YZ28" s="128"/>
      <c r="ZA28" s="128"/>
      <c r="ZB28" s="128"/>
      <c r="ZC28" s="128"/>
      <c r="ZD28" s="128"/>
      <c r="ZE28" s="128"/>
      <c r="ZF28" s="128"/>
      <c r="ZG28" s="128"/>
      <c r="ZH28" s="128"/>
      <c r="ZI28" s="128"/>
      <c r="ZJ28" s="128"/>
      <c r="ZK28" s="128"/>
      <c r="ZL28" s="128"/>
      <c r="ZM28" s="128"/>
      <c r="ZN28" s="128"/>
      <c r="ZO28" s="128"/>
      <c r="ZP28" s="128"/>
      <c r="ZQ28" s="128"/>
      <c r="ZR28" s="128"/>
      <c r="ZS28" s="128"/>
      <c r="ZT28" s="128"/>
      <c r="ZU28" s="128"/>
      <c r="ZV28" s="128"/>
      <c r="ZW28" s="128"/>
      <c r="ZX28" s="128"/>
      <c r="ZY28" s="128"/>
      <c r="ZZ28" s="128"/>
      <c r="AAA28" s="128"/>
      <c r="AAB28" s="128"/>
      <c r="AAC28" s="128"/>
      <c r="AAD28" s="128"/>
      <c r="AAE28" s="128"/>
      <c r="AAF28" s="128"/>
      <c r="AAG28" s="128"/>
      <c r="AAH28" s="128"/>
      <c r="AAI28" s="128"/>
      <c r="AAJ28" s="128"/>
      <c r="AAK28" s="128"/>
      <c r="AAL28" s="128"/>
      <c r="AAM28" s="128"/>
      <c r="AAN28" s="128"/>
      <c r="AAO28" s="128"/>
      <c r="AAP28" s="128"/>
      <c r="AAQ28" s="128"/>
      <c r="AAR28" s="128"/>
      <c r="AAS28" s="128"/>
      <c r="AAT28" s="128"/>
      <c r="AAU28" s="128"/>
      <c r="AAV28" s="128"/>
      <c r="AAW28" s="128"/>
      <c r="AAX28" s="128"/>
      <c r="AAY28" s="128"/>
      <c r="AAZ28" s="128"/>
      <c r="ABA28" s="128"/>
      <c r="ABB28" s="128"/>
      <c r="ABC28" s="128"/>
      <c r="ABD28" s="128"/>
      <c r="ABE28" s="128"/>
      <c r="ABF28" s="128"/>
      <c r="ABG28" s="128"/>
      <c r="ABH28" s="128"/>
      <c r="ABI28" s="128"/>
      <c r="ABJ28" s="128"/>
      <c r="ABK28" s="128"/>
      <c r="ABL28" s="128"/>
      <c r="ABM28" s="128"/>
      <c r="ABN28" s="128"/>
      <c r="ABO28" s="128"/>
      <c r="ABP28" s="128"/>
      <c r="ABQ28" s="128"/>
      <c r="ABR28" s="128"/>
      <c r="ABS28" s="128"/>
      <c r="ABT28" s="128"/>
      <c r="ABU28" s="128"/>
      <c r="ABV28" s="128"/>
      <c r="ABW28" s="128"/>
      <c r="ABX28" s="128"/>
      <c r="ABY28" s="128"/>
      <c r="ABZ28" s="128"/>
      <c r="ACA28" s="128"/>
      <c r="ACB28" s="128"/>
      <c r="ACC28" s="128"/>
      <c r="ACD28" s="128"/>
      <c r="ACE28" s="128"/>
      <c r="ACF28" s="128"/>
      <c r="ACG28" s="128"/>
      <c r="ACH28" s="128"/>
      <c r="ACI28" s="128"/>
      <c r="ACJ28" s="128"/>
      <c r="ACK28" s="128"/>
      <c r="ACL28" s="128"/>
      <c r="ACM28" s="128"/>
      <c r="ACN28" s="128"/>
      <c r="ACO28" s="128"/>
      <c r="ACP28" s="128"/>
      <c r="ACQ28" s="128"/>
      <c r="ACR28" s="128"/>
      <c r="ACS28" s="128"/>
      <c r="ACT28" s="128"/>
      <c r="ACU28" s="128"/>
      <c r="ACV28" s="128"/>
      <c r="ACW28" s="128"/>
      <c r="ACX28" s="128"/>
      <c r="ACY28" s="128"/>
      <c r="ACZ28" s="128"/>
      <c r="ADA28" s="128"/>
      <c r="ADB28" s="128"/>
      <c r="ADC28" s="128"/>
      <c r="ADD28" s="128"/>
      <c r="ADE28" s="128"/>
      <c r="ADF28" s="128"/>
      <c r="ADG28" s="128"/>
      <c r="ADH28" s="128"/>
      <c r="ADI28" s="128"/>
      <c r="ADJ28" s="128"/>
      <c r="ADK28" s="128"/>
      <c r="ADL28" s="128"/>
      <c r="ADM28" s="128"/>
      <c r="ADN28" s="128"/>
      <c r="ADO28" s="128"/>
      <c r="ADP28" s="128"/>
      <c r="ADQ28" s="128"/>
      <c r="ADR28" s="128"/>
      <c r="ADS28" s="128"/>
      <c r="ADT28" s="128"/>
      <c r="ADU28" s="128"/>
      <c r="ADV28" s="128"/>
      <c r="ADW28" s="128"/>
      <c r="ADX28" s="128"/>
      <c r="ADY28" s="128"/>
      <c r="ADZ28" s="128"/>
      <c r="AEA28" s="128"/>
      <c r="AEB28" s="128"/>
      <c r="AEC28" s="128"/>
      <c r="AED28" s="128"/>
      <c r="AEE28" s="128"/>
      <c r="AEF28" s="128"/>
      <c r="AEG28" s="128"/>
      <c r="AEH28" s="128"/>
      <c r="AEI28" s="128"/>
      <c r="AEJ28" s="128"/>
      <c r="AEK28" s="128"/>
      <c r="AEL28" s="128"/>
      <c r="AEM28" s="128"/>
      <c r="AEN28" s="128"/>
      <c r="AEO28" s="128"/>
      <c r="AEP28" s="128"/>
      <c r="AEQ28" s="128"/>
      <c r="AER28" s="128"/>
      <c r="AES28" s="128"/>
      <c r="AET28" s="128"/>
      <c r="AEU28" s="128"/>
      <c r="AEV28" s="128"/>
      <c r="AEW28" s="128"/>
      <c r="AEX28" s="128"/>
      <c r="AEY28" s="128"/>
      <c r="AEZ28" s="128"/>
      <c r="AFA28" s="128"/>
      <c r="AFB28" s="128"/>
      <c r="AFC28" s="128"/>
      <c r="AFD28" s="128"/>
      <c r="AFE28" s="128"/>
      <c r="AFF28" s="128"/>
      <c r="AFG28" s="128"/>
      <c r="AFH28" s="128"/>
      <c r="AFI28" s="128"/>
      <c r="AFJ28" s="128"/>
      <c r="AFK28" s="128"/>
      <c r="AFL28" s="128"/>
      <c r="AFM28" s="128"/>
      <c r="AFN28" s="128"/>
      <c r="AFO28" s="128"/>
      <c r="AFP28" s="128"/>
      <c r="AFQ28" s="128"/>
      <c r="AFR28" s="128"/>
      <c r="AFS28" s="128"/>
      <c r="AFT28" s="128"/>
      <c r="AFU28" s="128"/>
      <c r="AFV28" s="128"/>
      <c r="AFW28" s="128"/>
      <c r="AFX28" s="128"/>
      <c r="AFY28" s="128"/>
      <c r="AFZ28" s="128"/>
      <c r="AGA28" s="128"/>
      <c r="AGB28" s="128"/>
      <c r="AGC28" s="128"/>
      <c r="AGD28" s="128"/>
      <c r="AGE28" s="128"/>
      <c r="AGF28" s="128"/>
      <c r="AGG28" s="128"/>
      <c r="AGH28" s="128"/>
      <c r="AGI28" s="128"/>
      <c r="AGJ28" s="128"/>
      <c r="AGK28" s="128"/>
      <c r="AGL28" s="128"/>
      <c r="AGM28" s="128"/>
      <c r="AGN28" s="128"/>
      <c r="AGO28" s="128"/>
      <c r="AGP28" s="128"/>
      <c r="AGQ28" s="128"/>
      <c r="AGR28" s="128"/>
      <c r="AGS28" s="128"/>
      <c r="AGT28" s="128"/>
      <c r="AGU28" s="128"/>
      <c r="AGV28" s="128"/>
      <c r="AGW28" s="128"/>
      <c r="AGX28" s="128"/>
      <c r="AGY28" s="128"/>
      <c r="AGZ28" s="128"/>
      <c r="AHA28" s="128"/>
      <c r="AHB28" s="128"/>
      <c r="AHC28" s="128"/>
      <c r="AHD28" s="128"/>
      <c r="AHE28" s="128"/>
      <c r="AHF28" s="128"/>
      <c r="AHG28" s="128"/>
      <c r="AHH28" s="128"/>
      <c r="AHI28" s="128"/>
      <c r="AHJ28" s="128"/>
      <c r="AHK28" s="128"/>
      <c r="AHL28" s="128"/>
      <c r="AHM28" s="128"/>
      <c r="AHN28" s="128"/>
      <c r="AHO28" s="128"/>
      <c r="AHP28" s="128"/>
      <c r="AHQ28" s="128"/>
      <c r="AHR28" s="128"/>
      <c r="AHS28" s="128"/>
      <c r="AHT28" s="128"/>
      <c r="AHU28" s="128"/>
      <c r="AHV28" s="128"/>
      <c r="AHW28" s="128"/>
      <c r="AHX28" s="128"/>
      <c r="AHY28" s="128"/>
      <c r="AHZ28" s="128"/>
      <c r="AIA28" s="128"/>
      <c r="AIB28" s="128"/>
      <c r="AIC28" s="128"/>
      <c r="AID28" s="128"/>
      <c r="AIE28" s="128"/>
      <c r="AIF28" s="128"/>
      <c r="AIG28" s="128"/>
      <c r="AIH28" s="128"/>
      <c r="AII28" s="128"/>
      <c r="AIJ28" s="128"/>
      <c r="AIK28" s="128"/>
      <c r="AIL28" s="128"/>
      <c r="AIM28" s="128"/>
      <c r="AIN28" s="128"/>
      <c r="AIO28" s="128"/>
      <c r="AIP28" s="128"/>
      <c r="AIQ28" s="128"/>
      <c r="AIR28" s="128"/>
      <c r="AIS28" s="128"/>
      <c r="AIT28" s="128"/>
      <c r="AIU28" s="128"/>
      <c r="AIV28" s="128"/>
      <c r="AIW28" s="128"/>
      <c r="AIX28" s="128"/>
      <c r="AIY28" s="128"/>
      <c r="AIZ28" s="128"/>
      <c r="AJA28" s="128"/>
      <c r="AJB28" s="128"/>
      <c r="AJC28" s="128"/>
      <c r="AJD28" s="128"/>
      <c r="AJE28" s="128"/>
      <c r="AJF28" s="128"/>
      <c r="AJG28" s="128"/>
      <c r="AJH28" s="128"/>
      <c r="AJI28" s="128"/>
      <c r="AJJ28" s="128"/>
      <c r="AJK28" s="128"/>
      <c r="AJL28" s="128"/>
      <c r="AJM28" s="128"/>
      <c r="AJN28" s="128"/>
      <c r="AJO28" s="128"/>
      <c r="AJP28" s="128"/>
      <c r="AJQ28" s="128"/>
      <c r="AJR28" s="128"/>
      <c r="AJS28" s="128"/>
      <c r="AJT28" s="128"/>
      <c r="AJU28" s="128"/>
      <c r="AJV28" s="128"/>
      <c r="AJW28" s="128"/>
      <c r="AJX28" s="128"/>
      <c r="AJY28" s="128"/>
      <c r="AJZ28" s="128"/>
      <c r="AKA28" s="128"/>
      <c r="AKB28" s="128"/>
      <c r="AKC28" s="128"/>
      <c r="AKD28" s="128"/>
      <c r="AKE28" s="128"/>
      <c r="AKF28" s="128"/>
      <c r="AKG28" s="128"/>
      <c r="AKH28" s="128"/>
      <c r="AKI28" s="128"/>
      <c r="AKJ28" s="128"/>
      <c r="AKK28" s="128"/>
      <c r="AKL28" s="128"/>
      <c r="AKM28" s="128"/>
      <c r="AKN28" s="128"/>
      <c r="AKO28" s="128"/>
      <c r="AKP28" s="128"/>
      <c r="AKQ28" s="128"/>
      <c r="AKR28" s="128"/>
      <c r="AKS28" s="128"/>
      <c r="AKT28" s="128"/>
      <c r="AKU28" s="128"/>
      <c r="AKV28" s="128"/>
      <c r="AKW28" s="128"/>
      <c r="AKX28" s="128"/>
      <c r="AKY28" s="128"/>
      <c r="AKZ28" s="128"/>
      <c r="ALA28" s="128"/>
      <c r="ALB28" s="128"/>
      <c r="ALC28" s="128"/>
      <c r="ALD28" s="128"/>
      <c r="ALE28" s="128"/>
      <c r="ALF28" s="128"/>
      <c r="ALG28" s="128"/>
      <c r="ALH28" s="128"/>
      <c r="ALI28" s="128"/>
      <c r="ALJ28" s="128"/>
      <c r="ALK28" s="128"/>
      <c r="ALL28" s="128"/>
      <c r="ALM28" s="128"/>
      <c r="ALN28" s="128"/>
      <c r="ALO28" s="128"/>
      <c r="ALP28" s="128"/>
      <c r="ALQ28" s="128"/>
      <c r="ALR28" s="128"/>
      <c r="ALS28"/>
      <c r="ALT28"/>
      <c r="ALU28"/>
    </row>
  </sheetData>
  <mergeCells count="2">
    <mergeCell ref="H1:I2"/>
    <mergeCell ref="P7:Q7"/>
  </mergeCells>
  <conditionalFormatting sqref="A18:F19 A22:F840">
    <cfRule type="expression" dxfId="825" priority="77">
      <formula>OR($W18="X",$V18="X")</formula>
    </cfRule>
    <cfRule type="expression" dxfId="824" priority="78">
      <formula>AND($W18=1,$V18=1)</formula>
    </cfRule>
    <cfRule type="expression" dxfId="823" priority="79">
      <formula>$W18=1</formula>
    </cfRule>
    <cfRule type="expression" dxfId="822" priority="80">
      <formula>$V18=1</formula>
    </cfRule>
  </conditionalFormatting>
  <conditionalFormatting sqref="A9:G9 B10:G14 A10:A16 C15:G15">
    <cfRule type="expression" dxfId="821" priority="71">
      <formula>$W9=1</formula>
    </cfRule>
    <cfRule type="expression" dxfId="820" priority="82">
      <formula>AND($W9=1,#REF!=1)</formula>
    </cfRule>
    <cfRule type="expression" dxfId="819" priority="83">
      <formula>AND(NOT(ISBLANK($Q9)),ISBLANK(#REF!),ISBLANK($W9))</formula>
    </cfRule>
  </conditionalFormatting>
  <conditionalFormatting sqref="A9:G9 B10:G14 A10:A16">
    <cfRule type="expression" dxfId="818" priority="81">
      <formula>#REF!=1</formula>
    </cfRule>
    <cfRule type="expression" dxfId="817" priority="84">
      <formula>OR($W9="X",#REF!="X")</formula>
    </cfRule>
  </conditionalFormatting>
  <conditionalFormatting sqref="C9:C11">
    <cfRule type="expression" dxfId="816" priority="72">
      <formula>AND($L9="X",$B9&lt;&gt;"")</formula>
    </cfRule>
  </conditionalFormatting>
  <conditionalFormatting sqref="C12">
    <cfRule type="expression" dxfId="815" priority="99">
      <formula>AND($AD16=1,$AC16=1)</formula>
    </cfRule>
    <cfRule type="expression" dxfId="814" priority="102">
      <formula>AND(NOT(ISBLANK($W16)),ISBLANK($AC16),ISBLANK($AD16))</formula>
    </cfRule>
    <cfRule type="expression" dxfId="813" priority="101">
      <formula>$AC16=1</formula>
    </cfRule>
    <cfRule type="expression" dxfId="812" priority="100">
      <formula>$AD16=1</formula>
    </cfRule>
    <cfRule type="expression" dxfId="811" priority="98">
      <formula>OR($AD16="X",$AC16="X")</formula>
    </cfRule>
  </conditionalFormatting>
  <conditionalFormatting sqref="C13">
    <cfRule type="expression" dxfId="810" priority="1673">
      <formula>#REF!=1</formula>
    </cfRule>
    <cfRule type="expression" dxfId="809" priority="1672">
      <formula>#REF!=1</formula>
    </cfRule>
    <cfRule type="expression" dxfId="808" priority="1671">
      <formula>AND(#REF!=1,#REF!=1)</formula>
    </cfRule>
    <cfRule type="expression" dxfId="807" priority="1670">
      <formula>OR(#REF!="X",#REF!="X")</formula>
    </cfRule>
    <cfRule type="expression" dxfId="806" priority="1674">
      <formula>AND(NOT(ISBLANK(#REF!)),ISBLANK(#REF!),ISBLANK(#REF!))</formula>
    </cfRule>
  </conditionalFormatting>
  <conditionalFormatting sqref="C14">
    <cfRule type="expression" dxfId="805" priority="1647">
      <formula>AND(#REF!=1,#REF!=1)</formula>
    </cfRule>
    <cfRule type="expression" dxfId="804" priority="1649">
      <formula>#REF!=1</formula>
    </cfRule>
    <cfRule type="expression" dxfId="803" priority="1650">
      <formula>AND(NOT(ISBLANK(#REF!)),ISBLANK(#REF!),ISBLANK(#REF!))</formula>
    </cfRule>
    <cfRule type="expression" dxfId="802" priority="1648">
      <formula>#REF!=1</formula>
    </cfRule>
    <cfRule type="expression" dxfId="801" priority="1646">
      <formula>OR(#REF!="X",#REF!="X")</formula>
    </cfRule>
  </conditionalFormatting>
  <conditionalFormatting sqref="C15:G15">
    <cfRule type="expression" dxfId="800" priority="85">
      <formula>OR($W15="X",#REF!="X")</formula>
    </cfRule>
    <cfRule type="expression" dxfId="799" priority="86">
      <formula>#REF!=1</formula>
    </cfRule>
  </conditionalFormatting>
  <conditionalFormatting sqref="D9:D11">
    <cfRule type="expression" dxfId="798" priority="73">
      <formula>AND($L9="X",OR($B9&lt;&gt;"",$C9&lt;&gt;""))</formula>
    </cfRule>
  </conditionalFormatting>
  <conditionalFormatting sqref="D12:D14">
    <cfRule type="expression" dxfId="797" priority="103">
      <formula>AND($L12="X",OR($B12&lt;&gt;"",#REF!&lt;&gt;""))</formula>
    </cfRule>
  </conditionalFormatting>
  <conditionalFormatting sqref="D15">
    <cfRule type="expression" dxfId="796" priority="94">
      <formula>AND($L15="X",OR($C15&lt;&gt;"",#REF!&lt;&gt;""))</formula>
    </cfRule>
  </conditionalFormatting>
  <conditionalFormatting sqref="D16">
    <cfRule type="expression" dxfId="795" priority="145">
      <formula>AND($R16="X",OR($C12&lt;&gt;"",#REF!&lt;&gt;""))</formula>
    </cfRule>
  </conditionalFormatting>
  <conditionalFormatting sqref="D16:G16">
    <cfRule type="expression" dxfId="794" priority="60">
      <formula>OR($AD16="X",$AC16="X")</formula>
    </cfRule>
    <cfRule type="expression" dxfId="793" priority="61">
      <formula>AND($AD16=1,$AC16=1)</formula>
    </cfRule>
    <cfRule type="expression" dxfId="792" priority="62">
      <formula>$AD16=1</formula>
    </cfRule>
    <cfRule type="expression" dxfId="791" priority="64">
      <formula>AND(NOT(ISBLANK($W16)),ISBLANK($AC16),ISBLANK($AD16))</formula>
    </cfRule>
    <cfRule type="expression" dxfId="790" priority="63">
      <formula>$AC16=1</formula>
    </cfRule>
  </conditionalFormatting>
  <conditionalFormatting sqref="E9:E11">
    <cfRule type="expression" dxfId="789" priority="74">
      <formula>AND($L9="X",OR($B9&lt;&gt;"",$C9&lt;&gt;"",$D9&lt;&gt;""))</formula>
    </cfRule>
  </conditionalFormatting>
  <conditionalFormatting sqref="E12:E14">
    <cfRule type="expression" dxfId="788" priority="104">
      <formula>AND($L12="X",OR($B12&lt;&gt;"",#REF!&lt;&gt;"",$D12&lt;&gt;""))</formula>
    </cfRule>
  </conditionalFormatting>
  <conditionalFormatting sqref="E15">
    <cfRule type="expression" dxfId="787" priority="95">
      <formula>AND($L15="X",OR($C15&lt;&gt;"",#REF!&lt;&gt;"",$D15&lt;&gt;""))</formula>
    </cfRule>
  </conditionalFormatting>
  <conditionalFormatting sqref="E16">
    <cfRule type="expression" dxfId="786" priority="146">
      <formula>AND($R16="X",OR($C12&lt;&gt;"",#REF!&lt;&gt;"",$D16&lt;&gt;""))</formula>
    </cfRule>
  </conditionalFormatting>
  <conditionalFormatting sqref="F1:F2">
    <cfRule type="dataBar" priority="69">
      <dataBar>
        <cfvo type="num" val="0"/>
        <cfvo type="num" val="1"/>
        <color rgb="FF63C384"/>
      </dataBar>
      <extLst>
        <ext xmlns:x14="http://schemas.microsoft.com/office/spreadsheetml/2009/9/main" uri="{B025F937-C7B1-47D3-B67F-A62EFF666E3E}">
          <x14:id>{90ED9338-EF51-47C2-90DC-0D02B06F8B55}</x14:id>
        </ext>
      </extLst>
    </cfRule>
  </conditionalFormatting>
  <conditionalFormatting sqref="F9:F11">
    <cfRule type="expression" dxfId="785" priority="75">
      <formula>AND($L9="X",OR($B9&lt;&gt;"",$C9&lt;&gt;"",$D9&lt;&gt;"",$E9&lt;&gt;""))</formula>
    </cfRule>
  </conditionalFormatting>
  <conditionalFormatting sqref="F12:F14">
    <cfRule type="expression" dxfId="784" priority="105">
      <formula>AND($L12="X",OR($B12&lt;&gt;"",#REF!&lt;&gt;"",$D12&lt;&gt;"",$E12&lt;&gt;""))</formula>
    </cfRule>
  </conditionalFormatting>
  <conditionalFormatting sqref="F15">
    <cfRule type="expression" dxfId="783" priority="96">
      <formula>AND($L15="X",OR($C15&lt;&gt;"",#REF!&lt;&gt;"",$D15&lt;&gt;"",$E15&lt;&gt;""))</formula>
    </cfRule>
  </conditionalFormatting>
  <conditionalFormatting sqref="F16">
    <cfRule type="expression" dxfId="782" priority="147">
      <formula>AND($R16="X",OR($C12&lt;&gt;"",#REF!&lt;&gt;"",$D16&lt;&gt;"",$E16&lt;&gt;""))</formula>
    </cfRule>
  </conditionalFormatting>
  <conditionalFormatting sqref="G9:G11">
    <cfRule type="expression" dxfId="781" priority="76">
      <formula>AND($L9="X",OR($B9&lt;&gt;"",$C9&lt;&gt;"",$D9&lt;&gt;"",$E9&lt;&gt;"",$F9&lt;&gt;""))</formula>
    </cfRule>
  </conditionalFormatting>
  <conditionalFormatting sqref="G12:G14">
    <cfRule type="expression" dxfId="780" priority="106">
      <formula>AND($L12="X",OR($B12&lt;&gt;"",#REF!&lt;&gt;"",$D12&lt;&gt;"",$E12&lt;&gt;"",$F12&lt;&gt;""))</formula>
    </cfRule>
  </conditionalFormatting>
  <conditionalFormatting sqref="G15">
    <cfRule type="expression" dxfId="779" priority="97">
      <formula>AND($L15="X",OR($C15&lt;&gt;"",#REF!&lt;&gt;"",$D15&lt;&gt;"",$E15&lt;&gt;"",$F15&lt;&gt;""))</formula>
    </cfRule>
  </conditionalFormatting>
  <conditionalFormatting sqref="G16">
    <cfRule type="expression" dxfId="778" priority="148">
      <formula>AND($R16="X",OR($C12&lt;&gt;"",#REF!&lt;&gt;"",$D16&lt;&gt;"",$E16&lt;&gt;"",$F16&lt;&gt;""))</formula>
    </cfRule>
  </conditionalFormatting>
  <conditionalFormatting sqref="H18:H19 H22:H840">
    <cfRule type="expression" dxfId="777" priority="70">
      <formula>$K18="X"</formula>
    </cfRule>
  </conditionalFormatting>
  <conditionalFormatting sqref="I11">
    <cfRule type="expression" dxfId="776" priority="59">
      <formula>$R16="X"</formula>
    </cfRule>
  </conditionalFormatting>
  <conditionalFormatting sqref="K9:K10">
    <cfRule type="cellIs" dxfId="775" priority="2" operator="equal">
      <formula>"0..n"</formula>
    </cfRule>
    <cfRule type="cellIs" dxfId="774" priority="3" operator="equal">
      <formula>"0..1"</formula>
    </cfRule>
    <cfRule type="cellIs" dxfId="773" priority="1" operator="equal">
      <formula>"1..1"</formula>
    </cfRule>
  </conditionalFormatting>
  <conditionalFormatting sqref="K12 K15">
    <cfRule type="cellIs" dxfId="772" priority="65" operator="equal">
      <formula>"1..1"</formula>
    </cfRule>
    <cfRule type="cellIs" dxfId="771" priority="67" operator="equal">
      <formula>"0..1"</formula>
    </cfRule>
    <cfRule type="cellIs" dxfId="770" priority="66"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90ED9338-EF51-47C2-90DC-0D02B06F8B5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U50"/>
  <sheetViews>
    <sheetView zoomScale="85" zoomScaleNormal="85" workbookViewId="0">
      <pane xSplit="7" ySplit="8" topLeftCell="I9" activePane="bottomRight" state="frozen"/>
      <selection pane="bottomRight" activeCell="F44" sqref="F44"/>
      <selection pane="bottomLeft" activeCell="A9" sqref="A9"/>
      <selection pane="topRight" activeCell="H1" sqref="H1"/>
    </sheetView>
  </sheetViews>
  <sheetFormatPr defaultColWidth="9.5" defaultRowHeight="12" customHeight="1"/>
  <cols>
    <col min="1" max="1" width="4.625" style="128" customWidth="1"/>
    <col min="2" max="2" width="31.1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17.875" style="159" customWidth="1"/>
    <col min="11" max="11" width="10.5" style="96" customWidth="1"/>
    <col min="12" max="12" width="6" style="173" customWidth="1"/>
    <col min="13" max="13" width="18.5" style="96" customWidth="1"/>
    <col min="14" max="14" width="12.625" style="278" customWidth="1"/>
    <col min="15" max="15" width="28.125" style="96" customWidth="1"/>
    <col min="16" max="16" width="8.875" style="96" customWidth="1"/>
    <col min="17" max="17" width="8.125" style="96" customWidth="1"/>
    <col min="18" max="18" width="2.37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c r="C1" s="129"/>
      <c r="E1" s="150"/>
      <c r="F1" s="157"/>
      <c r="G1" s="128"/>
      <c r="H1" s="692"/>
      <c r="I1" s="692"/>
      <c r="X1" s="128"/>
      <c r="ALR1"/>
    </row>
    <row r="2" spans="1:1006" ht="13.5" customHeight="1">
      <c r="C2" s="141"/>
      <c r="D2" s="285"/>
      <c r="E2" s="152"/>
      <c r="F2" s="157"/>
      <c r="G2" s="128"/>
      <c r="H2" s="692"/>
      <c r="I2" s="692"/>
      <c r="X2" s="128"/>
      <c r="ALR2"/>
    </row>
    <row r="3" spans="1:1006" ht="13.5" customHeight="1">
      <c r="C3" s="142"/>
      <c r="E3" s="151"/>
      <c r="G3" s="128"/>
      <c r="X3" s="128"/>
      <c r="ALR3"/>
    </row>
    <row r="4" spans="1:1006" ht="13.5" customHeight="1">
      <c r="C4" s="143"/>
      <c r="E4" s="153"/>
      <c r="G4" s="137"/>
      <c r="X4" s="128"/>
      <c r="ALR4"/>
    </row>
    <row r="5" spans="1:1006" s="149" customFormat="1" ht="13.5" customHeight="1">
      <c r="A5" s="128"/>
      <c r="B5" s="128"/>
      <c r="C5" s="145"/>
      <c r="D5" s="146"/>
      <c r="E5" s="291"/>
      <c r="F5" s="146"/>
      <c r="G5" s="148"/>
      <c r="H5" s="148"/>
      <c r="I5" s="275"/>
      <c r="J5" s="160"/>
      <c r="K5" s="148"/>
      <c r="L5" s="186"/>
      <c r="M5" s="148"/>
      <c r="N5" s="280"/>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8"/>
      <c r="E7" s="138"/>
      <c r="F7" s="138"/>
      <c r="P7" s="695" t="s">
        <v>829</v>
      </c>
      <c r="Q7" s="695"/>
      <c r="W7" s="668" t="s">
        <v>685</v>
      </c>
      <c r="X7" s="128"/>
      <c r="ALR7"/>
    </row>
    <row r="8" spans="1:1006" s="238" customFormat="1" ht="55.5" customHeight="1">
      <c r="A8" s="233" t="s">
        <v>831</v>
      </c>
      <c r="B8" s="382" t="s">
        <v>832</v>
      </c>
      <c r="C8" s="279" t="s">
        <v>833</v>
      </c>
      <c r="D8" s="279" t="s">
        <v>834</v>
      </c>
      <c r="E8" s="279" t="s">
        <v>835</v>
      </c>
      <c r="F8" s="279" t="s">
        <v>836</v>
      </c>
      <c r="G8" s="279" t="s">
        <v>837</v>
      </c>
      <c r="H8" s="234" t="s">
        <v>9</v>
      </c>
      <c r="I8" s="234" t="s">
        <v>838</v>
      </c>
      <c r="J8" s="234" t="s">
        <v>2147</v>
      </c>
      <c r="K8" s="234" t="s">
        <v>677</v>
      </c>
      <c r="L8" s="234" t="s">
        <v>3</v>
      </c>
      <c r="M8" s="234" t="s">
        <v>913</v>
      </c>
      <c r="N8" s="284" t="s">
        <v>914</v>
      </c>
      <c r="O8" s="234" t="s">
        <v>849</v>
      </c>
      <c r="P8" s="229" t="s">
        <v>850</v>
      </c>
      <c r="Q8" s="229" t="s">
        <v>851</v>
      </c>
      <c r="R8" s="230" t="s">
        <v>852</v>
      </c>
      <c r="S8" s="235" t="s">
        <v>853</v>
      </c>
      <c r="T8" s="235" t="s">
        <v>854</v>
      </c>
      <c r="U8" s="236" t="s">
        <v>855</v>
      </c>
      <c r="V8" s="235" t="s">
        <v>856</v>
      </c>
      <c r="W8" s="237" t="s">
        <v>915</v>
      </c>
    </row>
    <row r="9" spans="1:1006" s="224" customFormat="1" ht="13.5" customHeight="1">
      <c r="A9" s="225">
        <v>1</v>
      </c>
      <c r="B9" s="217" t="s">
        <v>916</v>
      </c>
      <c r="C9" s="240"/>
      <c r="D9" s="678"/>
      <c r="E9" s="678"/>
      <c r="F9" s="678"/>
      <c r="G9" s="678"/>
      <c r="H9" s="714" t="s">
        <v>950</v>
      </c>
      <c r="I9" s="317" t="s">
        <v>951</v>
      </c>
      <c r="J9" s="715" t="s">
        <v>919</v>
      </c>
      <c r="K9" s="714" t="s">
        <v>820</v>
      </c>
      <c r="L9" s="716"/>
      <c r="M9" s="714" t="s">
        <v>863</v>
      </c>
      <c r="N9" s="717"/>
      <c r="O9" s="714"/>
      <c r="P9" s="718"/>
      <c r="Q9" s="718" t="s">
        <v>864</v>
      </c>
      <c r="R9" s="232"/>
      <c r="S9" s="719"/>
      <c r="T9" s="714"/>
      <c r="U9" s="720"/>
      <c r="V9" s="714"/>
      <c r="W9" s="717">
        <v>1</v>
      </c>
    </row>
    <row r="10" spans="1:1006" s="224" customFormat="1" ht="13.5" customHeight="1">
      <c r="A10" s="225">
        <v>2</v>
      </c>
      <c r="B10" s="217" t="s">
        <v>2201</v>
      </c>
      <c r="C10" s="240"/>
      <c r="D10" s="241"/>
      <c r="E10" s="241"/>
      <c r="F10" s="241"/>
      <c r="G10" s="241"/>
      <c r="H10" s="714" t="s">
        <v>2219</v>
      </c>
      <c r="I10" s="730"/>
      <c r="J10" s="715"/>
      <c r="K10" s="714" t="s">
        <v>820</v>
      </c>
      <c r="L10" s="716"/>
      <c r="M10" s="714"/>
      <c r="N10" s="717"/>
      <c r="O10" s="714"/>
      <c r="P10" s="718"/>
      <c r="Q10" s="718" t="s">
        <v>864</v>
      </c>
      <c r="R10" s="232"/>
      <c r="S10" s="719"/>
      <c r="T10" s="714"/>
      <c r="U10" s="720"/>
      <c r="V10" s="714"/>
      <c r="W10" s="717"/>
    </row>
    <row r="11" spans="1:1006" s="224" customFormat="1" ht="13.5" customHeight="1">
      <c r="A11" s="225">
        <v>3</v>
      </c>
      <c r="B11" s="217" t="s">
        <v>2220</v>
      </c>
      <c r="C11" s="240"/>
      <c r="D11" s="241"/>
      <c r="E11" s="241"/>
      <c r="F11" s="241"/>
      <c r="G11" s="241"/>
      <c r="H11" s="714" t="s">
        <v>2205</v>
      </c>
      <c r="I11" s="715" t="s">
        <v>930</v>
      </c>
      <c r="J11" s="714" t="s">
        <v>2206</v>
      </c>
      <c r="K11" s="714" t="s">
        <v>817</v>
      </c>
      <c r="L11" s="716" t="s">
        <v>864</v>
      </c>
      <c r="M11" s="714" t="s">
        <v>2207</v>
      </c>
      <c r="N11" s="717"/>
      <c r="O11" s="714" t="s">
        <v>932</v>
      </c>
      <c r="P11" s="718"/>
      <c r="Q11" s="718" t="s">
        <v>864</v>
      </c>
      <c r="R11" s="232"/>
      <c r="S11" s="719"/>
      <c r="T11" s="714"/>
      <c r="U11" s="720"/>
      <c r="V11" s="714"/>
      <c r="W11" s="717"/>
    </row>
    <row r="12" spans="1:1006" s="224" customFormat="1" ht="13.5" customHeight="1">
      <c r="A12" s="225">
        <v>4</v>
      </c>
      <c r="B12" s="217"/>
      <c r="C12" s="217" t="s">
        <v>2221</v>
      </c>
      <c r="D12" s="241"/>
      <c r="E12" s="241"/>
      <c r="F12" s="241"/>
      <c r="G12" s="241"/>
      <c r="H12" s="714" t="s">
        <v>2209</v>
      </c>
      <c r="I12" s="730"/>
      <c r="J12" s="715" t="s">
        <v>2156</v>
      </c>
      <c r="K12" s="714" t="s">
        <v>820</v>
      </c>
      <c r="L12" s="716"/>
      <c r="M12" s="714" t="s">
        <v>879</v>
      </c>
      <c r="N12" s="717"/>
      <c r="O12" s="714" t="s">
        <v>932</v>
      </c>
      <c r="P12" s="718"/>
      <c r="Q12" s="718" t="s">
        <v>864</v>
      </c>
      <c r="R12" s="232"/>
      <c r="S12" s="719"/>
      <c r="T12" s="714"/>
      <c r="U12" s="720"/>
      <c r="V12" s="714"/>
      <c r="W12" s="717"/>
    </row>
    <row r="13" spans="1:1006" s="224" customFormat="1" ht="13.5" customHeight="1">
      <c r="A13" s="225">
        <v>9</v>
      </c>
      <c r="B13" s="217"/>
      <c r="C13" s="678" t="s">
        <v>2222</v>
      </c>
      <c r="D13" s="241"/>
      <c r="E13" s="241"/>
      <c r="F13" s="241"/>
      <c r="G13" s="241"/>
      <c r="H13" s="714" t="s">
        <v>2223</v>
      </c>
      <c r="I13" s="715"/>
      <c r="J13" s="715"/>
      <c r="K13" s="714" t="s">
        <v>820</v>
      </c>
      <c r="L13" s="714"/>
      <c r="M13" s="714" t="s">
        <v>863</v>
      </c>
      <c r="N13" s="717"/>
      <c r="O13" s="714"/>
      <c r="P13" s="718"/>
      <c r="Q13" s="718" t="s">
        <v>864</v>
      </c>
      <c r="R13" s="232"/>
      <c r="S13" s="719"/>
      <c r="T13" s="714"/>
      <c r="U13" s="720"/>
      <c r="V13" s="714"/>
      <c r="W13" s="717"/>
      <c r="X13" s="232"/>
      <c r="Y13" s="719"/>
      <c r="Z13" s="714"/>
      <c r="AA13" s="715"/>
      <c r="AB13" s="714"/>
      <c r="AC13" s="717"/>
      <c r="AD13" s="717"/>
      <c r="AE13" s="717"/>
    </row>
    <row r="14" spans="1:1006" s="224" customFormat="1" ht="13.5" customHeight="1">
      <c r="A14" s="225">
        <v>10</v>
      </c>
      <c r="B14" s="217"/>
      <c r="C14" s="678" t="s">
        <v>2224</v>
      </c>
      <c r="D14" s="241"/>
      <c r="E14" s="241"/>
      <c r="F14" s="241"/>
      <c r="G14" s="241"/>
      <c r="H14" s="714" t="s">
        <v>2225</v>
      </c>
      <c r="I14" s="715"/>
      <c r="J14" s="715"/>
      <c r="K14" s="714" t="s">
        <v>817</v>
      </c>
      <c r="L14" s="714"/>
      <c r="M14" s="714" t="s">
        <v>863</v>
      </c>
      <c r="N14" s="717"/>
      <c r="O14" s="714"/>
      <c r="P14" s="718"/>
      <c r="Q14" s="718" t="s">
        <v>864</v>
      </c>
      <c r="R14" s="232"/>
      <c r="S14" s="719"/>
      <c r="T14" s="714"/>
      <c r="U14" s="720"/>
      <c r="V14" s="714"/>
      <c r="W14" s="717"/>
      <c r="X14" s="232"/>
      <c r="Y14" s="719"/>
      <c r="Z14" s="714"/>
      <c r="AA14" s="715"/>
      <c r="AB14" s="714"/>
      <c r="AC14" s="717"/>
      <c r="AD14" s="717"/>
      <c r="AE14" s="717"/>
    </row>
    <row r="15" spans="1:1006" s="224" customFormat="1" ht="13.5" customHeight="1">
      <c r="A15" s="225">
        <v>8</v>
      </c>
      <c r="B15" s="217"/>
      <c r="C15" s="217" t="s">
        <v>2226</v>
      </c>
      <c r="D15" s="241"/>
      <c r="E15" s="241"/>
      <c r="F15" s="241"/>
      <c r="G15" s="241"/>
      <c r="H15" s="714" t="s">
        <v>2227</v>
      </c>
      <c r="I15" s="715"/>
      <c r="J15" s="715" t="s">
        <v>939</v>
      </c>
      <c r="K15" s="714" t="s">
        <v>817</v>
      </c>
      <c r="L15" s="716"/>
      <c r="M15" s="714" t="s">
        <v>863</v>
      </c>
      <c r="N15" s="714"/>
      <c r="O15" s="714"/>
      <c r="P15" s="716"/>
      <c r="Q15" s="718" t="s">
        <v>864</v>
      </c>
      <c r="R15" s="232"/>
      <c r="S15" s="714"/>
      <c r="T15" s="717"/>
      <c r="U15" s="720"/>
      <c r="V15" s="718"/>
      <c r="W15" s="718"/>
      <c r="X15" s="232"/>
      <c r="Y15" s="719"/>
      <c r="Z15" s="714"/>
      <c r="AA15" s="720"/>
      <c r="AB15" s="714"/>
      <c r="AC15" s="717"/>
      <c r="AD15" s="717"/>
      <c r="AE15" s="718"/>
    </row>
    <row r="16" spans="1:1006" s="224" customFormat="1" ht="14.25" customHeight="1">
      <c r="A16" s="225">
        <v>9</v>
      </c>
      <c r="B16" s="217" t="s">
        <v>2151</v>
      </c>
      <c r="C16" s="240"/>
      <c r="D16" s="241"/>
      <c r="E16" s="241"/>
      <c r="F16" s="241"/>
      <c r="G16" s="241"/>
      <c r="H16" s="714" t="s">
        <v>2152</v>
      </c>
      <c r="I16" s="715"/>
      <c r="J16" s="715" t="s">
        <v>2153</v>
      </c>
      <c r="K16" s="714" t="s">
        <v>823</v>
      </c>
      <c r="L16" s="716" t="s">
        <v>864</v>
      </c>
      <c r="M16" s="243" t="s">
        <v>1365</v>
      </c>
      <c r="N16" s="717"/>
      <c r="O16" s="714"/>
      <c r="P16" s="718"/>
      <c r="Q16" s="718" t="s">
        <v>864</v>
      </c>
      <c r="R16" s="232"/>
      <c r="S16" s="719"/>
      <c r="T16" s="714"/>
      <c r="U16" s="720"/>
      <c r="V16" s="714"/>
      <c r="W16" s="717"/>
    </row>
    <row r="17" spans="1:23" s="224" customFormat="1" ht="14.25" customHeight="1">
      <c r="A17" s="225">
        <v>10</v>
      </c>
      <c r="B17" s="217"/>
      <c r="C17" s="678" t="s">
        <v>2154</v>
      </c>
      <c r="D17" s="241"/>
      <c r="E17" s="241"/>
      <c r="F17" s="241"/>
      <c r="G17" s="241"/>
      <c r="H17" s="714" t="s">
        <v>2155</v>
      </c>
      <c r="I17" s="715"/>
      <c r="J17" s="715" t="s">
        <v>2156</v>
      </c>
      <c r="K17" s="714" t="s">
        <v>820</v>
      </c>
      <c r="L17" s="716"/>
      <c r="M17" s="714" t="s">
        <v>879</v>
      </c>
      <c r="N17" s="717"/>
      <c r="O17" s="714" t="s">
        <v>932</v>
      </c>
      <c r="P17" s="718"/>
      <c r="Q17" s="718" t="s">
        <v>864</v>
      </c>
      <c r="R17" s="232"/>
      <c r="S17" s="719"/>
      <c r="T17" s="714"/>
      <c r="U17" s="720"/>
      <c r="V17" s="714"/>
      <c r="W17" s="717"/>
    </row>
    <row r="18" spans="1:23" s="224" customFormat="1" ht="13.5" customHeight="1">
      <c r="A18" s="225">
        <v>11</v>
      </c>
      <c r="B18" s="217"/>
      <c r="C18" s="218" t="s">
        <v>2157</v>
      </c>
      <c r="D18" s="241"/>
      <c r="E18" s="241"/>
      <c r="F18" s="241"/>
      <c r="G18" s="241"/>
      <c r="H18" s="255" t="s">
        <v>2158</v>
      </c>
      <c r="I18" s="715"/>
      <c r="J18" s="715" t="s">
        <v>2159</v>
      </c>
      <c r="K18" s="714" t="s">
        <v>820</v>
      </c>
      <c r="L18" s="716"/>
      <c r="M18" s="714" t="s">
        <v>863</v>
      </c>
      <c r="N18" s="717"/>
      <c r="O18" s="714"/>
      <c r="P18" s="718"/>
      <c r="Q18" s="718" t="s">
        <v>864</v>
      </c>
      <c r="R18" s="232"/>
      <c r="S18" s="719" t="s">
        <v>2160</v>
      </c>
      <c r="T18" s="714"/>
      <c r="U18" s="720"/>
      <c r="V18" s="714"/>
      <c r="W18" s="717"/>
    </row>
    <row r="19" spans="1:23" s="224" customFormat="1" ht="13.5" customHeight="1">
      <c r="A19" s="225">
        <v>12</v>
      </c>
      <c r="B19" s="217"/>
      <c r="C19" s="241" t="s">
        <v>1102</v>
      </c>
      <c r="D19" s="241"/>
      <c r="E19" s="241"/>
      <c r="F19" s="241"/>
      <c r="G19" s="241"/>
      <c r="H19" s="714" t="s">
        <v>2161</v>
      </c>
      <c r="I19" s="715"/>
      <c r="J19" s="715" t="s">
        <v>970</v>
      </c>
      <c r="K19" s="714" t="s">
        <v>820</v>
      </c>
      <c r="L19" s="716"/>
      <c r="M19" s="714" t="s">
        <v>863</v>
      </c>
      <c r="N19" s="717" t="s">
        <v>864</v>
      </c>
      <c r="O19" s="255" t="s">
        <v>2162</v>
      </c>
      <c r="P19" s="718"/>
      <c r="Q19" s="718" t="s">
        <v>864</v>
      </c>
      <c r="R19" s="232"/>
      <c r="S19" s="719"/>
      <c r="T19" s="714"/>
      <c r="U19" s="720"/>
      <c r="V19" s="714"/>
      <c r="W19" s="717"/>
    </row>
    <row r="20" spans="1:23" s="224" customFormat="1" ht="13.5" customHeight="1">
      <c r="A20" s="225">
        <v>13</v>
      </c>
      <c r="B20" s="217"/>
      <c r="C20" s="678" t="s">
        <v>2163</v>
      </c>
      <c r="D20" s="241"/>
      <c r="E20" s="241"/>
      <c r="F20" s="241"/>
      <c r="G20" s="241"/>
      <c r="H20" s="714"/>
      <c r="I20" s="715"/>
      <c r="J20" s="715" t="s">
        <v>2164</v>
      </c>
      <c r="K20" s="714" t="s">
        <v>817</v>
      </c>
      <c r="L20" s="716"/>
      <c r="M20" s="714" t="s">
        <v>863</v>
      </c>
      <c r="N20" s="717"/>
      <c r="O20" s="714"/>
      <c r="P20" s="718"/>
      <c r="Q20" s="718" t="s">
        <v>864</v>
      </c>
      <c r="R20" s="232"/>
      <c r="S20" s="719"/>
      <c r="T20" s="714"/>
      <c r="U20" s="720"/>
      <c r="V20" s="714"/>
      <c r="W20" s="717"/>
    </row>
    <row r="21" spans="1:23" s="224" customFormat="1" ht="13.5" customHeight="1">
      <c r="A21" s="225">
        <v>14</v>
      </c>
      <c r="B21" s="217"/>
      <c r="C21" s="241" t="s">
        <v>1104</v>
      </c>
      <c r="D21" s="241"/>
      <c r="E21" s="241"/>
      <c r="F21" s="241"/>
      <c r="G21" s="241"/>
      <c r="H21" s="714" t="s">
        <v>2165</v>
      </c>
      <c r="I21" s="715"/>
      <c r="J21" s="715" t="s">
        <v>871</v>
      </c>
      <c r="K21" s="714" t="s">
        <v>817</v>
      </c>
      <c r="L21" s="716"/>
      <c r="M21" s="714" t="s">
        <v>863</v>
      </c>
      <c r="N21" s="717"/>
      <c r="O21" s="714"/>
      <c r="P21" s="718"/>
      <c r="Q21" s="718" t="s">
        <v>864</v>
      </c>
      <c r="R21" s="232"/>
      <c r="S21" s="719"/>
      <c r="T21" s="714"/>
      <c r="U21" s="720"/>
      <c r="V21" s="714"/>
      <c r="W21" s="717"/>
    </row>
    <row r="22" spans="1:23" s="224" customFormat="1" ht="13.5" customHeight="1">
      <c r="A22" s="225">
        <v>15</v>
      </c>
      <c r="B22" s="217"/>
      <c r="C22" s="241" t="s">
        <v>2011</v>
      </c>
      <c r="D22" s="241"/>
      <c r="E22" s="241"/>
      <c r="F22" s="241"/>
      <c r="G22" s="241"/>
      <c r="H22" s="714" t="s">
        <v>2166</v>
      </c>
      <c r="I22" s="715"/>
      <c r="J22" s="715" t="s">
        <v>2167</v>
      </c>
      <c r="K22" s="714" t="s">
        <v>817</v>
      </c>
      <c r="L22" s="716"/>
      <c r="M22" s="714" t="s">
        <v>863</v>
      </c>
      <c r="N22" s="717"/>
      <c r="O22" s="714"/>
      <c r="P22" s="718"/>
      <c r="Q22" s="718" t="s">
        <v>864</v>
      </c>
      <c r="R22" s="232"/>
      <c r="S22" s="719"/>
      <c r="T22" s="714"/>
      <c r="U22" s="720"/>
      <c r="V22" s="714"/>
      <c r="W22" s="717"/>
    </row>
    <row r="23" spans="1:23" s="224" customFormat="1" ht="13.5" customHeight="1">
      <c r="A23" s="225">
        <v>16</v>
      </c>
      <c r="B23" s="217"/>
      <c r="C23" s="241" t="s">
        <v>2168</v>
      </c>
      <c r="D23" s="241"/>
      <c r="E23" s="241"/>
      <c r="F23" s="241"/>
      <c r="G23" s="241"/>
      <c r="H23" s="714" t="s">
        <v>2169</v>
      </c>
      <c r="I23" s="715"/>
      <c r="J23" s="715" t="s">
        <v>2170</v>
      </c>
      <c r="K23" s="714" t="s">
        <v>817</v>
      </c>
      <c r="L23" s="716"/>
      <c r="M23" s="714" t="s">
        <v>863</v>
      </c>
      <c r="N23" s="717"/>
      <c r="O23" s="714"/>
      <c r="P23" s="718"/>
      <c r="Q23" s="718" t="s">
        <v>864</v>
      </c>
      <c r="R23" s="232"/>
      <c r="S23" s="719"/>
      <c r="T23" s="714"/>
      <c r="U23" s="720"/>
      <c r="V23" s="714"/>
      <c r="W23" s="717"/>
    </row>
    <row r="24" spans="1:23" s="224" customFormat="1" ht="13.5" customHeight="1">
      <c r="A24" s="225">
        <v>17</v>
      </c>
      <c r="B24" s="217"/>
      <c r="C24" s="241" t="s">
        <v>2171</v>
      </c>
      <c r="D24" s="241"/>
      <c r="E24" s="241"/>
      <c r="F24" s="241"/>
      <c r="G24" s="241"/>
      <c r="H24" s="714"/>
      <c r="I24" s="715"/>
      <c r="J24" s="715" t="s">
        <v>2172</v>
      </c>
      <c r="K24" s="714" t="s">
        <v>817</v>
      </c>
      <c r="L24" s="716"/>
      <c r="M24" s="714" t="s">
        <v>863</v>
      </c>
      <c r="N24" s="717"/>
      <c r="O24" s="714"/>
      <c r="P24" s="718"/>
      <c r="Q24" s="718" t="s">
        <v>864</v>
      </c>
      <c r="R24" s="232"/>
      <c r="S24" s="719"/>
      <c r="T24" s="714"/>
      <c r="U24" s="720"/>
      <c r="V24" s="714"/>
      <c r="W24" s="717"/>
    </row>
    <row r="25" spans="1:23" s="224" customFormat="1" ht="13.5" customHeight="1">
      <c r="A25" s="225">
        <v>18</v>
      </c>
      <c r="B25" s="217"/>
      <c r="C25" s="241" t="s">
        <v>2173</v>
      </c>
      <c r="D25" s="241"/>
      <c r="E25" s="241"/>
      <c r="F25" s="241"/>
      <c r="G25" s="241"/>
      <c r="H25" s="714" t="s">
        <v>2174</v>
      </c>
      <c r="I25" s="715"/>
      <c r="J25" s="715" t="s">
        <v>2175</v>
      </c>
      <c r="K25" s="714" t="s">
        <v>817</v>
      </c>
      <c r="L25" s="716"/>
      <c r="M25" s="714" t="s">
        <v>863</v>
      </c>
      <c r="N25" s="717"/>
      <c r="O25" s="714"/>
      <c r="P25" s="718"/>
      <c r="Q25" s="718" t="s">
        <v>864</v>
      </c>
      <c r="R25" s="232"/>
      <c r="S25" s="719"/>
      <c r="T25" s="714"/>
      <c r="U25" s="720"/>
      <c r="V25" s="714"/>
      <c r="W25" s="717"/>
    </row>
    <row r="26" spans="1:23" s="224" customFormat="1" ht="13.5" customHeight="1">
      <c r="A26" s="225">
        <v>19</v>
      </c>
      <c r="B26" s="217"/>
      <c r="C26" s="241" t="s">
        <v>2176</v>
      </c>
      <c r="D26" s="241"/>
      <c r="E26" s="241"/>
      <c r="F26" s="241"/>
      <c r="G26" s="241"/>
      <c r="H26" s="714" t="s">
        <v>2176</v>
      </c>
      <c r="I26" s="715"/>
      <c r="J26" s="715" t="s">
        <v>2177</v>
      </c>
      <c r="K26" s="714" t="s">
        <v>817</v>
      </c>
      <c r="L26" s="716"/>
      <c r="M26" s="714" t="s">
        <v>863</v>
      </c>
      <c r="N26" s="717"/>
      <c r="O26" s="714"/>
      <c r="P26" s="718"/>
      <c r="Q26" s="718" t="s">
        <v>864</v>
      </c>
      <c r="R26" s="232"/>
      <c r="S26" s="719"/>
      <c r="T26" s="714"/>
      <c r="U26" s="720"/>
      <c r="V26" s="714"/>
      <c r="W26" s="717"/>
    </row>
    <row r="27" spans="1:23" s="224" customFormat="1" ht="13.5" customHeight="1">
      <c r="A27" s="225">
        <v>20</v>
      </c>
      <c r="B27" s="217"/>
      <c r="C27" s="241" t="s">
        <v>2178</v>
      </c>
      <c r="D27" s="241"/>
      <c r="E27" s="241"/>
      <c r="F27" s="241"/>
      <c r="G27" s="241"/>
      <c r="H27" s="714" t="s">
        <v>2178</v>
      </c>
      <c r="I27" s="715"/>
      <c r="J27" s="715" t="s">
        <v>2179</v>
      </c>
      <c r="K27" s="714" t="s">
        <v>817</v>
      </c>
      <c r="L27" s="716"/>
      <c r="M27" s="714" t="s">
        <v>863</v>
      </c>
      <c r="N27" s="717"/>
      <c r="O27" s="714"/>
      <c r="P27" s="718"/>
      <c r="Q27" s="718" t="s">
        <v>864</v>
      </c>
      <c r="R27" s="232"/>
      <c r="S27" s="719"/>
      <c r="T27" s="714"/>
      <c r="U27" s="720"/>
      <c r="V27" s="714"/>
      <c r="W27" s="717"/>
    </row>
    <row r="28" spans="1:23" s="224" customFormat="1" ht="13.5" customHeight="1">
      <c r="A28" s="225">
        <v>21</v>
      </c>
      <c r="B28" s="217"/>
      <c r="C28" s="241" t="s">
        <v>2180</v>
      </c>
      <c r="D28" s="241"/>
      <c r="E28" s="241"/>
      <c r="F28" s="241"/>
      <c r="G28" s="241"/>
      <c r="H28" s="714" t="s">
        <v>2181</v>
      </c>
      <c r="I28" s="715"/>
      <c r="J28" s="715" t="s">
        <v>2182</v>
      </c>
      <c r="K28" s="714" t="s">
        <v>817</v>
      </c>
      <c r="L28" s="716" t="s">
        <v>864</v>
      </c>
      <c r="M28" s="243" t="s">
        <v>2182</v>
      </c>
      <c r="N28" s="717"/>
      <c r="O28" s="714"/>
      <c r="P28" s="718"/>
      <c r="Q28" s="718" t="s">
        <v>864</v>
      </c>
      <c r="R28" s="232"/>
      <c r="S28" s="719"/>
      <c r="T28" s="714"/>
      <c r="U28" s="720"/>
      <c r="V28" s="714"/>
      <c r="W28" s="717"/>
    </row>
    <row r="29" spans="1:23" s="224" customFormat="1" ht="13.5" customHeight="1">
      <c r="A29" s="225">
        <v>22</v>
      </c>
      <c r="B29" s="217"/>
      <c r="C29" s="241"/>
      <c r="D29" s="241" t="s">
        <v>1102</v>
      </c>
      <c r="E29" s="241"/>
      <c r="F29" s="241"/>
      <c r="G29" s="241"/>
      <c r="H29" s="714" t="s">
        <v>2183</v>
      </c>
      <c r="I29" s="715"/>
      <c r="J29" s="715" t="s">
        <v>970</v>
      </c>
      <c r="K29" s="714" t="s">
        <v>817</v>
      </c>
      <c r="L29" s="716"/>
      <c r="M29" s="714" t="s">
        <v>863</v>
      </c>
      <c r="N29" s="717" t="s">
        <v>864</v>
      </c>
      <c r="O29" s="714" t="s">
        <v>2184</v>
      </c>
      <c r="P29" s="718"/>
      <c r="Q29" s="718" t="s">
        <v>864</v>
      </c>
      <c r="R29" s="232"/>
      <c r="S29" s="719" t="s">
        <v>2185</v>
      </c>
      <c r="T29" s="714"/>
      <c r="U29" s="720"/>
      <c r="V29" s="714"/>
      <c r="W29" s="717"/>
    </row>
    <row r="30" spans="1:23" s="224" customFormat="1" ht="13.5" customHeight="1">
      <c r="A30" s="225">
        <v>23</v>
      </c>
      <c r="B30" s="217"/>
      <c r="C30" s="241"/>
      <c r="D30" s="241" t="s">
        <v>1104</v>
      </c>
      <c r="E30" s="241"/>
      <c r="F30" s="241"/>
      <c r="G30" s="241"/>
      <c r="H30" s="714" t="s">
        <v>2186</v>
      </c>
      <c r="I30" s="715"/>
      <c r="J30" s="715" t="s">
        <v>871</v>
      </c>
      <c r="K30" s="714" t="s">
        <v>817</v>
      </c>
      <c r="L30" s="716"/>
      <c r="M30" s="714" t="s">
        <v>863</v>
      </c>
      <c r="N30" s="717"/>
      <c r="O30" s="714"/>
      <c r="P30" s="718"/>
      <c r="Q30" s="718" t="s">
        <v>864</v>
      </c>
      <c r="R30" s="232"/>
      <c r="S30" s="719"/>
      <c r="T30" s="714"/>
      <c r="U30" s="720"/>
      <c r="V30" s="714"/>
      <c r="W30" s="717"/>
    </row>
    <row r="31" spans="1:23" s="224" customFormat="1" ht="13.5" customHeight="1">
      <c r="A31" s="225">
        <v>24</v>
      </c>
      <c r="B31" s="217"/>
      <c r="C31" s="217" t="s">
        <v>2187</v>
      </c>
      <c r="D31" s="241"/>
      <c r="E31" s="241"/>
      <c r="F31" s="241"/>
      <c r="G31" s="241"/>
      <c r="H31" s="714"/>
      <c r="I31" s="715"/>
      <c r="J31" s="715" t="s">
        <v>2188</v>
      </c>
      <c r="K31" s="714" t="s">
        <v>817</v>
      </c>
      <c r="L31" s="716" t="s">
        <v>864</v>
      </c>
      <c r="M31" s="243" t="s">
        <v>2188</v>
      </c>
      <c r="N31" s="717"/>
      <c r="O31" s="714"/>
      <c r="P31" s="718"/>
      <c r="Q31" s="718" t="s">
        <v>864</v>
      </c>
      <c r="R31" s="232"/>
      <c r="S31" s="719"/>
      <c r="T31" s="714"/>
      <c r="U31" s="720"/>
      <c r="V31" s="714"/>
      <c r="W31" s="717"/>
    </row>
    <row r="32" spans="1:23" s="224" customFormat="1" ht="13.5" customHeight="1">
      <c r="A32" s="225">
        <v>25</v>
      </c>
      <c r="B32" s="217"/>
      <c r="C32" s="217"/>
      <c r="D32" s="241" t="s">
        <v>2189</v>
      </c>
      <c r="E32" s="241"/>
      <c r="F32" s="241"/>
      <c r="G32" s="241"/>
      <c r="H32" s="714"/>
      <c r="I32" s="715"/>
      <c r="J32" s="715" t="s">
        <v>2156</v>
      </c>
      <c r="K32" s="714" t="s">
        <v>817</v>
      </c>
      <c r="L32" s="716"/>
      <c r="M32" s="714" t="s">
        <v>879</v>
      </c>
      <c r="N32" s="717"/>
      <c r="O32" s="714" t="s">
        <v>932</v>
      </c>
      <c r="P32" s="718"/>
      <c r="Q32" s="718" t="s">
        <v>864</v>
      </c>
      <c r="R32" s="232"/>
      <c r="S32" s="719"/>
      <c r="T32" s="714"/>
      <c r="U32" s="720"/>
      <c r="V32" s="714"/>
      <c r="W32" s="717"/>
    </row>
    <row r="33" spans="1:1009" s="224" customFormat="1" ht="13.5" customHeight="1">
      <c r="A33" s="225">
        <v>26</v>
      </c>
      <c r="B33" s="217"/>
      <c r="C33" s="217"/>
      <c r="D33" s="241" t="s">
        <v>2190</v>
      </c>
      <c r="E33" s="241"/>
      <c r="F33" s="241"/>
      <c r="G33" s="241"/>
      <c r="H33" s="714" t="s">
        <v>2191</v>
      </c>
      <c r="I33" s="715"/>
      <c r="J33" s="715" t="s">
        <v>888</v>
      </c>
      <c r="K33" s="714" t="s">
        <v>817</v>
      </c>
      <c r="L33" s="716"/>
      <c r="M33" s="714" t="s">
        <v>863</v>
      </c>
      <c r="N33" s="717" t="s">
        <v>864</v>
      </c>
      <c r="O33" s="714" t="s">
        <v>2192</v>
      </c>
      <c r="P33" s="718"/>
      <c r="Q33" s="718" t="s">
        <v>864</v>
      </c>
      <c r="R33" s="232"/>
      <c r="S33" s="719" t="s">
        <v>2185</v>
      </c>
      <c r="T33" s="714"/>
      <c r="U33" s="720"/>
      <c r="V33" s="714"/>
      <c r="W33" s="717"/>
    </row>
    <row r="34" spans="1:1009" s="224" customFormat="1" ht="13.5" customHeight="1">
      <c r="A34" s="225">
        <v>27</v>
      </c>
      <c r="B34" s="217"/>
      <c r="C34" s="217"/>
      <c r="D34" s="241" t="s">
        <v>2193</v>
      </c>
      <c r="E34" s="241"/>
      <c r="F34" s="241"/>
      <c r="G34" s="241"/>
      <c r="H34" s="714" t="s">
        <v>2194</v>
      </c>
      <c r="I34" s="715"/>
      <c r="J34" s="715" t="s">
        <v>2195</v>
      </c>
      <c r="K34" s="714" t="s">
        <v>817</v>
      </c>
      <c r="L34" s="716"/>
      <c r="M34" s="714" t="s">
        <v>863</v>
      </c>
      <c r="N34" s="717" t="s">
        <v>864</v>
      </c>
      <c r="O34" s="714" t="s">
        <v>2196</v>
      </c>
      <c r="P34" s="718"/>
      <c r="Q34" s="718" t="s">
        <v>864</v>
      </c>
      <c r="R34" s="232"/>
      <c r="S34" s="719"/>
      <c r="T34" s="714"/>
      <c r="U34" s="720"/>
      <c r="V34" s="714"/>
      <c r="W34" s="717"/>
    </row>
    <row r="35" spans="1:1009" s="224" customFormat="1" ht="13.5" customHeight="1">
      <c r="A35" s="225">
        <v>28</v>
      </c>
      <c r="B35" s="217"/>
      <c r="C35" s="678" t="s">
        <v>1259</v>
      </c>
      <c r="D35" s="241"/>
      <c r="E35" s="241"/>
      <c r="F35" s="241"/>
      <c r="G35" s="241"/>
      <c r="H35" s="714" t="s">
        <v>2197</v>
      </c>
      <c r="I35" s="715"/>
      <c r="J35" s="715" t="s">
        <v>1264</v>
      </c>
      <c r="K35" s="714" t="s">
        <v>817</v>
      </c>
      <c r="L35" s="716" t="s">
        <v>864</v>
      </c>
      <c r="M35" s="714" t="s">
        <v>1264</v>
      </c>
      <c r="N35" s="717"/>
      <c r="O35" s="714"/>
      <c r="P35" s="718"/>
      <c r="Q35" s="718" t="s">
        <v>864</v>
      </c>
      <c r="R35" s="232"/>
      <c r="S35" s="719"/>
      <c r="T35" s="714"/>
      <c r="U35" s="720"/>
      <c r="V35" s="714"/>
      <c r="W35" s="717"/>
    </row>
    <row r="36" spans="1:1009" s="224" customFormat="1" ht="13.5" customHeight="1">
      <c r="A36" s="225">
        <v>29</v>
      </c>
      <c r="B36" s="217"/>
      <c r="C36" s="241"/>
      <c r="D36" s="241" t="s">
        <v>1266</v>
      </c>
      <c r="E36" s="241"/>
      <c r="F36" s="241"/>
      <c r="G36" s="241"/>
      <c r="H36" s="714" t="s">
        <v>2198</v>
      </c>
      <c r="I36" s="715" t="s">
        <v>1268</v>
      </c>
      <c r="J36" s="715" t="s">
        <v>970</v>
      </c>
      <c r="K36" s="714" t="s">
        <v>817</v>
      </c>
      <c r="L36" s="716"/>
      <c r="M36" s="714" t="s">
        <v>863</v>
      </c>
      <c r="N36" s="717" t="s">
        <v>864</v>
      </c>
      <c r="O36" s="714" t="s">
        <v>1269</v>
      </c>
      <c r="P36" s="718"/>
      <c r="Q36" s="718" t="s">
        <v>864</v>
      </c>
      <c r="R36" s="232"/>
      <c r="S36" s="719"/>
      <c r="T36" s="714"/>
      <c r="U36" s="720"/>
      <c r="V36" s="714"/>
      <c r="W36" s="717"/>
    </row>
    <row r="37" spans="1:1009" s="224" customFormat="1" ht="13.5" customHeight="1">
      <c r="A37" s="225">
        <v>30</v>
      </c>
      <c r="B37" s="217"/>
      <c r="D37" s="224" t="s">
        <v>1271</v>
      </c>
      <c r="F37" s="225"/>
      <c r="G37" s="241"/>
      <c r="H37" s="714" t="s">
        <v>2199</v>
      </c>
      <c r="I37" s="273" t="s">
        <v>1273</v>
      </c>
      <c r="J37" s="715" t="s">
        <v>1013</v>
      </c>
      <c r="K37" s="714" t="s">
        <v>817</v>
      </c>
      <c r="L37" s="716"/>
      <c r="M37" s="714" t="s">
        <v>863</v>
      </c>
      <c r="N37" s="278"/>
      <c r="O37" s="714"/>
      <c r="P37" s="718"/>
      <c r="Q37" s="718" t="s">
        <v>864</v>
      </c>
      <c r="R37" s="232"/>
      <c r="S37" s="719"/>
      <c r="T37" s="714"/>
      <c r="U37" s="720"/>
      <c r="V37" s="714"/>
      <c r="W37" s="717"/>
    </row>
    <row r="38" spans="1:1009" s="224" customFormat="1" ht="13.5" customHeight="1">
      <c r="A38" s="225">
        <v>31</v>
      </c>
      <c r="B38" s="217"/>
      <c r="C38" s="678" t="s">
        <v>12</v>
      </c>
      <c r="D38" s="241"/>
      <c r="E38" s="241"/>
      <c r="F38" s="241"/>
      <c r="G38" s="241"/>
      <c r="H38" s="714" t="s">
        <v>2200</v>
      </c>
      <c r="I38" s="715"/>
      <c r="J38" s="715" t="s">
        <v>939</v>
      </c>
      <c r="K38" s="714" t="s">
        <v>823</v>
      </c>
      <c r="L38" s="716"/>
      <c r="M38" s="714" t="s">
        <v>863</v>
      </c>
      <c r="N38" s="717"/>
      <c r="O38" s="714"/>
      <c r="P38" s="718"/>
      <c r="Q38" s="718"/>
      <c r="R38" s="232"/>
      <c r="S38" s="719"/>
      <c r="T38" s="714"/>
      <c r="U38" s="720"/>
      <c r="V38" s="714"/>
      <c r="W38" s="717"/>
    </row>
    <row r="39" spans="1:1009" s="224" customFormat="1" ht="12" customHeight="1">
      <c r="A39" s="225">
        <f>SUBTOTAL(103,createCase14181419[ID])</f>
        <v>30</v>
      </c>
      <c r="C39" s="225">
        <f>SUBTOTAL(103,createCase14181419[Donnée (Niveau 2)])</f>
        <v>19</v>
      </c>
      <c r="D39" s="225">
        <f>SUBTOTAL(103,createCase14181419[Donnée (Niveau 3)])</f>
        <v>7</v>
      </c>
      <c r="E39" s="225">
        <f>SUBTOTAL(103,createCase14181419[Donnée (Niveau 4)])</f>
        <v>0</v>
      </c>
      <c r="F39" s="225">
        <f>SUBTOTAL(103,createCase14181419[Donnée (Niveau 5)])</f>
        <v>0</v>
      </c>
      <c r="G39" s="225">
        <f>SUBTOTAL(103,createCase14181419[Donnée (Niveau 6)])</f>
        <v>0</v>
      </c>
      <c r="H39" s="225">
        <f>SUBTOTAL(103,createCase14181419[Description])</f>
        <v>26</v>
      </c>
      <c r="I39" s="225">
        <f>SUBTOTAL(103,createCase14181419[Exemples])</f>
        <v>4</v>
      </c>
      <c r="J39" s="239">
        <f>SUBTOTAL(103,createCase14181419[Balise])</f>
        <v>27</v>
      </c>
      <c r="K39" s="225"/>
      <c r="L39" s="234">
        <f>SUBTOTAL(103,createCase14181419[Objet])</f>
        <v>5</v>
      </c>
      <c r="M39" s="225">
        <f>SUBTOTAL(103,createCase14181419[Format (ou type)])</f>
        <v>29</v>
      </c>
      <c r="N39" s="274"/>
      <c r="O39" s="225"/>
      <c r="P39" s="225"/>
      <c r="Q39" s="225"/>
      <c r="S39" s="271">
        <f>SUBTOTAL(103,createCase14181419[Commentaire Hub Santé])</f>
        <v>3</v>
      </c>
      <c r="T39" s="225">
        <f>SUBTOTAL(103,createCase14181419[Commentaire Philippe Dreyfus])</f>
        <v>0</v>
      </c>
      <c r="U39" s="239"/>
      <c r="V39" s="225">
        <f>SUBTOTAL(103,createCase14181419[Commentaire Yann Penverne])</f>
        <v>0</v>
      </c>
      <c r="W39" s="225">
        <f>SUBTOTAL(103,createCase14181419[Métier])-COUNTIFS(createCase14181419[Métier],"=X")</f>
        <v>1</v>
      </c>
    </row>
    <row r="40" spans="1:1009" s="128" customFormat="1" ht="12" customHeight="1">
      <c r="A40" s="3"/>
      <c r="B40" s="3"/>
      <c r="C40" s="131"/>
      <c r="D40" s="131"/>
      <c r="E40" s="131"/>
      <c r="F40" s="131"/>
      <c r="G40" s="5"/>
      <c r="H40" s="155"/>
      <c r="I40" s="225"/>
      <c r="J40" s="155"/>
      <c r="K40" s="5"/>
      <c r="L40" s="188"/>
      <c r="M40" s="5"/>
      <c r="N40" s="56"/>
      <c r="O40" s="56"/>
      <c r="P40" s="714"/>
      <c r="Q40" s="714"/>
      <c r="R40"/>
      <c r="S40" s="178"/>
      <c r="T40" s="5"/>
      <c r="U40" s="159"/>
      <c r="V40" s="56"/>
      <c r="W40" s="56"/>
      <c r="ALS40"/>
      <c r="ALT40"/>
      <c r="ALU40"/>
    </row>
    <row r="41" spans="1:1009" s="128" customFormat="1" ht="12" customHeight="1">
      <c r="A41" s="129"/>
      <c r="B41" s="129"/>
      <c r="C41" s="129"/>
      <c r="D41" s="129"/>
      <c r="E41" s="129"/>
      <c r="F41" s="129"/>
      <c r="G41" s="96"/>
      <c r="H41" s="96"/>
      <c r="I41" s="225"/>
      <c r="J41" s="159"/>
      <c r="K41" s="96"/>
      <c r="L41" s="173"/>
      <c r="M41" s="96"/>
      <c r="N41" s="278"/>
      <c r="O41" s="96"/>
      <c r="P41" s="96"/>
      <c r="Q41" s="96"/>
      <c r="R41"/>
      <c r="S41" s="179"/>
      <c r="T41" s="96"/>
      <c r="U41" s="159"/>
      <c r="V41" s="96"/>
      <c r="W41" s="96"/>
      <c r="ALS41"/>
      <c r="ALT41"/>
      <c r="ALU41"/>
    </row>
    <row r="42" spans="1:1009" s="128" customFormat="1" ht="12" customHeight="1">
      <c r="I42" s="224"/>
      <c r="L42" s="173"/>
      <c r="M42" s="96"/>
      <c r="N42" s="278"/>
      <c r="O42" s="96"/>
      <c r="P42" s="96"/>
      <c r="Q42" s="96"/>
      <c r="R42"/>
      <c r="S42" s="179"/>
      <c r="T42" s="96"/>
      <c r="U42" s="159"/>
      <c r="V42" s="96"/>
      <c r="W42" s="96"/>
      <c r="ALS42"/>
      <c r="ALT42"/>
      <c r="ALU42"/>
    </row>
    <row r="43" spans="1:1009" s="128" customFormat="1" ht="12" customHeight="1">
      <c r="I43" s="224"/>
      <c r="L43" s="173"/>
      <c r="M43" s="96"/>
      <c r="N43" s="278"/>
      <c r="O43" s="96"/>
      <c r="P43" s="96"/>
      <c r="Q43" s="96"/>
      <c r="R43"/>
      <c r="S43" s="179"/>
      <c r="T43" s="96"/>
      <c r="U43" s="159"/>
      <c r="V43" s="96"/>
      <c r="W43" s="96"/>
      <c r="ALS43"/>
      <c r="ALT43"/>
      <c r="ALU43"/>
    </row>
    <row r="44" spans="1:1009" ht="12" customHeight="1">
      <c r="A44" s="123"/>
      <c r="B44" s="123"/>
      <c r="C44" s="123"/>
      <c r="D44" s="123"/>
      <c r="E44" s="123"/>
      <c r="F44" s="123"/>
      <c r="G44" s="112"/>
      <c r="H44" s="112"/>
      <c r="I44" s="277"/>
      <c r="J44" s="161"/>
      <c r="K44" s="112"/>
      <c r="L44" s="190"/>
      <c r="M44" s="112"/>
      <c r="N44" s="125"/>
      <c r="O44" s="112"/>
      <c r="P44" s="112"/>
      <c r="Q44" s="112"/>
      <c r="S44" s="180"/>
      <c r="T44" s="112"/>
      <c r="V44" s="112"/>
      <c r="W44" s="112"/>
    </row>
    <row r="45" spans="1:1009" ht="12" customHeight="1">
      <c r="A45" s="123"/>
      <c r="B45" s="123"/>
      <c r="C45" s="123"/>
      <c r="D45" s="123"/>
      <c r="E45" s="123"/>
      <c r="F45" s="123"/>
      <c r="G45" s="112"/>
      <c r="H45" s="112"/>
      <c r="I45" s="277"/>
      <c r="J45" s="161"/>
      <c r="K45" s="112"/>
      <c r="L45" s="190"/>
      <c r="M45" s="112"/>
      <c r="N45" s="125"/>
      <c r="O45" s="112"/>
      <c r="P45" s="112"/>
      <c r="Q45" s="112"/>
      <c r="S45" s="180"/>
      <c r="T45" s="112"/>
      <c r="V45" s="112"/>
      <c r="W45" s="112"/>
    </row>
    <row r="46" spans="1:1009" ht="12" customHeight="1">
      <c r="A46" s="130"/>
      <c r="B46" s="130"/>
      <c r="C46" s="130"/>
      <c r="D46" s="130"/>
      <c r="E46" s="130"/>
      <c r="F46" s="130"/>
    </row>
    <row r="47" spans="1:1009" ht="12" customHeight="1">
      <c r="A47" s="130"/>
      <c r="B47" s="130"/>
      <c r="C47" s="130"/>
      <c r="D47" s="130"/>
      <c r="E47" s="130"/>
      <c r="F47" s="130"/>
    </row>
    <row r="48" spans="1:1009" s="96" customFormat="1" ht="12" customHeight="1">
      <c r="A48" s="130"/>
      <c r="B48" s="130"/>
      <c r="C48" s="130"/>
      <c r="D48" s="130"/>
      <c r="E48" s="130"/>
      <c r="F48" s="130"/>
      <c r="I48" s="225"/>
      <c r="J48" s="159"/>
      <c r="L48" s="173"/>
      <c r="N48" s="278"/>
      <c r="R48"/>
      <c r="S48" s="179"/>
      <c r="U48" s="159"/>
      <c r="X48"/>
      <c r="Y48" s="128"/>
      <c r="Z48" s="128"/>
      <c r="AA48" s="128"/>
      <c r="AB48" s="128"/>
      <c r="AC48" s="128"/>
      <c r="AD48" s="128"/>
      <c r="AE48" s="128"/>
      <c r="AF48" s="128"/>
      <c r="AG48" s="128"/>
      <c r="AH48" s="128"/>
      <c r="AI48" s="128"/>
      <c r="AJ48" s="128"/>
      <c r="AK48" s="128"/>
      <c r="AL48" s="128"/>
      <c r="AM48" s="128"/>
      <c r="AN48" s="128"/>
      <c r="AO48" s="128"/>
      <c r="AP48" s="128"/>
      <c r="AQ48" s="128"/>
      <c r="AR48" s="128"/>
      <c r="AS48" s="128"/>
      <c r="AT48" s="128"/>
      <c r="AU48" s="128"/>
      <c r="AV48" s="128"/>
      <c r="AW48" s="128"/>
      <c r="AX48" s="128"/>
      <c r="AY48" s="128"/>
      <c r="AZ48" s="128"/>
      <c r="BA48" s="128"/>
      <c r="BB48" s="128"/>
      <c r="BC48" s="128"/>
      <c r="BD48" s="128"/>
      <c r="BE48" s="128"/>
      <c r="BF48" s="128"/>
      <c r="BG48" s="128"/>
      <c r="BH48" s="128"/>
      <c r="BI48" s="128"/>
      <c r="BJ48" s="128"/>
      <c r="BK48" s="128"/>
      <c r="BL48" s="128"/>
      <c r="BM48" s="128"/>
      <c r="BN48" s="128"/>
      <c r="BO48" s="128"/>
      <c r="BP48" s="128"/>
      <c r="BQ48" s="128"/>
      <c r="BR48" s="128"/>
      <c r="BS48" s="128"/>
      <c r="BT48" s="128"/>
      <c r="BU48" s="128"/>
      <c r="BV48" s="128"/>
      <c r="BW48" s="128"/>
      <c r="BX48" s="128"/>
      <c r="BY48" s="128"/>
      <c r="BZ48" s="128"/>
      <c r="CA48" s="128"/>
      <c r="CB48" s="128"/>
      <c r="CC48" s="128"/>
      <c r="CD48" s="128"/>
      <c r="CE48" s="128"/>
      <c r="CF48" s="128"/>
      <c r="CG48" s="128"/>
      <c r="CH48" s="128"/>
      <c r="CI48" s="128"/>
      <c r="CJ48" s="128"/>
      <c r="CK48" s="128"/>
      <c r="CL48" s="128"/>
      <c r="CM48" s="128"/>
      <c r="CN48" s="128"/>
      <c r="CO48" s="128"/>
      <c r="CP48" s="128"/>
      <c r="CQ48" s="128"/>
      <c r="CR48" s="128"/>
      <c r="CS48" s="128"/>
      <c r="CT48" s="128"/>
      <c r="CU48" s="128"/>
      <c r="CV48" s="128"/>
      <c r="CW48" s="128"/>
      <c r="CX48" s="128"/>
      <c r="CY48" s="128"/>
      <c r="CZ48" s="128"/>
      <c r="DA48" s="128"/>
      <c r="DB48" s="128"/>
      <c r="DC48" s="128"/>
      <c r="DD48" s="128"/>
      <c r="DE48" s="128"/>
      <c r="DF48" s="128"/>
      <c r="DG48" s="128"/>
      <c r="DH48" s="128"/>
      <c r="DI48" s="128"/>
      <c r="DJ48" s="128"/>
      <c r="DK48" s="128"/>
      <c r="DL48" s="128"/>
      <c r="DM48" s="128"/>
      <c r="DN48" s="128"/>
      <c r="DO48" s="128"/>
      <c r="DP48" s="128"/>
      <c r="DQ48" s="128"/>
      <c r="DR48" s="128"/>
      <c r="DS48" s="128"/>
      <c r="DT48" s="128"/>
      <c r="DU48" s="128"/>
      <c r="DV48" s="128"/>
      <c r="DW48" s="128"/>
      <c r="DX48" s="128"/>
      <c r="DY48" s="128"/>
      <c r="DZ48" s="128"/>
      <c r="EA48" s="128"/>
      <c r="EB48" s="128"/>
      <c r="EC48" s="128"/>
      <c r="ED48" s="128"/>
      <c r="EE48" s="128"/>
      <c r="EF48" s="128"/>
      <c r="EG48" s="128"/>
      <c r="EH48" s="128"/>
      <c r="EI48" s="128"/>
      <c r="EJ48" s="128"/>
      <c r="EK48" s="128"/>
      <c r="EL48" s="128"/>
      <c r="EM48" s="128"/>
      <c r="EN48" s="128"/>
      <c r="EO48" s="128"/>
      <c r="EP48" s="128"/>
      <c r="EQ48" s="128"/>
      <c r="ER48" s="128"/>
      <c r="ES48" s="128"/>
      <c r="ET48" s="128"/>
      <c r="EU48" s="128"/>
      <c r="EV48" s="128"/>
      <c r="EW48" s="128"/>
      <c r="EX48" s="128"/>
      <c r="EY48" s="128"/>
      <c r="EZ48" s="128"/>
      <c r="FA48" s="128"/>
      <c r="FB48" s="128"/>
      <c r="FC48" s="128"/>
      <c r="FD48" s="128"/>
      <c r="FE48" s="128"/>
      <c r="FF48" s="128"/>
      <c r="FG48" s="128"/>
      <c r="FH48" s="128"/>
      <c r="FI48" s="128"/>
      <c r="FJ48" s="128"/>
      <c r="FK48" s="128"/>
      <c r="FL48" s="128"/>
      <c r="FM48" s="128"/>
      <c r="FN48" s="128"/>
      <c r="FO48" s="128"/>
      <c r="FP48" s="128"/>
      <c r="FQ48" s="128"/>
      <c r="FR48" s="128"/>
      <c r="FS48" s="128"/>
      <c r="FT48" s="128"/>
      <c r="FU48" s="128"/>
      <c r="FV48" s="128"/>
      <c r="FW48" s="128"/>
      <c r="FX48" s="128"/>
      <c r="FY48" s="128"/>
      <c r="FZ48" s="128"/>
      <c r="GA48" s="128"/>
      <c r="GB48" s="128"/>
      <c r="GC48" s="128"/>
      <c r="GD48" s="128"/>
      <c r="GE48" s="128"/>
      <c r="GF48" s="128"/>
      <c r="GG48" s="128"/>
      <c r="GH48" s="128"/>
      <c r="GI48" s="128"/>
      <c r="GJ48" s="128"/>
      <c r="GK48" s="128"/>
      <c r="GL48" s="128"/>
      <c r="GM48" s="128"/>
      <c r="GN48" s="128"/>
      <c r="GO48" s="128"/>
      <c r="GP48" s="128"/>
      <c r="GQ48" s="128"/>
      <c r="GR48" s="128"/>
      <c r="GS48" s="128"/>
      <c r="GT48" s="128"/>
      <c r="GU48" s="128"/>
      <c r="GV48" s="128"/>
      <c r="GW48" s="128"/>
      <c r="GX48" s="128"/>
      <c r="GY48" s="128"/>
      <c r="GZ48" s="128"/>
      <c r="HA48" s="128"/>
      <c r="HB48" s="128"/>
      <c r="HC48" s="128"/>
      <c r="HD48" s="128"/>
      <c r="HE48" s="128"/>
      <c r="HF48" s="128"/>
      <c r="HG48" s="128"/>
      <c r="HH48" s="128"/>
      <c r="HI48" s="128"/>
      <c r="HJ48" s="128"/>
      <c r="HK48" s="128"/>
      <c r="HL48" s="128"/>
      <c r="HM48" s="128"/>
      <c r="HN48" s="128"/>
      <c r="HO48" s="128"/>
      <c r="HP48" s="128"/>
      <c r="HQ48" s="128"/>
      <c r="HR48" s="128"/>
      <c r="HS48" s="128"/>
      <c r="HT48" s="128"/>
      <c r="HU48" s="128"/>
      <c r="HV48" s="128"/>
      <c r="HW48" s="128"/>
      <c r="HX48" s="128"/>
      <c r="HY48" s="128"/>
      <c r="HZ48" s="128"/>
      <c r="IA48" s="128"/>
      <c r="IB48" s="128"/>
      <c r="IC48" s="128"/>
      <c r="ID48" s="128"/>
      <c r="IE48" s="128"/>
      <c r="IF48" s="128"/>
      <c r="IG48" s="128"/>
      <c r="IH48" s="128"/>
      <c r="II48" s="128"/>
      <c r="IJ48" s="128"/>
      <c r="IK48" s="128"/>
      <c r="IL48" s="128"/>
      <c r="IM48" s="128"/>
      <c r="IN48" s="128"/>
      <c r="IO48" s="128"/>
      <c r="IP48" s="128"/>
      <c r="IQ48" s="128"/>
      <c r="IR48" s="128"/>
      <c r="IS48" s="128"/>
      <c r="IT48" s="128"/>
      <c r="IU48" s="128"/>
      <c r="IV48" s="128"/>
      <c r="IW48" s="128"/>
      <c r="IX48" s="128"/>
      <c r="IY48" s="128"/>
      <c r="IZ48" s="128"/>
      <c r="JA48" s="128"/>
      <c r="JB48" s="128"/>
      <c r="JC48" s="128"/>
      <c r="JD48" s="128"/>
      <c r="JE48" s="128"/>
      <c r="JF48" s="128"/>
      <c r="JG48" s="128"/>
      <c r="JH48" s="128"/>
      <c r="JI48" s="128"/>
      <c r="JJ48" s="128"/>
      <c r="JK48" s="128"/>
      <c r="JL48" s="128"/>
      <c r="JM48" s="128"/>
      <c r="JN48" s="128"/>
      <c r="JO48" s="128"/>
      <c r="JP48" s="128"/>
      <c r="JQ48" s="128"/>
      <c r="JR48" s="128"/>
      <c r="JS48" s="128"/>
      <c r="JT48" s="128"/>
      <c r="JU48" s="128"/>
      <c r="JV48" s="128"/>
      <c r="JW48" s="128"/>
      <c r="JX48" s="128"/>
      <c r="JY48" s="128"/>
      <c r="JZ48" s="128"/>
      <c r="KA48" s="128"/>
      <c r="KB48" s="128"/>
      <c r="KC48" s="128"/>
      <c r="KD48" s="128"/>
      <c r="KE48" s="128"/>
      <c r="KF48" s="128"/>
      <c r="KG48" s="128"/>
      <c r="KH48" s="128"/>
      <c r="KI48" s="128"/>
      <c r="KJ48" s="128"/>
      <c r="KK48" s="128"/>
      <c r="KL48" s="128"/>
      <c r="KM48" s="128"/>
      <c r="KN48" s="128"/>
      <c r="KO48" s="128"/>
      <c r="KP48" s="128"/>
      <c r="KQ48" s="128"/>
      <c r="KR48" s="128"/>
      <c r="KS48" s="128"/>
      <c r="KT48" s="128"/>
      <c r="KU48" s="128"/>
      <c r="KV48" s="128"/>
      <c r="KW48" s="128"/>
      <c r="KX48" s="128"/>
      <c r="KY48" s="128"/>
      <c r="KZ48" s="128"/>
      <c r="LA48" s="128"/>
      <c r="LB48" s="128"/>
      <c r="LC48" s="128"/>
      <c r="LD48" s="128"/>
      <c r="LE48" s="128"/>
      <c r="LF48" s="128"/>
      <c r="LG48" s="128"/>
      <c r="LH48" s="128"/>
      <c r="LI48" s="128"/>
      <c r="LJ48" s="128"/>
      <c r="LK48" s="128"/>
      <c r="LL48" s="128"/>
      <c r="LM48" s="128"/>
      <c r="LN48" s="128"/>
      <c r="LO48" s="128"/>
      <c r="LP48" s="128"/>
      <c r="LQ48" s="128"/>
      <c r="LR48" s="128"/>
      <c r="LS48" s="128"/>
      <c r="LT48" s="128"/>
      <c r="LU48" s="128"/>
      <c r="LV48" s="128"/>
      <c r="LW48" s="128"/>
      <c r="LX48" s="128"/>
      <c r="LY48" s="128"/>
      <c r="LZ48" s="128"/>
      <c r="MA48" s="128"/>
      <c r="MB48" s="128"/>
      <c r="MC48" s="128"/>
      <c r="MD48" s="128"/>
      <c r="ME48" s="128"/>
      <c r="MF48" s="128"/>
      <c r="MG48" s="128"/>
      <c r="MH48" s="128"/>
      <c r="MI48" s="128"/>
      <c r="MJ48" s="128"/>
      <c r="MK48" s="128"/>
      <c r="ML48" s="128"/>
      <c r="MM48" s="128"/>
      <c r="MN48" s="128"/>
      <c r="MO48" s="128"/>
      <c r="MP48" s="128"/>
      <c r="MQ48" s="128"/>
      <c r="MR48" s="128"/>
      <c r="MS48" s="128"/>
      <c r="MT48" s="128"/>
      <c r="MU48" s="128"/>
      <c r="MV48" s="128"/>
      <c r="MW48" s="128"/>
      <c r="MX48" s="128"/>
      <c r="MY48" s="128"/>
      <c r="MZ48" s="128"/>
      <c r="NA48" s="128"/>
      <c r="NB48" s="128"/>
      <c r="NC48" s="128"/>
      <c r="ND48" s="128"/>
      <c r="NE48" s="128"/>
      <c r="NF48" s="128"/>
      <c r="NG48" s="128"/>
      <c r="NH48" s="128"/>
      <c r="NI48" s="128"/>
      <c r="NJ48" s="128"/>
      <c r="NK48" s="128"/>
      <c r="NL48" s="128"/>
      <c r="NM48" s="128"/>
      <c r="NN48" s="128"/>
      <c r="NO48" s="128"/>
      <c r="NP48" s="128"/>
      <c r="NQ48" s="128"/>
      <c r="NR48" s="128"/>
      <c r="NS48" s="128"/>
      <c r="NT48" s="128"/>
      <c r="NU48" s="128"/>
      <c r="NV48" s="128"/>
      <c r="NW48" s="128"/>
      <c r="NX48" s="128"/>
      <c r="NY48" s="128"/>
      <c r="NZ48" s="128"/>
      <c r="OA48" s="128"/>
      <c r="OB48" s="128"/>
      <c r="OC48" s="128"/>
      <c r="OD48" s="128"/>
      <c r="OE48" s="128"/>
      <c r="OF48" s="128"/>
      <c r="OG48" s="128"/>
      <c r="OH48" s="128"/>
      <c r="OI48" s="128"/>
      <c r="OJ48" s="128"/>
      <c r="OK48" s="128"/>
      <c r="OL48" s="128"/>
      <c r="OM48" s="128"/>
      <c r="ON48" s="128"/>
      <c r="OO48" s="128"/>
      <c r="OP48" s="128"/>
      <c r="OQ48" s="128"/>
      <c r="OR48" s="128"/>
      <c r="OS48" s="128"/>
      <c r="OT48" s="128"/>
      <c r="OU48" s="128"/>
      <c r="OV48" s="128"/>
      <c r="OW48" s="128"/>
      <c r="OX48" s="128"/>
      <c r="OY48" s="128"/>
      <c r="OZ48" s="128"/>
      <c r="PA48" s="128"/>
      <c r="PB48" s="128"/>
      <c r="PC48" s="128"/>
      <c r="PD48" s="128"/>
      <c r="PE48" s="128"/>
      <c r="PF48" s="128"/>
      <c r="PG48" s="128"/>
      <c r="PH48" s="128"/>
      <c r="PI48" s="128"/>
      <c r="PJ48" s="128"/>
      <c r="PK48" s="128"/>
      <c r="PL48" s="128"/>
      <c r="PM48" s="128"/>
      <c r="PN48" s="128"/>
      <c r="PO48" s="128"/>
      <c r="PP48" s="128"/>
      <c r="PQ48" s="128"/>
      <c r="PR48" s="128"/>
      <c r="PS48" s="128"/>
      <c r="PT48" s="128"/>
      <c r="PU48" s="128"/>
      <c r="PV48" s="128"/>
      <c r="PW48" s="128"/>
      <c r="PX48" s="128"/>
      <c r="PY48" s="128"/>
      <c r="PZ48" s="128"/>
      <c r="QA48" s="128"/>
      <c r="QB48" s="128"/>
      <c r="QC48" s="128"/>
      <c r="QD48" s="128"/>
      <c r="QE48" s="128"/>
      <c r="QF48" s="128"/>
      <c r="QG48" s="128"/>
      <c r="QH48" s="128"/>
      <c r="QI48" s="128"/>
      <c r="QJ48" s="128"/>
      <c r="QK48" s="128"/>
      <c r="QL48" s="128"/>
      <c r="QM48" s="128"/>
      <c r="QN48" s="128"/>
      <c r="QO48" s="128"/>
      <c r="QP48" s="128"/>
      <c r="QQ48" s="128"/>
      <c r="QR48" s="128"/>
      <c r="QS48" s="128"/>
      <c r="QT48" s="128"/>
      <c r="QU48" s="128"/>
      <c r="QV48" s="128"/>
      <c r="QW48" s="128"/>
      <c r="QX48" s="128"/>
      <c r="QY48" s="128"/>
      <c r="QZ48" s="128"/>
      <c r="RA48" s="128"/>
      <c r="RB48" s="128"/>
      <c r="RC48" s="128"/>
      <c r="RD48" s="128"/>
      <c r="RE48" s="128"/>
      <c r="RF48" s="128"/>
      <c r="RG48" s="128"/>
      <c r="RH48" s="128"/>
      <c r="RI48" s="128"/>
      <c r="RJ48" s="128"/>
      <c r="RK48" s="128"/>
      <c r="RL48" s="128"/>
      <c r="RM48" s="128"/>
      <c r="RN48" s="128"/>
      <c r="RO48" s="128"/>
      <c r="RP48" s="128"/>
      <c r="RQ48" s="128"/>
      <c r="RR48" s="128"/>
      <c r="RS48" s="128"/>
      <c r="RT48" s="128"/>
      <c r="RU48" s="128"/>
      <c r="RV48" s="128"/>
      <c r="RW48" s="128"/>
      <c r="RX48" s="128"/>
      <c r="RY48" s="128"/>
      <c r="RZ48" s="128"/>
      <c r="SA48" s="128"/>
      <c r="SB48" s="128"/>
      <c r="SC48" s="128"/>
      <c r="SD48" s="128"/>
      <c r="SE48" s="128"/>
      <c r="SF48" s="128"/>
      <c r="SG48" s="128"/>
      <c r="SH48" s="128"/>
      <c r="SI48" s="128"/>
      <c r="SJ48" s="128"/>
      <c r="SK48" s="128"/>
      <c r="SL48" s="128"/>
      <c r="SM48" s="128"/>
      <c r="SN48" s="128"/>
      <c r="SO48" s="128"/>
      <c r="SP48" s="128"/>
      <c r="SQ48" s="128"/>
      <c r="SR48" s="128"/>
      <c r="SS48" s="128"/>
      <c r="ST48" s="128"/>
      <c r="SU48" s="128"/>
      <c r="SV48" s="128"/>
      <c r="SW48" s="128"/>
      <c r="SX48" s="128"/>
      <c r="SY48" s="128"/>
      <c r="SZ48" s="128"/>
      <c r="TA48" s="128"/>
      <c r="TB48" s="128"/>
      <c r="TC48" s="128"/>
      <c r="TD48" s="128"/>
      <c r="TE48" s="128"/>
      <c r="TF48" s="128"/>
      <c r="TG48" s="128"/>
      <c r="TH48" s="128"/>
      <c r="TI48" s="128"/>
      <c r="TJ48" s="128"/>
      <c r="TK48" s="128"/>
      <c r="TL48" s="128"/>
      <c r="TM48" s="128"/>
      <c r="TN48" s="128"/>
      <c r="TO48" s="128"/>
      <c r="TP48" s="128"/>
      <c r="TQ48" s="128"/>
      <c r="TR48" s="128"/>
      <c r="TS48" s="128"/>
      <c r="TT48" s="128"/>
      <c r="TU48" s="128"/>
      <c r="TV48" s="128"/>
      <c r="TW48" s="128"/>
      <c r="TX48" s="128"/>
      <c r="TY48" s="128"/>
      <c r="TZ48" s="128"/>
      <c r="UA48" s="128"/>
      <c r="UB48" s="128"/>
      <c r="UC48" s="128"/>
      <c r="UD48" s="128"/>
      <c r="UE48" s="128"/>
      <c r="UF48" s="128"/>
      <c r="UG48" s="128"/>
      <c r="UH48" s="128"/>
      <c r="UI48" s="128"/>
      <c r="UJ48" s="128"/>
      <c r="UK48" s="128"/>
      <c r="UL48" s="128"/>
      <c r="UM48" s="128"/>
      <c r="UN48" s="128"/>
      <c r="UO48" s="128"/>
      <c r="UP48" s="128"/>
      <c r="UQ48" s="128"/>
      <c r="UR48" s="128"/>
      <c r="US48" s="128"/>
      <c r="UT48" s="128"/>
      <c r="UU48" s="128"/>
      <c r="UV48" s="128"/>
      <c r="UW48" s="128"/>
      <c r="UX48" s="128"/>
      <c r="UY48" s="128"/>
      <c r="UZ48" s="128"/>
      <c r="VA48" s="128"/>
      <c r="VB48" s="128"/>
      <c r="VC48" s="128"/>
      <c r="VD48" s="128"/>
      <c r="VE48" s="128"/>
      <c r="VF48" s="128"/>
      <c r="VG48" s="128"/>
      <c r="VH48" s="128"/>
      <c r="VI48" s="128"/>
      <c r="VJ48" s="128"/>
      <c r="VK48" s="128"/>
      <c r="VL48" s="128"/>
      <c r="VM48" s="128"/>
      <c r="VN48" s="128"/>
      <c r="VO48" s="128"/>
      <c r="VP48" s="128"/>
      <c r="VQ48" s="128"/>
      <c r="VR48" s="128"/>
      <c r="VS48" s="128"/>
      <c r="VT48" s="128"/>
      <c r="VU48" s="128"/>
      <c r="VV48" s="128"/>
      <c r="VW48" s="128"/>
      <c r="VX48" s="128"/>
      <c r="VY48" s="128"/>
      <c r="VZ48" s="128"/>
      <c r="WA48" s="128"/>
      <c r="WB48" s="128"/>
      <c r="WC48" s="128"/>
      <c r="WD48" s="128"/>
      <c r="WE48" s="128"/>
      <c r="WF48" s="128"/>
      <c r="WG48" s="128"/>
      <c r="WH48" s="128"/>
      <c r="WI48" s="128"/>
      <c r="WJ48" s="128"/>
      <c r="WK48" s="128"/>
      <c r="WL48" s="128"/>
      <c r="WM48" s="128"/>
      <c r="WN48" s="128"/>
      <c r="WO48" s="128"/>
      <c r="WP48" s="128"/>
      <c r="WQ48" s="128"/>
      <c r="WR48" s="128"/>
      <c r="WS48" s="128"/>
      <c r="WT48" s="128"/>
      <c r="WU48" s="128"/>
      <c r="WV48" s="128"/>
      <c r="WW48" s="128"/>
      <c r="WX48" s="128"/>
      <c r="WY48" s="128"/>
      <c r="WZ48" s="128"/>
      <c r="XA48" s="128"/>
      <c r="XB48" s="128"/>
      <c r="XC48" s="128"/>
      <c r="XD48" s="128"/>
      <c r="XE48" s="128"/>
      <c r="XF48" s="128"/>
      <c r="XG48" s="128"/>
      <c r="XH48" s="128"/>
      <c r="XI48" s="128"/>
      <c r="XJ48" s="128"/>
      <c r="XK48" s="128"/>
      <c r="XL48" s="128"/>
      <c r="XM48" s="128"/>
      <c r="XN48" s="128"/>
      <c r="XO48" s="128"/>
      <c r="XP48" s="128"/>
      <c r="XQ48" s="128"/>
      <c r="XR48" s="128"/>
      <c r="XS48" s="128"/>
      <c r="XT48" s="128"/>
      <c r="XU48" s="128"/>
      <c r="XV48" s="128"/>
      <c r="XW48" s="128"/>
      <c r="XX48" s="128"/>
      <c r="XY48" s="128"/>
      <c r="XZ48" s="128"/>
      <c r="YA48" s="128"/>
      <c r="YB48" s="128"/>
      <c r="YC48" s="128"/>
      <c r="YD48" s="128"/>
      <c r="YE48" s="128"/>
      <c r="YF48" s="128"/>
      <c r="YG48" s="128"/>
      <c r="YH48" s="128"/>
      <c r="YI48" s="128"/>
      <c r="YJ48" s="128"/>
      <c r="YK48" s="128"/>
      <c r="YL48" s="128"/>
      <c r="YM48" s="128"/>
      <c r="YN48" s="128"/>
      <c r="YO48" s="128"/>
      <c r="YP48" s="128"/>
      <c r="YQ48" s="128"/>
      <c r="YR48" s="128"/>
      <c r="YS48" s="128"/>
      <c r="YT48" s="128"/>
      <c r="YU48" s="128"/>
      <c r="YV48" s="128"/>
      <c r="YW48" s="128"/>
      <c r="YX48" s="128"/>
      <c r="YY48" s="128"/>
      <c r="YZ48" s="128"/>
      <c r="ZA48" s="128"/>
      <c r="ZB48" s="128"/>
      <c r="ZC48" s="128"/>
      <c r="ZD48" s="128"/>
      <c r="ZE48" s="128"/>
      <c r="ZF48" s="128"/>
      <c r="ZG48" s="128"/>
      <c r="ZH48" s="128"/>
      <c r="ZI48" s="128"/>
      <c r="ZJ48" s="128"/>
      <c r="ZK48" s="128"/>
      <c r="ZL48" s="128"/>
      <c r="ZM48" s="128"/>
      <c r="ZN48" s="128"/>
      <c r="ZO48" s="128"/>
      <c r="ZP48" s="128"/>
      <c r="ZQ48" s="128"/>
      <c r="ZR48" s="128"/>
      <c r="ZS48" s="128"/>
      <c r="ZT48" s="128"/>
      <c r="ZU48" s="128"/>
      <c r="ZV48" s="128"/>
      <c r="ZW48" s="128"/>
      <c r="ZX48" s="128"/>
      <c r="ZY48" s="128"/>
      <c r="ZZ48" s="128"/>
      <c r="AAA48" s="128"/>
      <c r="AAB48" s="128"/>
      <c r="AAC48" s="128"/>
      <c r="AAD48" s="128"/>
      <c r="AAE48" s="128"/>
      <c r="AAF48" s="128"/>
      <c r="AAG48" s="128"/>
      <c r="AAH48" s="128"/>
      <c r="AAI48" s="128"/>
      <c r="AAJ48" s="128"/>
      <c r="AAK48" s="128"/>
      <c r="AAL48" s="128"/>
      <c r="AAM48" s="128"/>
      <c r="AAN48" s="128"/>
      <c r="AAO48" s="128"/>
      <c r="AAP48" s="128"/>
      <c r="AAQ48" s="128"/>
      <c r="AAR48" s="128"/>
      <c r="AAS48" s="128"/>
      <c r="AAT48" s="128"/>
      <c r="AAU48" s="128"/>
      <c r="AAV48" s="128"/>
      <c r="AAW48" s="128"/>
      <c r="AAX48" s="128"/>
      <c r="AAY48" s="128"/>
      <c r="AAZ48" s="128"/>
      <c r="ABA48" s="128"/>
      <c r="ABB48" s="128"/>
      <c r="ABC48" s="128"/>
      <c r="ABD48" s="128"/>
      <c r="ABE48" s="128"/>
      <c r="ABF48" s="128"/>
      <c r="ABG48" s="128"/>
      <c r="ABH48" s="128"/>
      <c r="ABI48" s="128"/>
      <c r="ABJ48" s="128"/>
      <c r="ABK48" s="128"/>
      <c r="ABL48" s="128"/>
      <c r="ABM48" s="128"/>
      <c r="ABN48" s="128"/>
      <c r="ABO48" s="128"/>
      <c r="ABP48" s="128"/>
      <c r="ABQ48" s="128"/>
      <c r="ABR48" s="128"/>
      <c r="ABS48" s="128"/>
      <c r="ABT48" s="128"/>
      <c r="ABU48" s="128"/>
      <c r="ABV48" s="128"/>
      <c r="ABW48" s="128"/>
      <c r="ABX48" s="128"/>
      <c r="ABY48" s="128"/>
      <c r="ABZ48" s="128"/>
      <c r="ACA48" s="128"/>
      <c r="ACB48" s="128"/>
      <c r="ACC48" s="128"/>
      <c r="ACD48" s="128"/>
      <c r="ACE48" s="128"/>
      <c r="ACF48" s="128"/>
      <c r="ACG48" s="128"/>
      <c r="ACH48" s="128"/>
      <c r="ACI48" s="128"/>
      <c r="ACJ48" s="128"/>
      <c r="ACK48" s="128"/>
      <c r="ACL48" s="128"/>
      <c r="ACM48" s="128"/>
      <c r="ACN48" s="128"/>
      <c r="ACO48" s="128"/>
      <c r="ACP48" s="128"/>
      <c r="ACQ48" s="128"/>
      <c r="ACR48" s="128"/>
      <c r="ACS48" s="128"/>
      <c r="ACT48" s="128"/>
      <c r="ACU48" s="128"/>
      <c r="ACV48" s="128"/>
      <c r="ACW48" s="128"/>
      <c r="ACX48" s="128"/>
      <c r="ACY48" s="128"/>
      <c r="ACZ48" s="128"/>
      <c r="ADA48" s="128"/>
      <c r="ADB48" s="128"/>
      <c r="ADC48" s="128"/>
      <c r="ADD48" s="128"/>
      <c r="ADE48" s="128"/>
      <c r="ADF48" s="128"/>
      <c r="ADG48" s="128"/>
      <c r="ADH48" s="128"/>
      <c r="ADI48" s="128"/>
      <c r="ADJ48" s="128"/>
      <c r="ADK48" s="128"/>
      <c r="ADL48" s="128"/>
      <c r="ADM48" s="128"/>
      <c r="ADN48" s="128"/>
      <c r="ADO48" s="128"/>
      <c r="ADP48" s="128"/>
      <c r="ADQ48" s="128"/>
      <c r="ADR48" s="128"/>
      <c r="ADS48" s="128"/>
      <c r="ADT48" s="128"/>
      <c r="ADU48" s="128"/>
      <c r="ADV48" s="128"/>
      <c r="ADW48" s="128"/>
      <c r="ADX48" s="128"/>
      <c r="ADY48" s="128"/>
      <c r="ADZ48" s="128"/>
      <c r="AEA48" s="128"/>
      <c r="AEB48" s="128"/>
      <c r="AEC48" s="128"/>
      <c r="AED48" s="128"/>
      <c r="AEE48" s="128"/>
      <c r="AEF48" s="128"/>
      <c r="AEG48" s="128"/>
      <c r="AEH48" s="128"/>
      <c r="AEI48" s="128"/>
      <c r="AEJ48" s="128"/>
      <c r="AEK48" s="128"/>
      <c r="AEL48" s="128"/>
      <c r="AEM48" s="128"/>
      <c r="AEN48" s="128"/>
      <c r="AEO48" s="128"/>
      <c r="AEP48" s="128"/>
      <c r="AEQ48" s="128"/>
      <c r="AER48" s="128"/>
      <c r="AES48" s="128"/>
      <c r="AET48" s="128"/>
      <c r="AEU48" s="128"/>
      <c r="AEV48" s="128"/>
      <c r="AEW48" s="128"/>
      <c r="AEX48" s="128"/>
      <c r="AEY48" s="128"/>
      <c r="AEZ48" s="128"/>
      <c r="AFA48" s="128"/>
      <c r="AFB48" s="128"/>
      <c r="AFC48" s="128"/>
      <c r="AFD48" s="128"/>
      <c r="AFE48" s="128"/>
      <c r="AFF48" s="128"/>
      <c r="AFG48" s="128"/>
      <c r="AFH48" s="128"/>
      <c r="AFI48" s="128"/>
      <c r="AFJ48" s="128"/>
      <c r="AFK48" s="128"/>
      <c r="AFL48" s="128"/>
      <c r="AFM48" s="128"/>
      <c r="AFN48" s="128"/>
      <c r="AFO48" s="128"/>
      <c r="AFP48" s="128"/>
      <c r="AFQ48" s="128"/>
      <c r="AFR48" s="128"/>
      <c r="AFS48" s="128"/>
      <c r="AFT48" s="128"/>
      <c r="AFU48" s="128"/>
      <c r="AFV48" s="128"/>
      <c r="AFW48" s="128"/>
      <c r="AFX48" s="128"/>
      <c r="AFY48" s="128"/>
      <c r="AFZ48" s="128"/>
      <c r="AGA48" s="128"/>
      <c r="AGB48" s="128"/>
      <c r="AGC48" s="128"/>
      <c r="AGD48" s="128"/>
      <c r="AGE48" s="128"/>
      <c r="AGF48" s="128"/>
      <c r="AGG48" s="128"/>
      <c r="AGH48" s="128"/>
      <c r="AGI48" s="128"/>
      <c r="AGJ48" s="128"/>
      <c r="AGK48" s="128"/>
      <c r="AGL48" s="128"/>
      <c r="AGM48" s="128"/>
      <c r="AGN48" s="128"/>
      <c r="AGO48" s="128"/>
      <c r="AGP48" s="128"/>
      <c r="AGQ48" s="128"/>
      <c r="AGR48" s="128"/>
      <c r="AGS48" s="128"/>
      <c r="AGT48" s="128"/>
      <c r="AGU48" s="128"/>
      <c r="AGV48" s="128"/>
      <c r="AGW48" s="128"/>
      <c r="AGX48" s="128"/>
      <c r="AGY48" s="128"/>
      <c r="AGZ48" s="128"/>
      <c r="AHA48" s="128"/>
      <c r="AHB48" s="128"/>
      <c r="AHC48" s="128"/>
      <c r="AHD48" s="128"/>
      <c r="AHE48" s="128"/>
      <c r="AHF48" s="128"/>
      <c r="AHG48" s="128"/>
      <c r="AHH48" s="128"/>
      <c r="AHI48" s="128"/>
      <c r="AHJ48" s="128"/>
      <c r="AHK48" s="128"/>
      <c r="AHL48" s="128"/>
      <c r="AHM48" s="128"/>
      <c r="AHN48" s="128"/>
      <c r="AHO48" s="128"/>
      <c r="AHP48" s="128"/>
      <c r="AHQ48" s="128"/>
      <c r="AHR48" s="128"/>
      <c r="AHS48" s="128"/>
      <c r="AHT48" s="128"/>
      <c r="AHU48" s="128"/>
      <c r="AHV48" s="128"/>
      <c r="AHW48" s="128"/>
      <c r="AHX48" s="128"/>
      <c r="AHY48" s="128"/>
      <c r="AHZ48" s="128"/>
      <c r="AIA48" s="128"/>
      <c r="AIB48" s="128"/>
      <c r="AIC48" s="128"/>
      <c r="AID48" s="128"/>
      <c r="AIE48" s="128"/>
      <c r="AIF48" s="128"/>
      <c r="AIG48" s="128"/>
      <c r="AIH48" s="128"/>
      <c r="AII48" s="128"/>
      <c r="AIJ48" s="128"/>
      <c r="AIK48" s="128"/>
      <c r="AIL48" s="128"/>
      <c r="AIM48" s="128"/>
      <c r="AIN48" s="128"/>
      <c r="AIO48" s="128"/>
      <c r="AIP48" s="128"/>
      <c r="AIQ48" s="128"/>
      <c r="AIR48" s="128"/>
      <c r="AIS48" s="128"/>
      <c r="AIT48" s="128"/>
      <c r="AIU48" s="128"/>
      <c r="AIV48" s="128"/>
      <c r="AIW48" s="128"/>
      <c r="AIX48" s="128"/>
      <c r="AIY48" s="128"/>
      <c r="AIZ48" s="128"/>
      <c r="AJA48" s="128"/>
      <c r="AJB48" s="128"/>
      <c r="AJC48" s="128"/>
      <c r="AJD48" s="128"/>
      <c r="AJE48" s="128"/>
      <c r="AJF48" s="128"/>
      <c r="AJG48" s="128"/>
      <c r="AJH48" s="128"/>
      <c r="AJI48" s="128"/>
      <c r="AJJ48" s="128"/>
      <c r="AJK48" s="128"/>
      <c r="AJL48" s="128"/>
      <c r="AJM48" s="128"/>
      <c r="AJN48" s="128"/>
      <c r="AJO48" s="128"/>
      <c r="AJP48" s="128"/>
      <c r="AJQ48" s="128"/>
      <c r="AJR48" s="128"/>
      <c r="AJS48" s="128"/>
      <c r="AJT48" s="128"/>
      <c r="AJU48" s="128"/>
      <c r="AJV48" s="128"/>
      <c r="AJW48" s="128"/>
      <c r="AJX48" s="128"/>
      <c r="AJY48" s="128"/>
      <c r="AJZ48" s="128"/>
      <c r="AKA48" s="128"/>
      <c r="AKB48" s="128"/>
      <c r="AKC48" s="128"/>
      <c r="AKD48" s="128"/>
      <c r="AKE48" s="128"/>
      <c r="AKF48" s="128"/>
      <c r="AKG48" s="128"/>
      <c r="AKH48" s="128"/>
      <c r="AKI48" s="128"/>
      <c r="AKJ48" s="128"/>
      <c r="AKK48" s="128"/>
      <c r="AKL48" s="128"/>
      <c r="AKM48" s="128"/>
      <c r="AKN48" s="128"/>
      <c r="AKO48" s="128"/>
      <c r="AKP48" s="128"/>
      <c r="AKQ48" s="128"/>
      <c r="AKR48" s="128"/>
      <c r="AKS48" s="128"/>
      <c r="AKT48" s="128"/>
      <c r="AKU48" s="128"/>
      <c r="AKV48" s="128"/>
      <c r="AKW48" s="128"/>
      <c r="AKX48" s="128"/>
      <c r="AKY48" s="128"/>
      <c r="AKZ48" s="128"/>
      <c r="ALA48" s="128"/>
      <c r="ALB48" s="128"/>
      <c r="ALC48" s="128"/>
      <c r="ALD48" s="128"/>
      <c r="ALE48" s="128"/>
      <c r="ALF48" s="128"/>
      <c r="ALG48" s="128"/>
      <c r="ALH48" s="128"/>
      <c r="ALI48" s="128"/>
      <c r="ALJ48" s="128"/>
      <c r="ALK48" s="128"/>
      <c r="ALL48" s="128"/>
      <c r="ALM48" s="128"/>
      <c r="ALN48" s="128"/>
      <c r="ALO48" s="128"/>
      <c r="ALP48" s="128"/>
      <c r="ALQ48" s="128"/>
      <c r="ALR48" s="128"/>
      <c r="ALS48"/>
      <c r="ALT48"/>
      <c r="ALU48"/>
    </row>
    <row r="49" spans="1:1009" s="96" customFormat="1" ht="12" customHeight="1">
      <c r="A49" s="136"/>
      <c r="B49" s="136"/>
      <c r="C49" s="136"/>
      <c r="D49" s="136"/>
      <c r="E49" s="136"/>
      <c r="F49" s="136"/>
      <c r="I49" s="225"/>
      <c r="J49" s="159"/>
      <c r="L49" s="173"/>
      <c r="N49" s="278"/>
      <c r="R49"/>
      <c r="S49" s="179"/>
      <c r="U49" s="159"/>
      <c r="X49"/>
      <c r="Y49" s="128"/>
      <c r="Z49" s="128"/>
      <c r="AA49" s="128"/>
      <c r="AB49" s="128"/>
      <c r="AC49" s="128"/>
      <c r="AD49" s="128"/>
      <c r="AE49" s="128"/>
      <c r="AF49" s="128"/>
      <c r="AG49" s="128"/>
      <c r="AH49" s="128"/>
      <c r="AI49" s="128"/>
      <c r="AJ49" s="128"/>
      <c r="AK49" s="128"/>
      <c r="AL49" s="128"/>
      <c r="AM49" s="128"/>
      <c r="AN49" s="128"/>
      <c r="AO49" s="128"/>
      <c r="AP49" s="128"/>
      <c r="AQ49" s="128"/>
      <c r="AR49" s="128"/>
      <c r="AS49" s="128"/>
      <c r="AT49" s="128"/>
      <c r="AU49" s="128"/>
      <c r="AV49" s="128"/>
      <c r="AW49" s="128"/>
      <c r="AX49" s="128"/>
      <c r="AY49" s="128"/>
      <c r="AZ49" s="128"/>
      <c r="BA49" s="128"/>
      <c r="BB49" s="128"/>
      <c r="BC49" s="128"/>
      <c r="BD49" s="128"/>
      <c r="BE49" s="128"/>
      <c r="BF49" s="128"/>
      <c r="BG49" s="128"/>
      <c r="BH49" s="128"/>
      <c r="BI49" s="128"/>
      <c r="BJ49" s="128"/>
      <c r="BK49" s="128"/>
      <c r="BL49" s="128"/>
      <c r="BM49" s="128"/>
      <c r="BN49" s="128"/>
      <c r="BO49" s="128"/>
      <c r="BP49" s="128"/>
      <c r="BQ49" s="128"/>
      <c r="BR49" s="128"/>
      <c r="BS49" s="128"/>
      <c r="BT49" s="128"/>
      <c r="BU49" s="128"/>
      <c r="BV49" s="128"/>
      <c r="BW49" s="128"/>
      <c r="BX49" s="128"/>
      <c r="BY49" s="128"/>
      <c r="BZ49" s="128"/>
      <c r="CA49" s="128"/>
      <c r="CB49" s="128"/>
      <c r="CC49" s="128"/>
      <c r="CD49" s="128"/>
      <c r="CE49" s="128"/>
      <c r="CF49" s="128"/>
      <c r="CG49" s="128"/>
      <c r="CH49" s="128"/>
      <c r="CI49" s="128"/>
      <c r="CJ49" s="128"/>
      <c r="CK49" s="128"/>
      <c r="CL49" s="128"/>
      <c r="CM49" s="128"/>
      <c r="CN49" s="128"/>
      <c r="CO49" s="128"/>
      <c r="CP49" s="128"/>
      <c r="CQ49" s="128"/>
      <c r="CR49" s="128"/>
      <c r="CS49" s="128"/>
      <c r="CT49" s="128"/>
      <c r="CU49" s="128"/>
      <c r="CV49" s="128"/>
      <c r="CW49" s="128"/>
      <c r="CX49" s="128"/>
      <c r="CY49" s="128"/>
      <c r="CZ49" s="128"/>
      <c r="DA49" s="128"/>
      <c r="DB49" s="128"/>
      <c r="DC49" s="128"/>
      <c r="DD49" s="128"/>
      <c r="DE49" s="128"/>
      <c r="DF49" s="128"/>
      <c r="DG49" s="128"/>
      <c r="DH49" s="128"/>
      <c r="DI49" s="128"/>
      <c r="DJ49" s="128"/>
      <c r="DK49" s="128"/>
      <c r="DL49" s="128"/>
      <c r="DM49" s="128"/>
      <c r="DN49" s="128"/>
      <c r="DO49" s="128"/>
      <c r="DP49" s="128"/>
      <c r="DQ49" s="128"/>
      <c r="DR49" s="128"/>
      <c r="DS49" s="128"/>
      <c r="DT49" s="128"/>
      <c r="DU49" s="128"/>
      <c r="DV49" s="128"/>
      <c r="DW49" s="128"/>
      <c r="DX49" s="128"/>
      <c r="DY49" s="128"/>
      <c r="DZ49" s="128"/>
      <c r="EA49" s="128"/>
      <c r="EB49" s="128"/>
      <c r="EC49" s="128"/>
      <c r="ED49" s="128"/>
      <c r="EE49" s="128"/>
      <c r="EF49" s="128"/>
      <c r="EG49" s="128"/>
      <c r="EH49" s="128"/>
      <c r="EI49" s="128"/>
      <c r="EJ49" s="128"/>
      <c r="EK49" s="128"/>
      <c r="EL49" s="128"/>
      <c r="EM49" s="128"/>
      <c r="EN49" s="128"/>
      <c r="EO49" s="128"/>
      <c r="EP49" s="128"/>
      <c r="EQ49" s="128"/>
      <c r="ER49" s="128"/>
      <c r="ES49" s="128"/>
      <c r="ET49" s="128"/>
      <c r="EU49" s="128"/>
      <c r="EV49" s="128"/>
      <c r="EW49" s="128"/>
      <c r="EX49" s="128"/>
      <c r="EY49" s="128"/>
      <c r="EZ49" s="128"/>
      <c r="FA49" s="128"/>
      <c r="FB49" s="128"/>
      <c r="FC49" s="128"/>
      <c r="FD49" s="128"/>
      <c r="FE49" s="128"/>
      <c r="FF49" s="128"/>
      <c r="FG49" s="128"/>
      <c r="FH49" s="128"/>
      <c r="FI49" s="128"/>
      <c r="FJ49" s="128"/>
      <c r="FK49" s="128"/>
      <c r="FL49" s="128"/>
      <c r="FM49" s="128"/>
      <c r="FN49" s="128"/>
      <c r="FO49" s="128"/>
      <c r="FP49" s="128"/>
      <c r="FQ49" s="128"/>
      <c r="FR49" s="128"/>
      <c r="FS49" s="128"/>
      <c r="FT49" s="128"/>
      <c r="FU49" s="128"/>
      <c r="FV49" s="128"/>
      <c r="FW49" s="128"/>
      <c r="FX49" s="128"/>
      <c r="FY49" s="128"/>
      <c r="FZ49" s="128"/>
      <c r="GA49" s="128"/>
      <c r="GB49" s="128"/>
      <c r="GC49" s="128"/>
      <c r="GD49" s="128"/>
      <c r="GE49" s="128"/>
      <c r="GF49" s="128"/>
      <c r="GG49" s="128"/>
      <c r="GH49" s="128"/>
      <c r="GI49" s="128"/>
      <c r="GJ49" s="128"/>
      <c r="GK49" s="128"/>
      <c r="GL49" s="128"/>
      <c r="GM49" s="128"/>
      <c r="GN49" s="128"/>
      <c r="GO49" s="128"/>
      <c r="GP49" s="128"/>
      <c r="GQ49" s="128"/>
      <c r="GR49" s="128"/>
      <c r="GS49" s="128"/>
      <c r="GT49" s="128"/>
      <c r="GU49" s="128"/>
      <c r="GV49" s="128"/>
      <c r="GW49" s="128"/>
      <c r="GX49" s="128"/>
      <c r="GY49" s="128"/>
      <c r="GZ49" s="128"/>
      <c r="HA49" s="128"/>
      <c r="HB49" s="128"/>
      <c r="HC49" s="128"/>
      <c r="HD49" s="128"/>
      <c r="HE49" s="128"/>
      <c r="HF49" s="128"/>
      <c r="HG49" s="128"/>
      <c r="HH49" s="128"/>
      <c r="HI49" s="128"/>
      <c r="HJ49" s="128"/>
      <c r="HK49" s="128"/>
      <c r="HL49" s="128"/>
      <c r="HM49" s="128"/>
      <c r="HN49" s="128"/>
      <c r="HO49" s="128"/>
      <c r="HP49" s="128"/>
      <c r="HQ49" s="128"/>
      <c r="HR49" s="128"/>
      <c r="HS49" s="128"/>
      <c r="HT49" s="128"/>
      <c r="HU49" s="128"/>
      <c r="HV49" s="128"/>
      <c r="HW49" s="128"/>
      <c r="HX49" s="128"/>
      <c r="HY49" s="128"/>
      <c r="HZ49" s="128"/>
      <c r="IA49" s="128"/>
      <c r="IB49" s="128"/>
      <c r="IC49" s="128"/>
      <c r="ID49" s="128"/>
      <c r="IE49" s="128"/>
      <c r="IF49" s="128"/>
      <c r="IG49" s="128"/>
      <c r="IH49" s="128"/>
      <c r="II49" s="128"/>
      <c r="IJ49" s="128"/>
      <c r="IK49" s="128"/>
      <c r="IL49" s="128"/>
      <c r="IM49" s="128"/>
      <c r="IN49" s="128"/>
      <c r="IO49" s="128"/>
      <c r="IP49" s="128"/>
      <c r="IQ49" s="128"/>
      <c r="IR49" s="128"/>
      <c r="IS49" s="128"/>
      <c r="IT49" s="128"/>
      <c r="IU49" s="128"/>
      <c r="IV49" s="128"/>
      <c r="IW49" s="128"/>
      <c r="IX49" s="128"/>
      <c r="IY49" s="128"/>
      <c r="IZ49" s="128"/>
      <c r="JA49" s="128"/>
      <c r="JB49" s="128"/>
      <c r="JC49" s="128"/>
      <c r="JD49" s="128"/>
      <c r="JE49" s="128"/>
      <c r="JF49" s="128"/>
      <c r="JG49" s="128"/>
      <c r="JH49" s="128"/>
      <c r="JI49" s="128"/>
      <c r="JJ49" s="128"/>
      <c r="JK49" s="128"/>
      <c r="JL49" s="128"/>
      <c r="JM49" s="128"/>
      <c r="JN49" s="128"/>
      <c r="JO49" s="128"/>
      <c r="JP49" s="128"/>
      <c r="JQ49" s="128"/>
      <c r="JR49" s="128"/>
      <c r="JS49" s="128"/>
      <c r="JT49" s="128"/>
      <c r="JU49" s="128"/>
      <c r="JV49" s="128"/>
      <c r="JW49" s="128"/>
      <c r="JX49" s="128"/>
      <c r="JY49" s="128"/>
      <c r="JZ49" s="128"/>
      <c r="KA49" s="128"/>
      <c r="KB49" s="128"/>
      <c r="KC49" s="128"/>
      <c r="KD49" s="128"/>
      <c r="KE49" s="128"/>
      <c r="KF49" s="128"/>
      <c r="KG49" s="128"/>
      <c r="KH49" s="128"/>
      <c r="KI49" s="128"/>
      <c r="KJ49" s="128"/>
      <c r="KK49" s="128"/>
      <c r="KL49" s="128"/>
      <c r="KM49" s="128"/>
      <c r="KN49" s="128"/>
      <c r="KO49" s="128"/>
      <c r="KP49" s="128"/>
      <c r="KQ49" s="128"/>
      <c r="KR49" s="128"/>
      <c r="KS49" s="128"/>
      <c r="KT49" s="128"/>
      <c r="KU49" s="128"/>
      <c r="KV49" s="128"/>
      <c r="KW49" s="128"/>
      <c r="KX49" s="128"/>
      <c r="KY49" s="128"/>
      <c r="KZ49" s="128"/>
      <c r="LA49" s="128"/>
      <c r="LB49" s="128"/>
      <c r="LC49" s="128"/>
      <c r="LD49" s="128"/>
      <c r="LE49" s="128"/>
      <c r="LF49" s="128"/>
      <c r="LG49" s="128"/>
      <c r="LH49" s="128"/>
      <c r="LI49" s="128"/>
      <c r="LJ49" s="128"/>
      <c r="LK49" s="128"/>
      <c r="LL49" s="128"/>
      <c r="LM49" s="128"/>
      <c r="LN49" s="128"/>
      <c r="LO49" s="128"/>
      <c r="LP49" s="128"/>
      <c r="LQ49" s="128"/>
      <c r="LR49" s="128"/>
      <c r="LS49" s="128"/>
      <c r="LT49" s="128"/>
      <c r="LU49" s="128"/>
      <c r="LV49" s="128"/>
      <c r="LW49" s="128"/>
      <c r="LX49" s="128"/>
      <c r="LY49" s="128"/>
      <c r="LZ49" s="128"/>
      <c r="MA49" s="128"/>
      <c r="MB49" s="128"/>
      <c r="MC49" s="128"/>
      <c r="MD49" s="128"/>
      <c r="ME49" s="128"/>
      <c r="MF49" s="128"/>
      <c r="MG49" s="128"/>
      <c r="MH49" s="128"/>
      <c r="MI49" s="128"/>
      <c r="MJ49" s="128"/>
      <c r="MK49" s="128"/>
      <c r="ML49" s="128"/>
      <c r="MM49" s="128"/>
      <c r="MN49" s="128"/>
      <c r="MO49" s="128"/>
      <c r="MP49" s="128"/>
      <c r="MQ49" s="128"/>
      <c r="MR49" s="128"/>
      <c r="MS49" s="128"/>
      <c r="MT49" s="128"/>
      <c r="MU49" s="128"/>
      <c r="MV49" s="128"/>
      <c r="MW49" s="128"/>
      <c r="MX49" s="128"/>
      <c r="MY49" s="128"/>
      <c r="MZ49" s="128"/>
      <c r="NA49" s="128"/>
      <c r="NB49" s="128"/>
      <c r="NC49" s="128"/>
      <c r="ND49" s="128"/>
      <c r="NE49" s="128"/>
      <c r="NF49" s="128"/>
      <c r="NG49" s="128"/>
      <c r="NH49" s="128"/>
      <c r="NI49" s="128"/>
      <c r="NJ49" s="128"/>
      <c r="NK49" s="128"/>
      <c r="NL49" s="128"/>
      <c r="NM49" s="128"/>
      <c r="NN49" s="128"/>
      <c r="NO49" s="128"/>
      <c r="NP49" s="128"/>
      <c r="NQ49" s="128"/>
      <c r="NR49" s="128"/>
      <c r="NS49" s="128"/>
      <c r="NT49" s="128"/>
      <c r="NU49" s="128"/>
      <c r="NV49" s="128"/>
      <c r="NW49" s="128"/>
      <c r="NX49" s="128"/>
      <c r="NY49" s="128"/>
      <c r="NZ49" s="128"/>
      <c r="OA49" s="128"/>
      <c r="OB49" s="128"/>
      <c r="OC49" s="128"/>
      <c r="OD49" s="128"/>
      <c r="OE49" s="128"/>
      <c r="OF49" s="128"/>
      <c r="OG49" s="128"/>
      <c r="OH49" s="128"/>
      <c r="OI49" s="128"/>
      <c r="OJ49" s="128"/>
      <c r="OK49" s="128"/>
      <c r="OL49" s="128"/>
      <c r="OM49" s="128"/>
      <c r="ON49" s="128"/>
      <c r="OO49" s="128"/>
      <c r="OP49" s="128"/>
      <c r="OQ49" s="128"/>
      <c r="OR49" s="128"/>
      <c r="OS49" s="128"/>
      <c r="OT49" s="128"/>
      <c r="OU49" s="128"/>
      <c r="OV49" s="128"/>
      <c r="OW49" s="128"/>
      <c r="OX49" s="128"/>
      <c r="OY49" s="128"/>
      <c r="OZ49" s="128"/>
      <c r="PA49" s="128"/>
      <c r="PB49" s="128"/>
      <c r="PC49" s="128"/>
      <c r="PD49" s="128"/>
      <c r="PE49" s="128"/>
      <c r="PF49" s="128"/>
      <c r="PG49" s="128"/>
      <c r="PH49" s="128"/>
      <c r="PI49" s="128"/>
      <c r="PJ49" s="128"/>
      <c r="PK49" s="128"/>
      <c r="PL49" s="128"/>
      <c r="PM49" s="128"/>
      <c r="PN49" s="128"/>
      <c r="PO49" s="128"/>
      <c r="PP49" s="128"/>
      <c r="PQ49" s="128"/>
      <c r="PR49" s="128"/>
      <c r="PS49" s="128"/>
      <c r="PT49" s="128"/>
      <c r="PU49" s="128"/>
      <c r="PV49" s="128"/>
      <c r="PW49" s="128"/>
      <c r="PX49" s="128"/>
      <c r="PY49" s="128"/>
      <c r="PZ49" s="128"/>
      <c r="QA49" s="128"/>
      <c r="QB49" s="128"/>
      <c r="QC49" s="128"/>
      <c r="QD49" s="128"/>
      <c r="QE49" s="128"/>
      <c r="QF49" s="128"/>
      <c r="QG49" s="128"/>
      <c r="QH49" s="128"/>
      <c r="QI49" s="128"/>
      <c r="QJ49" s="128"/>
      <c r="QK49" s="128"/>
      <c r="QL49" s="128"/>
      <c r="QM49" s="128"/>
      <c r="QN49" s="128"/>
      <c r="QO49" s="128"/>
      <c r="QP49" s="128"/>
      <c r="QQ49" s="128"/>
      <c r="QR49" s="128"/>
      <c r="QS49" s="128"/>
      <c r="QT49" s="128"/>
      <c r="QU49" s="128"/>
      <c r="QV49" s="128"/>
      <c r="QW49" s="128"/>
      <c r="QX49" s="128"/>
      <c r="QY49" s="128"/>
      <c r="QZ49" s="128"/>
      <c r="RA49" s="128"/>
      <c r="RB49" s="128"/>
      <c r="RC49" s="128"/>
      <c r="RD49" s="128"/>
      <c r="RE49" s="128"/>
      <c r="RF49" s="128"/>
      <c r="RG49" s="128"/>
      <c r="RH49" s="128"/>
      <c r="RI49" s="128"/>
      <c r="RJ49" s="128"/>
      <c r="RK49" s="128"/>
      <c r="RL49" s="128"/>
      <c r="RM49" s="128"/>
      <c r="RN49" s="128"/>
      <c r="RO49" s="128"/>
      <c r="RP49" s="128"/>
      <c r="RQ49" s="128"/>
      <c r="RR49" s="128"/>
      <c r="RS49" s="128"/>
      <c r="RT49" s="128"/>
      <c r="RU49" s="128"/>
      <c r="RV49" s="128"/>
      <c r="RW49" s="128"/>
      <c r="RX49" s="128"/>
      <c r="RY49" s="128"/>
      <c r="RZ49" s="128"/>
      <c r="SA49" s="128"/>
      <c r="SB49" s="128"/>
      <c r="SC49" s="128"/>
      <c r="SD49" s="128"/>
      <c r="SE49" s="128"/>
      <c r="SF49" s="128"/>
      <c r="SG49" s="128"/>
      <c r="SH49" s="128"/>
      <c r="SI49" s="128"/>
      <c r="SJ49" s="128"/>
      <c r="SK49" s="128"/>
      <c r="SL49" s="128"/>
      <c r="SM49" s="128"/>
      <c r="SN49" s="128"/>
      <c r="SO49" s="128"/>
      <c r="SP49" s="128"/>
      <c r="SQ49" s="128"/>
      <c r="SR49" s="128"/>
      <c r="SS49" s="128"/>
      <c r="ST49" s="128"/>
      <c r="SU49" s="128"/>
      <c r="SV49" s="128"/>
      <c r="SW49" s="128"/>
      <c r="SX49" s="128"/>
      <c r="SY49" s="128"/>
      <c r="SZ49" s="128"/>
      <c r="TA49" s="128"/>
      <c r="TB49" s="128"/>
      <c r="TC49" s="128"/>
      <c r="TD49" s="128"/>
      <c r="TE49" s="128"/>
      <c r="TF49" s="128"/>
      <c r="TG49" s="128"/>
      <c r="TH49" s="128"/>
      <c r="TI49" s="128"/>
      <c r="TJ49" s="128"/>
      <c r="TK49" s="128"/>
      <c r="TL49" s="128"/>
      <c r="TM49" s="128"/>
      <c r="TN49" s="128"/>
      <c r="TO49" s="128"/>
      <c r="TP49" s="128"/>
      <c r="TQ49" s="128"/>
      <c r="TR49" s="128"/>
      <c r="TS49" s="128"/>
      <c r="TT49" s="128"/>
      <c r="TU49" s="128"/>
      <c r="TV49" s="128"/>
      <c r="TW49" s="128"/>
      <c r="TX49" s="128"/>
      <c r="TY49" s="128"/>
      <c r="TZ49" s="128"/>
      <c r="UA49" s="128"/>
      <c r="UB49" s="128"/>
      <c r="UC49" s="128"/>
      <c r="UD49" s="128"/>
      <c r="UE49" s="128"/>
      <c r="UF49" s="128"/>
      <c r="UG49" s="128"/>
      <c r="UH49" s="128"/>
      <c r="UI49" s="128"/>
      <c r="UJ49" s="128"/>
      <c r="UK49" s="128"/>
      <c r="UL49" s="128"/>
      <c r="UM49" s="128"/>
      <c r="UN49" s="128"/>
      <c r="UO49" s="128"/>
      <c r="UP49" s="128"/>
      <c r="UQ49" s="128"/>
      <c r="UR49" s="128"/>
      <c r="US49" s="128"/>
      <c r="UT49" s="128"/>
      <c r="UU49" s="128"/>
      <c r="UV49" s="128"/>
      <c r="UW49" s="128"/>
      <c r="UX49" s="128"/>
      <c r="UY49" s="128"/>
      <c r="UZ49" s="128"/>
      <c r="VA49" s="128"/>
      <c r="VB49" s="128"/>
      <c r="VC49" s="128"/>
      <c r="VD49" s="128"/>
      <c r="VE49" s="128"/>
      <c r="VF49" s="128"/>
      <c r="VG49" s="128"/>
      <c r="VH49" s="128"/>
      <c r="VI49" s="128"/>
      <c r="VJ49" s="128"/>
      <c r="VK49" s="128"/>
      <c r="VL49" s="128"/>
      <c r="VM49" s="128"/>
      <c r="VN49" s="128"/>
      <c r="VO49" s="128"/>
      <c r="VP49" s="128"/>
      <c r="VQ49" s="128"/>
      <c r="VR49" s="128"/>
      <c r="VS49" s="128"/>
      <c r="VT49" s="128"/>
      <c r="VU49" s="128"/>
      <c r="VV49" s="128"/>
      <c r="VW49" s="128"/>
      <c r="VX49" s="128"/>
      <c r="VY49" s="128"/>
      <c r="VZ49" s="128"/>
      <c r="WA49" s="128"/>
      <c r="WB49" s="128"/>
      <c r="WC49" s="128"/>
      <c r="WD49" s="128"/>
      <c r="WE49" s="128"/>
      <c r="WF49" s="128"/>
      <c r="WG49" s="128"/>
      <c r="WH49" s="128"/>
      <c r="WI49" s="128"/>
      <c r="WJ49" s="128"/>
      <c r="WK49" s="128"/>
      <c r="WL49" s="128"/>
      <c r="WM49" s="128"/>
      <c r="WN49" s="128"/>
      <c r="WO49" s="128"/>
      <c r="WP49" s="128"/>
      <c r="WQ49" s="128"/>
      <c r="WR49" s="128"/>
      <c r="WS49" s="128"/>
      <c r="WT49" s="128"/>
      <c r="WU49" s="128"/>
      <c r="WV49" s="128"/>
      <c r="WW49" s="128"/>
      <c r="WX49" s="128"/>
      <c r="WY49" s="128"/>
      <c r="WZ49" s="128"/>
      <c r="XA49" s="128"/>
      <c r="XB49" s="128"/>
      <c r="XC49" s="128"/>
      <c r="XD49" s="128"/>
      <c r="XE49" s="128"/>
      <c r="XF49" s="128"/>
      <c r="XG49" s="128"/>
      <c r="XH49" s="128"/>
      <c r="XI49" s="128"/>
      <c r="XJ49" s="128"/>
      <c r="XK49" s="128"/>
      <c r="XL49" s="128"/>
      <c r="XM49" s="128"/>
      <c r="XN49" s="128"/>
      <c r="XO49" s="128"/>
      <c r="XP49" s="128"/>
      <c r="XQ49" s="128"/>
      <c r="XR49" s="128"/>
      <c r="XS49" s="128"/>
      <c r="XT49" s="128"/>
      <c r="XU49" s="128"/>
      <c r="XV49" s="128"/>
      <c r="XW49" s="128"/>
      <c r="XX49" s="128"/>
      <c r="XY49" s="128"/>
      <c r="XZ49" s="128"/>
      <c r="YA49" s="128"/>
      <c r="YB49" s="128"/>
      <c r="YC49" s="128"/>
      <c r="YD49" s="128"/>
      <c r="YE49" s="128"/>
      <c r="YF49" s="128"/>
      <c r="YG49" s="128"/>
      <c r="YH49" s="128"/>
      <c r="YI49" s="128"/>
      <c r="YJ49" s="128"/>
      <c r="YK49" s="128"/>
      <c r="YL49" s="128"/>
      <c r="YM49" s="128"/>
      <c r="YN49" s="128"/>
      <c r="YO49" s="128"/>
      <c r="YP49" s="128"/>
      <c r="YQ49" s="128"/>
      <c r="YR49" s="128"/>
      <c r="YS49" s="128"/>
      <c r="YT49" s="128"/>
      <c r="YU49" s="128"/>
      <c r="YV49" s="128"/>
      <c r="YW49" s="128"/>
      <c r="YX49" s="128"/>
      <c r="YY49" s="128"/>
      <c r="YZ49" s="128"/>
      <c r="ZA49" s="128"/>
      <c r="ZB49" s="128"/>
      <c r="ZC49" s="128"/>
      <c r="ZD49" s="128"/>
      <c r="ZE49" s="128"/>
      <c r="ZF49" s="128"/>
      <c r="ZG49" s="128"/>
      <c r="ZH49" s="128"/>
      <c r="ZI49" s="128"/>
      <c r="ZJ49" s="128"/>
      <c r="ZK49" s="128"/>
      <c r="ZL49" s="128"/>
      <c r="ZM49" s="128"/>
      <c r="ZN49" s="128"/>
      <c r="ZO49" s="128"/>
      <c r="ZP49" s="128"/>
      <c r="ZQ49" s="128"/>
      <c r="ZR49" s="128"/>
      <c r="ZS49" s="128"/>
      <c r="ZT49" s="128"/>
      <c r="ZU49" s="128"/>
      <c r="ZV49" s="128"/>
      <c r="ZW49" s="128"/>
      <c r="ZX49" s="128"/>
      <c r="ZY49" s="128"/>
      <c r="ZZ49" s="128"/>
      <c r="AAA49" s="128"/>
      <c r="AAB49" s="128"/>
      <c r="AAC49" s="128"/>
      <c r="AAD49" s="128"/>
      <c r="AAE49" s="128"/>
      <c r="AAF49" s="128"/>
      <c r="AAG49" s="128"/>
      <c r="AAH49" s="128"/>
      <c r="AAI49" s="128"/>
      <c r="AAJ49" s="128"/>
      <c r="AAK49" s="128"/>
      <c r="AAL49" s="128"/>
      <c r="AAM49" s="128"/>
      <c r="AAN49" s="128"/>
      <c r="AAO49" s="128"/>
      <c r="AAP49" s="128"/>
      <c r="AAQ49" s="128"/>
      <c r="AAR49" s="128"/>
      <c r="AAS49" s="128"/>
      <c r="AAT49" s="128"/>
      <c r="AAU49" s="128"/>
      <c r="AAV49" s="128"/>
      <c r="AAW49" s="128"/>
      <c r="AAX49" s="128"/>
      <c r="AAY49" s="128"/>
      <c r="AAZ49" s="128"/>
      <c r="ABA49" s="128"/>
      <c r="ABB49" s="128"/>
      <c r="ABC49" s="128"/>
      <c r="ABD49" s="128"/>
      <c r="ABE49" s="128"/>
      <c r="ABF49" s="128"/>
      <c r="ABG49" s="128"/>
      <c r="ABH49" s="128"/>
      <c r="ABI49" s="128"/>
      <c r="ABJ49" s="128"/>
      <c r="ABK49" s="128"/>
      <c r="ABL49" s="128"/>
      <c r="ABM49" s="128"/>
      <c r="ABN49" s="128"/>
      <c r="ABO49" s="128"/>
      <c r="ABP49" s="128"/>
      <c r="ABQ49" s="128"/>
      <c r="ABR49" s="128"/>
      <c r="ABS49" s="128"/>
      <c r="ABT49" s="128"/>
      <c r="ABU49" s="128"/>
      <c r="ABV49" s="128"/>
      <c r="ABW49" s="128"/>
      <c r="ABX49" s="128"/>
      <c r="ABY49" s="128"/>
      <c r="ABZ49" s="128"/>
      <c r="ACA49" s="128"/>
      <c r="ACB49" s="128"/>
      <c r="ACC49" s="128"/>
      <c r="ACD49" s="128"/>
      <c r="ACE49" s="128"/>
      <c r="ACF49" s="128"/>
      <c r="ACG49" s="128"/>
      <c r="ACH49" s="128"/>
      <c r="ACI49" s="128"/>
      <c r="ACJ49" s="128"/>
      <c r="ACK49" s="128"/>
      <c r="ACL49" s="128"/>
      <c r="ACM49" s="128"/>
      <c r="ACN49" s="128"/>
      <c r="ACO49" s="128"/>
      <c r="ACP49" s="128"/>
      <c r="ACQ49" s="128"/>
      <c r="ACR49" s="128"/>
      <c r="ACS49" s="128"/>
      <c r="ACT49" s="128"/>
      <c r="ACU49" s="128"/>
      <c r="ACV49" s="128"/>
      <c r="ACW49" s="128"/>
      <c r="ACX49" s="128"/>
      <c r="ACY49" s="128"/>
      <c r="ACZ49" s="128"/>
      <c r="ADA49" s="128"/>
      <c r="ADB49" s="128"/>
      <c r="ADC49" s="128"/>
      <c r="ADD49" s="128"/>
      <c r="ADE49" s="128"/>
      <c r="ADF49" s="128"/>
      <c r="ADG49" s="128"/>
      <c r="ADH49" s="128"/>
      <c r="ADI49" s="128"/>
      <c r="ADJ49" s="128"/>
      <c r="ADK49" s="128"/>
      <c r="ADL49" s="128"/>
      <c r="ADM49" s="128"/>
      <c r="ADN49" s="128"/>
      <c r="ADO49" s="128"/>
      <c r="ADP49" s="128"/>
      <c r="ADQ49" s="128"/>
      <c r="ADR49" s="128"/>
      <c r="ADS49" s="128"/>
      <c r="ADT49" s="128"/>
      <c r="ADU49" s="128"/>
      <c r="ADV49" s="128"/>
      <c r="ADW49" s="128"/>
      <c r="ADX49" s="128"/>
      <c r="ADY49" s="128"/>
      <c r="ADZ49" s="128"/>
      <c r="AEA49" s="128"/>
      <c r="AEB49" s="128"/>
      <c r="AEC49" s="128"/>
      <c r="AED49" s="128"/>
      <c r="AEE49" s="128"/>
      <c r="AEF49" s="128"/>
      <c r="AEG49" s="128"/>
      <c r="AEH49" s="128"/>
      <c r="AEI49" s="128"/>
      <c r="AEJ49" s="128"/>
      <c r="AEK49" s="128"/>
      <c r="AEL49" s="128"/>
      <c r="AEM49" s="128"/>
      <c r="AEN49" s="128"/>
      <c r="AEO49" s="128"/>
      <c r="AEP49" s="128"/>
      <c r="AEQ49" s="128"/>
      <c r="AER49" s="128"/>
      <c r="AES49" s="128"/>
      <c r="AET49" s="128"/>
      <c r="AEU49" s="128"/>
      <c r="AEV49" s="128"/>
      <c r="AEW49" s="128"/>
      <c r="AEX49" s="128"/>
      <c r="AEY49" s="128"/>
      <c r="AEZ49" s="128"/>
      <c r="AFA49" s="128"/>
      <c r="AFB49" s="128"/>
      <c r="AFC49" s="128"/>
      <c r="AFD49" s="128"/>
      <c r="AFE49" s="128"/>
      <c r="AFF49" s="128"/>
      <c r="AFG49" s="128"/>
      <c r="AFH49" s="128"/>
      <c r="AFI49" s="128"/>
      <c r="AFJ49" s="128"/>
      <c r="AFK49" s="128"/>
      <c r="AFL49" s="128"/>
      <c r="AFM49" s="128"/>
      <c r="AFN49" s="128"/>
      <c r="AFO49" s="128"/>
      <c r="AFP49" s="128"/>
      <c r="AFQ49" s="128"/>
      <c r="AFR49" s="128"/>
      <c r="AFS49" s="128"/>
      <c r="AFT49" s="128"/>
      <c r="AFU49" s="128"/>
      <c r="AFV49" s="128"/>
      <c r="AFW49" s="128"/>
      <c r="AFX49" s="128"/>
      <c r="AFY49" s="128"/>
      <c r="AFZ49" s="128"/>
      <c r="AGA49" s="128"/>
      <c r="AGB49" s="128"/>
      <c r="AGC49" s="128"/>
      <c r="AGD49" s="128"/>
      <c r="AGE49" s="128"/>
      <c r="AGF49" s="128"/>
      <c r="AGG49" s="128"/>
      <c r="AGH49" s="128"/>
      <c r="AGI49" s="128"/>
      <c r="AGJ49" s="128"/>
      <c r="AGK49" s="128"/>
      <c r="AGL49" s="128"/>
      <c r="AGM49" s="128"/>
      <c r="AGN49" s="128"/>
      <c r="AGO49" s="128"/>
      <c r="AGP49" s="128"/>
      <c r="AGQ49" s="128"/>
      <c r="AGR49" s="128"/>
      <c r="AGS49" s="128"/>
      <c r="AGT49" s="128"/>
      <c r="AGU49" s="128"/>
      <c r="AGV49" s="128"/>
      <c r="AGW49" s="128"/>
      <c r="AGX49" s="128"/>
      <c r="AGY49" s="128"/>
      <c r="AGZ49" s="128"/>
      <c r="AHA49" s="128"/>
      <c r="AHB49" s="128"/>
      <c r="AHC49" s="128"/>
      <c r="AHD49" s="128"/>
      <c r="AHE49" s="128"/>
      <c r="AHF49" s="128"/>
      <c r="AHG49" s="128"/>
      <c r="AHH49" s="128"/>
      <c r="AHI49" s="128"/>
      <c r="AHJ49" s="128"/>
      <c r="AHK49" s="128"/>
      <c r="AHL49" s="128"/>
      <c r="AHM49" s="128"/>
      <c r="AHN49" s="128"/>
      <c r="AHO49" s="128"/>
      <c r="AHP49" s="128"/>
      <c r="AHQ49" s="128"/>
      <c r="AHR49" s="128"/>
      <c r="AHS49" s="128"/>
      <c r="AHT49" s="128"/>
      <c r="AHU49" s="128"/>
      <c r="AHV49" s="128"/>
      <c r="AHW49" s="128"/>
      <c r="AHX49" s="128"/>
      <c r="AHY49" s="128"/>
      <c r="AHZ49" s="128"/>
      <c r="AIA49" s="128"/>
      <c r="AIB49" s="128"/>
      <c r="AIC49" s="128"/>
      <c r="AID49" s="128"/>
      <c r="AIE49" s="128"/>
      <c r="AIF49" s="128"/>
      <c r="AIG49" s="128"/>
      <c r="AIH49" s="128"/>
      <c r="AII49" s="128"/>
      <c r="AIJ49" s="128"/>
      <c r="AIK49" s="128"/>
      <c r="AIL49" s="128"/>
      <c r="AIM49" s="128"/>
      <c r="AIN49" s="128"/>
      <c r="AIO49" s="128"/>
      <c r="AIP49" s="128"/>
      <c r="AIQ49" s="128"/>
      <c r="AIR49" s="128"/>
      <c r="AIS49" s="128"/>
      <c r="AIT49" s="128"/>
      <c r="AIU49" s="128"/>
      <c r="AIV49" s="128"/>
      <c r="AIW49" s="128"/>
      <c r="AIX49" s="128"/>
      <c r="AIY49" s="128"/>
      <c r="AIZ49" s="128"/>
      <c r="AJA49" s="128"/>
      <c r="AJB49" s="128"/>
      <c r="AJC49" s="128"/>
      <c r="AJD49" s="128"/>
      <c r="AJE49" s="128"/>
      <c r="AJF49" s="128"/>
      <c r="AJG49" s="128"/>
      <c r="AJH49" s="128"/>
      <c r="AJI49" s="128"/>
      <c r="AJJ49" s="128"/>
      <c r="AJK49" s="128"/>
      <c r="AJL49" s="128"/>
      <c r="AJM49" s="128"/>
      <c r="AJN49" s="128"/>
      <c r="AJO49" s="128"/>
      <c r="AJP49" s="128"/>
      <c r="AJQ49" s="128"/>
      <c r="AJR49" s="128"/>
      <c r="AJS49" s="128"/>
      <c r="AJT49" s="128"/>
      <c r="AJU49" s="128"/>
      <c r="AJV49" s="128"/>
      <c r="AJW49" s="128"/>
      <c r="AJX49" s="128"/>
      <c r="AJY49" s="128"/>
      <c r="AJZ49" s="128"/>
      <c r="AKA49" s="128"/>
      <c r="AKB49" s="128"/>
      <c r="AKC49" s="128"/>
      <c r="AKD49" s="128"/>
      <c r="AKE49" s="128"/>
      <c r="AKF49" s="128"/>
      <c r="AKG49" s="128"/>
      <c r="AKH49" s="128"/>
      <c r="AKI49" s="128"/>
      <c r="AKJ49" s="128"/>
      <c r="AKK49" s="128"/>
      <c r="AKL49" s="128"/>
      <c r="AKM49" s="128"/>
      <c r="AKN49" s="128"/>
      <c r="AKO49" s="128"/>
      <c r="AKP49" s="128"/>
      <c r="AKQ49" s="128"/>
      <c r="AKR49" s="128"/>
      <c r="AKS49" s="128"/>
      <c r="AKT49" s="128"/>
      <c r="AKU49" s="128"/>
      <c r="AKV49" s="128"/>
      <c r="AKW49" s="128"/>
      <c r="AKX49" s="128"/>
      <c r="AKY49" s="128"/>
      <c r="AKZ49" s="128"/>
      <c r="ALA49" s="128"/>
      <c r="ALB49" s="128"/>
      <c r="ALC49" s="128"/>
      <c r="ALD49" s="128"/>
      <c r="ALE49" s="128"/>
      <c r="ALF49" s="128"/>
      <c r="ALG49" s="128"/>
      <c r="ALH49" s="128"/>
      <c r="ALI49" s="128"/>
      <c r="ALJ49" s="128"/>
      <c r="ALK49" s="128"/>
      <c r="ALL49" s="128"/>
      <c r="ALM49" s="128"/>
      <c r="ALN49" s="128"/>
      <c r="ALO49" s="128"/>
      <c r="ALP49" s="128"/>
      <c r="ALQ49" s="128"/>
      <c r="ALR49" s="128"/>
      <c r="ALS49"/>
      <c r="ALT49"/>
      <c r="ALU49"/>
    </row>
    <row r="50" spans="1:1009" s="96" customFormat="1" ht="12" customHeight="1">
      <c r="A50" s="136"/>
      <c r="B50" s="136"/>
      <c r="C50" s="136"/>
      <c r="D50" s="136"/>
      <c r="E50" s="136"/>
      <c r="F50" s="136"/>
      <c r="I50" s="225"/>
      <c r="J50" s="159"/>
      <c r="L50" s="173"/>
      <c r="N50" s="278"/>
      <c r="R50"/>
      <c r="S50" s="179"/>
      <c r="U50" s="159"/>
      <c r="X50"/>
      <c r="Y50" s="128"/>
      <c r="Z50" s="128"/>
      <c r="AA50" s="128"/>
      <c r="AB50" s="128"/>
      <c r="AC50" s="128"/>
      <c r="AD50" s="128"/>
      <c r="AE50" s="128"/>
      <c r="AF50" s="128"/>
      <c r="AG50" s="128"/>
      <c r="AH50" s="128"/>
      <c r="AI50" s="128"/>
      <c r="AJ50" s="128"/>
      <c r="AK50" s="128"/>
      <c r="AL50" s="128"/>
      <c r="AM50" s="128"/>
      <c r="AN50" s="128"/>
      <c r="AO50" s="128"/>
      <c r="AP50" s="128"/>
      <c r="AQ50" s="128"/>
      <c r="AR50" s="128"/>
      <c r="AS50" s="128"/>
      <c r="AT50" s="128"/>
      <c r="AU50" s="128"/>
      <c r="AV50" s="128"/>
      <c r="AW50" s="128"/>
      <c r="AX50" s="128"/>
      <c r="AY50" s="128"/>
      <c r="AZ50" s="128"/>
      <c r="BA50" s="128"/>
      <c r="BB50" s="128"/>
      <c r="BC50" s="128"/>
      <c r="BD50" s="128"/>
      <c r="BE50" s="128"/>
      <c r="BF50" s="128"/>
      <c r="BG50" s="128"/>
      <c r="BH50" s="128"/>
      <c r="BI50" s="128"/>
      <c r="BJ50" s="128"/>
      <c r="BK50" s="128"/>
      <c r="BL50" s="128"/>
      <c r="BM50" s="128"/>
      <c r="BN50" s="128"/>
      <c r="BO50" s="128"/>
      <c r="BP50" s="128"/>
      <c r="BQ50" s="128"/>
      <c r="BR50" s="128"/>
      <c r="BS50" s="128"/>
      <c r="BT50" s="128"/>
      <c r="BU50" s="128"/>
      <c r="BV50" s="128"/>
      <c r="BW50" s="128"/>
      <c r="BX50" s="128"/>
      <c r="BY50" s="128"/>
      <c r="BZ50" s="128"/>
      <c r="CA50" s="128"/>
      <c r="CB50" s="128"/>
      <c r="CC50" s="128"/>
      <c r="CD50" s="128"/>
      <c r="CE50" s="128"/>
      <c r="CF50" s="128"/>
      <c r="CG50" s="128"/>
      <c r="CH50" s="128"/>
      <c r="CI50" s="128"/>
      <c r="CJ50" s="128"/>
      <c r="CK50" s="128"/>
      <c r="CL50" s="128"/>
      <c r="CM50" s="128"/>
      <c r="CN50" s="128"/>
      <c r="CO50" s="128"/>
      <c r="CP50" s="128"/>
      <c r="CQ50" s="128"/>
      <c r="CR50" s="128"/>
      <c r="CS50" s="128"/>
      <c r="CT50" s="128"/>
      <c r="CU50" s="128"/>
      <c r="CV50" s="128"/>
      <c r="CW50" s="128"/>
      <c r="CX50" s="128"/>
      <c r="CY50" s="128"/>
      <c r="CZ50" s="128"/>
      <c r="DA50" s="128"/>
      <c r="DB50" s="128"/>
      <c r="DC50" s="128"/>
      <c r="DD50" s="128"/>
      <c r="DE50" s="128"/>
      <c r="DF50" s="128"/>
      <c r="DG50" s="128"/>
      <c r="DH50" s="128"/>
      <c r="DI50" s="128"/>
      <c r="DJ50" s="128"/>
      <c r="DK50" s="128"/>
      <c r="DL50" s="128"/>
      <c r="DM50" s="128"/>
      <c r="DN50" s="128"/>
      <c r="DO50" s="128"/>
      <c r="DP50" s="128"/>
      <c r="DQ50" s="128"/>
      <c r="DR50" s="128"/>
      <c r="DS50" s="128"/>
      <c r="DT50" s="128"/>
      <c r="DU50" s="128"/>
      <c r="DV50" s="128"/>
      <c r="DW50" s="128"/>
      <c r="DX50" s="128"/>
      <c r="DY50" s="128"/>
      <c r="DZ50" s="128"/>
      <c r="EA50" s="128"/>
      <c r="EB50" s="128"/>
      <c r="EC50" s="128"/>
      <c r="ED50" s="128"/>
      <c r="EE50" s="128"/>
      <c r="EF50" s="128"/>
      <c r="EG50" s="128"/>
      <c r="EH50" s="128"/>
      <c r="EI50" s="128"/>
      <c r="EJ50" s="128"/>
      <c r="EK50" s="128"/>
      <c r="EL50" s="128"/>
      <c r="EM50" s="128"/>
      <c r="EN50" s="128"/>
      <c r="EO50" s="128"/>
      <c r="EP50" s="128"/>
      <c r="EQ50" s="128"/>
      <c r="ER50" s="128"/>
      <c r="ES50" s="128"/>
      <c r="ET50" s="128"/>
      <c r="EU50" s="128"/>
      <c r="EV50" s="128"/>
      <c r="EW50" s="128"/>
      <c r="EX50" s="128"/>
      <c r="EY50" s="128"/>
      <c r="EZ50" s="128"/>
      <c r="FA50" s="128"/>
      <c r="FB50" s="128"/>
      <c r="FC50" s="128"/>
      <c r="FD50" s="128"/>
      <c r="FE50" s="128"/>
      <c r="FF50" s="128"/>
      <c r="FG50" s="128"/>
      <c r="FH50" s="128"/>
      <c r="FI50" s="128"/>
      <c r="FJ50" s="128"/>
      <c r="FK50" s="128"/>
      <c r="FL50" s="128"/>
      <c r="FM50" s="128"/>
      <c r="FN50" s="128"/>
      <c r="FO50" s="128"/>
      <c r="FP50" s="128"/>
      <c r="FQ50" s="128"/>
      <c r="FR50" s="128"/>
      <c r="FS50" s="128"/>
      <c r="FT50" s="128"/>
      <c r="FU50" s="128"/>
      <c r="FV50" s="128"/>
      <c r="FW50" s="128"/>
      <c r="FX50" s="128"/>
      <c r="FY50" s="128"/>
      <c r="FZ50" s="128"/>
      <c r="GA50" s="128"/>
      <c r="GB50" s="128"/>
      <c r="GC50" s="128"/>
      <c r="GD50" s="128"/>
      <c r="GE50" s="128"/>
      <c r="GF50" s="128"/>
      <c r="GG50" s="128"/>
      <c r="GH50" s="128"/>
      <c r="GI50" s="128"/>
      <c r="GJ50" s="128"/>
      <c r="GK50" s="128"/>
      <c r="GL50" s="128"/>
      <c r="GM50" s="128"/>
      <c r="GN50" s="128"/>
      <c r="GO50" s="128"/>
      <c r="GP50" s="128"/>
      <c r="GQ50" s="128"/>
      <c r="GR50" s="128"/>
      <c r="GS50" s="128"/>
      <c r="GT50" s="128"/>
      <c r="GU50" s="128"/>
      <c r="GV50" s="128"/>
      <c r="GW50" s="128"/>
      <c r="GX50" s="128"/>
      <c r="GY50" s="128"/>
      <c r="GZ50" s="128"/>
      <c r="HA50" s="128"/>
      <c r="HB50" s="128"/>
      <c r="HC50" s="128"/>
      <c r="HD50" s="128"/>
      <c r="HE50" s="128"/>
      <c r="HF50" s="128"/>
      <c r="HG50" s="128"/>
      <c r="HH50" s="128"/>
      <c r="HI50" s="128"/>
      <c r="HJ50" s="128"/>
      <c r="HK50" s="128"/>
      <c r="HL50" s="128"/>
      <c r="HM50" s="128"/>
      <c r="HN50" s="128"/>
      <c r="HO50" s="128"/>
      <c r="HP50" s="128"/>
      <c r="HQ50" s="128"/>
      <c r="HR50" s="128"/>
      <c r="HS50" s="128"/>
      <c r="HT50" s="128"/>
      <c r="HU50" s="128"/>
      <c r="HV50" s="128"/>
      <c r="HW50" s="128"/>
      <c r="HX50" s="128"/>
      <c r="HY50" s="128"/>
      <c r="HZ50" s="128"/>
      <c r="IA50" s="128"/>
      <c r="IB50" s="128"/>
      <c r="IC50" s="128"/>
      <c r="ID50" s="128"/>
      <c r="IE50" s="128"/>
      <c r="IF50" s="128"/>
      <c r="IG50" s="128"/>
      <c r="IH50" s="128"/>
      <c r="II50" s="128"/>
      <c r="IJ50" s="128"/>
      <c r="IK50" s="128"/>
      <c r="IL50" s="128"/>
      <c r="IM50" s="128"/>
      <c r="IN50" s="128"/>
      <c r="IO50" s="128"/>
      <c r="IP50" s="128"/>
      <c r="IQ50" s="128"/>
      <c r="IR50" s="128"/>
      <c r="IS50" s="128"/>
      <c r="IT50" s="128"/>
      <c r="IU50" s="128"/>
      <c r="IV50" s="128"/>
      <c r="IW50" s="128"/>
      <c r="IX50" s="128"/>
      <c r="IY50" s="128"/>
      <c r="IZ50" s="128"/>
      <c r="JA50" s="128"/>
      <c r="JB50" s="128"/>
      <c r="JC50" s="128"/>
      <c r="JD50" s="128"/>
      <c r="JE50" s="128"/>
      <c r="JF50" s="128"/>
      <c r="JG50" s="128"/>
      <c r="JH50" s="128"/>
      <c r="JI50" s="128"/>
      <c r="JJ50" s="128"/>
      <c r="JK50" s="128"/>
      <c r="JL50" s="128"/>
      <c r="JM50" s="128"/>
      <c r="JN50" s="128"/>
      <c r="JO50" s="128"/>
      <c r="JP50" s="128"/>
      <c r="JQ50" s="128"/>
      <c r="JR50" s="128"/>
      <c r="JS50" s="128"/>
      <c r="JT50" s="128"/>
      <c r="JU50" s="128"/>
      <c r="JV50" s="128"/>
      <c r="JW50" s="128"/>
      <c r="JX50" s="128"/>
      <c r="JY50" s="128"/>
      <c r="JZ50" s="128"/>
      <c r="KA50" s="128"/>
      <c r="KB50" s="128"/>
      <c r="KC50" s="128"/>
      <c r="KD50" s="128"/>
      <c r="KE50" s="128"/>
      <c r="KF50" s="128"/>
      <c r="KG50" s="128"/>
      <c r="KH50" s="128"/>
      <c r="KI50" s="128"/>
      <c r="KJ50" s="128"/>
      <c r="KK50" s="128"/>
      <c r="KL50" s="128"/>
      <c r="KM50" s="128"/>
      <c r="KN50" s="128"/>
      <c r="KO50" s="128"/>
      <c r="KP50" s="128"/>
      <c r="KQ50" s="128"/>
      <c r="KR50" s="128"/>
      <c r="KS50" s="128"/>
      <c r="KT50" s="128"/>
      <c r="KU50" s="128"/>
      <c r="KV50" s="128"/>
      <c r="KW50" s="128"/>
      <c r="KX50" s="128"/>
      <c r="KY50" s="128"/>
      <c r="KZ50" s="128"/>
      <c r="LA50" s="128"/>
      <c r="LB50" s="128"/>
      <c r="LC50" s="128"/>
      <c r="LD50" s="128"/>
      <c r="LE50" s="128"/>
      <c r="LF50" s="128"/>
      <c r="LG50" s="128"/>
      <c r="LH50" s="128"/>
      <c r="LI50" s="128"/>
      <c r="LJ50" s="128"/>
      <c r="LK50" s="128"/>
      <c r="LL50" s="128"/>
      <c r="LM50" s="128"/>
      <c r="LN50" s="128"/>
      <c r="LO50" s="128"/>
      <c r="LP50" s="128"/>
      <c r="LQ50" s="128"/>
      <c r="LR50" s="128"/>
      <c r="LS50" s="128"/>
      <c r="LT50" s="128"/>
      <c r="LU50" s="128"/>
      <c r="LV50" s="128"/>
      <c r="LW50" s="128"/>
      <c r="LX50" s="128"/>
      <c r="LY50" s="128"/>
      <c r="LZ50" s="128"/>
      <c r="MA50" s="128"/>
      <c r="MB50" s="128"/>
      <c r="MC50" s="128"/>
      <c r="MD50" s="128"/>
      <c r="ME50" s="128"/>
      <c r="MF50" s="128"/>
      <c r="MG50" s="128"/>
      <c r="MH50" s="128"/>
      <c r="MI50" s="128"/>
      <c r="MJ50" s="128"/>
      <c r="MK50" s="128"/>
      <c r="ML50" s="128"/>
      <c r="MM50" s="128"/>
      <c r="MN50" s="128"/>
      <c r="MO50" s="128"/>
      <c r="MP50" s="128"/>
      <c r="MQ50" s="128"/>
      <c r="MR50" s="128"/>
      <c r="MS50" s="128"/>
      <c r="MT50" s="128"/>
      <c r="MU50" s="128"/>
      <c r="MV50" s="128"/>
      <c r="MW50" s="128"/>
      <c r="MX50" s="128"/>
      <c r="MY50" s="128"/>
      <c r="MZ50" s="128"/>
      <c r="NA50" s="128"/>
      <c r="NB50" s="128"/>
      <c r="NC50" s="128"/>
      <c r="ND50" s="128"/>
      <c r="NE50" s="128"/>
      <c r="NF50" s="128"/>
      <c r="NG50" s="128"/>
      <c r="NH50" s="128"/>
      <c r="NI50" s="128"/>
      <c r="NJ50" s="128"/>
      <c r="NK50" s="128"/>
      <c r="NL50" s="128"/>
      <c r="NM50" s="128"/>
      <c r="NN50" s="128"/>
      <c r="NO50" s="128"/>
      <c r="NP50" s="128"/>
      <c r="NQ50" s="128"/>
      <c r="NR50" s="128"/>
      <c r="NS50" s="128"/>
      <c r="NT50" s="128"/>
      <c r="NU50" s="128"/>
      <c r="NV50" s="128"/>
      <c r="NW50" s="128"/>
      <c r="NX50" s="128"/>
      <c r="NY50" s="128"/>
      <c r="NZ50" s="128"/>
      <c r="OA50" s="128"/>
      <c r="OB50" s="128"/>
      <c r="OC50" s="128"/>
      <c r="OD50" s="128"/>
      <c r="OE50" s="128"/>
      <c r="OF50" s="128"/>
      <c r="OG50" s="128"/>
      <c r="OH50" s="128"/>
      <c r="OI50" s="128"/>
      <c r="OJ50" s="128"/>
      <c r="OK50" s="128"/>
      <c r="OL50" s="128"/>
      <c r="OM50" s="128"/>
      <c r="ON50" s="128"/>
      <c r="OO50" s="128"/>
      <c r="OP50" s="128"/>
      <c r="OQ50" s="128"/>
      <c r="OR50" s="128"/>
      <c r="OS50" s="128"/>
      <c r="OT50" s="128"/>
      <c r="OU50" s="128"/>
      <c r="OV50" s="128"/>
      <c r="OW50" s="128"/>
      <c r="OX50" s="128"/>
      <c r="OY50" s="128"/>
      <c r="OZ50" s="128"/>
      <c r="PA50" s="128"/>
      <c r="PB50" s="128"/>
      <c r="PC50" s="128"/>
      <c r="PD50" s="128"/>
      <c r="PE50" s="128"/>
      <c r="PF50" s="128"/>
      <c r="PG50" s="128"/>
      <c r="PH50" s="128"/>
      <c r="PI50" s="128"/>
      <c r="PJ50" s="128"/>
      <c r="PK50" s="128"/>
      <c r="PL50" s="128"/>
      <c r="PM50" s="128"/>
      <c r="PN50" s="128"/>
      <c r="PO50" s="128"/>
      <c r="PP50" s="128"/>
      <c r="PQ50" s="128"/>
      <c r="PR50" s="128"/>
      <c r="PS50" s="128"/>
      <c r="PT50" s="128"/>
      <c r="PU50" s="128"/>
      <c r="PV50" s="128"/>
      <c r="PW50" s="128"/>
      <c r="PX50" s="128"/>
      <c r="PY50" s="128"/>
      <c r="PZ50" s="128"/>
      <c r="QA50" s="128"/>
      <c r="QB50" s="128"/>
      <c r="QC50" s="128"/>
      <c r="QD50" s="128"/>
      <c r="QE50" s="128"/>
      <c r="QF50" s="128"/>
      <c r="QG50" s="128"/>
      <c r="QH50" s="128"/>
      <c r="QI50" s="128"/>
      <c r="QJ50" s="128"/>
      <c r="QK50" s="128"/>
      <c r="QL50" s="128"/>
      <c r="QM50" s="128"/>
      <c r="QN50" s="128"/>
      <c r="QO50" s="128"/>
      <c r="QP50" s="128"/>
      <c r="QQ50" s="128"/>
      <c r="QR50" s="128"/>
      <c r="QS50" s="128"/>
      <c r="QT50" s="128"/>
      <c r="QU50" s="128"/>
      <c r="QV50" s="128"/>
      <c r="QW50" s="128"/>
      <c r="QX50" s="128"/>
      <c r="QY50" s="128"/>
      <c r="QZ50" s="128"/>
      <c r="RA50" s="128"/>
      <c r="RB50" s="128"/>
      <c r="RC50" s="128"/>
      <c r="RD50" s="128"/>
      <c r="RE50" s="128"/>
      <c r="RF50" s="128"/>
      <c r="RG50" s="128"/>
      <c r="RH50" s="128"/>
      <c r="RI50" s="128"/>
      <c r="RJ50" s="128"/>
      <c r="RK50" s="128"/>
      <c r="RL50" s="128"/>
      <c r="RM50" s="128"/>
      <c r="RN50" s="128"/>
      <c r="RO50" s="128"/>
      <c r="RP50" s="128"/>
      <c r="RQ50" s="128"/>
      <c r="RR50" s="128"/>
      <c r="RS50" s="128"/>
      <c r="RT50" s="128"/>
      <c r="RU50" s="128"/>
      <c r="RV50" s="128"/>
      <c r="RW50" s="128"/>
      <c r="RX50" s="128"/>
      <c r="RY50" s="128"/>
      <c r="RZ50" s="128"/>
      <c r="SA50" s="128"/>
      <c r="SB50" s="128"/>
      <c r="SC50" s="128"/>
      <c r="SD50" s="128"/>
      <c r="SE50" s="128"/>
      <c r="SF50" s="128"/>
      <c r="SG50" s="128"/>
      <c r="SH50" s="128"/>
      <c r="SI50" s="128"/>
      <c r="SJ50" s="128"/>
      <c r="SK50" s="128"/>
      <c r="SL50" s="128"/>
      <c r="SM50" s="128"/>
      <c r="SN50" s="128"/>
      <c r="SO50" s="128"/>
      <c r="SP50" s="128"/>
      <c r="SQ50" s="128"/>
      <c r="SR50" s="128"/>
      <c r="SS50" s="128"/>
      <c r="ST50" s="128"/>
      <c r="SU50" s="128"/>
      <c r="SV50" s="128"/>
      <c r="SW50" s="128"/>
      <c r="SX50" s="128"/>
      <c r="SY50" s="128"/>
      <c r="SZ50" s="128"/>
      <c r="TA50" s="128"/>
      <c r="TB50" s="128"/>
      <c r="TC50" s="128"/>
      <c r="TD50" s="128"/>
      <c r="TE50" s="128"/>
      <c r="TF50" s="128"/>
      <c r="TG50" s="128"/>
      <c r="TH50" s="128"/>
      <c r="TI50" s="128"/>
      <c r="TJ50" s="128"/>
      <c r="TK50" s="128"/>
      <c r="TL50" s="128"/>
      <c r="TM50" s="128"/>
      <c r="TN50" s="128"/>
      <c r="TO50" s="128"/>
      <c r="TP50" s="128"/>
      <c r="TQ50" s="128"/>
      <c r="TR50" s="128"/>
      <c r="TS50" s="128"/>
      <c r="TT50" s="128"/>
      <c r="TU50" s="128"/>
      <c r="TV50" s="128"/>
      <c r="TW50" s="128"/>
      <c r="TX50" s="128"/>
      <c r="TY50" s="128"/>
      <c r="TZ50" s="128"/>
      <c r="UA50" s="128"/>
      <c r="UB50" s="128"/>
      <c r="UC50" s="128"/>
      <c r="UD50" s="128"/>
      <c r="UE50" s="128"/>
      <c r="UF50" s="128"/>
      <c r="UG50" s="128"/>
      <c r="UH50" s="128"/>
      <c r="UI50" s="128"/>
      <c r="UJ50" s="128"/>
      <c r="UK50" s="128"/>
      <c r="UL50" s="128"/>
      <c r="UM50" s="128"/>
      <c r="UN50" s="128"/>
      <c r="UO50" s="128"/>
      <c r="UP50" s="128"/>
      <c r="UQ50" s="128"/>
      <c r="UR50" s="128"/>
      <c r="US50" s="128"/>
      <c r="UT50" s="128"/>
      <c r="UU50" s="128"/>
      <c r="UV50" s="128"/>
      <c r="UW50" s="128"/>
      <c r="UX50" s="128"/>
      <c r="UY50" s="128"/>
      <c r="UZ50" s="128"/>
      <c r="VA50" s="128"/>
      <c r="VB50" s="128"/>
      <c r="VC50" s="128"/>
      <c r="VD50" s="128"/>
      <c r="VE50" s="128"/>
      <c r="VF50" s="128"/>
      <c r="VG50" s="128"/>
      <c r="VH50" s="128"/>
      <c r="VI50" s="128"/>
      <c r="VJ50" s="128"/>
      <c r="VK50" s="128"/>
      <c r="VL50" s="128"/>
      <c r="VM50" s="128"/>
      <c r="VN50" s="128"/>
      <c r="VO50" s="128"/>
      <c r="VP50" s="128"/>
      <c r="VQ50" s="128"/>
      <c r="VR50" s="128"/>
      <c r="VS50" s="128"/>
      <c r="VT50" s="128"/>
      <c r="VU50" s="128"/>
      <c r="VV50" s="128"/>
      <c r="VW50" s="128"/>
      <c r="VX50" s="128"/>
      <c r="VY50" s="128"/>
      <c r="VZ50" s="128"/>
      <c r="WA50" s="128"/>
      <c r="WB50" s="128"/>
      <c r="WC50" s="128"/>
      <c r="WD50" s="128"/>
      <c r="WE50" s="128"/>
      <c r="WF50" s="128"/>
      <c r="WG50" s="128"/>
      <c r="WH50" s="128"/>
      <c r="WI50" s="128"/>
      <c r="WJ50" s="128"/>
      <c r="WK50" s="128"/>
      <c r="WL50" s="128"/>
      <c r="WM50" s="128"/>
      <c r="WN50" s="128"/>
      <c r="WO50" s="128"/>
      <c r="WP50" s="128"/>
      <c r="WQ50" s="128"/>
      <c r="WR50" s="128"/>
      <c r="WS50" s="128"/>
      <c r="WT50" s="128"/>
      <c r="WU50" s="128"/>
      <c r="WV50" s="128"/>
      <c r="WW50" s="128"/>
      <c r="WX50" s="128"/>
      <c r="WY50" s="128"/>
      <c r="WZ50" s="128"/>
      <c r="XA50" s="128"/>
      <c r="XB50" s="128"/>
      <c r="XC50" s="128"/>
      <c r="XD50" s="128"/>
      <c r="XE50" s="128"/>
      <c r="XF50" s="128"/>
      <c r="XG50" s="128"/>
      <c r="XH50" s="128"/>
      <c r="XI50" s="128"/>
      <c r="XJ50" s="128"/>
      <c r="XK50" s="128"/>
      <c r="XL50" s="128"/>
      <c r="XM50" s="128"/>
      <c r="XN50" s="128"/>
      <c r="XO50" s="128"/>
      <c r="XP50" s="128"/>
      <c r="XQ50" s="128"/>
      <c r="XR50" s="128"/>
      <c r="XS50" s="128"/>
      <c r="XT50" s="128"/>
      <c r="XU50" s="128"/>
      <c r="XV50" s="128"/>
      <c r="XW50" s="128"/>
      <c r="XX50" s="128"/>
      <c r="XY50" s="128"/>
      <c r="XZ50" s="128"/>
      <c r="YA50" s="128"/>
      <c r="YB50" s="128"/>
      <c r="YC50" s="128"/>
      <c r="YD50" s="128"/>
      <c r="YE50" s="128"/>
      <c r="YF50" s="128"/>
      <c r="YG50" s="128"/>
      <c r="YH50" s="128"/>
      <c r="YI50" s="128"/>
      <c r="YJ50" s="128"/>
      <c r="YK50" s="128"/>
      <c r="YL50" s="128"/>
      <c r="YM50" s="128"/>
      <c r="YN50" s="128"/>
      <c r="YO50" s="128"/>
      <c r="YP50" s="128"/>
      <c r="YQ50" s="128"/>
      <c r="YR50" s="128"/>
      <c r="YS50" s="128"/>
      <c r="YT50" s="128"/>
      <c r="YU50" s="128"/>
      <c r="YV50" s="128"/>
      <c r="YW50" s="128"/>
      <c r="YX50" s="128"/>
      <c r="YY50" s="128"/>
      <c r="YZ50" s="128"/>
      <c r="ZA50" s="128"/>
      <c r="ZB50" s="128"/>
      <c r="ZC50" s="128"/>
      <c r="ZD50" s="128"/>
      <c r="ZE50" s="128"/>
      <c r="ZF50" s="128"/>
      <c r="ZG50" s="128"/>
      <c r="ZH50" s="128"/>
      <c r="ZI50" s="128"/>
      <c r="ZJ50" s="128"/>
      <c r="ZK50" s="128"/>
      <c r="ZL50" s="128"/>
      <c r="ZM50" s="128"/>
      <c r="ZN50" s="128"/>
      <c r="ZO50" s="128"/>
      <c r="ZP50" s="128"/>
      <c r="ZQ50" s="128"/>
      <c r="ZR50" s="128"/>
      <c r="ZS50" s="128"/>
      <c r="ZT50" s="128"/>
      <c r="ZU50" s="128"/>
      <c r="ZV50" s="128"/>
      <c r="ZW50" s="128"/>
      <c r="ZX50" s="128"/>
      <c r="ZY50" s="128"/>
      <c r="ZZ50" s="128"/>
      <c r="AAA50" s="128"/>
      <c r="AAB50" s="128"/>
      <c r="AAC50" s="128"/>
      <c r="AAD50" s="128"/>
      <c r="AAE50" s="128"/>
      <c r="AAF50" s="128"/>
      <c r="AAG50" s="128"/>
      <c r="AAH50" s="128"/>
      <c r="AAI50" s="128"/>
      <c r="AAJ50" s="128"/>
      <c r="AAK50" s="128"/>
      <c r="AAL50" s="128"/>
      <c r="AAM50" s="128"/>
      <c r="AAN50" s="128"/>
      <c r="AAO50" s="128"/>
      <c r="AAP50" s="128"/>
      <c r="AAQ50" s="128"/>
      <c r="AAR50" s="128"/>
      <c r="AAS50" s="128"/>
      <c r="AAT50" s="128"/>
      <c r="AAU50" s="128"/>
      <c r="AAV50" s="128"/>
      <c r="AAW50" s="128"/>
      <c r="AAX50" s="128"/>
      <c r="AAY50" s="128"/>
      <c r="AAZ50" s="128"/>
      <c r="ABA50" s="128"/>
      <c r="ABB50" s="128"/>
      <c r="ABC50" s="128"/>
      <c r="ABD50" s="128"/>
      <c r="ABE50" s="128"/>
      <c r="ABF50" s="128"/>
      <c r="ABG50" s="128"/>
      <c r="ABH50" s="128"/>
      <c r="ABI50" s="128"/>
      <c r="ABJ50" s="128"/>
      <c r="ABK50" s="128"/>
      <c r="ABL50" s="128"/>
      <c r="ABM50" s="128"/>
      <c r="ABN50" s="128"/>
      <c r="ABO50" s="128"/>
      <c r="ABP50" s="128"/>
      <c r="ABQ50" s="128"/>
      <c r="ABR50" s="128"/>
      <c r="ABS50" s="128"/>
      <c r="ABT50" s="128"/>
      <c r="ABU50" s="128"/>
      <c r="ABV50" s="128"/>
      <c r="ABW50" s="128"/>
      <c r="ABX50" s="128"/>
      <c r="ABY50" s="128"/>
      <c r="ABZ50" s="128"/>
      <c r="ACA50" s="128"/>
      <c r="ACB50" s="128"/>
      <c r="ACC50" s="128"/>
      <c r="ACD50" s="128"/>
      <c r="ACE50" s="128"/>
      <c r="ACF50" s="128"/>
      <c r="ACG50" s="128"/>
      <c r="ACH50" s="128"/>
      <c r="ACI50" s="128"/>
      <c r="ACJ50" s="128"/>
      <c r="ACK50" s="128"/>
      <c r="ACL50" s="128"/>
      <c r="ACM50" s="128"/>
      <c r="ACN50" s="128"/>
      <c r="ACO50" s="128"/>
      <c r="ACP50" s="128"/>
      <c r="ACQ50" s="128"/>
      <c r="ACR50" s="128"/>
      <c r="ACS50" s="128"/>
      <c r="ACT50" s="128"/>
      <c r="ACU50" s="128"/>
      <c r="ACV50" s="128"/>
      <c r="ACW50" s="128"/>
      <c r="ACX50" s="128"/>
      <c r="ACY50" s="128"/>
      <c r="ACZ50" s="128"/>
      <c r="ADA50" s="128"/>
      <c r="ADB50" s="128"/>
      <c r="ADC50" s="128"/>
      <c r="ADD50" s="128"/>
      <c r="ADE50" s="128"/>
      <c r="ADF50" s="128"/>
      <c r="ADG50" s="128"/>
      <c r="ADH50" s="128"/>
      <c r="ADI50" s="128"/>
      <c r="ADJ50" s="128"/>
      <c r="ADK50" s="128"/>
      <c r="ADL50" s="128"/>
      <c r="ADM50" s="128"/>
      <c r="ADN50" s="128"/>
      <c r="ADO50" s="128"/>
      <c r="ADP50" s="128"/>
      <c r="ADQ50" s="128"/>
      <c r="ADR50" s="128"/>
      <c r="ADS50" s="128"/>
      <c r="ADT50" s="128"/>
      <c r="ADU50" s="128"/>
      <c r="ADV50" s="128"/>
      <c r="ADW50" s="128"/>
      <c r="ADX50" s="128"/>
      <c r="ADY50" s="128"/>
      <c r="ADZ50" s="128"/>
      <c r="AEA50" s="128"/>
      <c r="AEB50" s="128"/>
      <c r="AEC50" s="128"/>
      <c r="AED50" s="128"/>
      <c r="AEE50" s="128"/>
      <c r="AEF50" s="128"/>
      <c r="AEG50" s="128"/>
      <c r="AEH50" s="128"/>
      <c r="AEI50" s="128"/>
      <c r="AEJ50" s="128"/>
      <c r="AEK50" s="128"/>
      <c r="AEL50" s="128"/>
      <c r="AEM50" s="128"/>
      <c r="AEN50" s="128"/>
      <c r="AEO50" s="128"/>
      <c r="AEP50" s="128"/>
      <c r="AEQ50" s="128"/>
      <c r="AER50" s="128"/>
      <c r="AES50" s="128"/>
      <c r="AET50" s="128"/>
      <c r="AEU50" s="128"/>
      <c r="AEV50" s="128"/>
      <c r="AEW50" s="128"/>
      <c r="AEX50" s="128"/>
      <c r="AEY50" s="128"/>
      <c r="AEZ50" s="128"/>
      <c r="AFA50" s="128"/>
      <c r="AFB50" s="128"/>
      <c r="AFC50" s="128"/>
      <c r="AFD50" s="128"/>
      <c r="AFE50" s="128"/>
      <c r="AFF50" s="128"/>
      <c r="AFG50" s="128"/>
      <c r="AFH50" s="128"/>
      <c r="AFI50" s="128"/>
      <c r="AFJ50" s="128"/>
      <c r="AFK50" s="128"/>
      <c r="AFL50" s="128"/>
      <c r="AFM50" s="128"/>
      <c r="AFN50" s="128"/>
      <c r="AFO50" s="128"/>
      <c r="AFP50" s="128"/>
      <c r="AFQ50" s="128"/>
      <c r="AFR50" s="128"/>
      <c r="AFS50" s="128"/>
      <c r="AFT50" s="128"/>
      <c r="AFU50" s="128"/>
      <c r="AFV50" s="128"/>
      <c r="AFW50" s="128"/>
      <c r="AFX50" s="128"/>
      <c r="AFY50" s="128"/>
      <c r="AFZ50" s="128"/>
      <c r="AGA50" s="128"/>
      <c r="AGB50" s="128"/>
      <c r="AGC50" s="128"/>
      <c r="AGD50" s="128"/>
      <c r="AGE50" s="128"/>
      <c r="AGF50" s="128"/>
      <c r="AGG50" s="128"/>
      <c r="AGH50" s="128"/>
      <c r="AGI50" s="128"/>
      <c r="AGJ50" s="128"/>
      <c r="AGK50" s="128"/>
      <c r="AGL50" s="128"/>
      <c r="AGM50" s="128"/>
      <c r="AGN50" s="128"/>
      <c r="AGO50" s="128"/>
      <c r="AGP50" s="128"/>
      <c r="AGQ50" s="128"/>
      <c r="AGR50" s="128"/>
      <c r="AGS50" s="128"/>
      <c r="AGT50" s="128"/>
      <c r="AGU50" s="128"/>
      <c r="AGV50" s="128"/>
      <c r="AGW50" s="128"/>
      <c r="AGX50" s="128"/>
      <c r="AGY50" s="128"/>
      <c r="AGZ50" s="128"/>
      <c r="AHA50" s="128"/>
      <c r="AHB50" s="128"/>
      <c r="AHC50" s="128"/>
      <c r="AHD50" s="128"/>
      <c r="AHE50" s="128"/>
      <c r="AHF50" s="128"/>
      <c r="AHG50" s="128"/>
      <c r="AHH50" s="128"/>
      <c r="AHI50" s="128"/>
      <c r="AHJ50" s="128"/>
      <c r="AHK50" s="128"/>
      <c r="AHL50" s="128"/>
      <c r="AHM50" s="128"/>
      <c r="AHN50" s="128"/>
      <c r="AHO50" s="128"/>
      <c r="AHP50" s="128"/>
      <c r="AHQ50" s="128"/>
      <c r="AHR50" s="128"/>
      <c r="AHS50" s="128"/>
      <c r="AHT50" s="128"/>
      <c r="AHU50" s="128"/>
      <c r="AHV50" s="128"/>
      <c r="AHW50" s="128"/>
      <c r="AHX50" s="128"/>
      <c r="AHY50" s="128"/>
      <c r="AHZ50" s="128"/>
      <c r="AIA50" s="128"/>
      <c r="AIB50" s="128"/>
      <c r="AIC50" s="128"/>
      <c r="AID50" s="128"/>
      <c r="AIE50" s="128"/>
      <c r="AIF50" s="128"/>
      <c r="AIG50" s="128"/>
      <c r="AIH50" s="128"/>
      <c r="AII50" s="128"/>
      <c r="AIJ50" s="128"/>
      <c r="AIK50" s="128"/>
      <c r="AIL50" s="128"/>
      <c r="AIM50" s="128"/>
      <c r="AIN50" s="128"/>
      <c r="AIO50" s="128"/>
      <c r="AIP50" s="128"/>
      <c r="AIQ50" s="128"/>
      <c r="AIR50" s="128"/>
      <c r="AIS50" s="128"/>
      <c r="AIT50" s="128"/>
      <c r="AIU50" s="128"/>
      <c r="AIV50" s="128"/>
      <c r="AIW50" s="128"/>
      <c r="AIX50" s="128"/>
      <c r="AIY50" s="128"/>
      <c r="AIZ50" s="128"/>
      <c r="AJA50" s="128"/>
      <c r="AJB50" s="128"/>
      <c r="AJC50" s="128"/>
      <c r="AJD50" s="128"/>
      <c r="AJE50" s="128"/>
      <c r="AJF50" s="128"/>
      <c r="AJG50" s="128"/>
      <c r="AJH50" s="128"/>
      <c r="AJI50" s="128"/>
      <c r="AJJ50" s="128"/>
      <c r="AJK50" s="128"/>
      <c r="AJL50" s="128"/>
      <c r="AJM50" s="128"/>
      <c r="AJN50" s="128"/>
      <c r="AJO50" s="128"/>
      <c r="AJP50" s="128"/>
      <c r="AJQ50" s="128"/>
      <c r="AJR50" s="128"/>
      <c r="AJS50" s="128"/>
      <c r="AJT50" s="128"/>
      <c r="AJU50" s="128"/>
      <c r="AJV50" s="128"/>
      <c r="AJW50" s="128"/>
      <c r="AJX50" s="128"/>
      <c r="AJY50" s="128"/>
      <c r="AJZ50" s="128"/>
      <c r="AKA50" s="128"/>
      <c r="AKB50" s="128"/>
      <c r="AKC50" s="128"/>
      <c r="AKD50" s="128"/>
      <c r="AKE50" s="128"/>
      <c r="AKF50" s="128"/>
      <c r="AKG50" s="128"/>
      <c r="AKH50" s="128"/>
      <c r="AKI50" s="128"/>
      <c r="AKJ50" s="128"/>
      <c r="AKK50" s="128"/>
      <c r="AKL50" s="128"/>
      <c r="AKM50" s="128"/>
      <c r="AKN50" s="128"/>
      <c r="AKO50" s="128"/>
      <c r="AKP50" s="128"/>
      <c r="AKQ50" s="128"/>
      <c r="AKR50" s="128"/>
      <c r="AKS50" s="128"/>
      <c r="AKT50" s="128"/>
      <c r="AKU50" s="128"/>
      <c r="AKV50" s="128"/>
      <c r="AKW50" s="128"/>
      <c r="AKX50" s="128"/>
      <c r="AKY50" s="128"/>
      <c r="AKZ50" s="128"/>
      <c r="ALA50" s="128"/>
      <c r="ALB50" s="128"/>
      <c r="ALC50" s="128"/>
      <c r="ALD50" s="128"/>
      <c r="ALE50" s="128"/>
      <c r="ALF50" s="128"/>
      <c r="ALG50" s="128"/>
      <c r="ALH50" s="128"/>
      <c r="ALI50" s="128"/>
      <c r="ALJ50" s="128"/>
      <c r="ALK50" s="128"/>
      <c r="ALL50" s="128"/>
      <c r="ALM50" s="128"/>
      <c r="ALN50" s="128"/>
      <c r="ALO50" s="128"/>
      <c r="ALP50" s="128"/>
      <c r="ALQ50" s="128"/>
      <c r="ALR50" s="128"/>
      <c r="ALS50"/>
      <c r="ALT50"/>
      <c r="ALU50"/>
    </row>
  </sheetData>
  <mergeCells count="2">
    <mergeCell ref="H1:I2"/>
    <mergeCell ref="P7:Q7"/>
  </mergeCells>
  <conditionalFormatting sqref="A13:A14">
    <cfRule type="expression" dxfId="720" priority="32">
      <formula>OR($W13="X",#REF!="X")</formula>
    </cfRule>
    <cfRule type="expression" dxfId="719" priority="31">
      <formula>AND(NOT(ISBLANK($Q13)),ISBLANK(#REF!),ISBLANK($W13))</formula>
    </cfRule>
    <cfRule type="expression" dxfId="718" priority="30">
      <formula>AND($W13=1,#REF!=1)</formula>
    </cfRule>
  </conditionalFormatting>
  <conditionalFormatting sqref="A13:A38">
    <cfRule type="expression" dxfId="717" priority="11">
      <formula>$W13=1</formula>
    </cfRule>
    <cfRule type="expression" dxfId="716" priority="12">
      <formula>#REF!=1</formula>
    </cfRule>
  </conditionalFormatting>
  <conditionalFormatting sqref="A15">
    <cfRule type="expression" dxfId="715" priority="15">
      <formula>OR($W15="X",#REF!="X")</formula>
    </cfRule>
    <cfRule type="expression" dxfId="714" priority="13">
      <formula>AND($W15=1,#REF!=1)</formula>
    </cfRule>
    <cfRule type="expression" dxfId="713" priority="14">
      <formula>AND(NOT(ISBLANK($Q15)),ISBLANK(#REF!),ISBLANK($W15))</formula>
    </cfRule>
  </conditionalFormatting>
  <conditionalFormatting sqref="A40:F41 A44:F862">
    <cfRule type="expression" dxfId="712" priority="111">
      <formula>AND($W40=1,$V40=1)</formula>
    </cfRule>
    <cfRule type="expression" dxfId="711" priority="110">
      <formula>OR($W40="X",$V40="X")</formula>
    </cfRule>
    <cfRule type="expression" dxfId="710" priority="113">
      <formula>$V40=1</formula>
    </cfRule>
    <cfRule type="expression" dxfId="709" priority="112">
      <formula>$W40=1</formula>
    </cfRule>
  </conditionalFormatting>
  <conditionalFormatting sqref="A9:G9 A10 C10:G10 A11:G12 A16:A38">
    <cfRule type="expression" dxfId="708" priority="117">
      <formula>OR($W9="X",#REF!="X")</formula>
    </cfRule>
    <cfRule type="expression" dxfId="707" priority="115">
      <formula>AND($W9=1,#REF!=1)</formula>
    </cfRule>
    <cfRule type="expression" dxfId="706" priority="116">
      <formula>AND(NOT(ISBLANK($Q9)),ISBLANK(#REF!),ISBLANK($W9))</formula>
    </cfRule>
  </conditionalFormatting>
  <conditionalFormatting sqref="A9:G9 A10 C10:G10 A11:G12">
    <cfRule type="expression" dxfId="705" priority="104">
      <formula>$W9=1</formula>
    </cfRule>
  </conditionalFormatting>
  <conditionalFormatting sqref="A9:G9 C10:G10 A11:G12 A10">
    <cfRule type="expression" dxfId="704" priority="114">
      <formula>#REF!=1</formula>
    </cfRule>
  </conditionalFormatting>
  <conditionalFormatting sqref="B10">
    <cfRule type="expression" dxfId="703" priority="2">
      <formula>#REF!=1</formula>
    </cfRule>
    <cfRule type="expression" dxfId="702" priority="3">
      <formula>AND($W10=1,#REF!=1)</formula>
    </cfRule>
    <cfRule type="expression" dxfId="701" priority="4">
      <formula>AND(NOT(ISBLANK($Q10)),ISBLANK(#REF!),ISBLANK($W10))</formula>
    </cfRule>
    <cfRule type="expression" dxfId="700" priority="5">
      <formula>OR($W10="X",#REF!="X")</formula>
    </cfRule>
    <cfRule type="expression" dxfId="699" priority="1">
      <formula>$W10=1</formula>
    </cfRule>
  </conditionalFormatting>
  <conditionalFormatting sqref="B13:C14">
    <cfRule type="expression" dxfId="698" priority="37">
      <formula>AND($W32=1,#REF!=1)</formula>
    </cfRule>
    <cfRule type="expression" dxfId="697" priority="38">
      <formula>$W32=1</formula>
    </cfRule>
    <cfRule type="expression" dxfId="696" priority="39">
      <formula>AND(NOT(ISBLANK($Q32)),ISBLANK(#REF!),ISBLANK($W32))</formula>
    </cfRule>
    <cfRule type="expression" dxfId="695" priority="40">
      <formula>OR($W32="X",#REF!="X")</formula>
    </cfRule>
    <cfRule type="expression" dxfId="694" priority="41">
      <formula>#REF!=1</formula>
    </cfRule>
  </conditionalFormatting>
  <conditionalFormatting sqref="B16:G20 B21 D21:G21 B22:C27 E22:G27 B28:G30 B31:B37 B38:G38">
    <cfRule type="expression" dxfId="693" priority="71">
      <formula>$W16=1</formula>
    </cfRule>
  </conditionalFormatting>
  <conditionalFormatting sqref="B16:G20 B21 D21:G21 B22:C27 E22:G27 B28:G30 D31:G34 B31:B37 B38:G38">
    <cfRule type="expression" dxfId="692" priority="78">
      <formula>AND(NOT(ISBLANK($Q16)),ISBLANK(#REF!),ISBLANK($W16))</formula>
    </cfRule>
  </conditionalFormatting>
  <conditionalFormatting sqref="B16:G20 B28:G30 D31:G34 B38:G38 D21:G21 B22:C27 B21 E22:G27 B31:B37">
    <cfRule type="expression" dxfId="691" priority="77">
      <formula>AND($W16=1,#REF!=1)</formula>
    </cfRule>
  </conditionalFormatting>
  <conditionalFormatting sqref="B16:G20 D21:G21 B21:B27 C22:C27 E22:G27 B28:G30 D31:G34 B31:B37 B38:G38">
    <cfRule type="expression" dxfId="690" priority="80">
      <formula>#REF!=1</formula>
    </cfRule>
    <cfRule type="expression" dxfId="689" priority="79">
      <formula>OR($W16="X",#REF!="X")</formula>
    </cfRule>
  </conditionalFormatting>
  <conditionalFormatting sqref="C9:C11">
    <cfRule type="expression" dxfId="688" priority="105">
      <formula>AND($L9="X",$B9&lt;&gt;"")</formula>
    </cfRule>
  </conditionalFormatting>
  <conditionalFormatting sqref="C12">
    <cfRule type="expression" dxfId="687" priority="1688">
      <formula>#REF!=1</formula>
    </cfRule>
    <cfRule type="expression" dxfId="686" priority="1687">
      <formula>#REF!=1</formula>
    </cfRule>
    <cfRule type="expression" dxfId="685" priority="1686">
      <formula>AND(#REF!=1,#REF!=1)</formula>
    </cfRule>
    <cfRule type="expression" dxfId="684" priority="1685">
      <formula>OR(#REF!="X",#REF!="X")</formula>
    </cfRule>
    <cfRule type="expression" dxfId="683" priority="1689">
      <formula>AND(NOT(ISBLANK(#REF!)),ISBLANK(#REF!),ISBLANK(#REF!))</formula>
    </cfRule>
  </conditionalFormatting>
  <conditionalFormatting sqref="C13:C14">
    <cfRule type="expression" dxfId="682" priority="1691">
      <formula>AND($L32="X",$B13&lt;&gt;"")</formula>
    </cfRule>
  </conditionalFormatting>
  <conditionalFormatting sqref="C16:C30 D21 C38">
    <cfRule type="expression" dxfId="681" priority="72">
      <formula>AND($L16="X",$B16&lt;&gt;"")</formula>
    </cfRule>
  </conditionalFormatting>
  <conditionalFormatting sqref="C21">
    <cfRule type="expression" dxfId="680" priority="66">
      <formula>#REF!=1</formula>
    </cfRule>
    <cfRule type="expression" dxfId="679" priority="62">
      <formula>$W21=1</formula>
    </cfRule>
    <cfRule type="expression" dxfId="678" priority="63">
      <formula>AND($W21=1,#REF!=1)</formula>
    </cfRule>
    <cfRule type="expression" dxfId="677" priority="64">
      <formula>AND(NOT(ISBLANK($Q21)),ISBLANK(#REF!),ISBLANK($W21))</formula>
    </cfRule>
    <cfRule type="expression" dxfId="676" priority="65">
      <formula>OR($W21="X",#REF!="X")</formula>
    </cfRule>
  </conditionalFormatting>
  <conditionalFormatting sqref="C31:C34">
    <cfRule type="expression" dxfId="675" priority="83">
      <formula>AND(NOT(ISBLANK($Q31)),ISBLANK(#REF!),ISBLANK($W31))</formula>
    </cfRule>
    <cfRule type="expression" dxfId="674" priority="82">
      <formula>$W31=1</formula>
    </cfRule>
    <cfRule type="expression" dxfId="673" priority="81">
      <formula>AND($W31=1,#REF!=1)</formula>
    </cfRule>
    <cfRule type="expression" dxfId="672" priority="84">
      <formula>OR($W31="X",#REF!="X")</formula>
    </cfRule>
    <cfRule type="expression" dxfId="671" priority="85">
      <formula>#REF!=1</formula>
    </cfRule>
    <cfRule type="expression" dxfId="670" priority="86">
      <formula>AND($L31="X",$B31&lt;&gt;"")</formula>
    </cfRule>
  </conditionalFormatting>
  <conditionalFormatting sqref="C35 C36:F36">
    <cfRule type="expression" dxfId="669" priority="60">
      <formula>$AC35=1</formula>
    </cfRule>
  </conditionalFormatting>
  <conditionalFormatting sqref="C35 C36:F37">
    <cfRule type="expression" dxfId="668" priority="61">
      <formula>AND(NOT(ISBLANK($W35)),ISBLANK($AC35),ISBLANK($AD35))</formula>
    </cfRule>
    <cfRule type="expression" dxfId="667" priority="59">
      <formula>OR($AD35="X",$AC35="X")</formula>
    </cfRule>
    <cfRule type="expression" dxfId="666" priority="58">
      <formula>$AD35=1</formula>
    </cfRule>
  </conditionalFormatting>
  <conditionalFormatting sqref="C35:C37">
    <cfRule type="expression" dxfId="665" priority="52">
      <formula>AND($R35="X",OR($B35&lt;&gt;"",$C35&lt;&gt;""))</formula>
    </cfRule>
  </conditionalFormatting>
  <conditionalFormatting sqref="C36:F37 C35">
    <cfRule type="expression" dxfId="664" priority="57">
      <formula>AND($AD35=1,$AC35=1)</formula>
    </cfRule>
  </conditionalFormatting>
  <conditionalFormatting sqref="D9:D11">
    <cfRule type="expression" dxfId="663" priority="106">
      <formula>AND($L9="X",OR($B9&lt;&gt;"",$C9&lt;&gt;""))</formula>
    </cfRule>
  </conditionalFormatting>
  <conditionalFormatting sqref="D12">
    <cfRule type="expression" dxfId="662" priority="129">
      <formula>AND($L12="X",OR($B12&lt;&gt;"",#REF!&lt;&gt;""))</formula>
    </cfRule>
  </conditionalFormatting>
  <conditionalFormatting sqref="D13">
    <cfRule type="expression" dxfId="661" priority="33">
      <formula>AND($R13="X",OR($C11&lt;&gt;"",#REF!&lt;&gt;""))</formula>
    </cfRule>
  </conditionalFormatting>
  <conditionalFormatting sqref="D14">
    <cfRule type="expression" dxfId="660" priority="42">
      <formula>AND($R14="X",OR(#REF!&lt;&gt;"",#REF!&lt;&gt;""))</formula>
    </cfRule>
  </conditionalFormatting>
  <conditionalFormatting sqref="D15">
    <cfRule type="expression" dxfId="659" priority="16">
      <formula>AND($R15="X",OR($C11&lt;&gt;"",#REF!&lt;&gt;""))</formula>
    </cfRule>
  </conditionalFormatting>
  <conditionalFormatting sqref="D16:D20 D28:D35 D38">
    <cfRule type="expression" dxfId="658" priority="73">
      <formula>AND($L16="X",OR($B16&lt;&gt;"",$C16&lt;&gt;""))</formula>
    </cfRule>
  </conditionalFormatting>
  <conditionalFormatting sqref="D36:D37">
    <cfRule type="expression" dxfId="657" priority="54">
      <formula>AND($R36="X",OR($B36&lt;&gt;"",$C36&lt;&gt;"",$D36&lt;&gt;""))</formula>
    </cfRule>
  </conditionalFormatting>
  <conditionalFormatting sqref="D13:G15">
    <cfRule type="expression" dxfId="656" priority="7">
      <formula>AND($AD13=1,$AC13=1)</formula>
    </cfRule>
    <cfRule type="expression" dxfId="655" priority="10">
      <formula>AND(NOT(ISBLANK($W13)),ISBLANK($AC13),ISBLANK($AD13))</formula>
    </cfRule>
    <cfRule type="expression" dxfId="654" priority="9">
      <formula>$AC13=1</formula>
    </cfRule>
    <cfRule type="expression" dxfId="653" priority="8">
      <formula>$AD13=1</formula>
    </cfRule>
    <cfRule type="expression" dxfId="652" priority="6">
      <formula>OR($AD13="X",$AC13="X")</formula>
    </cfRule>
  </conditionalFormatting>
  <conditionalFormatting sqref="D31:G35">
    <cfRule type="expression" dxfId="651" priority="47">
      <formula>$W31=1</formula>
    </cfRule>
  </conditionalFormatting>
  <conditionalFormatting sqref="D35:G35">
    <cfRule type="expression" dxfId="650" priority="51">
      <formula>#REF!=1</formula>
    </cfRule>
    <cfRule type="expression" dxfId="649" priority="50">
      <formula>OR($W35="X",#REF!="X")</formula>
    </cfRule>
    <cfRule type="expression" dxfId="648" priority="49">
      <formula>AND(NOT(ISBLANK($Q35)),ISBLANK(#REF!),ISBLANK($W35))</formula>
    </cfRule>
    <cfRule type="expression" dxfId="647" priority="48">
      <formula>AND($W35=1,#REF!=1)</formula>
    </cfRule>
  </conditionalFormatting>
  <conditionalFormatting sqref="E9:E11">
    <cfRule type="expression" dxfId="646" priority="107">
      <formula>AND($L9="X",OR($B9&lt;&gt;"",$C9&lt;&gt;"",$D9&lt;&gt;""))</formula>
    </cfRule>
  </conditionalFormatting>
  <conditionalFormatting sqref="E12">
    <cfRule type="expression" dxfId="645" priority="130">
      <formula>AND($L12="X",OR($B12&lt;&gt;"",#REF!&lt;&gt;"",$D12&lt;&gt;""))</formula>
    </cfRule>
  </conditionalFormatting>
  <conditionalFormatting sqref="E13">
    <cfRule type="expression" dxfId="644" priority="34">
      <formula>AND($R13="X",OR($C11&lt;&gt;"",#REF!&lt;&gt;"",$D13&lt;&gt;""))</formula>
    </cfRule>
  </conditionalFormatting>
  <conditionalFormatting sqref="E14">
    <cfRule type="expression" dxfId="643" priority="43">
      <formula>AND($R14="X",OR(#REF!&lt;&gt;"",#REF!&lt;&gt;"",$D14&lt;&gt;""))</formula>
    </cfRule>
  </conditionalFormatting>
  <conditionalFormatting sqref="E15">
    <cfRule type="expression" dxfId="642" priority="17">
      <formula>AND($R15="X",OR($C11&lt;&gt;"",#REF!&lt;&gt;"",$D15&lt;&gt;""))</formula>
    </cfRule>
  </conditionalFormatting>
  <conditionalFormatting sqref="E16:E20 E28:E35 E38">
    <cfRule type="expression" dxfId="641" priority="74">
      <formula>AND($L16="X",OR($B16&lt;&gt;"",$C16&lt;&gt;"",$D16&lt;&gt;""))</formula>
    </cfRule>
  </conditionalFormatting>
  <conditionalFormatting sqref="E21">
    <cfRule type="expression" dxfId="640" priority="87">
      <formula>AND($L21="X",OR($B21&lt;&gt;"",$D21&lt;&gt;"",#REF!&lt;&gt;""))</formula>
    </cfRule>
  </conditionalFormatting>
  <conditionalFormatting sqref="E22:E27">
    <cfRule type="expression" dxfId="639" priority="90">
      <formula>AND($L22="X",OR($B22&lt;&gt;"",$C22&lt;&gt;"",#REF!&lt;&gt;""))</formula>
    </cfRule>
  </conditionalFormatting>
  <conditionalFormatting sqref="E36:E37">
    <cfRule type="expression" dxfId="638" priority="55">
      <formula>AND($R36="X",OR($B36&lt;&gt;"",$C36&lt;&gt;"",$D36&lt;&gt;"",$E36&lt;&gt;""))</formula>
    </cfRule>
  </conditionalFormatting>
  <conditionalFormatting sqref="F1:F2">
    <cfRule type="dataBar" priority="10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637" priority="108">
      <formula>AND($L9="X",OR($B9&lt;&gt;"",$C9&lt;&gt;"",$D9&lt;&gt;"",$E9&lt;&gt;""))</formula>
    </cfRule>
  </conditionalFormatting>
  <conditionalFormatting sqref="F12">
    <cfRule type="expression" dxfId="636" priority="131">
      <formula>AND($L12="X",OR($B12&lt;&gt;"",#REF!&lt;&gt;"",$D12&lt;&gt;"",$E12&lt;&gt;""))</formula>
    </cfRule>
  </conditionalFormatting>
  <conditionalFormatting sqref="F13">
    <cfRule type="expression" dxfId="635" priority="35">
      <formula>AND($R13="X",OR($C11&lt;&gt;"",#REF!&lt;&gt;"",$D13&lt;&gt;"",$E13&lt;&gt;""))</formula>
    </cfRule>
  </conditionalFormatting>
  <conditionalFormatting sqref="F14">
    <cfRule type="expression" dxfId="634" priority="44">
      <formula>AND($R14="X",OR(#REF!&lt;&gt;"",#REF!&lt;&gt;"",$D14&lt;&gt;"",$E14&lt;&gt;""))</formula>
    </cfRule>
  </conditionalFormatting>
  <conditionalFormatting sqref="F15">
    <cfRule type="expression" dxfId="633" priority="18">
      <formula>AND($R15="X",OR($C11&lt;&gt;"",#REF!&lt;&gt;"",$D15&lt;&gt;"",$E15&lt;&gt;""))</formula>
    </cfRule>
  </conditionalFormatting>
  <conditionalFormatting sqref="F16:F20 F28:F35 F38">
    <cfRule type="expression" dxfId="632" priority="75">
      <formula>AND($L16="X",OR($B16&lt;&gt;"",$C16&lt;&gt;"",$D16&lt;&gt;"",$E16&lt;&gt;""))</formula>
    </cfRule>
  </conditionalFormatting>
  <conditionalFormatting sqref="F21">
    <cfRule type="expression" dxfId="631" priority="88">
      <formula>AND($L21="X",OR($B21&lt;&gt;"",$D21&lt;&gt;"",#REF!&lt;&gt;"",$E21&lt;&gt;""))</formula>
    </cfRule>
  </conditionalFormatting>
  <conditionalFormatting sqref="F22:F27">
    <cfRule type="expression" dxfId="630" priority="91">
      <formula>AND($L22="X",OR($B22&lt;&gt;"",$C22&lt;&gt;"",#REF!&lt;&gt;"",$E22&lt;&gt;""))</formula>
    </cfRule>
  </conditionalFormatting>
  <conditionalFormatting sqref="F36:F37">
    <cfRule type="expression" dxfId="629" priority="56">
      <formula>AND($R36="X",OR($B36&lt;&gt;"",$C36&lt;&gt;"",$D36&lt;&gt;"",$E36&lt;&gt;"",$F36&lt;&gt;""))</formula>
    </cfRule>
  </conditionalFormatting>
  <conditionalFormatting sqref="G9:G11">
    <cfRule type="expression" dxfId="628" priority="109">
      <formula>AND($L9="X",OR($B9&lt;&gt;"",$C9&lt;&gt;"",$D9&lt;&gt;"",$E9&lt;&gt;"",$F9&lt;&gt;""))</formula>
    </cfRule>
  </conditionalFormatting>
  <conditionalFormatting sqref="G12">
    <cfRule type="expression" dxfId="627" priority="132">
      <formula>AND($L12="X",OR($B12&lt;&gt;"",#REF!&lt;&gt;"",$D12&lt;&gt;"",$E12&lt;&gt;"",$F12&lt;&gt;""))</formula>
    </cfRule>
  </conditionalFormatting>
  <conditionalFormatting sqref="G13">
    <cfRule type="expression" dxfId="626" priority="36">
      <formula>AND($R13="X",OR($C11&lt;&gt;"",#REF!&lt;&gt;"",$D13&lt;&gt;"",$E13&lt;&gt;"",$F13&lt;&gt;""))</formula>
    </cfRule>
  </conditionalFormatting>
  <conditionalFormatting sqref="G14">
    <cfRule type="expression" dxfId="625" priority="45">
      <formula>AND($R14="X",OR(#REF!&lt;&gt;"",#REF!&lt;&gt;"",$D14&lt;&gt;"",$E14&lt;&gt;"",$F14&lt;&gt;""))</formula>
    </cfRule>
  </conditionalFormatting>
  <conditionalFormatting sqref="G15">
    <cfRule type="expression" dxfId="624" priority="19">
      <formula>AND($R15="X",OR($C11&lt;&gt;"",#REF!&lt;&gt;"",$D15&lt;&gt;"",$E15&lt;&gt;"",$F15&lt;&gt;""))</formula>
    </cfRule>
  </conditionalFormatting>
  <conditionalFormatting sqref="G16:G20 G28:G35 G38">
    <cfRule type="expression" dxfId="623" priority="76">
      <formula>AND($L16="X",OR($B16&lt;&gt;"",$C16&lt;&gt;"",$D16&lt;&gt;"",$E16&lt;&gt;"",$F16&lt;&gt;""))</formula>
    </cfRule>
  </conditionalFormatting>
  <conditionalFormatting sqref="G21">
    <cfRule type="expression" dxfId="622" priority="89">
      <formula>AND($L21="X",OR($B21&lt;&gt;"",$D21&lt;&gt;"",#REF!&lt;&gt;"",$E21&lt;&gt;"",$F21&lt;&gt;""))</formula>
    </cfRule>
  </conditionalFormatting>
  <conditionalFormatting sqref="G22:G27">
    <cfRule type="expression" dxfId="621" priority="92">
      <formula>AND($L22="X",OR($B22&lt;&gt;"",$C22&lt;&gt;"",#REF!&lt;&gt;"",$E22&lt;&gt;"",$F22&lt;&gt;""))</formula>
    </cfRule>
  </conditionalFormatting>
  <conditionalFormatting sqref="H40:H41 H44:H862">
    <cfRule type="expression" dxfId="620" priority="103">
      <formula>$K40="X"</formula>
    </cfRule>
  </conditionalFormatting>
  <conditionalFormatting sqref="I11">
    <cfRule type="expression" dxfId="619" priority="1690">
      <formula>#REF!="X"</formula>
    </cfRule>
  </conditionalFormatting>
  <conditionalFormatting sqref="I16:I38">
    <cfRule type="expression" dxfId="618" priority="70">
      <formula>$L16="X"</formula>
    </cfRule>
  </conditionalFormatting>
  <conditionalFormatting sqref="I35:I37">
    <cfRule type="expression" dxfId="617" priority="53">
      <formula>$R35="X"</formula>
    </cfRule>
  </conditionalFormatting>
  <conditionalFormatting sqref="K9:K10">
    <cfRule type="cellIs" dxfId="616" priority="99" operator="equal">
      <formula>"1..1"</formula>
    </cfRule>
    <cfRule type="cellIs" dxfId="615" priority="101" operator="equal">
      <formula>"0..1"</formula>
    </cfRule>
    <cfRule type="cellIs" dxfId="614" priority="100" operator="equal">
      <formula>"0..n"</formula>
    </cfRule>
  </conditionalFormatting>
  <conditionalFormatting sqref="K12:K13">
    <cfRule type="cellIs" dxfId="613" priority="21" operator="equal">
      <formula>"0..n"</formula>
    </cfRule>
    <cfRule type="cellIs" dxfId="612" priority="20" operator="equal">
      <formula>"1..1"</formula>
    </cfRule>
    <cfRule type="cellIs" dxfId="611" priority="22" operator="equal">
      <formula>"0..1"</formula>
    </cfRule>
  </conditionalFormatting>
  <conditionalFormatting sqref="K16:K19 K38">
    <cfRule type="cellIs" dxfId="610" priority="69" operator="equal">
      <formula>"0..1"</formula>
    </cfRule>
    <cfRule type="cellIs" dxfId="609" priority="68" operator="equal">
      <formula>"0..n"</formula>
    </cfRule>
    <cfRule type="cellIs" dxfId="608" priority="67"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4"/>
  <sheetViews>
    <sheetView topLeftCell="K1" zoomScaleNormal="100" workbookViewId="0">
      <selection activeCell="W73" sqref="W9:W73"/>
    </sheetView>
  </sheetViews>
  <sheetFormatPr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60" style="96" customWidth="1"/>
    <col min="9" max="9" width="33.5" style="225" customWidth="1"/>
    <col min="10" max="10" width="12"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8" customWidth="1"/>
    <col min="19" max="19" width="18.5" style="96" customWidth="1"/>
    <col min="20" max="20" width="12.625" style="278" customWidth="1"/>
    <col min="21" max="21" width="28.125" style="96" customWidth="1"/>
    <col min="22"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228" t="s">
        <v>2228</v>
      </c>
      <c r="C1" s="129" t="s">
        <v>813</v>
      </c>
      <c r="E1" s="150" t="s">
        <v>814</v>
      </c>
      <c r="F1" s="157"/>
      <c r="G1" s="128"/>
      <c r="AE1" s="96"/>
      <c r="AG1"/>
      <c r="AH1" s="128"/>
      <c r="AMB1"/>
    </row>
    <row r="2" spans="1:1016" ht="13.5" customHeight="1">
      <c r="C2" s="141" t="s">
        <v>818</v>
      </c>
      <c r="D2" s="285"/>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1" t="s">
        <v>912</v>
      </c>
      <c r="F5" s="146"/>
      <c r="G5" s="148"/>
      <c r="H5" s="148"/>
      <c r="I5" s="275"/>
      <c r="J5" s="148"/>
      <c r="K5" s="160"/>
      <c r="L5" s="148"/>
      <c r="M5" s="148"/>
      <c r="N5" s="148"/>
      <c r="O5" s="148"/>
      <c r="P5" s="186"/>
      <c r="Q5" s="148"/>
      <c r="R5" s="280"/>
      <c r="S5" s="148"/>
      <c r="T5" s="280"/>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8"/>
      <c r="E7" s="138"/>
      <c r="F7" s="138"/>
      <c r="L7" s="694" t="s">
        <v>828</v>
      </c>
      <c r="M7" s="694"/>
      <c r="N7" s="694"/>
      <c r="O7" s="694"/>
      <c r="V7" s="695" t="s">
        <v>829</v>
      </c>
      <c r="W7" s="695"/>
      <c r="X7" s="695"/>
      <c r="Y7" s="695"/>
      <c r="AE7" s="694" t="s">
        <v>830</v>
      </c>
      <c r="AF7" s="694"/>
      <c r="AG7"/>
      <c r="AH7" s="128"/>
      <c r="AMB7"/>
    </row>
    <row r="8" spans="1:1016"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2229</v>
      </c>
      <c r="W8" s="229" t="s">
        <v>1611</v>
      </c>
      <c r="X8" s="229" t="s">
        <v>850</v>
      </c>
      <c r="Y8" s="229" t="s">
        <v>2230</v>
      </c>
      <c r="Z8" s="230" t="s">
        <v>852</v>
      </c>
      <c r="AA8" s="235" t="s">
        <v>853</v>
      </c>
      <c r="AB8" s="235" t="s">
        <v>854</v>
      </c>
      <c r="AC8" s="236" t="s">
        <v>855</v>
      </c>
      <c r="AD8" s="235" t="s">
        <v>856</v>
      </c>
      <c r="AE8" s="235" t="s">
        <v>857</v>
      </c>
      <c r="AF8" s="237" t="s">
        <v>915</v>
      </c>
    </row>
    <row r="9" spans="1:1016" s="224" customFormat="1" ht="13.5" customHeight="1">
      <c r="A9" s="225">
        <v>1</v>
      </c>
      <c r="B9" s="526" t="s">
        <v>2231</v>
      </c>
      <c r="C9" s="521"/>
      <c r="D9" s="521"/>
      <c r="E9" s="521"/>
      <c r="F9" s="521"/>
      <c r="G9" s="521"/>
      <c r="H9" s="731"/>
      <c r="I9" s="522"/>
      <c r="J9" s="714"/>
      <c r="K9" s="715" t="s">
        <v>1795</v>
      </c>
      <c r="L9" s="714"/>
      <c r="M9" s="714"/>
      <c r="N9" s="714"/>
      <c r="O9" s="714"/>
      <c r="P9" s="716"/>
      <c r="Q9" s="714" t="s">
        <v>820</v>
      </c>
      <c r="R9" s="717" t="s">
        <v>864</v>
      </c>
      <c r="S9" s="243" t="s">
        <v>1795</v>
      </c>
      <c r="T9" s="714"/>
      <c r="U9" s="714"/>
      <c r="V9" s="718" t="s">
        <v>864</v>
      </c>
      <c r="W9" s="718" t="s">
        <v>864</v>
      </c>
      <c r="X9" s="718"/>
      <c r="Y9" s="718"/>
      <c r="Z9" s="232"/>
      <c r="AA9" s="719"/>
      <c r="AB9" s="714"/>
      <c r="AC9" s="720"/>
      <c r="AD9" s="714"/>
      <c r="AE9" s="717"/>
      <c r="AF9" s="717"/>
    </row>
    <row r="10" spans="1:1016" s="224" customFormat="1" ht="13.5" customHeight="1">
      <c r="A10" s="225">
        <v>2</v>
      </c>
      <c r="B10" s="240"/>
      <c r="C10" s="532" t="s">
        <v>2232</v>
      </c>
      <c r="D10" s="241"/>
      <c r="E10" s="241"/>
      <c r="F10" s="241"/>
      <c r="G10" s="241"/>
      <c r="H10" s="714" t="s">
        <v>2233</v>
      </c>
      <c r="I10" s="715" t="s">
        <v>1341</v>
      </c>
      <c r="J10" s="714"/>
      <c r="K10" s="715" t="s">
        <v>2234</v>
      </c>
      <c r="L10" s="714"/>
      <c r="M10" s="714"/>
      <c r="N10" s="714"/>
      <c r="O10" s="714"/>
      <c r="P10" s="716"/>
      <c r="Q10" s="714" t="s">
        <v>820</v>
      </c>
      <c r="R10" s="717"/>
      <c r="S10" s="714" t="s">
        <v>863</v>
      </c>
      <c r="T10" s="714"/>
      <c r="U10" s="714"/>
      <c r="V10" s="718" t="s">
        <v>864</v>
      </c>
      <c r="W10" s="718" t="s">
        <v>864</v>
      </c>
      <c r="X10" s="718"/>
      <c r="Y10" s="718"/>
      <c r="Z10" s="232"/>
      <c r="AA10" s="719"/>
      <c r="AB10" s="714"/>
      <c r="AC10" s="720"/>
      <c r="AD10" s="714"/>
      <c r="AE10" s="717"/>
      <c r="AF10" s="717"/>
    </row>
    <row r="11" spans="1:1016" s="224" customFormat="1" ht="13.5" customHeight="1">
      <c r="A11" s="225">
        <v>3</v>
      </c>
      <c r="B11" s="240"/>
      <c r="C11" s="532" t="s">
        <v>2235</v>
      </c>
      <c r="D11" s="241"/>
      <c r="E11" s="241"/>
      <c r="F11" s="241"/>
      <c r="G11" s="241"/>
      <c r="H11" s="714" t="s">
        <v>2236</v>
      </c>
      <c r="I11" s="715" t="s">
        <v>2237</v>
      </c>
      <c r="J11" s="714"/>
      <c r="K11" s="715" t="s">
        <v>2238</v>
      </c>
      <c r="L11" s="714"/>
      <c r="M11" s="714"/>
      <c r="N11" s="714"/>
      <c r="O11" s="714"/>
      <c r="P11" s="716"/>
      <c r="Q11" s="714" t="s">
        <v>820</v>
      </c>
      <c r="R11" s="717"/>
      <c r="S11" s="714" t="s">
        <v>863</v>
      </c>
      <c r="T11" s="714"/>
      <c r="U11" s="714"/>
      <c r="V11" s="718" t="s">
        <v>864</v>
      </c>
      <c r="W11" s="718" t="s">
        <v>864</v>
      </c>
      <c r="X11" s="718"/>
      <c r="Y11" s="718"/>
      <c r="Z11" s="232"/>
      <c r="AA11" s="719"/>
      <c r="AB11" s="714"/>
      <c r="AC11" s="720"/>
      <c r="AD11" s="714"/>
      <c r="AE11" s="717"/>
      <c r="AF11" s="717"/>
    </row>
    <row r="12" spans="1:1016" s="224" customFormat="1" ht="13.5" customHeight="1">
      <c r="A12" s="225">
        <v>4</v>
      </c>
      <c r="B12" s="240"/>
      <c r="C12" s="532" t="s">
        <v>2239</v>
      </c>
      <c r="D12" s="241"/>
      <c r="E12" s="241"/>
      <c r="F12" s="241"/>
      <c r="G12" s="241"/>
      <c r="H12" s="714" t="s">
        <v>2240</v>
      </c>
      <c r="I12" s="715" t="s">
        <v>930</v>
      </c>
      <c r="J12" s="714"/>
      <c r="K12" s="715" t="s">
        <v>2241</v>
      </c>
      <c r="L12" s="714"/>
      <c r="M12" s="714"/>
      <c r="N12" s="714"/>
      <c r="O12" s="714"/>
      <c r="P12" s="716"/>
      <c r="Q12" s="714" t="s">
        <v>820</v>
      </c>
      <c r="R12" s="717"/>
      <c r="S12" s="714" t="s">
        <v>879</v>
      </c>
      <c r="T12" s="717"/>
      <c r="U12" s="714"/>
      <c r="V12" s="718" t="s">
        <v>864</v>
      </c>
      <c r="W12" s="718" t="s">
        <v>864</v>
      </c>
      <c r="X12" s="718"/>
      <c r="Y12" s="718"/>
      <c r="Z12" s="232"/>
      <c r="AA12" s="719"/>
      <c r="AB12" s="714"/>
      <c r="AC12" s="720"/>
      <c r="AD12" s="714"/>
      <c r="AE12" s="717"/>
      <c r="AF12" s="717"/>
    </row>
    <row r="13" spans="1:1016" s="224" customFormat="1" ht="13.5" customHeight="1">
      <c r="A13" s="225">
        <v>5</v>
      </c>
      <c r="B13" s="240"/>
      <c r="C13" s="532" t="s">
        <v>2242</v>
      </c>
      <c r="D13" s="241"/>
      <c r="E13" s="241"/>
      <c r="F13" s="241"/>
      <c r="G13" s="241"/>
      <c r="H13" s="714" t="s">
        <v>2240</v>
      </c>
      <c r="I13" s="715" t="s">
        <v>930</v>
      </c>
      <c r="J13" s="714"/>
      <c r="K13" s="715" t="s">
        <v>2243</v>
      </c>
      <c r="L13" s="714"/>
      <c r="M13" s="714"/>
      <c r="N13" s="714"/>
      <c r="O13" s="714"/>
      <c r="P13" s="716"/>
      <c r="Q13" s="714" t="s">
        <v>820</v>
      </c>
      <c r="R13" s="717"/>
      <c r="S13" s="714" t="s">
        <v>879</v>
      </c>
      <c r="T13" s="717"/>
      <c r="U13" s="714"/>
      <c r="V13" s="718" t="s">
        <v>864</v>
      </c>
      <c r="W13" s="718" t="s">
        <v>864</v>
      </c>
      <c r="X13" s="718"/>
      <c r="Y13" s="718"/>
      <c r="Z13" s="232"/>
      <c r="AA13" s="719"/>
      <c r="AB13" s="714"/>
      <c r="AC13" s="720"/>
      <c r="AD13" s="714"/>
      <c r="AE13" s="717"/>
      <c r="AF13" s="717"/>
    </row>
    <row r="14" spans="1:1016" s="224" customFormat="1" ht="13.5" customHeight="1">
      <c r="A14" s="225">
        <v>6</v>
      </c>
      <c r="B14" s="217"/>
      <c r="C14" s="678" t="s">
        <v>2244</v>
      </c>
      <c r="D14" s="678"/>
      <c r="E14" s="241"/>
      <c r="F14" s="241"/>
      <c r="G14" s="241"/>
      <c r="H14" s="678" t="s">
        <v>2245</v>
      </c>
      <c r="I14" s="715"/>
      <c r="J14" s="714"/>
      <c r="K14" s="715" t="s">
        <v>2246</v>
      </c>
      <c r="L14" s="714"/>
      <c r="M14" s="714"/>
      <c r="N14" s="714"/>
      <c r="O14" s="714"/>
      <c r="P14" s="716"/>
      <c r="Q14" s="714" t="s">
        <v>820</v>
      </c>
      <c r="R14" s="717"/>
      <c r="S14" s="714" t="s">
        <v>863</v>
      </c>
      <c r="T14" s="717"/>
      <c r="U14" s="714"/>
      <c r="V14" s="718" t="s">
        <v>864</v>
      </c>
      <c r="W14" s="718" t="s">
        <v>864</v>
      </c>
      <c r="X14" s="718"/>
      <c r="Y14" s="718"/>
      <c r="Z14" s="232"/>
      <c r="AA14" s="719"/>
      <c r="AB14" s="714"/>
      <c r="AC14" s="720"/>
      <c r="AD14" s="714"/>
      <c r="AE14" s="717"/>
      <c r="AF14" s="717"/>
    </row>
    <row r="15" spans="1:1016" s="224" customFormat="1" ht="13.5" customHeight="1">
      <c r="A15" s="225">
        <v>7</v>
      </c>
      <c r="B15" s="217"/>
      <c r="C15" s="678" t="s">
        <v>2247</v>
      </c>
      <c r="D15" s="678"/>
      <c r="E15" s="241"/>
      <c r="F15" s="241"/>
      <c r="G15" s="241"/>
      <c r="H15" s="678" t="s">
        <v>2248</v>
      </c>
      <c r="I15" s="715"/>
      <c r="J15" s="714"/>
      <c r="K15" s="715" t="s">
        <v>2249</v>
      </c>
      <c r="L15" s="714"/>
      <c r="M15" s="714"/>
      <c r="N15" s="714"/>
      <c r="O15" s="714"/>
      <c r="P15" s="716"/>
      <c r="Q15" s="714" t="s">
        <v>820</v>
      </c>
      <c r="R15" s="717"/>
      <c r="S15" s="714" t="s">
        <v>863</v>
      </c>
      <c r="T15" s="717"/>
      <c r="U15" s="714"/>
      <c r="V15" s="718" t="s">
        <v>864</v>
      </c>
      <c r="W15" s="718" t="s">
        <v>864</v>
      </c>
      <c r="X15" s="718"/>
      <c r="Y15" s="718"/>
      <c r="Z15" s="232"/>
      <c r="AA15" s="719"/>
      <c r="AB15" s="714"/>
      <c r="AC15" s="720"/>
      <c r="AD15" s="714"/>
      <c r="AE15" s="717"/>
      <c r="AF15" s="717"/>
    </row>
    <row r="16" spans="1:1016" s="224" customFormat="1" ht="13.5" customHeight="1">
      <c r="A16" s="225">
        <v>8</v>
      </c>
      <c r="B16" s="217"/>
      <c r="C16" s="241" t="s">
        <v>2250</v>
      </c>
      <c r="D16" s="241"/>
      <c r="E16" s="241"/>
      <c r="F16" s="241"/>
      <c r="G16" s="241"/>
      <c r="H16" s="714" t="s">
        <v>2251</v>
      </c>
      <c r="I16" s="715"/>
      <c r="J16" s="714"/>
      <c r="K16" s="715" t="s">
        <v>2252</v>
      </c>
      <c r="L16" s="714"/>
      <c r="M16" s="714"/>
      <c r="N16" s="714"/>
      <c r="O16" s="714"/>
      <c r="P16" s="716"/>
      <c r="Q16" s="714" t="s">
        <v>820</v>
      </c>
      <c r="R16" s="717"/>
      <c r="S16" s="714" t="s">
        <v>863</v>
      </c>
      <c r="T16" s="717"/>
      <c r="U16" s="714"/>
      <c r="V16" s="718" t="s">
        <v>864</v>
      </c>
      <c r="W16" s="718" t="s">
        <v>864</v>
      </c>
      <c r="X16" s="718"/>
      <c r="Y16" s="718"/>
      <c r="Z16" s="232"/>
      <c r="AA16" s="719"/>
      <c r="AB16" s="714"/>
      <c r="AC16" s="720"/>
      <c r="AD16" s="714"/>
      <c r="AE16" s="717"/>
      <c r="AF16" s="717"/>
    </row>
    <row r="17" spans="1:32" s="224" customFormat="1" ht="13.5" customHeight="1">
      <c r="A17" s="225">
        <v>9</v>
      </c>
      <c r="B17" s="240"/>
      <c r="C17" s="514" t="s">
        <v>2253</v>
      </c>
      <c r="D17" s="514"/>
      <c r="E17" s="514"/>
      <c r="F17" s="514"/>
      <c r="G17" s="514"/>
      <c r="H17" s="386" t="s">
        <v>2254</v>
      </c>
      <c r="I17" s="515" t="s">
        <v>2255</v>
      </c>
      <c r="J17" s="386"/>
      <c r="K17" s="515" t="s">
        <v>970</v>
      </c>
      <c r="L17" s="386"/>
      <c r="M17" s="386"/>
      <c r="N17" s="386"/>
      <c r="O17" s="386"/>
      <c r="P17" s="516"/>
      <c r="Q17" s="386"/>
      <c r="R17" s="519"/>
      <c r="S17" s="386" t="s">
        <v>863</v>
      </c>
      <c r="T17" s="717"/>
      <c r="U17" s="714"/>
      <c r="V17" s="718" t="s">
        <v>864</v>
      </c>
      <c r="W17" s="718" t="s">
        <v>864</v>
      </c>
      <c r="X17" s="718"/>
      <c r="Y17" s="718"/>
      <c r="Z17" s="232"/>
      <c r="AA17" s="719"/>
      <c r="AB17" s="714"/>
      <c r="AC17" s="720"/>
      <c r="AD17" s="714"/>
      <c r="AE17" s="717"/>
      <c r="AF17" s="717"/>
    </row>
    <row r="18" spans="1:32" s="224" customFormat="1" ht="13.5" customHeight="1">
      <c r="A18" s="225">
        <v>10</v>
      </c>
      <c r="B18" s="240"/>
      <c r="C18" s="527" t="s">
        <v>2256</v>
      </c>
      <c r="D18" s="523"/>
      <c r="E18" s="523"/>
      <c r="F18" s="523"/>
      <c r="G18" s="523"/>
      <c r="H18" s="731"/>
      <c r="I18" s="732"/>
      <c r="J18" s="714"/>
      <c r="K18" s="715"/>
      <c r="L18" s="714"/>
      <c r="M18" s="714"/>
      <c r="N18" s="714"/>
      <c r="O18" s="714"/>
      <c r="P18" s="716"/>
      <c r="Q18" s="714" t="s">
        <v>820</v>
      </c>
      <c r="R18" s="519" t="s">
        <v>864</v>
      </c>
      <c r="S18" s="525" t="s">
        <v>2257</v>
      </c>
      <c r="T18" s="717"/>
      <c r="U18" s="714"/>
      <c r="V18" s="718" t="s">
        <v>864</v>
      </c>
      <c r="W18" s="718" t="s">
        <v>864</v>
      </c>
      <c r="X18" s="718"/>
      <c r="Y18" s="718"/>
      <c r="Z18" s="232"/>
      <c r="AA18" s="719"/>
      <c r="AB18" s="714"/>
      <c r="AC18" s="720"/>
      <c r="AD18" s="714"/>
      <c r="AE18" s="717"/>
      <c r="AF18" s="717"/>
    </row>
    <row r="19" spans="1:32" s="224" customFormat="1" ht="13.5" customHeight="1">
      <c r="A19" s="225">
        <v>11</v>
      </c>
      <c r="B19" s="240"/>
      <c r="C19" s="514"/>
      <c r="D19" s="514" t="s">
        <v>2258</v>
      </c>
      <c r="E19" s="514"/>
      <c r="F19" s="514"/>
      <c r="G19" s="514"/>
      <c r="H19" s="386" t="s">
        <v>2259</v>
      </c>
      <c r="I19" s="515" t="s">
        <v>2260</v>
      </c>
      <c r="J19" s="386"/>
      <c r="K19" s="515" t="s">
        <v>2261</v>
      </c>
      <c r="L19" s="386"/>
      <c r="M19" s="386"/>
      <c r="N19" s="386"/>
      <c r="O19" s="386"/>
      <c r="P19" s="516"/>
      <c r="Q19" s="386" t="s">
        <v>820</v>
      </c>
      <c r="R19" s="519"/>
      <c r="S19" s="386" t="s">
        <v>2262</v>
      </c>
      <c r="T19" s="714"/>
      <c r="U19" s="714"/>
      <c r="V19" s="718" t="s">
        <v>864</v>
      </c>
      <c r="W19" s="718" t="s">
        <v>864</v>
      </c>
      <c r="X19" s="718"/>
      <c r="Y19" s="718"/>
      <c r="Z19" s="232"/>
      <c r="AA19" s="719"/>
      <c r="AB19" s="714"/>
      <c r="AC19" s="720"/>
      <c r="AD19" s="714"/>
      <c r="AE19" s="717"/>
      <c r="AF19" s="717"/>
    </row>
    <row r="20" spans="1:32" s="224" customFormat="1" ht="13.5" customHeight="1">
      <c r="A20" s="225">
        <v>12</v>
      </c>
      <c r="B20" s="240"/>
      <c r="C20" s="514"/>
      <c r="D20" s="514" t="s">
        <v>2263</v>
      </c>
      <c r="E20" s="514"/>
      <c r="F20" s="514"/>
      <c r="G20" s="514"/>
      <c r="H20" s="386"/>
      <c r="I20" s="515"/>
      <c r="J20" s="386"/>
      <c r="K20" s="515"/>
      <c r="L20" s="386"/>
      <c r="M20" s="386"/>
      <c r="N20" s="386"/>
      <c r="O20" s="386"/>
      <c r="P20" s="516"/>
      <c r="Q20" s="386" t="s">
        <v>820</v>
      </c>
      <c r="R20" s="519"/>
      <c r="S20" s="386" t="s">
        <v>879</v>
      </c>
      <c r="T20" s="714"/>
      <c r="U20" s="714"/>
      <c r="V20" s="718" t="s">
        <v>864</v>
      </c>
      <c r="W20" s="718" t="s">
        <v>864</v>
      </c>
      <c r="X20" s="718"/>
      <c r="Y20" s="718"/>
      <c r="Z20" s="232"/>
      <c r="AA20" s="719"/>
      <c r="AB20" s="714"/>
      <c r="AC20" s="720"/>
      <c r="AD20" s="714"/>
      <c r="AE20" s="717"/>
      <c r="AF20" s="717"/>
    </row>
    <row r="21" spans="1:32" s="224" customFormat="1" ht="13.5" customHeight="1">
      <c r="A21" s="225">
        <v>13</v>
      </c>
      <c r="B21" s="240" t="s">
        <v>2264</v>
      </c>
      <c r="C21" s="523"/>
      <c r="D21" s="523"/>
      <c r="E21" s="523"/>
      <c r="F21" s="523"/>
      <c r="G21" s="523"/>
      <c r="H21" s="731"/>
      <c r="I21" s="732"/>
      <c r="J21" s="714"/>
      <c r="K21" s="715" t="s">
        <v>2265</v>
      </c>
      <c r="L21" s="714"/>
      <c r="M21" s="714"/>
      <c r="N21" s="714"/>
      <c r="O21" s="714"/>
      <c r="P21" s="716"/>
      <c r="Q21" s="714" t="s">
        <v>820</v>
      </c>
      <c r="R21" s="717" t="s">
        <v>864</v>
      </c>
      <c r="S21" s="243" t="s">
        <v>2265</v>
      </c>
      <c r="T21" s="717"/>
      <c r="U21" s="714"/>
      <c r="V21" s="718" t="s">
        <v>864</v>
      </c>
      <c r="W21" s="718" t="s">
        <v>864</v>
      </c>
      <c r="X21" s="718"/>
      <c r="Y21" s="718"/>
      <c r="Z21" s="232"/>
      <c r="AA21" s="719"/>
      <c r="AB21" s="714"/>
      <c r="AC21" s="720"/>
      <c r="AD21" s="714"/>
      <c r="AE21" s="717"/>
      <c r="AF21" s="717"/>
    </row>
    <row r="22" spans="1:32" s="224" customFormat="1" ht="13.5" customHeight="1">
      <c r="A22" s="225">
        <v>14</v>
      </c>
      <c r="B22" s="240"/>
      <c r="C22" s="532" t="s">
        <v>2266</v>
      </c>
      <c r="D22" s="523"/>
      <c r="E22" s="523"/>
      <c r="F22" s="523"/>
      <c r="G22" s="523"/>
      <c r="H22" s="731"/>
      <c r="I22" s="732"/>
      <c r="J22" s="714"/>
      <c r="K22" s="714" t="s">
        <v>988</v>
      </c>
      <c r="L22" s="714"/>
      <c r="M22" s="714"/>
      <c r="N22" s="714"/>
      <c r="O22" s="714"/>
      <c r="P22" s="716"/>
      <c r="Q22" s="714" t="s">
        <v>820</v>
      </c>
      <c r="R22" s="717" t="s">
        <v>864</v>
      </c>
      <c r="S22" s="714" t="s">
        <v>991</v>
      </c>
      <c r="T22" s="717" t="s">
        <v>864</v>
      </c>
      <c r="U22" s="714"/>
      <c r="V22" s="718" t="s">
        <v>864</v>
      </c>
      <c r="W22" s="718" t="s">
        <v>864</v>
      </c>
      <c r="X22" s="718"/>
      <c r="Y22" s="718"/>
      <c r="Z22" s="232"/>
      <c r="AA22" s="719"/>
      <c r="AB22" s="714"/>
      <c r="AC22" s="720"/>
      <c r="AD22" s="714"/>
      <c r="AE22" s="717"/>
      <c r="AF22" s="717"/>
    </row>
    <row r="23" spans="1:32" s="224" customFormat="1" ht="13.5" customHeight="1">
      <c r="A23" s="225">
        <v>15</v>
      </c>
      <c r="B23" s="216"/>
      <c r="C23" s="241"/>
      <c r="D23" s="532" t="s">
        <v>667</v>
      </c>
      <c r="E23" s="241"/>
      <c r="F23" s="241"/>
      <c r="G23" s="241"/>
      <c r="H23" s="714" t="s">
        <v>2267</v>
      </c>
      <c r="I23" s="715" t="s">
        <v>2268</v>
      </c>
      <c r="J23" s="714"/>
      <c r="K23" s="714" t="s">
        <v>1000</v>
      </c>
      <c r="L23" s="714"/>
      <c r="M23" s="714"/>
      <c r="N23" s="714"/>
      <c r="O23" s="714"/>
      <c r="P23" s="716"/>
      <c r="Q23" s="714" t="s">
        <v>820</v>
      </c>
      <c r="R23" s="717"/>
      <c r="S23" s="714" t="s">
        <v>863</v>
      </c>
      <c r="T23" s="717"/>
      <c r="U23" s="714"/>
      <c r="V23" s="718" t="s">
        <v>864</v>
      </c>
      <c r="W23" s="718" t="s">
        <v>864</v>
      </c>
      <c r="X23" s="718"/>
      <c r="Y23" s="718"/>
      <c r="Z23" s="232"/>
      <c r="AA23" s="719"/>
      <c r="AB23" s="714"/>
      <c r="AC23" s="720"/>
      <c r="AD23" s="714"/>
      <c r="AE23" s="717"/>
      <c r="AF23" s="717"/>
    </row>
    <row r="24" spans="1:32" s="224" customFormat="1" ht="13.5" customHeight="1">
      <c r="A24" s="225">
        <v>16</v>
      </c>
      <c r="B24" s="216"/>
      <c r="C24" s="241"/>
      <c r="D24" s="532" t="s">
        <v>2269</v>
      </c>
      <c r="E24" s="241"/>
      <c r="F24" s="241"/>
      <c r="G24" s="241"/>
      <c r="H24" s="714" t="s">
        <v>2270</v>
      </c>
      <c r="I24" s="715" t="s">
        <v>2271</v>
      </c>
      <c r="J24" s="714"/>
      <c r="K24" s="714" t="s">
        <v>1004</v>
      </c>
      <c r="L24" s="714"/>
      <c r="M24" s="714"/>
      <c r="N24" s="714"/>
      <c r="O24" s="714"/>
      <c r="P24" s="716"/>
      <c r="Q24" s="714" t="s">
        <v>820</v>
      </c>
      <c r="R24" s="717"/>
      <c r="S24" s="714" t="s">
        <v>863</v>
      </c>
      <c r="T24" s="717"/>
      <c r="U24" s="714"/>
      <c r="V24" s="718" t="s">
        <v>864</v>
      </c>
      <c r="W24" s="718" t="s">
        <v>864</v>
      </c>
      <c r="X24" s="718"/>
      <c r="Y24" s="718"/>
      <c r="Z24" s="232"/>
      <c r="AA24" s="719"/>
      <c r="AB24" s="714"/>
      <c r="AC24" s="720"/>
      <c r="AD24" s="714"/>
      <c r="AE24" s="717"/>
      <c r="AF24" s="717"/>
    </row>
    <row r="25" spans="1:32" s="224" customFormat="1" ht="13.5" customHeight="1">
      <c r="A25" s="225">
        <v>17</v>
      </c>
      <c r="B25" s="216"/>
      <c r="C25" s="241"/>
      <c r="D25" s="532" t="s">
        <v>767</v>
      </c>
      <c r="E25" s="241"/>
      <c r="F25" s="241"/>
      <c r="G25" s="241"/>
      <c r="H25" s="714" t="s">
        <v>1005</v>
      </c>
      <c r="I25" s="715"/>
      <c r="J25" s="714"/>
      <c r="K25" s="714" t="s">
        <v>939</v>
      </c>
      <c r="L25" s="714"/>
      <c r="M25" s="714"/>
      <c r="N25" s="714"/>
      <c r="O25" s="714"/>
      <c r="P25" s="716"/>
      <c r="Q25" s="714" t="s">
        <v>817</v>
      </c>
      <c r="R25" s="717"/>
      <c r="S25" s="714" t="s">
        <v>863</v>
      </c>
      <c r="T25" s="717"/>
      <c r="U25" s="714"/>
      <c r="V25" s="718" t="s">
        <v>864</v>
      </c>
      <c r="W25" s="718" t="s">
        <v>864</v>
      </c>
      <c r="X25" s="718"/>
      <c r="Y25" s="718"/>
      <c r="Z25" s="232"/>
      <c r="AA25" s="719"/>
      <c r="AB25" s="714"/>
      <c r="AC25" s="720"/>
      <c r="AD25" s="714"/>
      <c r="AE25" s="717"/>
      <c r="AF25" s="717"/>
    </row>
    <row r="26" spans="1:32" s="224" customFormat="1" ht="13.5" customHeight="1">
      <c r="A26" s="225">
        <v>18</v>
      </c>
      <c r="B26" s="240"/>
      <c r="C26" s="532" t="s">
        <v>2272</v>
      </c>
      <c r="D26" s="523"/>
      <c r="E26" s="523"/>
      <c r="F26" s="523"/>
      <c r="G26" s="523"/>
      <c r="H26" s="731"/>
      <c r="I26" s="732"/>
      <c r="J26" s="714"/>
      <c r="K26" s="714" t="s">
        <v>1011</v>
      </c>
      <c r="L26" s="714"/>
      <c r="M26" s="714"/>
      <c r="N26" s="714"/>
      <c r="O26" s="714"/>
      <c r="P26" s="716"/>
      <c r="Q26" s="714" t="s">
        <v>820</v>
      </c>
      <c r="R26" s="717" t="s">
        <v>864</v>
      </c>
      <c r="S26" s="714" t="s">
        <v>991</v>
      </c>
      <c r="T26" s="717" t="s">
        <v>864</v>
      </c>
      <c r="U26" s="714"/>
      <c r="V26" s="718" t="s">
        <v>864</v>
      </c>
      <c r="W26" s="718" t="s">
        <v>864</v>
      </c>
      <c r="X26" s="718"/>
      <c r="Y26" s="718"/>
      <c r="Z26" s="232"/>
      <c r="AA26" s="719"/>
      <c r="AB26" s="714"/>
      <c r="AC26" s="720"/>
      <c r="AD26" s="714"/>
      <c r="AE26" s="717"/>
      <c r="AF26" s="717"/>
    </row>
    <row r="27" spans="1:32" s="224" customFormat="1" ht="13.5" customHeight="1">
      <c r="A27" s="225">
        <v>19</v>
      </c>
      <c r="B27" s="216"/>
      <c r="C27" s="241"/>
      <c r="D27" s="532" t="s">
        <v>667</v>
      </c>
      <c r="E27" s="241"/>
      <c r="F27" s="241"/>
      <c r="G27" s="241"/>
      <c r="H27" s="714" t="s">
        <v>2273</v>
      </c>
      <c r="I27" s="715" t="s">
        <v>2274</v>
      </c>
      <c r="J27" s="714"/>
      <c r="K27" s="714" t="s">
        <v>1000</v>
      </c>
      <c r="L27" s="714"/>
      <c r="M27" s="714"/>
      <c r="N27" s="714"/>
      <c r="O27" s="714"/>
      <c r="P27" s="716"/>
      <c r="Q27" s="714" t="s">
        <v>820</v>
      </c>
      <c r="R27" s="717"/>
      <c r="S27" s="714" t="s">
        <v>863</v>
      </c>
      <c r="T27" s="717"/>
      <c r="U27" s="714"/>
      <c r="V27" s="718" t="s">
        <v>864</v>
      </c>
      <c r="W27" s="718" t="s">
        <v>864</v>
      </c>
      <c r="X27" s="718"/>
      <c r="Y27" s="718"/>
      <c r="Z27" s="232"/>
      <c r="AA27" s="719"/>
      <c r="AB27" s="714"/>
      <c r="AC27" s="720"/>
      <c r="AD27" s="714"/>
      <c r="AE27" s="717"/>
      <c r="AF27" s="717"/>
    </row>
    <row r="28" spans="1:32" s="224" customFormat="1" ht="13.5" customHeight="1">
      <c r="A28" s="225">
        <v>20</v>
      </c>
      <c r="B28" s="216"/>
      <c r="C28" s="241"/>
      <c r="D28" s="532" t="s">
        <v>2269</v>
      </c>
      <c r="E28" s="241"/>
      <c r="F28" s="241"/>
      <c r="G28" s="241"/>
      <c r="H28" s="714" t="s">
        <v>2275</v>
      </c>
      <c r="I28" s="715" t="s">
        <v>2276</v>
      </c>
      <c r="J28" s="714"/>
      <c r="K28" s="714" t="s">
        <v>1004</v>
      </c>
      <c r="L28" s="714"/>
      <c r="M28" s="714"/>
      <c r="N28" s="714"/>
      <c r="O28" s="714"/>
      <c r="P28" s="716"/>
      <c r="Q28" s="714" t="s">
        <v>820</v>
      </c>
      <c r="R28" s="717"/>
      <c r="S28" s="714" t="s">
        <v>863</v>
      </c>
      <c r="T28" s="717"/>
      <c r="U28" s="714"/>
      <c r="V28" s="718" t="s">
        <v>864</v>
      </c>
      <c r="W28" s="718" t="s">
        <v>864</v>
      </c>
      <c r="X28" s="718"/>
      <c r="Y28" s="718"/>
      <c r="Z28" s="232"/>
      <c r="AA28" s="719"/>
      <c r="AB28" s="714"/>
      <c r="AC28" s="720"/>
      <c r="AD28" s="714"/>
      <c r="AE28" s="717"/>
      <c r="AF28" s="717"/>
    </row>
    <row r="29" spans="1:32" s="224" customFormat="1" ht="13.5" customHeight="1">
      <c r="A29" s="225">
        <v>21</v>
      </c>
      <c r="B29" s="216"/>
      <c r="C29" s="241"/>
      <c r="D29" s="532" t="s">
        <v>767</v>
      </c>
      <c r="E29" s="241"/>
      <c r="F29" s="241"/>
      <c r="G29" s="241"/>
      <c r="H29" s="714" t="s">
        <v>1005</v>
      </c>
      <c r="I29" s="715"/>
      <c r="J29" s="714"/>
      <c r="K29" s="714" t="s">
        <v>939</v>
      </c>
      <c r="L29" s="714"/>
      <c r="M29" s="714"/>
      <c r="N29" s="714"/>
      <c r="O29" s="714"/>
      <c r="P29" s="716"/>
      <c r="Q29" s="714" t="s">
        <v>817</v>
      </c>
      <c r="R29" s="717"/>
      <c r="S29" s="714" t="s">
        <v>863</v>
      </c>
      <c r="T29" s="717"/>
      <c r="U29" s="714"/>
      <c r="V29" s="718" t="s">
        <v>864</v>
      </c>
      <c r="W29" s="718" t="s">
        <v>864</v>
      </c>
      <c r="X29" s="718"/>
      <c r="Y29" s="718"/>
      <c r="Z29" s="232"/>
      <c r="AA29" s="719"/>
      <c r="AB29" s="714"/>
      <c r="AC29" s="720"/>
      <c r="AD29" s="714"/>
      <c r="AE29" s="717"/>
      <c r="AF29" s="717"/>
    </row>
    <row r="30" spans="1:32" s="224" customFormat="1" ht="13.5" customHeight="1">
      <c r="A30" s="225">
        <v>22</v>
      </c>
      <c r="B30" s="217"/>
      <c r="C30" s="532" t="s">
        <v>2277</v>
      </c>
      <c r="D30" s="241"/>
      <c r="E30" s="241"/>
      <c r="F30" s="241"/>
      <c r="G30" s="241"/>
      <c r="H30" s="269" t="s">
        <v>2278</v>
      </c>
      <c r="I30" s="715" t="s">
        <v>2279</v>
      </c>
      <c r="J30" s="714"/>
      <c r="K30" s="715" t="s">
        <v>2280</v>
      </c>
      <c r="L30" s="714"/>
      <c r="M30" s="714"/>
      <c r="N30" s="714"/>
      <c r="O30" s="714"/>
      <c r="P30" s="716"/>
      <c r="Q30" s="714" t="s">
        <v>820</v>
      </c>
      <c r="R30" s="717"/>
      <c r="S30" s="714" t="s">
        <v>863</v>
      </c>
      <c r="T30" s="717"/>
      <c r="U30" s="714"/>
      <c r="V30" s="718" t="s">
        <v>864</v>
      </c>
      <c r="W30" s="718" t="s">
        <v>864</v>
      </c>
      <c r="X30" s="718"/>
      <c r="Y30" s="718"/>
      <c r="Z30" s="232"/>
      <c r="AA30" s="719"/>
      <c r="AB30" s="714"/>
      <c r="AC30" s="720"/>
      <c r="AD30" s="714"/>
      <c r="AE30" s="717"/>
      <c r="AF30" s="717"/>
    </row>
    <row r="31" spans="1:32" s="224" customFormat="1" ht="13.5" customHeight="1">
      <c r="A31" s="225">
        <v>23</v>
      </c>
      <c r="B31" s="216" t="s">
        <v>561</v>
      </c>
      <c r="C31" s="733"/>
      <c r="D31" s="523"/>
      <c r="E31" s="523"/>
      <c r="F31" s="523"/>
      <c r="G31" s="523"/>
      <c r="H31" s="731"/>
      <c r="I31" s="732"/>
      <c r="J31" s="714"/>
      <c r="K31" s="715" t="s">
        <v>1403</v>
      </c>
      <c r="L31" s="714"/>
      <c r="M31" s="714"/>
      <c r="N31" s="714"/>
      <c r="O31" s="714"/>
      <c r="P31" s="716"/>
      <c r="Q31" s="714" t="s">
        <v>820</v>
      </c>
      <c r="R31" s="717" t="s">
        <v>864</v>
      </c>
      <c r="S31" s="243" t="s">
        <v>1403</v>
      </c>
      <c r="T31" s="717"/>
      <c r="U31" s="714"/>
      <c r="V31" s="718" t="s">
        <v>864</v>
      </c>
      <c r="W31" s="718" t="s">
        <v>864</v>
      </c>
      <c r="X31" s="718"/>
      <c r="Y31" s="718"/>
      <c r="Z31" s="232"/>
      <c r="AA31" s="719"/>
      <c r="AB31" s="714"/>
      <c r="AC31" s="720"/>
      <c r="AD31" s="714"/>
      <c r="AE31" s="717"/>
      <c r="AF31" s="717"/>
    </row>
    <row r="32" spans="1:32" s="224" customFormat="1" ht="13.5" customHeight="1">
      <c r="A32" s="225">
        <v>24</v>
      </c>
      <c r="B32" s="216"/>
      <c r="C32" s="678" t="s">
        <v>2281</v>
      </c>
      <c r="D32" s="241"/>
      <c r="E32" s="241"/>
      <c r="F32" s="241"/>
      <c r="G32" s="241"/>
      <c r="H32" s="714" t="s">
        <v>2282</v>
      </c>
      <c r="I32" s="715" t="s">
        <v>2283</v>
      </c>
      <c r="J32" s="714"/>
      <c r="K32" s="715" t="s">
        <v>2284</v>
      </c>
      <c r="L32" s="714"/>
      <c r="M32" s="714"/>
      <c r="N32" s="714"/>
      <c r="O32" s="714"/>
      <c r="P32" s="716"/>
      <c r="Q32" s="714" t="s">
        <v>820</v>
      </c>
      <c r="R32" s="717"/>
      <c r="S32" s="714" t="s">
        <v>863</v>
      </c>
      <c r="T32" s="717"/>
      <c r="U32" s="714"/>
      <c r="V32" s="718" t="s">
        <v>864</v>
      </c>
      <c r="W32" s="718" t="s">
        <v>864</v>
      </c>
      <c r="X32" s="718"/>
      <c r="Y32" s="718"/>
      <c r="Z32" s="232"/>
      <c r="AA32" s="719"/>
      <c r="AB32" s="714"/>
      <c r="AC32" s="720"/>
      <c r="AD32" s="714"/>
      <c r="AE32" s="717"/>
      <c r="AF32" s="717"/>
    </row>
    <row r="33" spans="1:32" s="224" customFormat="1" ht="13.5" customHeight="1">
      <c r="A33" s="225">
        <v>25</v>
      </c>
      <c r="B33" s="216"/>
      <c r="C33" s="678" t="s">
        <v>1479</v>
      </c>
      <c r="D33" s="241"/>
      <c r="E33" s="241"/>
      <c r="F33" s="241"/>
      <c r="G33" s="241"/>
      <c r="H33" s="714" t="s">
        <v>1480</v>
      </c>
      <c r="I33" s="734">
        <v>13197</v>
      </c>
      <c r="J33" s="714"/>
      <c r="K33" s="715" t="s">
        <v>1481</v>
      </c>
      <c r="L33" s="714"/>
      <c r="M33" s="714"/>
      <c r="N33" s="714"/>
      <c r="O33" s="714"/>
      <c r="P33" s="716"/>
      <c r="Q33" s="714" t="s">
        <v>820</v>
      </c>
      <c r="R33" s="717"/>
      <c r="S33" s="714" t="s">
        <v>863</v>
      </c>
      <c r="T33" s="717"/>
      <c r="U33" s="714"/>
      <c r="V33" s="718" t="s">
        <v>864</v>
      </c>
      <c r="W33" s="718" t="s">
        <v>864</v>
      </c>
      <c r="X33" s="718"/>
      <c r="Y33" s="718"/>
      <c r="Z33" s="232"/>
      <c r="AA33" s="719"/>
      <c r="AB33" s="714"/>
      <c r="AC33" s="720"/>
      <c r="AD33" s="714"/>
      <c r="AE33" s="717"/>
      <c r="AF33" s="717"/>
    </row>
    <row r="34" spans="1:32" s="224" customFormat="1" ht="13.5" customHeight="1">
      <c r="A34" s="225">
        <v>26</v>
      </c>
      <c r="B34" s="216"/>
      <c r="C34" s="678" t="s">
        <v>2285</v>
      </c>
      <c r="D34" s="241"/>
      <c r="E34" s="241"/>
      <c r="F34" s="241"/>
      <c r="G34" s="241"/>
      <c r="H34" s="714" t="s">
        <v>2286</v>
      </c>
      <c r="I34" s="715" t="s">
        <v>698</v>
      </c>
      <c r="J34" s="714"/>
      <c r="K34" s="715" t="s">
        <v>1485</v>
      </c>
      <c r="L34" s="714"/>
      <c r="M34" s="714"/>
      <c r="N34" s="714"/>
      <c r="O34" s="714"/>
      <c r="P34" s="716"/>
      <c r="Q34" s="714" t="s">
        <v>820</v>
      </c>
      <c r="R34" s="717"/>
      <c r="S34" s="714" t="s">
        <v>863</v>
      </c>
      <c r="T34" s="717" t="s">
        <v>864</v>
      </c>
      <c r="U34" s="714"/>
      <c r="V34" s="718" t="s">
        <v>864</v>
      </c>
      <c r="W34" s="718" t="s">
        <v>864</v>
      </c>
      <c r="X34" s="718"/>
      <c r="Y34" s="718"/>
      <c r="Z34" s="232"/>
      <c r="AA34" s="719"/>
      <c r="AB34" s="714"/>
      <c r="AC34" s="720"/>
      <c r="AD34" s="714"/>
      <c r="AE34" s="717"/>
      <c r="AF34" s="717"/>
    </row>
    <row r="35" spans="1:32" s="224" customFormat="1" ht="13.5" customHeight="1">
      <c r="A35" s="225">
        <v>27</v>
      </c>
      <c r="B35" s="216"/>
      <c r="C35" s="678" t="s">
        <v>2287</v>
      </c>
      <c r="D35" s="241"/>
      <c r="E35" s="241"/>
      <c r="F35" s="241"/>
      <c r="G35" s="241"/>
      <c r="H35" s="714" t="s">
        <v>2288</v>
      </c>
      <c r="I35" s="715" t="s">
        <v>2289</v>
      </c>
      <c r="J35" s="714"/>
      <c r="K35" s="715" t="s">
        <v>2290</v>
      </c>
      <c r="L35" s="714"/>
      <c r="M35" s="714"/>
      <c r="N35" s="714"/>
      <c r="O35" s="714"/>
      <c r="P35" s="716"/>
      <c r="Q35" s="714" t="s">
        <v>817</v>
      </c>
      <c r="R35" s="717"/>
      <c r="S35" s="714" t="s">
        <v>1092</v>
      </c>
      <c r="T35" s="717"/>
      <c r="U35" s="714"/>
      <c r="V35" s="718" t="s">
        <v>864</v>
      </c>
      <c r="W35" s="718" t="s">
        <v>864</v>
      </c>
      <c r="X35" s="718"/>
      <c r="Y35" s="718"/>
      <c r="Z35" s="232"/>
      <c r="AA35" s="719"/>
      <c r="AB35" s="714"/>
      <c r="AC35" s="720"/>
      <c r="AD35" s="714"/>
      <c r="AE35" s="717"/>
      <c r="AF35" s="717"/>
    </row>
    <row r="36" spans="1:32" s="224" customFormat="1" ht="13.5" customHeight="1">
      <c r="A36" s="225">
        <v>28</v>
      </c>
      <c r="B36" s="216"/>
      <c r="C36" s="678" t="s">
        <v>2291</v>
      </c>
      <c r="D36" s="523"/>
      <c r="E36" s="523"/>
      <c r="F36" s="523"/>
      <c r="G36" s="523"/>
      <c r="H36" s="731"/>
      <c r="I36" s="732"/>
      <c r="J36" s="714"/>
      <c r="K36" s="715" t="s">
        <v>2292</v>
      </c>
      <c r="L36" s="714"/>
      <c r="M36" s="714"/>
      <c r="N36" s="714"/>
      <c r="O36" s="714"/>
      <c r="P36" s="716"/>
      <c r="Q36" s="714" t="s">
        <v>817</v>
      </c>
      <c r="R36" s="717" t="s">
        <v>864</v>
      </c>
      <c r="S36" s="379" t="s">
        <v>2292</v>
      </c>
      <c r="T36" s="717"/>
      <c r="U36" s="714"/>
      <c r="V36" s="718" t="s">
        <v>864</v>
      </c>
      <c r="W36" s="718" t="s">
        <v>864</v>
      </c>
      <c r="X36" s="718"/>
      <c r="Y36" s="718"/>
      <c r="Z36" s="232"/>
      <c r="AA36" s="719"/>
      <c r="AB36" s="714"/>
      <c r="AC36" s="720"/>
      <c r="AD36" s="714"/>
      <c r="AE36" s="717"/>
      <c r="AF36" s="717"/>
    </row>
    <row r="37" spans="1:32" s="224" customFormat="1" ht="13.5" customHeight="1">
      <c r="A37" s="225">
        <v>29</v>
      </c>
      <c r="B37" s="216"/>
      <c r="C37" s="678"/>
      <c r="D37" s="241" t="s">
        <v>2293</v>
      </c>
      <c r="E37" s="241"/>
      <c r="F37" s="241"/>
      <c r="G37" s="241"/>
      <c r="H37" s="714" t="s">
        <v>2294</v>
      </c>
      <c r="I37" s="715">
        <v>92300</v>
      </c>
      <c r="J37" s="714"/>
      <c r="K37" s="715" t="s">
        <v>2295</v>
      </c>
      <c r="L37" s="714"/>
      <c r="M37" s="714"/>
      <c r="N37" s="714"/>
      <c r="O37" s="714"/>
      <c r="P37" s="716"/>
      <c r="Q37" s="714" t="s">
        <v>820</v>
      </c>
      <c r="R37" s="717"/>
      <c r="S37" s="714" t="s">
        <v>863</v>
      </c>
      <c r="T37" s="717"/>
      <c r="U37" s="714"/>
      <c r="V37" s="718" t="s">
        <v>864</v>
      </c>
      <c r="W37" s="718" t="s">
        <v>864</v>
      </c>
      <c r="X37" s="718"/>
      <c r="Y37" s="718"/>
      <c r="Z37" s="232"/>
      <c r="AA37" s="719"/>
      <c r="AB37" s="714"/>
      <c r="AC37" s="720"/>
      <c r="AD37" s="714"/>
      <c r="AE37" s="717"/>
      <c r="AF37" s="717"/>
    </row>
    <row r="38" spans="1:32" s="224" customFormat="1" ht="13.5" customHeight="1">
      <c r="A38" s="225">
        <v>30</v>
      </c>
      <c r="B38" s="216"/>
      <c r="C38" s="678"/>
      <c r="D38" s="241" t="s">
        <v>388</v>
      </c>
      <c r="E38" s="241"/>
      <c r="F38" s="241"/>
      <c r="G38" s="241"/>
      <c r="H38" s="714" t="s">
        <v>1108</v>
      </c>
      <c r="I38" s="715" t="s">
        <v>2296</v>
      </c>
      <c r="J38" s="714"/>
      <c r="K38" s="715" t="s">
        <v>1107</v>
      </c>
      <c r="L38" s="714"/>
      <c r="M38" s="714"/>
      <c r="N38" s="714"/>
      <c r="O38" s="714"/>
      <c r="P38" s="716"/>
      <c r="Q38" s="714" t="s">
        <v>820</v>
      </c>
      <c r="R38" s="717"/>
      <c r="S38" s="714" t="s">
        <v>863</v>
      </c>
      <c r="T38" s="717"/>
      <c r="U38" s="714"/>
      <c r="V38" s="718" t="s">
        <v>864</v>
      </c>
      <c r="W38" s="718" t="s">
        <v>864</v>
      </c>
      <c r="X38" s="718"/>
      <c r="Y38" s="718"/>
      <c r="Z38" s="232"/>
      <c r="AA38" s="719"/>
      <c r="AB38" s="714"/>
      <c r="AC38" s="720"/>
      <c r="AD38" s="714"/>
      <c r="AE38" s="717"/>
      <c r="AF38" s="717"/>
    </row>
    <row r="39" spans="1:32" s="224" customFormat="1" ht="13.5" customHeight="1">
      <c r="A39" s="225">
        <v>31</v>
      </c>
      <c r="B39" s="240" t="s">
        <v>2297</v>
      </c>
      <c r="C39" s="523"/>
      <c r="D39" s="523"/>
      <c r="E39" s="523"/>
      <c r="F39" s="523"/>
      <c r="G39" s="523"/>
      <c r="H39" s="731"/>
      <c r="I39" s="732"/>
      <c r="J39" s="714"/>
      <c r="K39" s="715" t="s">
        <v>2298</v>
      </c>
      <c r="L39" s="714"/>
      <c r="M39" s="714"/>
      <c r="N39" s="714"/>
      <c r="O39" s="714"/>
      <c r="P39" s="716"/>
      <c r="Q39" s="714" t="s">
        <v>820</v>
      </c>
      <c r="R39" s="717" t="s">
        <v>864</v>
      </c>
      <c r="S39" s="243" t="s">
        <v>2298</v>
      </c>
      <c r="T39" s="717"/>
      <c r="U39" s="714"/>
      <c r="V39" s="718" t="s">
        <v>864</v>
      </c>
      <c r="W39" s="718" t="s">
        <v>864</v>
      </c>
      <c r="X39" s="718"/>
      <c r="Y39" s="718"/>
      <c r="Z39" s="232"/>
      <c r="AA39" s="719"/>
      <c r="AB39" s="714"/>
      <c r="AC39" s="720"/>
      <c r="AD39" s="714"/>
      <c r="AE39" s="717"/>
      <c r="AF39" s="717"/>
    </row>
    <row r="40" spans="1:32" s="224" customFormat="1" ht="13.5" customHeight="1">
      <c r="A40" s="225">
        <v>32</v>
      </c>
      <c r="B40" s="240"/>
      <c r="C40" s="241" t="s">
        <v>2299</v>
      </c>
      <c r="D40" s="241"/>
      <c r="E40" s="241"/>
      <c r="F40" s="241"/>
      <c r="G40" s="241"/>
      <c r="H40" s="731"/>
      <c r="I40" s="715"/>
      <c r="J40" s="714"/>
      <c r="K40" s="715" t="s">
        <v>1054</v>
      </c>
      <c r="L40" s="714"/>
      <c r="M40" s="714"/>
      <c r="N40" s="714"/>
      <c r="O40" s="714"/>
      <c r="P40" s="716"/>
      <c r="Q40" s="714" t="s">
        <v>820</v>
      </c>
      <c r="R40" s="717" t="s">
        <v>864</v>
      </c>
      <c r="S40" s="714" t="s">
        <v>863</v>
      </c>
      <c r="T40" s="717"/>
      <c r="U40" s="714"/>
      <c r="V40" s="718" t="s">
        <v>864</v>
      </c>
      <c r="W40" s="718" t="s">
        <v>864</v>
      </c>
      <c r="X40" s="718"/>
      <c r="Y40" s="718"/>
      <c r="Z40" s="232"/>
      <c r="AA40" s="719"/>
      <c r="AB40" s="714"/>
      <c r="AC40" s="720"/>
      <c r="AD40" s="714"/>
      <c r="AE40" s="717"/>
      <c r="AF40" s="717"/>
    </row>
    <row r="41" spans="1:32" s="224" customFormat="1" ht="13.5" customHeight="1">
      <c r="A41" s="225">
        <v>33</v>
      </c>
      <c r="B41" s="240"/>
      <c r="C41" s="241"/>
      <c r="D41" s="241" t="s">
        <v>2300</v>
      </c>
      <c r="E41" s="241"/>
      <c r="F41" s="241"/>
      <c r="G41" s="241"/>
      <c r="H41" s="714" t="s">
        <v>2301</v>
      </c>
      <c r="I41" s="715" t="s">
        <v>2302</v>
      </c>
      <c r="J41" s="714"/>
      <c r="K41" s="715" t="s">
        <v>970</v>
      </c>
      <c r="L41" s="714"/>
      <c r="M41" s="714"/>
      <c r="N41" s="714"/>
      <c r="O41" s="714"/>
      <c r="P41" s="716"/>
      <c r="Q41" s="714" t="s">
        <v>817</v>
      </c>
      <c r="R41" s="717"/>
      <c r="S41" s="714" t="s">
        <v>863</v>
      </c>
      <c r="T41" s="717" t="s">
        <v>864</v>
      </c>
      <c r="U41" s="714"/>
      <c r="V41" s="718" t="s">
        <v>864</v>
      </c>
      <c r="W41" s="718" t="s">
        <v>864</v>
      </c>
      <c r="X41" s="718"/>
      <c r="Y41" s="718"/>
      <c r="Z41" s="232"/>
      <c r="AA41" s="719"/>
      <c r="AB41" s="714"/>
      <c r="AC41" s="720"/>
      <c r="AD41" s="714"/>
      <c r="AE41" s="717"/>
      <c r="AF41" s="717"/>
    </row>
    <row r="42" spans="1:32" s="224" customFormat="1" ht="13.5" customHeight="1">
      <c r="A42" s="225">
        <v>34</v>
      </c>
      <c r="B42" s="240"/>
      <c r="C42" s="241"/>
      <c r="D42" s="241" t="s">
        <v>2303</v>
      </c>
      <c r="E42" s="241"/>
      <c r="F42" s="241"/>
      <c r="G42" s="241"/>
      <c r="H42" s="714" t="s">
        <v>2304</v>
      </c>
      <c r="I42" s="715"/>
      <c r="J42" s="714"/>
      <c r="K42" s="715" t="s">
        <v>2305</v>
      </c>
      <c r="L42" s="714"/>
      <c r="M42" s="714"/>
      <c r="N42" s="714"/>
      <c r="O42" s="714"/>
      <c r="P42" s="716"/>
      <c r="Q42" s="714" t="s">
        <v>817</v>
      </c>
      <c r="R42" s="717"/>
      <c r="S42" s="714" t="s">
        <v>863</v>
      </c>
      <c r="T42" s="717"/>
      <c r="U42" s="714"/>
      <c r="V42" s="718" t="s">
        <v>864</v>
      </c>
      <c r="W42" s="718" t="s">
        <v>864</v>
      </c>
      <c r="X42" s="718"/>
      <c r="Y42" s="718"/>
      <c r="Z42" s="232"/>
      <c r="AA42" s="719"/>
      <c r="AB42" s="714"/>
      <c r="AC42" s="720"/>
      <c r="AD42" s="714"/>
      <c r="AE42" s="717"/>
      <c r="AF42" s="717"/>
    </row>
    <row r="43" spans="1:32" s="224" customFormat="1" ht="13.5" customHeight="1">
      <c r="A43" s="225">
        <v>35</v>
      </c>
      <c r="B43" s="240"/>
      <c r="C43" s="241"/>
      <c r="D43" s="241" t="s">
        <v>2306</v>
      </c>
      <c r="E43" s="241"/>
      <c r="F43" s="241"/>
      <c r="G43" s="241"/>
      <c r="H43" s="714" t="s">
        <v>2307</v>
      </c>
      <c r="I43" s="715"/>
      <c r="J43" s="714"/>
      <c r="K43" s="715" t="s">
        <v>2308</v>
      </c>
      <c r="L43" s="714"/>
      <c r="M43" s="714"/>
      <c r="N43" s="714"/>
      <c r="O43" s="714"/>
      <c r="P43" s="716"/>
      <c r="Q43" s="714" t="s">
        <v>817</v>
      </c>
      <c r="R43" s="717"/>
      <c r="S43" s="714" t="s">
        <v>863</v>
      </c>
      <c r="T43" s="717"/>
      <c r="U43" s="714"/>
      <c r="V43" s="718" t="s">
        <v>864</v>
      </c>
      <c r="W43" s="718" t="s">
        <v>864</v>
      </c>
      <c r="X43" s="718"/>
      <c r="Y43" s="718"/>
      <c r="Z43" s="232"/>
      <c r="AA43" s="719"/>
      <c r="AB43" s="714"/>
      <c r="AC43" s="720"/>
      <c r="AD43" s="714"/>
      <c r="AE43" s="717"/>
      <c r="AF43" s="717"/>
    </row>
    <row r="44" spans="1:32" s="224" customFormat="1" ht="13.5" customHeight="1">
      <c r="A44" s="225">
        <v>36</v>
      </c>
      <c r="B44" s="216"/>
      <c r="C44" s="241"/>
      <c r="D44" s="241" t="s">
        <v>2309</v>
      </c>
      <c r="E44" s="523"/>
      <c r="F44" s="523"/>
      <c r="G44" s="523"/>
      <c r="H44" s="731"/>
      <c r="I44" s="732"/>
      <c r="J44" s="714"/>
      <c r="K44" s="715" t="s">
        <v>1082</v>
      </c>
      <c r="L44" s="714"/>
      <c r="M44" s="714"/>
      <c r="N44" s="714"/>
      <c r="O44" s="714"/>
      <c r="P44" s="716"/>
      <c r="Q44" s="714" t="s">
        <v>817</v>
      </c>
      <c r="R44" s="717" t="s">
        <v>864</v>
      </c>
      <c r="S44" s="243" t="s">
        <v>1082</v>
      </c>
      <c r="T44" s="717"/>
      <c r="U44" s="714"/>
      <c r="V44" s="718" t="s">
        <v>864</v>
      </c>
      <c r="W44" s="718" t="s">
        <v>864</v>
      </c>
      <c r="X44" s="718"/>
      <c r="Y44" s="718"/>
      <c r="Z44" s="232"/>
      <c r="AA44" s="719"/>
      <c r="AB44" s="714"/>
      <c r="AC44" s="720"/>
      <c r="AD44" s="714"/>
      <c r="AE44" s="717"/>
      <c r="AF44" s="717"/>
    </row>
    <row r="45" spans="1:32" s="224" customFormat="1" ht="13.5" customHeight="1">
      <c r="A45" s="225">
        <v>37</v>
      </c>
      <c r="B45" s="240"/>
      <c r="C45" s="241"/>
      <c r="D45" s="241"/>
      <c r="E45" s="241" t="s">
        <v>392</v>
      </c>
      <c r="F45" s="241"/>
      <c r="G45" s="241"/>
      <c r="H45" s="714" t="s">
        <v>2310</v>
      </c>
      <c r="I45" s="715">
        <v>92300</v>
      </c>
      <c r="J45" s="714"/>
      <c r="K45" s="715" t="s">
        <v>2295</v>
      </c>
      <c r="L45" s="714"/>
      <c r="M45" s="714"/>
      <c r="N45" s="714"/>
      <c r="O45" s="714"/>
      <c r="P45" s="716"/>
      <c r="Q45" s="714" t="s">
        <v>820</v>
      </c>
      <c r="R45" s="717"/>
      <c r="S45" s="714" t="s">
        <v>863</v>
      </c>
      <c r="T45" s="717"/>
      <c r="U45" s="714"/>
      <c r="V45" s="718" t="s">
        <v>864</v>
      </c>
      <c r="W45" s="718" t="s">
        <v>864</v>
      </c>
      <c r="X45" s="718"/>
      <c r="Y45" s="718"/>
      <c r="Z45" s="232"/>
      <c r="AA45" s="719"/>
      <c r="AB45" s="714"/>
      <c r="AC45" s="720"/>
      <c r="AD45" s="714"/>
      <c r="AE45" s="717"/>
      <c r="AF45" s="717"/>
    </row>
    <row r="46" spans="1:32" s="224" customFormat="1" ht="13.5" customHeight="1">
      <c r="A46" s="225">
        <v>38</v>
      </c>
      <c r="B46" s="240"/>
      <c r="C46" s="241"/>
      <c r="D46" s="241"/>
      <c r="E46" s="241" t="s">
        <v>388</v>
      </c>
      <c r="F46" s="241"/>
      <c r="G46" s="241"/>
      <c r="H46" s="714" t="s">
        <v>1108</v>
      </c>
      <c r="I46" s="715" t="s">
        <v>2296</v>
      </c>
      <c r="J46" s="714"/>
      <c r="K46" s="715" t="s">
        <v>1107</v>
      </c>
      <c r="L46" s="714"/>
      <c r="M46" s="714"/>
      <c r="N46" s="714"/>
      <c r="O46" s="714"/>
      <c r="P46" s="716"/>
      <c r="Q46" s="714" t="s">
        <v>820</v>
      </c>
      <c r="R46" s="717"/>
      <c r="S46" s="714" t="s">
        <v>863</v>
      </c>
      <c r="T46" s="717"/>
      <c r="U46" s="714"/>
      <c r="V46" s="718" t="s">
        <v>864</v>
      </c>
      <c r="W46" s="718" t="s">
        <v>864</v>
      </c>
      <c r="X46" s="718"/>
      <c r="Y46" s="718"/>
      <c r="Z46" s="232"/>
      <c r="AA46" s="719"/>
      <c r="AB46" s="714"/>
      <c r="AC46" s="720"/>
      <c r="AD46" s="714"/>
      <c r="AE46" s="717"/>
      <c r="AF46" s="717"/>
    </row>
    <row r="47" spans="1:32" s="224" customFormat="1" ht="13.5" customHeight="1">
      <c r="A47" s="225">
        <v>39</v>
      </c>
      <c r="B47" s="216"/>
      <c r="C47" s="241" t="s">
        <v>2311</v>
      </c>
      <c r="D47" s="241"/>
      <c r="E47" s="241"/>
      <c r="F47" s="241"/>
      <c r="G47" s="241"/>
      <c r="H47" s="386" t="s">
        <v>2312</v>
      </c>
      <c r="I47" s="715"/>
      <c r="J47" s="714"/>
      <c r="K47" s="715" t="s">
        <v>2182</v>
      </c>
      <c r="L47" s="714"/>
      <c r="M47" s="714"/>
      <c r="N47" s="714"/>
      <c r="O47" s="714"/>
      <c r="P47" s="716"/>
      <c r="Q47" s="714" t="s">
        <v>820</v>
      </c>
      <c r="R47" s="717" t="s">
        <v>864</v>
      </c>
      <c r="S47" s="243" t="s">
        <v>2182</v>
      </c>
      <c r="T47" s="717"/>
      <c r="U47" s="714"/>
      <c r="V47" s="718" t="s">
        <v>864</v>
      </c>
      <c r="W47" s="718" t="s">
        <v>864</v>
      </c>
      <c r="X47" s="718"/>
      <c r="Y47" s="718"/>
      <c r="Z47" s="232"/>
      <c r="AA47" s="719"/>
      <c r="AB47" s="714"/>
      <c r="AC47" s="720"/>
      <c r="AD47" s="714"/>
      <c r="AE47" s="717"/>
      <c r="AF47" s="717"/>
    </row>
    <row r="48" spans="1:32" s="224" customFormat="1" ht="13.5" customHeight="1">
      <c r="A48" s="225">
        <v>40</v>
      </c>
      <c r="B48" s="217"/>
      <c r="C48" s="241"/>
      <c r="D48" s="241" t="s">
        <v>2313</v>
      </c>
      <c r="E48" s="241"/>
      <c r="F48" s="241"/>
      <c r="G48" s="241"/>
      <c r="H48" s="714" t="s">
        <v>2314</v>
      </c>
      <c r="I48" s="715" t="s">
        <v>774</v>
      </c>
      <c r="J48" s="714"/>
      <c r="K48" s="715" t="s">
        <v>2315</v>
      </c>
      <c r="L48" s="714"/>
      <c r="M48" s="714"/>
      <c r="N48" s="714"/>
      <c r="O48" s="714"/>
      <c r="P48" s="716"/>
      <c r="Q48" s="714" t="s">
        <v>820</v>
      </c>
      <c r="R48" s="717"/>
      <c r="S48" s="714" t="s">
        <v>2262</v>
      </c>
      <c r="T48" s="717"/>
      <c r="U48" s="714"/>
      <c r="V48" s="718" t="s">
        <v>864</v>
      </c>
      <c r="W48" s="718" t="s">
        <v>864</v>
      </c>
      <c r="X48" s="718"/>
      <c r="Y48" s="718"/>
      <c r="Z48" s="232"/>
      <c r="AA48" s="719"/>
      <c r="AB48" s="714"/>
      <c r="AC48" s="720"/>
      <c r="AD48" s="714"/>
      <c r="AE48" s="717"/>
      <c r="AF48" s="717"/>
    </row>
    <row r="49" spans="1:32" s="224" customFormat="1" ht="13.5" customHeight="1">
      <c r="A49" s="225">
        <v>41</v>
      </c>
      <c r="B49" s="217"/>
      <c r="C49" s="241"/>
      <c r="D49" s="241" t="s">
        <v>2316</v>
      </c>
      <c r="E49" s="241"/>
      <c r="F49" s="241"/>
      <c r="G49" s="241"/>
      <c r="H49" s="714" t="s">
        <v>2317</v>
      </c>
      <c r="I49" s="715" t="s">
        <v>770</v>
      </c>
      <c r="J49" s="714"/>
      <c r="K49" s="715" t="s">
        <v>2318</v>
      </c>
      <c r="L49" s="714"/>
      <c r="M49" s="714"/>
      <c r="N49" s="714"/>
      <c r="O49" s="714"/>
      <c r="P49" s="716"/>
      <c r="Q49" s="714" t="s">
        <v>820</v>
      </c>
      <c r="R49" s="717"/>
      <c r="S49" s="714" t="s">
        <v>2262</v>
      </c>
      <c r="T49" s="717"/>
      <c r="U49" s="714"/>
      <c r="V49" s="718" t="s">
        <v>864</v>
      </c>
      <c r="W49" s="718" t="s">
        <v>864</v>
      </c>
      <c r="X49" s="718"/>
      <c r="Y49" s="718"/>
      <c r="Z49" s="232"/>
      <c r="AA49" s="719"/>
      <c r="AB49" s="714"/>
      <c r="AC49" s="720"/>
      <c r="AD49" s="714"/>
      <c r="AE49" s="717"/>
      <c r="AF49" s="717"/>
    </row>
    <row r="50" spans="1:32" s="224" customFormat="1" ht="13.5" customHeight="1">
      <c r="A50" s="225">
        <v>42</v>
      </c>
      <c r="B50" s="217"/>
      <c r="C50" s="241"/>
      <c r="D50" s="241" t="s">
        <v>2319</v>
      </c>
      <c r="E50" s="241"/>
      <c r="F50" s="241"/>
      <c r="G50" s="241"/>
      <c r="H50" s="714" t="s">
        <v>2320</v>
      </c>
      <c r="I50" s="715" t="s">
        <v>774</v>
      </c>
      <c r="J50" s="714"/>
      <c r="K50" s="715" t="s">
        <v>2321</v>
      </c>
      <c r="L50" s="714"/>
      <c r="M50" s="714"/>
      <c r="N50" s="714"/>
      <c r="O50" s="714"/>
      <c r="P50" s="716"/>
      <c r="Q50" s="714" t="s">
        <v>820</v>
      </c>
      <c r="R50" s="717"/>
      <c r="S50" s="714" t="s">
        <v>2262</v>
      </c>
      <c r="T50" s="717"/>
      <c r="U50" s="714"/>
      <c r="V50" s="718" t="s">
        <v>864</v>
      </c>
      <c r="W50" s="718" t="s">
        <v>864</v>
      </c>
      <c r="X50" s="718"/>
      <c r="Y50" s="718"/>
      <c r="Z50" s="232"/>
      <c r="AA50" s="719"/>
      <c r="AB50" s="714"/>
      <c r="AC50" s="720"/>
      <c r="AD50" s="714"/>
      <c r="AE50" s="717"/>
      <c r="AF50" s="717"/>
    </row>
    <row r="51" spans="1:32" s="224" customFormat="1" ht="13.5" customHeight="1">
      <c r="A51" s="225">
        <v>43</v>
      </c>
      <c r="B51" s="216"/>
      <c r="C51" s="241" t="s">
        <v>2322</v>
      </c>
      <c r="D51" s="241"/>
      <c r="E51" s="241"/>
      <c r="F51" s="241"/>
      <c r="G51" s="241"/>
      <c r="H51" s="714" t="s">
        <v>2323</v>
      </c>
      <c r="I51" s="715" t="s">
        <v>2324</v>
      </c>
      <c r="J51" s="714"/>
      <c r="K51" s="715" t="s">
        <v>2325</v>
      </c>
      <c r="L51" s="714"/>
      <c r="M51" s="714"/>
      <c r="N51" s="714"/>
      <c r="O51" s="714"/>
      <c r="P51" s="716"/>
      <c r="Q51" s="714" t="s">
        <v>823</v>
      </c>
      <c r="R51" s="717"/>
      <c r="S51" s="714" t="s">
        <v>863</v>
      </c>
      <c r="T51" s="717" t="s">
        <v>864</v>
      </c>
      <c r="U51" s="714"/>
      <c r="V51" s="718" t="s">
        <v>864</v>
      </c>
      <c r="W51" s="718" t="s">
        <v>864</v>
      </c>
      <c r="X51" s="718"/>
      <c r="Y51" s="718"/>
      <c r="Z51" s="232"/>
      <c r="AA51" s="719"/>
      <c r="AB51" s="714"/>
      <c r="AC51" s="720"/>
      <c r="AD51" s="714"/>
      <c r="AE51" s="717"/>
      <c r="AF51" s="717"/>
    </row>
    <row r="52" spans="1:32" s="224" customFormat="1" ht="13.5" customHeight="1">
      <c r="A52" s="225">
        <v>44</v>
      </c>
      <c r="B52" s="216"/>
      <c r="C52" s="241" t="s">
        <v>2326</v>
      </c>
      <c r="D52" s="241"/>
      <c r="E52" s="241"/>
      <c r="F52" s="241"/>
      <c r="G52" s="241"/>
      <c r="H52" s="714" t="s">
        <v>2327</v>
      </c>
      <c r="I52" s="715" t="s">
        <v>2328</v>
      </c>
      <c r="J52" s="714"/>
      <c r="K52" s="715" t="s">
        <v>1514</v>
      </c>
      <c r="L52" s="714"/>
      <c r="M52" s="714"/>
      <c r="N52" s="714"/>
      <c r="O52" s="714"/>
      <c r="P52" s="716"/>
      <c r="Q52" s="714" t="s">
        <v>820</v>
      </c>
      <c r="R52" s="717"/>
      <c r="S52" s="714" t="s">
        <v>863</v>
      </c>
      <c r="T52" s="717" t="s">
        <v>864</v>
      </c>
      <c r="U52" s="714"/>
      <c r="V52" s="718" t="s">
        <v>864</v>
      </c>
      <c r="W52" s="718" t="s">
        <v>864</v>
      </c>
      <c r="X52" s="718"/>
      <c r="Y52" s="718"/>
      <c r="Z52" s="232"/>
      <c r="AA52" s="719"/>
      <c r="AB52" s="714"/>
      <c r="AC52" s="720"/>
      <c r="AD52" s="714"/>
      <c r="AE52" s="717"/>
      <c r="AF52" s="717"/>
    </row>
    <row r="53" spans="1:32" s="224" customFormat="1" ht="13.5" customHeight="1">
      <c r="A53" s="225">
        <v>45</v>
      </c>
      <c r="B53" s="216"/>
      <c r="C53" s="241" t="s">
        <v>2329</v>
      </c>
      <c r="D53" s="241"/>
      <c r="E53" s="241"/>
      <c r="F53" s="241"/>
      <c r="G53" s="241"/>
      <c r="H53" s="714" t="s">
        <v>2327</v>
      </c>
      <c r="I53" s="715" t="s">
        <v>2330</v>
      </c>
      <c r="J53" s="714"/>
      <c r="K53" s="715" t="s">
        <v>2331</v>
      </c>
      <c r="L53" s="714"/>
      <c r="M53" s="714"/>
      <c r="N53" s="714"/>
      <c r="O53" s="714"/>
      <c r="P53" s="716"/>
      <c r="Q53" s="714" t="s">
        <v>817</v>
      </c>
      <c r="R53" s="717"/>
      <c r="S53" s="714" t="s">
        <v>863</v>
      </c>
      <c r="T53" s="717" t="s">
        <v>864</v>
      </c>
      <c r="U53" s="714"/>
      <c r="V53" s="718" t="s">
        <v>864</v>
      </c>
      <c r="W53" s="718" t="s">
        <v>864</v>
      </c>
      <c r="X53" s="718"/>
      <c r="Y53" s="718"/>
      <c r="Z53" s="232"/>
      <c r="AA53" s="719"/>
      <c r="AB53" s="714"/>
      <c r="AC53" s="720"/>
      <c r="AD53" s="714"/>
      <c r="AE53" s="717"/>
      <c r="AF53" s="717"/>
    </row>
    <row r="54" spans="1:32" s="224" customFormat="1" ht="13.5" customHeight="1">
      <c r="A54" s="225">
        <v>46</v>
      </c>
      <c r="B54" s="216"/>
      <c r="C54" s="241" t="s">
        <v>2332</v>
      </c>
      <c r="D54" s="523"/>
      <c r="E54" s="523"/>
      <c r="F54" s="523"/>
      <c r="G54" s="523"/>
      <c r="H54" s="731"/>
      <c r="I54" s="732"/>
      <c r="J54" s="714"/>
      <c r="K54" s="715" t="s">
        <v>2333</v>
      </c>
      <c r="L54" s="714"/>
      <c r="M54" s="714"/>
      <c r="N54" s="714"/>
      <c r="O54" s="714"/>
      <c r="P54" s="716"/>
      <c r="Q54" s="714" t="s">
        <v>817</v>
      </c>
      <c r="R54" s="717" t="s">
        <v>864</v>
      </c>
      <c r="S54" s="243" t="s">
        <v>2334</v>
      </c>
      <c r="T54" s="717"/>
      <c r="U54" s="714"/>
      <c r="V54" s="718" t="s">
        <v>864</v>
      </c>
      <c r="W54" s="718" t="s">
        <v>864</v>
      </c>
      <c r="X54" s="718"/>
      <c r="Y54" s="718"/>
      <c r="Z54" s="232"/>
      <c r="AA54" s="719"/>
      <c r="AB54" s="714"/>
      <c r="AC54" s="720"/>
      <c r="AD54" s="714"/>
      <c r="AE54" s="717"/>
      <c r="AF54" s="717"/>
    </row>
    <row r="55" spans="1:32" s="224" customFormat="1" ht="13.5" customHeight="1">
      <c r="A55" s="225">
        <v>47</v>
      </c>
      <c r="B55" s="216"/>
      <c r="C55" s="241"/>
      <c r="D55" s="241" t="s">
        <v>2335</v>
      </c>
      <c r="E55" s="241"/>
      <c r="F55" s="241"/>
      <c r="G55" s="241"/>
      <c r="H55" s="714" t="s">
        <v>2240</v>
      </c>
      <c r="I55" s="715" t="s">
        <v>930</v>
      </c>
      <c r="J55" s="714"/>
      <c r="K55" s="715" t="s">
        <v>2336</v>
      </c>
      <c r="L55" s="714"/>
      <c r="M55" s="714"/>
      <c r="N55" s="714"/>
      <c r="O55" s="714"/>
      <c r="P55" s="716"/>
      <c r="Q55" s="714" t="s">
        <v>820</v>
      </c>
      <c r="R55" s="717"/>
      <c r="S55" s="714" t="s">
        <v>879</v>
      </c>
      <c r="T55" s="717"/>
      <c r="U55" s="714"/>
      <c r="V55" s="718" t="s">
        <v>864</v>
      </c>
      <c r="W55" s="718" t="s">
        <v>864</v>
      </c>
      <c r="X55" s="718"/>
      <c r="Y55" s="718"/>
      <c r="Z55" s="232"/>
      <c r="AA55" s="719"/>
      <c r="AB55" s="714"/>
      <c r="AC55" s="720"/>
      <c r="AD55" s="714"/>
      <c r="AE55" s="717"/>
      <c r="AF55" s="717"/>
    </row>
    <row r="56" spans="1:32" s="224" customFormat="1" ht="13.5" customHeight="1">
      <c r="A56" s="225">
        <v>48</v>
      </c>
      <c r="B56" s="216"/>
      <c r="C56" s="241"/>
      <c r="D56" s="241" t="s">
        <v>2337</v>
      </c>
      <c r="E56" s="241"/>
      <c r="F56" s="241"/>
      <c r="G56" s="241"/>
      <c r="H56" s="714" t="s">
        <v>2240</v>
      </c>
      <c r="I56" s="715" t="s">
        <v>930</v>
      </c>
      <c r="J56" s="714"/>
      <c r="K56" s="715" t="s">
        <v>2338</v>
      </c>
      <c r="L56" s="714"/>
      <c r="M56" s="714"/>
      <c r="N56" s="714"/>
      <c r="O56" s="714"/>
      <c r="P56" s="716"/>
      <c r="Q56" s="714" t="s">
        <v>817</v>
      </c>
      <c r="R56" s="717"/>
      <c r="S56" s="714" t="s">
        <v>879</v>
      </c>
      <c r="T56" s="717"/>
      <c r="U56" s="714"/>
      <c r="V56" s="718" t="s">
        <v>864</v>
      </c>
      <c r="W56" s="718" t="s">
        <v>864</v>
      </c>
      <c r="X56" s="718"/>
      <c r="Y56" s="718"/>
      <c r="Z56" s="232"/>
      <c r="AA56" s="719"/>
      <c r="AB56" s="714"/>
      <c r="AC56" s="720"/>
      <c r="AD56" s="714"/>
      <c r="AE56" s="717"/>
      <c r="AF56" s="717"/>
    </row>
    <row r="57" spans="1:32" s="224" customFormat="1" ht="13.5" customHeight="1">
      <c r="A57" s="225">
        <v>49</v>
      </c>
      <c r="B57" s="216"/>
      <c r="C57" s="241"/>
      <c r="D57" s="241" t="s">
        <v>2339</v>
      </c>
      <c r="E57" s="241"/>
      <c r="F57" s="241"/>
      <c r="G57" s="241"/>
      <c r="H57" s="714" t="s">
        <v>2240</v>
      </c>
      <c r="I57" s="715" t="s">
        <v>930</v>
      </c>
      <c r="J57" s="714"/>
      <c r="K57" s="715" t="s">
        <v>2340</v>
      </c>
      <c r="L57" s="714"/>
      <c r="M57" s="714"/>
      <c r="N57" s="714"/>
      <c r="O57" s="714"/>
      <c r="P57" s="716"/>
      <c r="Q57" s="714" t="s">
        <v>817</v>
      </c>
      <c r="R57" s="717"/>
      <c r="S57" s="714" t="s">
        <v>879</v>
      </c>
      <c r="T57" s="717"/>
      <c r="U57" s="714"/>
      <c r="V57" s="718" t="s">
        <v>864</v>
      </c>
      <c r="W57" s="718" t="s">
        <v>864</v>
      </c>
      <c r="X57" s="718"/>
      <c r="Y57" s="718"/>
      <c r="Z57" s="232"/>
      <c r="AA57" s="719"/>
      <c r="AB57" s="714"/>
      <c r="AC57" s="720"/>
      <c r="AD57" s="714"/>
      <c r="AE57" s="717"/>
      <c r="AF57" s="717"/>
    </row>
    <row r="58" spans="1:32" s="224" customFormat="1" ht="13.5" customHeight="1">
      <c r="A58" s="225">
        <v>50</v>
      </c>
      <c r="B58" s="216"/>
      <c r="C58" s="241"/>
      <c r="D58" s="241" t="s">
        <v>2341</v>
      </c>
      <c r="E58" s="241"/>
      <c r="F58" s="241"/>
      <c r="G58" s="241"/>
      <c r="H58" s="714" t="s">
        <v>2240</v>
      </c>
      <c r="I58" s="715" t="s">
        <v>930</v>
      </c>
      <c r="J58" s="714"/>
      <c r="K58" s="715" t="s">
        <v>2342</v>
      </c>
      <c r="L58" s="714"/>
      <c r="M58" s="714"/>
      <c r="N58" s="714"/>
      <c r="O58" s="714"/>
      <c r="P58" s="716"/>
      <c r="Q58" s="714" t="s">
        <v>817</v>
      </c>
      <c r="R58" s="717"/>
      <c r="S58" s="714" t="s">
        <v>879</v>
      </c>
      <c r="T58" s="717"/>
      <c r="U58" s="714"/>
      <c r="V58" s="718" t="s">
        <v>864</v>
      </c>
      <c r="W58" s="718" t="s">
        <v>864</v>
      </c>
      <c r="X58" s="718"/>
      <c r="Y58" s="718"/>
      <c r="Z58" s="232"/>
      <c r="AA58" s="719"/>
      <c r="AB58" s="714"/>
      <c r="AC58" s="720"/>
      <c r="AD58" s="714"/>
      <c r="AE58" s="717"/>
      <c r="AF58" s="717"/>
    </row>
    <row r="59" spans="1:32" s="224" customFormat="1" ht="13.5" customHeight="1">
      <c r="A59" s="225">
        <v>51</v>
      </c>
      <c r="B59" s="216"/>
      <c r="C59" s="241"/>
      <c r="D59" s="241" t="s">
        <v>2343</v>
      </c>
      <c r="E59" s="241"/>
      <c r="F59" s="241"/>
      <c r="G59" s="241"/>
      <c r="H59" s="714" t="s">
        <v>2240</v>
      </c>
      <c r="I59" s="715" t="s">
        <v>930</v>
      </c>
      <c r="J59" s="714"/>
      <c r="K59" s="715" t="s">
        <v>2344</v>
      </c>
      <c r="L59" s="714"/>
      <c r="M59" s="714"/>
      <c r="N59" s="714"/>
      <c r="O59" s="714"/>
      <c r="P59" s="716"/>
      <c r="Q59" s="714" t="s">
        <v>820</v>
      </c>
      <c r="R59" s="717"/>
      <c r="S59" s="714" t="s">
        <v>879</v>
      </c>
      <c r="T59" s="717"/>
      <c r="U59" s="714"/>
      <c r="V59" s="718" t="s">
        <v>864</v>
      </c>
      <c r="W59" s="718" t="s">
        <v>864</v>
      </c>
      <c r="X59" s="718"/>
      <c r="Y59" s="718"/>
      <c r="Z59" s="232"/>
      <c r="AA59" s="719"/>
      <c r="AB59" s="714"/>
      <c r="AC59" s="720"/>
      <c r="AD59" s="714"/>
      <c r="AE59" s="717"/>
      <c r="AF59" s="717"/>
    </row>
    <row r="60" spans="1:32" s="224" customFormat="1" ht="13.5" customHeight="1">
      <c r="A60" s="225">
        <v>52</v>
      </c>
      <c r="B60" s="216"/>
      <c r="C60" s="241"/>
      <c r="D60" s="241" t="s">
        <v>2345</v>
      </c>
      <c r="E60" s="241"/>
      <c r="F60" s="241"/>
      <c r="G60" s="241"/>
      <c r="H60" s="714" t="s">
        <v>2240</v>
      </c>
      <c r="I60" s="715" t="s">
        <v>930</v>
      </c>
      <c r="J60" s="714"/>
      <c r="K60" s="715" t="s">
        <v>2346</v>
      </c>
      <c r="L60" s="714"/>
      <c r="M60" s="714"/>
      <c r="N60" s="714"/>
      <c r="O60" s="714"/>
      <c r="P60" s="716"/>
      <c r="Q60" s="714" t="s">
        <v>820</v>
      </c>
      <c r="R60" s="717"/>
      <c r="S60" s="714" t="s">
        <v>879</v>
      </c>
      <c r="T60" s="717"/>
      <c r="U60" s="714"/>
      <c r="V60" s="718" t="s">
        <v>864</v>
      </c>
      <c r="W60" s="718" t="s">
        <v>864</v>
      </c>
      <c r="X60" s="718"/>
      <c r="Y60" s="718"/>
      <c r="Z60" s="232"/>
      <c r="AA60" s="719"/>
      <c r="AB60" s="714"/>
      <c r="AC60" s="720"/>
      <c r="AD60" s="714"/>
      <c r="AE60" s="717"/>
      <c r="AF60" s="717"/>
    </row>
    <row r="61" spans="1:32" s="224" customFormat="1" ht="13.5" customHeight="1">
      <c r="A61" s="225">
        <v>53</v>
      </c>
      <c r="B61" s="216" t="s">
        <v>2347</v>
      </c>
      <c r="C61" s="733"/>
      <c r="D61" s="733"/>
      <c r="E61" s="523"/>
      <c r="F61" s="523"/>
      <c r="G61" s="523"/>
      <c r="H61" s="731"/>
      <c r="I61" s="732"/>
      <c r="J61" s="714"/>
      <c r="K61" s="715" t="s">
        <v>1559</v>
      </c>
      <c r="L61" s="714"/>
      <c r="M61" s="714"/>
      <c r="N61" s="714"/>
      <c r="O61" s="714"/>
      <c r="P61" s="716"/>
      <c r="Q61" s="714" t="s">
        <v>820</v>
      </c>
      <c r="R61" s="717" t="s">
        <v>864</v>
      </c>
      <c r="S61" s="243" t="s">
        <v>1559</v>
      </c>
      <c r="T61" s="717"/>
      <c r="U61" s="714"/>
      <c r="V61" s="718" t="s">
        <v>864</v>
      </c>
      <c r="W61" s="718" t="s">
        <v>864</v>
      </c>
      <c r="X61" s="718"/>
      <c r="Y61" s="718"/>
      <c r="Z61" s="232"/>
      <c r="AA61" s="719"/>
      <c r="AB61" s="714"/>
      <c r="AC61" s="720"/>
      <c r="AD61" s="714"/>
      <c r="AE61" s="717"/>
      <c r="AF61" s="717"/>
    </row>
    <row r="62" spans="1:32" s="224" customFormat="1" ht="13.5" customHeight="1">
      <c r="A62" s="225">
        <v>54</v>
      </c>
      <c r="B62" s="216"/>
      <c r="C62" s="678" t="s">
        <v>1685</v>
      </c>
      <c r="D62" s="678"/>
      <c r="E62" s="241"/>
      <c r="F62" s="241"/>
      <c r="G62" s="241"/>
      <c r="H62" s="714" t="s">
        <v>2348</v>
      </c>
      <c r="I62" s="715" t="s">
        <v>2349</v>
      </c>
      <c r="J62" s="714"/>
      <c r="K62" s="715" t="s">
        <v>970</v>
      </c>
      <c r="L62" s="714"/>
      <c r="M62" s="714"/>
      <c r="N62" s="714"/>
      <c r="O62" s="714"/>
      <c r="P62" s="716"/>
      <c r="Q62" s="714" t="s">
        <v>820</v>
      </c>
      <c r="R62" s="717"/>
      <c r="S62" s="714" t="s">
        <v>863</v>
      </c>
      <c r="T62" s="717"/>
      <c r="U62" s="714"/>
      <c r="V62" s="718" t="s">
        <v>864</v>
      </c>
      <c r="W62" s="718" t="s">
        <v>864</v>
      </c>
      <c r="X62" s="718"/>
      <c r="Y62" s="718"/>
      <c r="Z62" s="232"/>
      <c r="AA62" s="719"/>
      <c r="AB62" s="714"/>
      <c r="AC62" s="720"/>
      <c r="AD62" s="714"/>
      <c r="AE62" s="717"/>
      <c r="AF62" s="717"/>
    </row>
    <row r="63" spans="1:32" s="224" customFormat="1" ht="13.5" customHeight="1">
      <c r="A63" s="225">
        <v>55</v>
      </c>
      <c r="B63" s="216"/>
      <c r="C63" s="217" t="s">
        <v>1577</v>
      </c>
      <c r="D63" s="523"/>
      <c r="E63" s="523"/>
      <c r="F63" s="523"/>
      <c r="G63" s="523"/>
      <c r="H63" s="731"/>
      <c r="I63" s="732"/>
      <c r="J63" s="714"/>
      <c r="K63" s="715" t="s">
        <v>1578</v>
      </c>
      <c r="L63" s="714"/>
      <c r="M63" s="714"/>
      <c r="N63" s="714"/>
      <c r="O63" s="714"/>
      <c r="P63" s="716"/>
      <c r="Q63" s="714" t="s">
        <v>817</v>
      </c>
      <c r="R63" s="717" t="s">
        <v>864</v>
      </c>
      <c r="S63" s="243" t="s">
        <v>1578</v>
      </c>
      <c r="T63" s="717"/>
      <c r="U63" s="714"/>
      <c r="V63" s="718" t="s">
        <v>864</v>
      </c>
      <c r="W63" s="718" t="s">
        <v>864</v>
      </c>
      <c r="X63" s="718"/>
      <c r="Y63" s="718"/>
      <c r="Z63" s="232"/>
      <c r="AA63" s="719"/>
      <c r="AB63" s="714"/>
      <c r="AC63" s="720"/>
      <c r="AD63" s="714"/>
      <c r="AE63" s="717"/>
      <c r="AF63" s="717"/>
    </row>
    <row r="64" spans="1:32" s="224" customFormat="1" ht="13.5" customHeight="1">
      <c r="A64" s="225">
        <v>56</v>
      </c>
      <c r="B64" s="216"/>
      <c r="C64" s="241"/>
      <c r="D64" s="241" t="s">
        <v>2350</v>
      </c>
      <c r="E64" s="241"/>
      <c r="F64" s="241"/>
      <c r="G64" s="241"/>
      <c r="H64" s="714" t="s">
        <v>2351</v>
      </c>
      <c r="I64" s="715" t="s">
        <v>1282</v>
      </c>
      <c r="J64" s="714"/>
      <c r="K64" s="715" t="s">
        <v>2352</v>
      </c>
      <c r="L64" s="714"/>
      <c r="M64" s="714"/>
      <c r="N64" s="714"/>
      <c r="O64" s="714"/>
      <c r="P64" s="716"/>
      <c r="Q64" s="714" t="s">
        <v>820</v>
      </c>
      <c r="R64" s="717"/>
      <c r="S64" s="714" t="s">
        <v>863</v>
      </c>
      <c r="T64" s="717" t="s">
        <v>864</v>
      </c>
      <c r="U64" s="714"/>
      <c r="V64" s="718" t="s">
        <v>864</v>
      </c>
      <c r="W64" s="718" t="s">
        <v>864</v>
      </c>
      <c r="X64" s="718"/>
      <c r="Y64" s="718"/>
      <c r="Z64" s="232"/>
      <c r="AA64" s="719"/>
      <c r="AB64" s="714"/>
      <c r="AC64" s="720"/>
      <c r="AD64" s="714"/>
      <c r="AE64" s="717"/>
      <c r="AF64" s="717"/>
    </row>
    <row r="65" spans="1:1019" s="224" customFormat="1" ht="13.5" customHeight="1">
      <c r="A65" s="225">
        <v>57</v>
      </c>
      <c r="B65" s="216"/>
      <c r="C65" s="241"/>
      <c r="D65" s="241" t="s">
        <v>2353</v>
      </c>
      <c r="E65" s="241"/>
      <c r="F65" s="241"/>
      <c r="G65" s="241"/>
      <c r="H65" s="714" t="s">
        <v>2354</v>
      </c>
      <c r="I65" s="715"/>
      <c r="J65" s="714"/>
      <c r="K65" s="715" t="s">
        <v>2355</v>
      </c>
      <c r="L65" s="714"/>
      <c r="M65" s="714"/>
      <c r="N65" s="714"/>
      <c r="O65" s="714"/>
      <c r="P65" s="716"/>
      <c r="Q65" s="714" t="s">
        <v>820</v>
      </c>
      <c r="R65" s="717"/>
      <c r="S65" s="714" t="s">
        <v>863</v>
      </c>
      <c r="T65" s="717"/>
      <c r="U65" s="714"/>
      <c r="V65" s="718" t="s">
        <v>864</v>
      </c>
      <c r="W65" s="718" t="s">
        <v>864</v>
      </c>
      <c r="X65" s="718"/>
      <c r="Y65" s="718"/>
      <c r="Z65" s="232"/>
      <c r="AA65" s="719"/>
      <c r="AB65" s="714"/>
      <c r="AC65" s="720"/>
      <c r="AD65" s="714"/>
      <c r="AE65" s="717"/>
      <c r="AF65" s="717"/>
    </row>
    <row r="66" spans="1:1019" s="224" customFormat="1" ht="13.5" customHeight="1">
      <c r="A66" s="225">
        <v>58</v>
      </c>
      <c r="B66" s="216"/>
      <c r="C66" s="241"/>
      <c r="D66" s="241" t="s">
        <v>2356</v>
      </c>
      <c r="E66" s="241"/>
      <c r="F66" s="241"/>
      <c r="G66" s="241"/>
      <c r="H66" s="714" t="s">
        <v>2357</v>
      </c>
      <c r="I66" s="715"/>
      <c r="J66" s="714"/>
      <c r="K66" s="715" t="s">
        <v>2358</v>
      </c>
      <c r="L66" s="714"/>
      <c r="M66" s="714"/>
      <c r="N66" s="714"/>
      <c r="O66" s="714"/>
      <c r="P66" s="716"/>
      <c r="Q66" s="714" t="s">
        <v>820</v>
      </c>
      <c r="R66" s="717"/>
      <c r="S66" s="714" t="s">
        <v>863</v>
      </c>
      <c r="T66" s="717" t="s">
        <v>864</v>
      </c>
      <c r="U66" s="714"/>
      <c r="V66" s="718" t="s">
        <v>864</v>
      </c>
      <c r="W66" s="718" t="s">
        <v>864</v>
      </c>
      <c r="X66" s="718"/>
      <c r="Y66" s="718"/>
      <c r="Z66" s="232"/>
      <c r="AA66" s="719"/>
      <c r="AB66" s="714"/>
      <c r="AC66" s="720"/>
      <c r="AD66" s="714"/>
      <c r="AE66" s="717"/>
      <c r="AF66" s="717"/>
    </row>
    <row r="67" spans="1:1019" s="224" customFormat="1" ht="13.5" customHeight="1">
      <c r="A67" s="225">
        <v>59</v>
      </c>
      <c r="B67" s="217"/>
      <c r="C67" s="241"/>
      <c r="D67" s="241" t="s">
        <v>2359</v>
      </c>
      <c r="E67" s="241"/>
      <c r="F67" s="241"/>
      <c r="G67" s="241"/>
      <c r="H67" s="241" t="s">
        <v>2360</v>
      </c>
      <c r="I67" s="715"/>
      <c r="J67" s="714"/>
      <c r="K67" s="715" t="s">
        <v>2361</v>
      </c>
      <c r="L67" s="714"/>
      <c r="M67" s="714"/>
      <c r="N67" s="714"/>
      <c r="O67" s="714"/>
      <c r="P67" s="716"/>
      <c r="Q67" s="714" t="s">
        <v>820</v>
      </c>
      <c r="R67" s="717"/>
      <c r="S67" s="714" t="s">
        <v>863</v>
      </c>
      <c r="T67" s="717"/>
      <c r="U67" s="714"/>
      <c r="V67" s="718" t="s">
        <v>864</v>
      </c>
      <c r="W67" s="718" t="s">
        <v>864</v>
      </c>
      <c r="X67" s="718"/>
      <c r="Y67" s="718"/>
      <c r="Z67" s="232"/>
      <c r="AA67" s="719"/>
      <c r="AB67" s="714"/>
      <c r="AC67" s="720"/>
      <c r="AD67" s="714"/>
      <c r="AE67" s="717"/>
      <c r="AF67" s="717"/>
    </row>
    <row r="68" spans="1:1019" s="536" customFormat="1" ht="13.5" customHeight="1">
      <c r="A68" s="512">
        <v>60</v>
      </c>
      <c r="B68" s="513"/>
      <c r="C68" s="514"/>
      <c r="D68" s="514" t="s">
        <v>2362</v>
      </c>
      <c r="E68" s="514"/>
      <c r="F68" s="514"/>
      <c r="G68" s="514"/>
      <c r="H68" s="514" t="s">
        <v>2363</v>
      </c>
      <c r="I68" s="515"/>
      <c r="J68" s="386"/>
      <c r="K68" s="515"/>
      <c r="L68" s="386"/>
      <c r="M68" s="386"/>
      <c r="N68" s="386"/>
      <c r="O68" s="386"/>
      <c r="P68" s="516"/>
      <c r="Q68" s="386" t="s">
        <v>820</v>
      </c>
      <c r="R68" s="519"/>
      <c r="S68" s="386" t="s">
        <v>863</v>
      </c>
      <c r="T68" s="519"/>
      <c r="U68" s="386"/>
      <c r="V68" s="718" t="s">
        <v>864</v>
      </c>
      <c r="W68" s="718" t="s">
        <v>864</v>
      </c>
      <c r="X68" s="533"/>
      <c r="Y68" s="533"/>
      <c r="Z68" s="518"/>
      <c r="AA68" s="534"/>
      <c r="AB68" s="386"/>
      <c r="AC68" s="535"/>
      <c r="AD68" s="386"/>
      <c r="AE68" s="519"/>
      <c r="AF68" s="519"/>
    </row>
    <row r="69" spans="1:1019" s="536" customFormat="1" ht="13.5" customHeight="1">
      <c r="A69" s="512">
        <v>61</v>
      </c>
      <c r="B69" s="513"/>
      <c r="C69" s="514"/>
      <c r="D69" s="514" t="s">
        <v>2364</v>
      </c>
      <c r="E69" s="514"/>
      <c r="F69" s="514"/>
      <c r="G69" s="514"/>
      <c r="H69" s="514" t="s">
        <v>2365</v>
      </c>
      <c r="I69" s="515"/>
      <c r="J69" s="386"/>
      <c r="K69" s="515" t="s">
        <v>871</v>
      </c>
      <c r="L69" s="386"/>
      <c r="M69" s="386"/>
      <c r="N69" s="386"/>
      <c r="O69" s="386"/>
      <c r="P69" s="516"/>
      <c r="Q69" s="386" t="s">
        <v>820</v>
      </c>
      <c r="R69" s="519"/>
      <c r="S69" s="386" t="s">
        <v>863</v>
      </c>
      <c r="T69" s="519"/>
      <c r="U69" s="386"/>
      <c r="V69" s="718" t="s">
        <v>864</v>
      </c>
      <c r="W69" s="718" t="s">
        <v>864</v>
      </c>
      <c r="X69" s="533"/>
      <c r="Y69" s="533"/>
      <c r="Z69" s="518"/>
      <c r="AA69" s="534"/>
      <c r="AB69" s="386"/>
      <c r="AC69" s="535"/>
      <c r="AD69" s="386"/>
      <c r="AE69" s="519"/>
      <c r="AF69" s="519"/>
    </row>
    <row r="70" spans="1:1019" s="224" customFormat="1" ht="13.5" customHeight="1">
      <c r="A70" s="225">
        <v>62</v>
      </c>
      <c r="B70" s="217"/>
      <c r="C70" s="217" t="s">
        <v>2366</v>
      </c>
      <c r="D70" s="733"/>
      <c r="E70" s="523"/>
      <c r="F70" s="523"/>
      <c r="G70" s="523"/>
      <c r="H70" s="731"/>
      <c r="I70" s="732"/>
      <c r="J70" s="714"/>
      <c r="K70" s="715" t="s">
        <v>1545</v>
      </c>
      <c r="L70" s="714"/>
      <c r="M70" s="714"/>
      <c r="N70" s="714"/>
      <c r="O70" s="714"/>
      <c r="P70" s="716"/>
      <c r="Q70" s="714" t="s">
        <v>817</v>
      </c>
      <c r="R70" s="717" t="s">
        <v>864</v>
      </c>
      <c r="S70" s="243" t="s">
        <v>1545</v>
      </c>
      <c r="T70" s="717"/>
      <c r="U70" s="714"/>
      <c r="V70" s="718" t="s">
        <v>864</v>
      </c>
      <c r="W70" s="718" t="s">
        <v>864</v>
      </c>
      <c r="X70" s="718"/>
      <c r="Y70" s="718"/>
      <c r="Z70" s="232"/>
      <c r="AA70" s="719"/>
      <c r="AB70" s="714"/>
      <c r="AC70" s="720"/>
      <c r="AD70" s="714"/>
      <c r="AE70" s="717"/>
      <c r="AF70" s="717"/>
    </row>
    <row r="71" spans="1:1019" s="224" customFormat="1" ht="13.5" customHeight="1">
      <c r="A71" s="225">
        <v>63</v>
      </c>
      <c r="B71" s="217"/>
      <c r="C71" s="217"/>
      <c r="D71" s="678" t="s">
        <v>2367</v>
      </c>
      <c r="E71" s="241"/>
      <c r="F71" s="241"/>
      <c r="G71" s="241"/>
      <c r="H71" s="714" t="s">
        <v>2368</v>
      </c>
      <c r="I71" s="715" t="s">
        <v>2369</v>
      </c>
      <c r="J71" s="714"/>
      <c r="K71" s="715" t="s">
        <v>2370</v>
      </c>
      <c r="L71" s="714"/>
      <c r="M71" s="714"/>
      <c r="N71" s="714"/>
      <c r="O71" s="714"/>
      <c r="P71" s="716"/>
      <c r="Q71" s="714" t="s">
        <v>820</v>
      </c>
      <c r="R71" s="717"/>
      <c r="S71" s="714" t="s">
        <v>863</v>
      </c>
      <c r="T71" s="717" t="s">
        <v>864</v>
      </c>
      <c r="U71" s="714"/>
      <c r="V71" s="718" t="s">
        <v>864</v>
      </c>
      <c r="W71" s="718" t="s">
        <v>864</v>
      </c>
      <c r="X71" s="718"/>
      <c r="Y71" s="718"/>
      <c r="Z71" s="232"/>
      <c r="AA71" s="719"/>
      <c r="AB71" s="714"/>
      <c r="AC71" s="720"/>
      <c r="AD71" s="714"/>
      <c r="AE71" s="717"/>
      <c r="AF71" s="717"/>
    </row>
    <row r="72" spans="1:1019" s="224" customFormat="1" ht="13.5" customHeight="1">
      <c r="A72" s="225">
        <v>64</v>
      </c>
      <c r="B72" s="217"/>
      <c r="C72" s="217"/>
      <c r="D72" s="678" t="s">
        <v>2371</v>
      </c>
      <c r="E72" s="241"/>
      <c r="F72" s="241"/>
      <c r="G72" s="241"/>
      <c r="H72" s="714" t="s">
        <v>2372</v>
      </c>
      <c r="I72" s="715" t="s">
        <v>1676</v>
      </c>
      <c r="J72" s="714"/>
      <c r="K72" s="715" t="s">
        <v>1677</v>
      </c>
      <c r="L72" s="714"/>
      <c r="M72" s="714"/>
      <c r="N72" s="714"/>
      <c r="O72" s="714"/>
      <c r="P72" s="716"/>
      <c r="Q72" s="714" t="s">
        <v>820</v>
      </c>
      <c r="R72" s="717"/>
      <c r="S72" s="714" t="s">
        <v>863</v>
      </c>
      <c r="T72" s="717" t="s">
        <v>864</v>
      </c>
      <c r="U72" s="714"/>
      <c r="V72" s="718" t="s">
        <v>864</v>
      </c>
      <c r="W72" s="718" t="s">
        <v>864</v>
      </c>
      <c r="X72" s="718"/>
      <c r="Y72" s="718"/>
      <c r="Z72" s="232"/>
      <c r="AA72" s="719"/>
      <c r="AB72" s="714"/>
      <c r="AC72" s="720"/>
      <c r="AD72" s="714"/>
      <c r="AE72" s="717"/>
      <c r="AF72" s="717"/>
    </row>
    <row r="73" spans="1:1019" s="224" customFormat="1" ht="13.5" customHeight="1">
      <c r="A73" s="225">
        <v>65</v>
      </c>
      <c r="B73" s="217"/>
      <c r="C73" s="217"/>
      <c r="D73" s="678" t="s">
        <v>2373</v>
      </c>
      <c r="E73" s="241"/>
      <c r="F73" s="241"/>
      <c r="G73" s="241"/>
      <c r="H73" s="269" t="s">
        <v>2374</v>
      </c>
      <c r="I73" s="715" t="s">
        <v>2279</v>
      </c>
      <c r="J73" s="714"/>
      <c r="K73" s="715" t="s">
        <v>1575</v>
      </c>
      <c r="L73" s="714"/>
      <c r="M73" s="714"/>
      <c r="N73" s="714"/>
      <c r="O73" s="714"/>
      <c r="P73" s="716"/>
      <c r="Q73" s="714" t="s">
        <v>820</v>
      </c>
      <c r="R73" s="717"/>
      <c r="S73" s="714" t="s">
        <v>863</v>
      </c>
      <c r="T73" s="717" t="s">
        <v>864</v>
      </c>
      <c r="U73" s="714"/>
      <c r="V73" s="718" t="s">
        <v>864</v>
      </c>
      <c r="W73" s="718" t="s">
        <v>864</v>
      </c>
      <c r="X73" s="718"/>
      <c r="Y73" s="718"/>
      <c r="Z73" s="232"/>
      <c r="AA73" s="719"/>
      <c r="AB73" s="714"/>
      <c r="AC73" s="720"/>
      <c r="AD73" s="714"/>
      <c r="AE73" s="717"/>
      <c r="AF73" s="717"/>
    </row>
    <row r="74" spans="1:1019" s="224" customFormat="1" ht="12" customHeight="1">
      <c r="A74" s="225">
        <f>SUBTOTAL(103,createCase2912[ID])</f>
        <v>65</v>
      </c>
      <c r="C74" s="225">
        <f>SUBTOTAL(103,createCase2912[Donnée (Niveau 2)])</f>
        <v>26</v>
      </c>
      <c r="D74" s="225">
        <f>SUBTOTAL(103,createCase2912[Donnée (Niveau 3)])</f>
        <v>32</v>
      </c>
      <c r="E74" s="225">
        <f>SUBTOTAL(103,createCase2912[Donnée (Niveau 4)])</f>
        <v>2</v>
      </c>
      <c r="F74" s="225">
        <f>SUBTOTAL(103,createCase2912[Donnée (Niveau 5)])</f>
        <v>0</v>
      </c>
      <c r="G74" s="225">
        <f>SUBTOTAL(103,createCase2912[Donnée (Niveau 6)])</f>
        <v>0</v>
      </c>
      <c r="H74" s="225">
        <f>SUBTOTAL(103,createCase2912[Description])</f>
        <v>50</v>
      </c>
      <c r="I74" s="225">
        <f>SUBTOTAL(103,createCase2912[Exemples])</f>
        <v>37</v>
      </c>
      <c r="J74" s="225">
        <f>SUBTOTAL(103,createCase2912[Balise NexSIS])</f>
        <v>0</v>
      </c>
      <c r="K74" s="239">
        <f>SUBTOTAL(103,createCase2912[Nouvelle balise])</f>
        <v>62</v>
      </c>
      <c r="L74" s="225">
        <f>SUBTOTAL(103,createCase2912[Nantes - balise])</f>
        <v>0</v>
      </c>
      <c r="M74" s="225">
        <f>SUBTOTAL(103,createCase2912[Nantes - description])</f>
        <v>0</v>
      </c>
      <c r="N74" s="225">
        <f>SUBTOTAL(103,createCase2912[GT399])</f>
        <v>0</v>
      </c>
      <c r="O74" s="225">
        <f>SUBTOTAL(103,createCase2912[GT399 description])</f>
        <v>0</v>
      </c>
      <c r="P74" s="234">
        <f>SUBTOTAL(103,createCase2912[Priorisation])</f>
        <v>0</v>
      </c>
      <c r="Q74" s="225"/>
      <c r="R74" s="274">
        <f>SUBTOTAL(103,createCase2912[Objet])</f>
        <v>15</v>
      </c>
      <c r="S74" s="225">
        <f>SUBTOTAL(103,createCase2912[Format (ou type)])</f>
        <v>65</v>
      </c>
      <c r="T74" s="274"/>
      <c r="U74" s="225"/>
      <c r="V74" s="225"/>
      <c r="W74" s="225"/>
      <c r="X74" s="225"/>
      <c r="Y74" s="225"/>
      <c r="AA74" s="271">
        <f>SUBTOTAL(103,createCase2912[Commentaire Hub Santé])</f>
        <v>0</v>
      </c>
      <c r="AB74" s="225">
        <f>SUBTOTAL(103,createCase2912[Commentaire Philippe Dreyfus])</f>
        <v>0</v>
      </c>
      <c r="AC74" s="239"/>
      <c r="AD74" s="225">
        <f>SUBTOTAL(103,createCase2912[Commentaire Yann Penverne])</f>
        <v>0</v>
      </c>
      <c r="AE74" s="225">
        <f>SUBTOTAL(103,createCase2912[NexSIS])-COUNTIFS(createCase2912[NexSIS],"=X")</f>
        <v>0</v>
      </c>
      <c r="AF74" s="225">
        <f>SUBTOTAL(103,createCase2912[Métier])-COUNTIFS(createCase2912[Métier],"=X")</f>
        <v>0</v>
      </c>
    </row>
    <row r="75" spans="1:1019" s="128" customFormat="1" ht="12" customHeight="1">
      <c r="A75" s="3"/>
      <c r="B75" s="3"/>
      <c r="C75" s="131"/>
      <c r="D75" s="131"/>
      <c r="E75" s="131"/>
      <c r="F75" s="131"/>
      <c r="G75" s="5"/>
      <c r="H75" s="155"/>
      <c r="I75" s="225"/>
      <c r="J75" s="5"/>
      <c r="K75" s="155"/>
      <c r="L75" s="5"/>
      <c r="M75" s="5"/>
      <c r="N75" s="5"/>
      <c r="O75" s="5"/>
      <c r="P75" s="188"/>
      <c r="Q75" s="5"/>
      <c r="R75" s="56"/>
      <c r="S75" s="5"/>
      <c r="T75" s="56"/>
      <c r="U75" s="56"/>
      <c r="V75" s="56"/>
      <c r="W75" s="56"/>
      <c r="X75" s="56"/>
      <c r="Y75" s="56"/>
      <c r="Z75"/>
      <c r="AA75" s="178"/>
      <c r="AB75" s="5"/>
      <c r="AC75" s="159"/>
      <c r="AD75" s="56"/>
      <c r="AF75" s="56"/>
      <c r="AMC75"/>
      <c r="AMD75"/>
      <c r="AME75"/>
    </row>
    <row r="76" spans="1:1019" s="128" customFormat="1" ht="12" customHeight="1">
      <c r="A76" s="129"/>
      <c r="B76" s="129"/>
      <c r="C76" s="129"/>
      <c r="D76" s="129"/>
      <c r="E76" s="129"/>
      <c r="F76" s="129"/>
      <c r="G76" s="96"/>
      <c r="H76" s="96"/>
      <c r="I76" s="225"/>
      <c r="J76" s="96"/>
      <c r="K76" s="159"/>
      <c r="L76" s="96"/>
      <c r="M76" s="96"/>
      <c r="N76" s="96"/>
      <c r="O76" s="96"/>
      <c r="P76" s="173"/>
      <c r="Q76" s="96"/>
      <c r="R76" s="278"/>
      <c r="S76" s="96"/>
      <c r="T76" s="278"/>
      <c r="U76" s="96"/>
      <c r="V76" s="96"/>
      <c r="W76" s="96"/>
      <c r="X76" s="96"/>
      <c r="Y76" s="96"/>
      <c r="Z76"/>
      <c r="AA76" s="179"/>
      <c r="AB76" s="96"/>
      <c r="AC76" s="159"/>
      <c r="AD76" s="96"/>
      <c r="AF76" s="96"/>
      <c r="AMC76"/>
      <c r="AMD76"/>
      <c r="AME76"/>
    </row>
    <row r="77" spans="1:1019" s="128" customFormat="1" ht="12" customHeight="1">
      <c r="I77" s="224"/>
      <c r="P77" s="174"/>
      <c r="R77" s="278"/>
      <c r="S77" s="96"/>
      <c r="T77" s="278"/>
      <c r="U77" s="96"/>
      <c r="V77" s="96"/>
      <c r="W77" s="96"/>
      <c r="X77" s="96"/>
      <c r="Y77" s="96"/>
      <c r="Z77"/>
      <c r="AA77" s="179"/>
      <c r="AB77" s="96"/>
      <c r="AC77" s="159"/>
      <c r="AD77" s="96"/>
      <c r="AF77" s="96"/>
      <c r="AMC77"/>
      <c r="AMD77"/>
      <c r="AME77"/>
    </row>
    <row r="78" spans="1:1019" s="128" customFormat="1" ht="12" customHeight="1">
      <c r="I78" s="224"/>
      <c r="P78" s="174"/>
      <c r="R78" s="278"/>
      <c r="S78" s="96"/>
      <c r="T78" s="278"/>
      <c r="U78" s="96"/>
      <c r="V78" s="96"/>
      <c r="W78" s="96"/>
      <c r="X78" s="96"/>
      <c r="Y78" s="96"/>
      <c r="Z78"/>
      <c r="AA78" s="179"/>
      <c r="AB78" s="96"/>
      <c r="AC78" s="159"/>
      <c r="AD78" s="96"/>
      <c r="AF78" s="96"/>
      <c r="AMC78"/>
      <c r="AMD78"/>
      <c r="AME78"/>
    </row>
    <row r="79" spans="1:1019" s="128" customFormat="1" ht="12" customHeight="1">
      <c r="I79" s="224"/>
      <c r="P79" s="174"/>
      <c r="R79" s="278"/>
      <c r="S79" s="96"/>
      <c r="T79" s="278"/>
      <c r="U79" s="96"/>
      <c r="V79" s="96"/>
      <c r="W79" s="96"/>
      <c r="X79" s="96"/>
      <c r="Y79" s="96"/>
      <c r="Z79"/>
      <c r="AA79" s="179"/>
      <c r="AB79" s="96"/>
      <c r="AC79" s="159"/>
      <c r="AD79" s="96"/>
      <c r="AF79" s="96"/>
      <c r="AMC79"/>
      <c r="AMD79"/>
      <c r="AME79"/>
    </row>
    <row r="80" spans="1:1019" s="128" customFormat="1" ht="12" customHeight="1">
      <c r="I80" s="224"/>
      <c r="P80" s="174"/>
      <c r="R80" s="278"/>
      <c r="S80" s="96"/>
      <c r="T80" s="278"/>
      <c r="U80" s="96"/>
      <c r="V80" s="96"/>
      <c r="W80" s="96"/>
      <c r="X80" s="96"/>
      <c r="Y80" s="96"/>
      <c r="Z80"/>
      <c r="AA80" s="179"/>
      <c r="AB80" s="96"/>
      <c r="AC80" s="159"/>
      <c r="AD80" s="96"/>
      <c r="AF80" s="96"/>
      <c r="AMC80"/>
      <c r="AMD80"/>
      <c r="AME80"/>
    </row>
    <row r="81" spans="1:1018" ht="12" customHeight="1">
      <c r="G81" s="128"/>
      <c r="H81" s="128"/>
      <c r="I81" s="224"/>
      <c r="J81" s="128"/>
      <c r="K81" s="128"/>
      <c r="L81" s="128"/>
      <c r="M81" s="128"/>
      <c r="N81" s="128"/>
      <c r="O81" s="128"/>
      <c r="P81" s="174"/>
      <c r="Q81" s="128"/>
    </row>
    <row r="82" spans="1:1018" s="117" customFormat="1" ht="12" customHeight="1">
      <c r="A82" s="128"/>
      <c r="B82" s="128"/>
      <c r="C82" s="128"/>
      <c r="D82" s="128"/>
      <c r="E82" s="128"/>
      <c r="F82" s="128"/>
      <c r="G82" s="96"/>
      <c r="H82" s="96"/>
      <c r="I82" s="225"/>
      <c r="J82" s="96"/>
      <c r="K82" s="159"/>
      <c r="L82" s="96"/>
      <c r="M82" s="96"/>
      <c r="N82" s="96"/>
      <c r="O82" s="96"/>
      <c r="P82" s="173"/>
      <c r="Q82" s="96"/>
      <c r="R82" s="278"/>
      <c r="S82" s="96"/>
      <c r="T82" s="278"/>
      <c r="U82" s="96"/>
      <c r="V82" s="96"/>
      <c r="W82" s="96"/>
      <c r="X82" s="96"/>
      <c r="Y82" s="96"/>
      <c r="Z82"/>
      <c r="AA82" s="179"/>
      <c r="AB82" s="96"/>
      <c r="AC82" s="161"/>
      <c r="AD82" s="96"/>
      <c r="AF82" s="96"/>
      <c r="AMD82"/>
    </row>
    <row r="83" spans="1:1018" ht="12" customHeight="1">
      <c r="A83" s="117"/>
      <c r="B83" s="117"/>
      <c r="C83" s="117"/>
      <c r="D83" s="117"/>
      <c r="E83" s="117"/>
      <c r="F83" s="117"/>
      <c r="G83" s="117"/>
      <c r="H83" s="117"/>
      <c r="I83" s="251"/>
      <c r="J83" s="117"/>
      <c r="K83" s="117"/>
      <c r="L83" s="117"/>
      <c r="M83" s="117"/>
      <c r="N83" s="117"/>
      <c r="O83" s="117"/>
      <c r="P83" s="189"/>
      <c r="Q83" s="117"/>
    </row>
    <row r="84" spans="1:1018" ht="12" customHeight="1">
      <c r="R84" s="125"/>
      <c r="S84" s="112"/>
      <c r="T84" s="125"/>
      <c r="U84" s="112"/>
      <c r="V84" s="112"/>
      <c r="W84" s="112"/>
      <c r="X84" s="112"/>
      <c r="Y84" s="112"/>
      <c r="AA84" s="180"/>
      <c r="AB84" s="112"/>
      <c r="AD84" s="112"/>
      <c r="AF84" s="112"/>
    </row>
    <row r="96" spans="1:1018"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30"/>
      <c r="B101" s="130"/>
      <c r="C101" s="130"/>
      <c r="D101" s="130"/>
      <c r="E101" s="130"/>
      <c r="F101" s="130"/>
    </row>
    <row r="102" spans="1:1018" ht="12" customHeight="1">
      <c r="A102" s="130"/>
      <c r="B102" s="130"/>
      <c r="C102" s="130"/>
      <c r="D102" s="130"/>
      <c r="E102" s="130"/>
      <c r="F102" s="130"/>
    </row>
    <row r="103" spans="1:1018" ht="12" customHeight="1">
      <c r="A103" s="130"/>
      <c r="B103" s="130"/>
      <c r="C103" s="130"/>
      <c r="D103" s="130"/>
      <c r="E103" s="130"/>
      <c r="F103" s="130"/>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ht="12" customHeight="1">
      <c r="A108" s="129"/>
      <c r="B108" s="129"/>
      <c r="C108" s="129"/>
      <c r="D108" s="129"/>
      <c r="E108" s="129"/>
      <c r="F108" s="129"/>
    </row>
    <row r="109" spans="1:1018" ht="12" customHeight="1">
      <c r="A109" s="129"/>
      <c r="B109" s="129"/>
      <c r="C109" s="129"/>
      <c r="D109" s="129"/>
      <c r="E109" s="129"/>
      <c r="F109" s="129"/>
    </row>
    <row r="110" spans="1:1018" ht="12" customHeight="1">
      <c r="A110" s="129"/>
      <c r="B110" s="129"/>
      <c r="C110" s="129"/>
      <c r="D110" s="129"/>
      <c r="E110" s="129"/>
      <c r="F110" s="129"/>
    </row>
    <row r="111" spans="1:1018" s="117" customFormat="1" ht="12" customHeight="1">
      <c r="A111" s="129"/>
      <c r="B111" s="129"/>
      <c r="C111" s="129"/>
      <c r="D111" s="129"/>
      <c r="E111" s="129"/>
      <c r="F111" s="129"/>
      <c r="G111" s="96"/>
      <c r="H111" s="96"/>
      <c r="I111" s="225"/>
      <c r="J111" s="96"/>
      <c r="K111" s="159"/>
      <c r="L111" s="96"/>
      <c r="M111" s="96"/>
      <c r="N111" s="96"/>
      <c r="O111" s="96"/>
      <c r="P111" s="173"/>
      <c r="Q111" s="96"/>
      <c r="R111" s="278"/>
      <c r="S111" s="96"/>
      <c r="T111" s="278"/>
      <c r="U111" s="96"/>
      <c r="V111" s="96"/>
      <c r="W111" s="96"/>
      <c r="X111" s="96"/>
      <c r="Y111" s="96"/>
      <c r="Z111"/>
      <c r="AA111" s="179"/>
      <c r="AB111" s="96"/>
      <c r="AC111" s="161"/>
      <c r="AD111" s="96"/>
      <c r="AF111" s="96"/>
      <c r="AMD111"/>
    </row>
    <row r="112" spans="1:1018" s="117" customFormat="1" ht="12" customHeight="1">
      <c r="A112" s="130"/>
      <c r="B112" s="130"/>
      <c r="C112" s="130"/>
      <c r="D112" s="130"/>
      <c r="E112" s="130"/>
      <c r="F112" s="130"/>
      <c r="G112" s="96"/>
      <c r="H112" s="96"/>
      <c r="I112" s="225"/>
      <c r="J112" s="96"/>
      <c r="K112" s="159"/>
      <c r="L112" s="96"/>
      <c r="M112" s="96"/>
      <c r="N112" s="96"/>
      <c r="O112" s="96"/>
      <c r="P112" s="173"/>
      <c r="Q112" s="96"/>
      <c r="R112" s="278"/>
      <c r="S112" s="96"/>
      <c r="T112" s="278"/>
      <c r="U112" s="96"/>
      <c r="V112" s="96"/>
      <c r="W112" s="96"/>
      <c r="X112" s="96"/>
      <c r="Y112" s="96"/>
      <c r="Z112"/>
      <c r="AA112" s="179"/>
      <c r="AB112" s="96"/>
      <c r="AC112" s="161"/>
      <c r="AD112" s="96"/>
      <c r="AF112" s="96"/>
      <c r="AMD112"/>
    </row>
    <row r="113" spans="1:1018" s="117" customFormat="1" ht="12" customHeight="1">
      <c r="A113" s="123"/>
      <c r="B113" s="123"/>
      <c r="C113" s="123"/>
      <c r="D113" s="123"/>
      <c r="E113" s="123"/>
      <c r="F113" s="123"/>
      <c r="G113" s="112"/>
      <c r="H113" s="112"/>
      <c r="I113" s="277"/>
      <c r="J113" s="112"/>
      <c r="K113" s="161"/>
      <c r="L113" s="112"/>
      <c r="M113" s="112"/>
      <c r="N113" s="112"/>
      <c r="O113" s="112"/>
      <c r="P113" s="190"/>
      <c r="Q113" s="112"/>
      <c r="R113" s="125"/>
      <c r="S113" s="112"/>
      <c r="T113" s="125"/>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7"/>
      <c r="J114" s="112"/>
      <c r="K114" s="161"/>
      <c r="L114" s="112"/>
      <c r="M114" s="112"/>
      <c r="N114" s="112"/>
      <c r="O114" s="112"/>
      <c r="P114" s="190"/>
      <c r="Q114" s="112"/>
      <c r="R114" s="125"/>
      <c r="S114" s="112"/>
      <c r="T114" s="125"/>
      <c r="U114" s="112"/>
      <c r="V114" s="112"/>
      <c r="W114" s="112"/>
      <c r="X114" s="112"/>
      <c r="Y114" s="112"/>
      <c r="Z114"/>
      <c r="AA114" s="180"/>
      <c r="AB114" s="112"/>
      <c r="AC114" s="161"/>
      <c r="AD114" s="112"/>
      <c r="AF114" s="112"/>
      <c r="AMD114"/>
    </row>
    <row r="115" spans="1:1018" s="117" customFormat="1" ht="12" customHeight="1">
      <c r="A115" s="123"/>
      <c r="B115" s="123"/>
      <c r="C115" s="123"/>
      <c r="D115" s="123"/>
      <c r="E115" s="123"/>
      <c r="F115" s="123"/>
      <c r="G115" s="112"/>
      <c r="H115" s="112"/>
      <c r="I115" s="277"/>
      <c r="J115" s="112"/>
      <c r="K115" s="161"/>
      <c r="L115" s="112"/>
      <c r="M115" s="112"/>
      <c r="N115" s="112"/>
      <c r="O115" s="112"/>
      <c r="P115" s="190"/>
      <c r="Q115" s="112"/>
      <c r="R115" s="125"/>
      <c r="S115" s="112"/>
      <c r="T115" s="125"/>
      <c r="U115" s="112"/>
      <c r="V115" s="112"/>
      <c r="W115" s="112"/>
      <c r="X115" s="112"/>
      <c r="Y115" s="112"/>
      <c r="Z115"/>
      <c r="AA115" s="180"/>
      <c r="AB115" s="112"/>
      <c r="AC115" s="161"/>
      <c r="AD115" s="112"/>
      <c r="AF115" s="112"/>
      <c r="AMD115"/>
    </row>
    <row r="116" spans="1:1018" s="117" customFormat="1" ht="12" customHeight="1">
      <c r="A116" s="123"/>
      <c r="B116" s="123"/>
      <c r="C116" s="123"/>
      <c r="D116" s="123"/>
      <c r="E116" s="123"/>
      <c r="F116" s="123"/>
      <c r="G116" s="112"/>
      <c r="H116" s="112"/>
      <c r="I116" s="277"/>
      <c r="J116" s="112"/>
      <c r="K116" s="161"/>
      <c r="L116" s="112"/>
      <c r="M116" s="112"/>
      <c r="N116" s="112"/>
      <c r="O116" s="112"/>
      <c r="P116" s="190"/>
      <c r="Q116" s="112"/>
      <c r="R116" s="125"/>
      <c r="S116" s="112"/>
      <c r="T116" s="125"/>
      <c r="U116" s="112"/>
      <c r="V116" s="112"/>
      <c r="W116" s="112"/>
      <c r="X116" s="112"/>
      <c r="Y116" s="112"/>
      <c r="Z116"/>
      <c r="AA116" s="180"/>
      <c r="AB116" s="112"/>
      <c r="AC116" s="161"/>
      <c r="AD116" s="112"/>
      <c r="AF116" s="112"/>
      <c r="AMD116"/>
    </row>
    <row r="117" spans="1:1018" s="117" customFormat="1" ht="12" customHeight="1">
      <c r="A117" s="123"/>
      <c r="B117" s="123"/>
      <c r="C117" s="123"/>
      <c r="D117" s="123"/>
      <c r="E117" s="123"/>
      <c r="F117" s="123"/>
      <c r="G117" s="112"/>
      <c r="H117" s="112"/>
      <c r="I117" s="277"/>
      <c r="J117" s="112"/>
      <c r="K117" s="161"/>
      <c r="L117" s="112"/>
      <c r="M117" s="112"/>
      <c r="N117" s="112"/>
      <c r="O117" s="112"/>
      <c r="P117" s="190"/>
      <c r="Q117" s="112"/>
      <c r="R117" s="125"/>
      <c r="S117" s="112"/>
      <c r="T117" s="125"/>
      <c r="U117" s="112"/>
      <c r="V117" s="112"/>
      <c r="W117" s="112"/>
      <c r="X117" s="112"/>
      <c r="Y117" s="112"/>
      <c r="Z117"/>
      <c r="AA117" s="180"/>
      <c r="AB117" s="112"/>
      <c r="AC117" s="161"/>
      <c r="AD117" s="112"/>
      <c r="AF117" s="112"/>
      <c r="AMD117"/>
    </row>
    <row r="118" spans="1:1018" ht="12" customHeight="1">
      <c r="A118" s="123"/>
      <c r="B118" s="123"/>
      <c r="C118" s="123"/>
      <c r="D118" s="123"/>
      <c r="E118" s="123"/>
      <c r="F118" s="123"/>
      <c r="G118" s="112"/>
      <c r="H118" s="112"/>
      <c r="I118" s="277"/>
      <c r="J118" s="112"/>
      <c r="K118" s="161"/>
      <c r="L118" s="112"/>
      <c r="M118" s="112"/>
      <c r="N118" s="112"/>
      <c r="O118" s="112"/>
      <c r="P118" s="190"/>
      <c r="Q118" s="112"/>
      <c r="R118" s="125"/>
      <c r="S118" s="112"/>
      <c r="T118" s="125"/>
      <c r="U118" s="112"/>
      <c r="V118" s="112"/>
      <c r="W118" s="112"/>
      <c r="X118" s="112"/>
      <c r="Y118" s="112"/>
      <c r="AA118" s="180"/>
      <c r="AB118" s="112"/>
      <c r="AD118" s="112"/>
      <c r="AF118" s="112"/>
    </row>
    <row r="119" spans="1:1018" ht="12" customHeight="1">
      <c r="A119" s="123"/>
      <c r="B119" s="123"/>
      <c r="C119" s="123"/>
      <c r="D119" s="123"/>
      <c r="E119" s="123"/>
      <c r="F119" s="123"/>
      <c r="G119" s="112"/>
      <c r="H119" s="112"/>
      <c r="I119" s="277"/>
      <c r="J119" s="112"/>
      <c r="K119" s="161"/>
      <c r="L119" s="112"/>
      <c r="M119" s="112"/>
      <c r="N119" s="112"/>
      <c r="O119" s="112"/>
      <c r="P119" s="190"/>
      <c r="Q119" s="112"/>
      <c r="R119" s="125"/>
      <c r="S119" s="112"/>
      <c r="T119" s="125"/>
      <c r="U119" s="112"/>
      <c r="V119" s="112"/>
      <c r="W119" s="112"/>
      <c r="X119" s="112"/>
      <c r="Y119" s="112"/>
      <c r="AA119" s="180"/>
      <c r="AB119" s="112"/>
      <c r="AD119" s="112"/>
      <c r="AF119" s="112"/>
    </row>
    <row r="120" spans="1:1018" ht="12" customHeight="1">
      <c r="A120" s="130"/>
      <c r="B120" s="130"/>
      <c r="C120" s="130"/>
      <c r="D120" s="130"/>
      <c r="E120" s="130"/>
      <c r="F120" s="130"/>
    </row>
    <row r="121" spans="1:1018" ht="12" customHeight="1">
      <c r="A121" s="130"/>
      <c r="B121" s="130"/>
      <c r="C121" s="130"/>
      <c r="D121" s="130"/>
      <c r="E121" s="130"/>
      <c r="F121" s="130"/>
    </row>
    <row r="122" spans="1:1018" ht="12" customHeight="1">
      <c r="A122" s="130"/>
      <c r="B122" s="130"/>
      <c r="C122" s="130"/>
      <c r="D122" s="130"/>
      <c r="E122" s="130"/>
      <c r="F122" s="130"/>
    </row>
    <row r="123" spans="1:1018" ht="12" customHeight="1">
      <c r="A123" s="136"/>
      <c r="B123" s="136"/>
      <c r="C123" s="136"/>
      <c r="D123" s="136"/>
      <c r="E123" s="136"/>
      <c r="F123" s="136"/>
    </row>
    <row r="124" spans="1:1018" ht="12" customHeight="1">
      <c r="A124" s="136"/>
      <c r="B124" s="136"/>
      <c r="C124" s="136"/>
      <c r="D124" s="136"/>
      <c r="E124" s="136"/>
      <c r="F124" s="136"/>
    </row>
  </sheetData>
  <mergeCells count="3">
    <mergeCell ref="L7:O7"/>
    <mergeCell ref="V7:Y7"/>
    <mergeCell ref="AE7:AF7"/>
  </mergeCells>
  <phoneticPr fontId="123" type="noConversion"/>
  <conditionalFormatting sqref="A75:F76 A96:F936">
    <cfRule type="expression" dxfId="558" priority="241">
      <formula>OR($AF75="X",$AD75="X")</formula>
    </cfRule>
    <cfRule type="expression" dxfId="557" priority="242">
      <formula>AND($AF75=1,$AD75=1)</formula>
    </cfRule>
    <cfRule type="expression" dxfId="556" priority="243">
      <formula>$AF75=1</formula>
    </cfRule>
    <cfRule type="expression" dxfId="555" priority="244">
      <formula>$AD75=1</formula>
    </cfRule>
  </conditionalFormatting>
  <conditionalFormatting sqref="F1:F2">
    <cfRule type="dataBar" priority="239">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5:H76 H96:H936">
    <cfRule type="expression" dxfId="554" priority="240">
      <formula>$Q75="X"</formula>
    </cfRule>
  </conditionalFormatting>
  <conditionalFormatting sqref="Q9:Q73 J51">
    <cfRule type="cellIs" dxfId="553" priority="108" operator="equal">
      <formula>"1..1"</formula>
    </cfRule>
    <cfRule type="cellIs" dxfId="552" priority="109" operator="equal">
      <formula>"0..n"</formula>
    </cfRule>
    <cfRule type="cellIs" dxfId="551" priority="110" operator="equal">
      <formula>"0..1"</formula>
    </cfRule>
  </conditionalFormatting>
  <conditionalFormatting sqref="T9:T11">
    <cfRule type="cellIs" dxfId="550" priority="111" operator="equal">
      <formula>"1..1"</formula>
    </cfRule>
    <cfRule type="cellIs" dxfId="549" priority="112" operator="equal">
      <formula>"0..n"</formula>
    </cfRule>
    <cfRule type="cellIs" dxfId="548" priority="113" operator="equal">
      <formula>"0..1"</formula>
    </cfRule>
  </conditionalFormatting>
  <conditionalFormatting sqref="T19:T20">
    <cfRule type="cellIs" dxfId="547" priority="64" operator="equal">
      <formula>"1..1"</formula>
    </cfRule>
    <cfRule type="cellIs" dxfId="546" priority="65" operator="equal">
      <formula>"0..n"</formula>
    </cfRule>
    <cfRule type="cellIs" dxfId="545" priority="6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B143"/>
  <sheetViews>
    <sheetView zoomScale="85" zoomScaleNormal="85" workbookViewId="0">
      <selection activeCell="H70" sqref="H70"/>
    </sheetView>
  </sheetViews>
  <sheetFormatPr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2" style="96" customWidth="1"/>
    <col min="11" max="11" width="17" style="159" bestFit="1"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hidden="1" customWidth="1"/>
    <col min="23" max="23" width="8.125" style="96" customWidth="1"/>
    <col min="24" max="24" width="8.125" style="96"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2375</v>
      </c>
      <c r="C1" s="129" t="s">
        <v>813</v>
      </c>
      <c r="E1" s="150" t="s">
        <v>814</v>
      </c>
      <c r="F1" s="157">
        <f>createCase215[[#Totals],[Métier]] / createCase215[[#Totals],[ID]]</f>
        <v>0</v>
      </c>
      <c r="G1" s="128"/>
      <c r="AC1" s="96"/>
      <c r="AE1"/>
      <c r="AF1" s="128"/>
      <c r="ALZ1"/>
    </row>
    <row r="2" spans="1:1014" ht="13.5" customHeight="1">
      <c r="C2" s="141" t="s">
        <v>818</v>
      </c>
      <c r="D2" s="285"/>
      <c r="E2" s="152" t="s">
        <v>819</v>
      </c>
      <c r="F2" s="157">
        <f>createCase215[[#Totals],[NexSIS]] / createCase215[[#Totals],[ID]]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s="148"/>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694" t="s">
        <v>828</v>
      </c>
      <c r="M7" s="694"/>
      <c r="N7" s="694"/>
      <c r="O7" s="694"/>
      <c r="V7" s="695" t="s">
        <v>829</v>
      </c>
      <c r="W7" s="695"/>
      <c r="X7" s="695"/>
      <c r="AC7" s="694" t="s">
        <v>830</v>
      </c>
      <c r="AD7" s="694"/>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1611</v>
      </c>
      <c r="X8" s="229" t="s">
        <v>2376</v>
      </c>
      <c r="Y8" s="235" t="s">
        <v>853</v>
      </c>
      <c r="Z8" s="235" t="s">
        <v>854</v>
      </c>
      <c r="AA8" s="236" t="s">
        <v>855</v>
      </c>
      <c r="AB8" s="235" t="s">
        <v>856</v>
      </c>
      <c r="AC8" s="235" t="s">
        <v>857</v>
      </c>
      <c r="AD8" s="237" t="s">
        <v>915</v>
      </c>
    </row>
    <row r="9" spans="1:1014" s="224" customFormat="1" ht="13.5" customHeight="1">
      <c r="A9" s="225">
        <v>1</v>
      </c>
      <c r="B9" s="217" t="s">
        <v>2377</v>
      </c>
      <c r="C9" s="219"/>
      <c r="D9" s="678"/>
      <c r="E9" s="678"/>
      <c r="F9" s="678"/>
      <c r="G9" s="678"/>
      <c r="H9" s="714" t="s">
        <v>950</v>
      </c>
      <c r="I9" s="317" t="s">
        <v>1732</v>
      </c>
      <c r="J9" s="714"/>
      <c r="K9" s="715" t="s">
        <v>919</v>
      </c>
      <c r="L9" s="714" t="s">
        <v>953</v>
      </c>
      <c r="M9" s="714" t="s">
        <v>954</v>
      </c>
      <c r="N9" s="714"/>
      <c r="O9" s="714"/>
      <c r="P9" s="716">
        <v>1</v>
      </c>
      <c r="Q9" s="714" t="s">
        <v>820</v>
      </c>
      <c r="R9" s="717"/>
      <c r="S9" s="714" t="s">
        <v>863</v>
      </c>
      <c r="T9" s="717"/>
      <c r="U9" s="714"/>
      <c r="V9" s="718"/>
      <c r="W9" s="718" t="s">
        <v>864</v>
      </c>
      <c r="X9" s="718"/>
      <c r="Y9" s="719"/>
      <c r="Z9" s="714"/>
      <c r="AA9" s="720"/>
      <c r="AB9" s="714"/>
      <c r="AC9" s="717"/>
      <c r="AD9" s="717"/>
    </row>
    <row r="10" spans="1:1014" s="224" customFormat="1" ht="13.5" customHeight="1">
      <c r="A10" s="225">
        <v>2</v>
      </c>
      <c r="B10" s="253" t="s">
        <v>955</v>
      </c>
      <c r="C10" s="219"/>
      <c r="D10" s="221"/>
      <c r="E10" s="221"/>
      <c r="F10" s="221"/>
      <c r="G10" s="221"/>
      <c r="H10" s="714" t="s">
        <v>956</v>
      </c>
      <c r="I10" s="131" t="s">
        <v>957</v>
      </c>
      <c r="J10" s="714"/>
      <c r="K10" s="715" t="s">
        <v>925</v>
      </c>
      <c r="L10" s="714" t="s">
        <v>926</v>
      </c>
      <c r="M10" s="714" t="s">
        <v>927</v>
      </c>
      <c r="N10" s="714"/>
      <c r="O10" s="714"/>
      <c r="P10" s="716"/>
      <c r="Q10" s="714" t="s">
        <v>817</v>
      </c>
      <c r="R10" s="717"/>
      <c r="S10" s="714" t="s">
        <v>863</v>
      </c>
      <c r="T10" s="717"/>
      <c r="U10" s="714"/>
      <c r="V10" s="718"/>
      <c r="W10" s="718" t="s">
        <v>864</v>
      </c>
      <c r="X10" s="718"/>
      <c r="Y10" s="719"/>
      <c r="Z10" s="714"/>
      <c r="AA10" s="720"/>
      <c r="AB10" s="714"/>
      <c r="AC10" s="717"/>
      <c r="AD10" s="717"/>
    </row>
    <row r="11" spans="1:1014" s="224" customFormat="1" ht="13.5" customHeight="1">
      <c r="A11" s="225">
        <v>3</v>
      </c>
      <c r="B11" s="217" t="s">
        <v>2378</v>
      </c>
      <c r="C11" s="219"/>
      <c r="D11" s="241"/>
      <c r="E11" s="241"/>
      <c r="F11" s="241"/>
      <c r="G11" s="241"/>
      <c r="H11" s="714"/>
      <c r="I11" s="715" t="s">
        <v>930</v>
      </c>
      <c r="J11" s="714"/>
      <c r="K11" s="715" t="s">
        <v>931</v>
      </c>
      <c r="L11" s="714"/>
      <c r="M11" s="714"/>
      <c r="N11" s="714"/>
      <c r="O11" s="714"/>
      <c r="P11" s="716"/>
      <c r="Q11" s="714" t="s">
        <v>820</v>
      </c>
      <c r="R11" s="717"/>
      <c r="S11" s="714" t="s">
        <v>879</v>
      </c>
      <c r="T11" s="717"/>
      <c r="U11" s="714"/>
      <c r="V11" s="718"/>
      <c r="W11" s="718" t="s">
        <v>864</v>
      </c>
      <c r="X11" s="718"/>
      <c r="Y11" s="719"/>
      <c r="Z11" s="714"/>
      <c r="AA11" s="720"/>
      <c r="AB11" s="714"/>
      <c r="AC11" s="717"/>
      <c r="AD11" s="717"/>
    </row>
    <row r="12" spans="1:1014" s="224" customFormat="1" ht="13.5" customHeight="1">
      <c r="A12" s="225">
        <v>4</v>
      </c>
      <c r="B12" s="216" t="s">
        <v>1363</v>
      </c>
      <c r="C12" s="530"/>
      <c r="D12" s="529"/>
      <c r="E12" s="529"/>
      <c r="F12" s="529"/>
      <c r="G12" s="529"/>
      <c r="H12" s="735"/>
      <c r="I12" s="736"/>
      <c r="J12" s="735"/>
      <c r="K12" s="715" t="s">
        <v>1366</v>
      </c>
      <c r="L12" s="714"/>
      <c r="M12" s="714"/>
      <c r="N12" s="714"/>
      <c r="O12" s="714"/>
      <c r="P12" s="716"/>
      <c r="Q12" s="714" t="s">
        <v>820</v>
      </c>
      <c r="R12" s="717" t="s">
        <v>864</v>
      </c>
      <c r="S12" s="379" t="s">
        <v>1366</v>
      </c>
      <c r="T12" s="717"/>
      <c r="U12" s="714"/>
      <c r="V12" s="718"/>
      <c r="W12" s="718" t="s">
        <v>864</v>
      </c>
      <c r="X12" s="718"/>
      <c r="Y12" s="719"/>
      <c r="Z12" s="714"/>
      <c r="AA12" s="720"/>
      <c r="AB12" s="714"/>
      <c r="AC12" s="717"/>
      <c r="AD12" s="717"/>
    </row>
    <row r="13" spans="1:1014" s="224" customFormat="1" ht="13.5" customHeight="1">
      <c r="A13" s="225">
        <v>5</v>
      </c>
      <c r="B13" s="217"/>
      <c r="C13" s="217" t="s">
        <v>2379</v>
      </c>
      <c r="D13" s="241"/>
      <c r="E13" s="241"/>
      <c r="F13" s="241"/>
      <c r="G13" s="241"/>
      <c r="H13" s="714"/>
      <c r="I13" s="715"/>
      <c r="J13" s="714"/>
      <c r="K13" s="715" t="s">
        <v>2380</v>
      </c>
      <c r="L13" s="714"/>
      <c r="M13" s="714"/>
      <c r="N13" s="714"/>
      <c r="O13" s="714"/>
      <c r="P13" s="716"/>
      <c r="Q13" s="714" t="s">
        <v>820</v>
      </c>
      <c r="R13" s="717"/>
      <c r="S13" s="721" t="s">
        <v>863</v>
      </c>
      <c r="T13" s="717"/>
      <c r="U13" s="714"/>
      <c r="V13" s="718"/>
      <c r="W13" s="718" t="s">
        <v>864</v>
      </c>
      <c r="X13" s="718"/>
      <c r="Y13" s="719"/>
      <c r="Z13" s="714"/>
      <c r="AA13" s="720"/>
      <c r="AB13" s="714"/>
      <c r="AC13" s="717"/>
      <c r="AD13" s="717"/>
    </row>
    <row r="14" spans="1:1014" s="224" customFormat="1" ht="13.5" customHeight="1">
      <c r="A14" s="225">
        <v>6</v>
      </c>
      <c r="B14" s="217"/>
      <c r="C14" s="219" t="s">
        <v>2381</v>
      </c>
      <c r="D14" s="241"/>
      <c r="E14" s="241"/>
      <c r="F14" s="241"/>
      <c r="G14" s="241"/>
      <c r="H14" s="714"/>
      <c r="I14" s="715"/>
      <c r="J14" s="714"/>
      <c r="K14" s="715" t="s">
        <v>2382</v>
      </c>
      <c r="L14" s="714"/>
      <c r="M14" s="714"/>
      <c r="N14" s="714"/>
      <c r="O14" s="714"/>
      <c r="P14" s="716"/>
      <c r="Q14" s="714" t="s">
        <v>820</v>
      </c>
      <c r="R14" s="717"/>
      <c r="S14" s="721" t="s">
        <v>863</v>
      </c>
      <c r="T14" s="717"/>
      <c r="U14" s="714"/>
      <c r="V14" s="718"/>
      <c r="W14" s="718" t="s">
        <v>864</v>
      </c>
      <c r="X14" s="718"/>
      <c r="Y14" s="719"/>
      <c r="Z14" s="714"/>
      <c r="AA14" s="720"/>
      <c r="AB14" s="714"/>
      <c r="AC14" s="717"/>
      <c r="AD14" s="717"/>
    </row>
    <row r="15" spans="1:1014" s="224" customFormat="1" ht="13.5" customHeight="1">
      <c r="A15" s="225">
        <v>7</v>
      </c>
      <c r="B15" s="217"/>
      <c r="C15" s="219" t="s">
        <v>2383</v>
      </c>
      <c r="D15" s="241"/>
      <c r="E15" s="241"/>
      <c r="F15" s="241"/>
      <c r="G15" s="241"/>
      <c r="H15" s="714"/>
      <c r="I15" s="715"/>
      <c r="J15" s="714"/>
      <c r="K15" s="715" t="s">
        <v>2384</v>
      </c>
      <c r="L15" s="714"/>
      <c r="M15" s="714"/>
      <c r="N15" s="714"/>
      <c r="O15" s="714"/>
      <c r="P15" s="716"/>
      <c r="Q15" s="714" t="s">
        <v>817</v>
      </c>
      <c r="R15" s="717"/>
      <c r="S15" s="721" t="s">
        <v>863</v>
      </c>
      <c r="T15" s="717"/>
      <c r="U15" s="714"/>
      <c r="V15" s="718"/>
      <c r="W15" s="718" t="s">
        <v>864</v>
      </c>
      <c r="X15" s="718"/>
      <c r="Y15" s="719"/>
      <c r="Z15" s="714"/>
      <c r="AA15" s="720"/>
      <c r="AB15" s="714"/>
      <c r="AC15" s="717"/>
      <c r="AD15" s="717"/>
    </row>
    <row r="16" spans="1:1014" s="224" customFormat="1" ht="13.5" customHeight="1">
      <c r="A16" s="225">
        <v>8</v>
      </c>
      <c r="B16" s="217"/>
      <c r="C16" s="219" t="s">
        <v>2385</v>
      </c>
      <c r="D16" s="241"/>
      <c r="E16" s="241"/>
      <c r="F16" s="241"/>
      <c r="G16" s="241"/>
      <c r="H16" s="714"/>
      <c r="I16" s="715"/>
      <c r="J16" s="714"/>
      <c r="K16" s="715" t="s">
        <v>1592</v>
      </c>
      <c r="L16" s="714"/>
      <c r="M16" s="714"/>
      <c r="N16" s="714"/>
      <c r="O16" s="714"/>
      <c r="P16" s="716"/>
      <c r="Q16" s="714" t="s">
        <v>823</v>
      </c>
      <c r="R16" s="717"/>
      <c r="S16" s="721" t="s">
        <v>863</v>
      </c>
      <c r="T16" s="717"/>
      <c r="U16" s="714"/>
      <c r="V16" s="718"/>
      <c r="W16" s="718" t="s">
        <v>864</v>
      </c>
      <c r="X16" s="718"/>
      <c r="Y16" s="719"/>
      <c r="Z16" s="714"/>
      <c r="AA16" s="720"/>
      <c r="AB16" s="714"/>
      <c r="AC16" s="717"/>
      <c r="AD16" s="717"/>
    </row>
    <row r="17" spans="1:30" s="224" customFormat="1" ht="13.5" customHeight="1">
      <c r="A17" s="225">
        <v>9</v>
      </c>
      <c r="B17" s="216" t="s">
        <v>2386</v>
      </c>
      <c r="C17" s="530"/>
      <c r="D17" s="737"/>
      <c r="E17" s="737"/>
      <c r="F17" s="737"/>
      <c r="G17" s="737"/>
      <c r="H17" s="735"/>
      <c r="I17" s="735"/>
      <c r="J17" s="735"/>
      <c r="K17" s="715" t="s">
        <v>1403</v>
      </c>
      <c r="L17" s="714"/>
      <c r="M17" s="714"/>
      <c r="N17" s="714"/>
      <c r="O17" s="714"/>
      <c r="P17" s="716"/>
      <c r="Q17" s="714" t="s">
        <v>820</v>
      </c>
      <c r="R17" s="717" t="s">
        <v>864</v>
      </c>
      <c r="S17" s="379" t="s">
        <v>1403</v>
      </c>
      <c r="T17" s="717"/>
      <c r="U17" s="714"/>
      <c r="V17" s="718"/>
      <c r="W17" s="718" t="s">
        <v>864</v>
      </c>
      <c r="X17" s="718"/>
      <c r="Y17" s="719"/>
      <c r="Z17" s="714"/>
      <c r="AA17" s="720"/>
      <c r="AB17" s="714"/>
      <c r="AC17" s="717"/>
      <c r="AD17" s="717"/>
    </row>
    <row r="18" spans="1:30" s="224" customFormat="1" ht="13.5" customHeight="1">
      <c r="A18" s="225">
        <v>10</v>
      </c>
      <c r="B18" s="217"/>
      <c r="C18" s="219" t="s">
        <v>1404</v>
      </c>
      <c r="D18" s="241"/>
      <c r="E18" s="241"/>
      <c r="F18" s="241"/>
      <c r="G18" s="241"/>
      <c r="H18" s="714" t="s">
        <v>2387</v>
      </c>
      <c r="I18" s="714" t="s">
        <v>2388</v>
      </c>
      <c r="J18" s="714"/>
      <c r="K18" s="715" t="s">
        <v>2389</v>
      </c>
      <c r="L18" s="714"/>
      <c r="M18" s="714"/>
      <c r="N18" s="714"/>
      <c r="O18" s="714"/>
      <c r="P18" s="716"/>
      <c r="Q18" s="714" t="s">
        <v>820</v>
      </c>
      <c r="R18" s="717"/>
      <c r="S18" s="715" t="s">
        <v>863</v>
      </c>
      <c r="T18" s="717"/>
      <c r="U18" s="714"/>
      <c r="V18" s="718"/>
      <c r="W18" s="718" t="s">
        <v>864</v>
      </c>
      <c r="X18" s="718"/>
      <c r="Y18" s="719"/>
      <c r="Z18" s="714"/>
      <c r="AA18" s="720"/>
      <c r="AB18" s="714"/>
      <c r="AC18" s="717"/>
      <c r="AD18" s="717"/>
    </row>
    <row r="19" spans="1:30" s="224" customFormat="1" ht="13.5" customHeight="1">
      <c r="A19" s="225">
        <v>11</v>
      </c>
      <c r="B19" s="217"/>
      <c r="C19" s="219" t="s">
        <v>2390</v>
      </c>
      <c r="D19" s="241"/>
      <c r="E19" s="241"/>
      <c r="F19" s="241"/>
      <c r="G19" s="241"/>
      <c r="H19" s="714"/>
      <c r="I19" s="714" t="s">
        <v>2391</v>
      </c>
      <c r="J19" s="714"/>
      <c r="K19" s="715" t="s">
        <v>2392</v>
      </c>
      <c r="L19" s="714"/>
      <c r="M19" s="714"/>
      <c r="N19" s="714"/>
      <c r="O19" s="714"/>
      <c r="P19" s="716"/>
      <c r="Q19" s="714" t="s">
        <v>817</v>
      </c>
      <c r="R19" s="717"/>
      <c r="S19" s="721" t="s">
        <v>863</v>
      </c>
      <c r="T19" s="717"/>
      <c r="U19" s="714"/>
      <c r="V19" s="718"/>
      <c r="W19" s="718" t="s">
        <v>864</v>
      </c>
      <c r="X19" s="718"/>
      <c r="Y19" s="719"/>
      <c r="Z19" s="714"/>
      <c r="AA19" s="720"/>
      <c r="AB19" s="714"/>
      <c r="AC19" s="717"/>
      <c r="AD19" s="717"/>
    </row>
    <row r="20" spans="1:30" s="224" customFormat="1" ht="13.5" customHeight="1">
      <c r="A20" s="225">
        <v>12</v>
      </c>
      <c r="B20" s="253"/>
      <c r="C20" s="219" t="s">
        <v>1104</v>
      </c>
      <c r="D20" s="221"/>
      <c r="E20" s="221"/>
      <c r="F20" s="221"/>
      <c r="G20" s="221"/>
      <c r="H20" s="714" t="s">
        <v>2393</v>
      </c>
      <c r="I20" s="714" t="s">
        <v>1134</v>
      </c>
      <c r="J20" s="714"/>
      <c r="K20" s="715" t="s">
        <v>1311</v>
      </c>
      <c r="L20" s="714"/>
      <c r="M20" s="714"/>
      <c r="N20" s="714"/>
      <c r="O20" s="714"/>
      <c r="P20" s="716"/>
      <c r="Q20" s="714" t="s">
        <v>817</v>
      </c>
      <c r="R20" s="717"/>
      <c r="S20" s="714" t="s">
        <v>863</v>
      </c>
      <c r="T20" s="717"/>
      <c r="U20" s="714"/>
      <c r="V20" s="718"/>
      <c r="W20" s="718" t="s">
        <v>864</v>
      </c>
      <c r="X20" s="718"/>
      <c r="Y20" s="719"/>
      <c r="Z20" s="714"/>
      <c r="AA20" s="720"/>
      <c r="AB20" s="714"/>
      <c r="AC20" s="717"/>
      <c r="AD20" s="717"/>
    </row>
    <row r="21" spans="1:30" s="224" customFormat="1" ht="13.5" customHeight="1">
      <c r="A21" s="225">
        <v>13</v>
      </c>
      <c r="B21" s="217"/>
      <c r="C21" s="219" t="s">
        <v>1312</v>
      </c>
      <c r="D21" s="241"/>
      <c r="E21" s="241"/>
      <c r="F21" s="241"/>
      <c r="G21" s="241"/>
      <c r="H21" s="714" t="s">
        <v>2394</v>
      </c>
      <c r="I21" s="715" t="s">
        <v>1314</v>
      </c>
      <c r="J21" s="715"/>
      <c r="K21" s="715" t="s">
        <v>1315</v>
      </c>
      <c r="L21" s="714"/>
      <c r="M21" s="714"/>
      <c r="N21" s="714"/>
      <c r="O21" s="714"/>
      <c r="P21" s="716"/>
      <c r="Q21" s="714" t="s">
        <v>817</v>
      </c>
      <c r="R21" s="717"/>
      <c r="S21" s="714" t="s">
        <v>863</v>
      </c>
      <c r="T21" s="717"/>
      <c r="U21" s="714"/>
      <c r="V21" s="718"/>
      <c r="W21" s="718" t="s">
        <v>864</v>
      </c>
      <c r="X21" s="718"/>
      <c r="Y21" s="719"/>
      <c r="Z21" s="714"/>
      <c r="AA21" s="720"/>
      <c r="AB21" s="714"/>
      <c r="AC21" s="717"/>
      <c r="AD21" s="717"/>
    </row>
    <row r="22" spans="1:30" s="224" customFormat="1" ht="13.5" customHeight="1">
      <c r="A22" s="225">
        <v>14</v>
      </c>
      <c r="B22" s="217"/>
      <c r="C22" s="219" t="s">
        <v>1479</v>
      </c>
      <c r="D22" s="241"/>
      <c r="E22" s="241"/>
      <c r="F22" s="241"/>
      <c r="G22" s="241"/>
      <c r="H22" s="714" t="s">
        <v>1480</v>
      </c>
      <c r="I22" s="714"/>
      <c r="J22" s="714"/>
      <c r="K22" s="715" t="s">
        <v>1481</v>
      </c>
      <c r="L22" s="714"/>
      <c r="M22" s="714"/>
      <c r="N22" s="714"/>
      <c r="O22" s="714"/>
      <c r="P22" s="716"/>
      <c r="Q22" s="714" t="s">
        <v>817</v>
      </c>
      <c r="R22" s="717"/>
      <c r="S22" s="714" t="s">
        <v>1482</v>
      </c>
      <c r="T22" s="717"/>
      <c r="U22" s="714"/>
      <c r="V22" s="718"/>
      <c r="W22" s="718" t="s">
        <v>864</v>
      </c>
      <c r="X22" s="718"/>
      <c r="Y22" s="719"/>
      <c r="Z22" s="714"/>
      <c r="AA22" s="720"/>
      <c r="AB22" s="714"/>
      <c r="AC22" s="717"/>
      <c r="AD22" s="717"/>
    </row>
    <row r="23" spans="1:30" s="224" customFormat="1" ht="13.5" customHeight="1">
      <c r="A23" s="225">
        <v>15</v>
      </c>
      <c r="B23" s="217"/>
      <c r="C23" s="219" t="s">
        <v>2395</v>
      </c>
      <c r="D23" s="241"/>
      <c r="E23" s="241"/>
      <c r="F23" s="241"/>
      <c r="G23" s="241"/>
      <c r="H23" s="714" t="s">
        <v>2396</v>
      </c>
      <c r="I23" s="715">
        <v>69</v>
      </c>
      <c r="J23" s="715"/>
      <c r="K23" s="715" t="s">
        <v>1504</v>
      </c>
      <c r="L23" s="714"/>
      <c r="M23" s="714"/>
      <c r="N23" s="714"/>
      <c r="O23" s="714"/>
      <c r="P23" s="716"/>
      <c r="Q23" s="714" t="s">
        <v>817</v>
      </c>
      <c r="R23" s="717"/>
      <c r="S23" s="721" t="s">
        <v>863</v>
      </c>
      <c r="T23" s="717"/>
      <c r="U23" s="714"/>
      <c r="V23" s="718"/>
      <c r="W23" s="718" t="s">
        <v>864</v>
      </c>
      <c r="X23" s="718"/>
      <c r="Y23" s="719"/>
      <c r="Z23" s="714"/>
      <c r="AA23" s="720"/>
      <c r="AB23" s="714"/>
      <c r="AC23" s="717"/>
      <c r="AD23" s="717"/>
    </row>
    <row r="24" spans="1:30" s="224" customFormat="1" ht="13.5" customHeight="1">
      <c r="A24" s="225">
        <v>16</v>
      </c>
      <c r="B24" s="217"/>
      <c r="C24" s="219" t="s">
        <v>2285</v>
      </c>
      <c r="D24" s="241"/>
      <c r="E24" s="241"/>
      <c r="F24" s="241"/>
      <c r="G24" s="241"/>
      <c r="H24" s="714"/>
      <c r="I24" s="715" t="s">
        <v>698</v>
      </c>
      <c r="J24" s="714"/>
      <c r="K24" s="715" t="s">
        <v>1485</v>
      </c>
      <c r="L24" s="714"/>
      <c r="M24" s="714"/>
      <c r="N24" s="714"/>
      <c r="O24" s="714"/>
      <c r="P24" s="716"/>
      <c r="Q24" s="714" t="s">
        <v>817</v>
      </c>
      <c r="R24" s="717"/>
      <c r="S24" s="721" t="s">
        <v>863</v>
      </c>
      <c r="T24" s="717"/>
      <c r="U24" s="714"/>
      <c r="V24" s="718"/>
      <c r="W24" s="718" t="s">
        <v>864</v>
      </c>
      <c r="X24" s="718"/>
      <c r="Y24" s="719"/>
      <c r="Z24" s="714"/>
      <c r="AA24" s="720"/>
      <c r="AB24" s="714"/>
      <c r="AC24" s="717"/>
      <c r="AD24" s="717"/>
    </row>
    <row r="25" spans="1:30" s="224" customFormat="1" ht="13.5" customHeight="1">
      <c r="A25" s="225">
        <v>17</v>
      </c>
      <c r="B25" s="217"/>
      <c r="C25" s="219" t="s">
        <v>2397</v>
      </c>
      <c r="D25" s="241"/>
      <c r="E25" s="241"/>
      <c r="F25" s="241"/>
      <c r="G25" s="241"/>
      <c r="H25" s="714" t="s">
        <v>2398</v>
      </c>
      <c r="I25" s="715" t="s">
        <v>1282</v>
      </c>
      <c r="J25" s="714"/>
      <c r="K25" s="715" t="s">
        <v>2399</v>
      </c>
      <c r="L25" s="714"/>
      <c r="M25" s="714"/>
      <c r="N25" s="714"/>
      <c r="O25" s="714"/>
      <c r="P25" s="716"/>
      <c r="Q25" s="714" t="s">
        <v>817</v>
      </c>
      <c r="R25" s="717"/>
      <c r="S25" s="721" t="s">
        <v>863</v>
      </c>
      <c r="T25" s="717"/>
      <c r="U25" s="714"/>
      <c r="V25" s="718" t="s">
        <v>864</v>
      </c>
      <c r="W25" s="718"/>
      <c r="X25" s="718"/>
      <c r="Y25" s="719"/>
      <c r="Z25" s="714"/>
      <c r="AA25" s="720"/>
      <c r="AB25" s="714"/>
      <c r="AC25" s="717"/>
      <c r="AD25" s="717"/>
    </row>
    <row r="26" spans="1:30" s="224" customFormat="1" ht="13.5" customHeight="1">
      <c r="A26" s="225">
        <v>18</v>
      </c>
      <c r="B26" s="216"/>
      <c r="C26" s="240" t="s">
        <v>2291</v>
      </c>
      <c r="D26" s="529"/>
      <c r="E26" s="529"/>
      <c r="F26" s="529"/>
      <c r="G26" s="529"/>
      <c r="H26" s="735"/>
      <c r="I26" s="736"/>
      <c r="J26" s="735"/>
      <c r="K26" s="715" t="s">
        <v>2292</v>
      </c>
      <c r="L26" s="714"/>
      <c r="M26" s="714"/>
      <c r="N26" s="714"/>
      <c r="O26" s="714"/>
      <c r="P26" s="716"/>
      <c r="Q26" s="714" t="s">
        <v>817</v>
      </c>
      <c r="R26" s="717" t="s">
        <v>864</v>
      </c>
      <c r="S26" s="379" t="s">
        <v>2292</v>
      </c>
      <c r="T26" s="717"/>
      <c r="U26" s="714"/>
      <c r="V26" s="718"/>
      <c r="W26" s="718" t="s">
        <v>864</v>
      </c>
      <c r="X26" s="718"/>
      <c r="Y26" s="719"/>
      <c r="Z26" s="714"/>
      <c r="AA26" s="720"/>
      <c r="AB26" s="714"/>
      <c r="AC26" s="717"/>
      <c r="AD26" s="717"/>
    </row>
    <row r="27" spans="1:30" s="224" customFormat="1" ht="13.5" customHeight="1">
      <c r="A27" s="225">
        <v>19</v>
      </c>
      <c r="B27" s="216"/>
      <c r="C27" s="678"/>
      <c r="D27" s="241" t="s">
        <v>2293</v>
      </c>
      <c r="E27" s="241"/>
      <c r="F27" s="241"/>
      <c r="G27" s="241"/>
      <c r="H27" s="714" t="s">
        <v>2294</v>
      </c>
      <c r="I27" s="715">
        <v>92300</v>
      </c>
      <c r="J27" s="714"/>
      <c r="K27" s="715" t="s">
        <v>1107</v>
      </c>
      <c r="L27" s="714"/>
      <c r="M27" s="714"/>
      <c r="N27" s="714"/>
      <c r="O27" s="714"/>
      <c r="P27" s="716"/>
      <c r="Q27" s="714" t="s">
        <v>820</v>
      </c>
      <c r="R27" s="717"/>
      <c r="S27" s="714" t="s">
        <v>863</v>
      </c>
      <c r="T27" s="717"/>
      <c r="U27" s="714"/>
      <c r="V27" s="718"/>
      <c r="W27" s="718" t="s">
        <v>864</v>
      </c>
      <c r="X27" s="718"/>
      <c r="Y27" s="719"/>
      <c r="Z27" s="714"/>
      <c r="AA27" s="720"/>
      <c r="AB27" s="714"/>
      <c r="AC27" s="717"/>
      <c r="AD27" s="717"/>
    </row>
    <row r="28" spans="1:30" s="224" customFormat="1" ht="13.5" customHeight="1">
      <c r="A28" s="225">
        <v>20</v>
      </c>
      <c r="B28" s="216"/>
      <c r="C28" s="678"/>
      <c r="D28" s="241" t="s">
        <v>388</v>
      </c>
      <c r="E28" s="241"/>
      <c r="F28" s="241"/>
      <c r="G28" s="241"/>
      <c r="H28" s="714" t="s">
        <v>1108</v>
      </c>
      <c r="I28" s="715" t="s">
        <v>2296</v>
      </c>
      <c r="J28" s="714"/>
      <c r="K28" s="715" t="s">
        <v>2295</v>
      </c>
      <c r="L28" s="714"/>
      <c r="M28" s="714"/>
      <c r="N28" s="714"/>
      <c r="O28" s="714"/>
      <c r="P28" s="716"/>
      <c r="Q28" s="714" t="s">
        <v>820</v>
      </c>
      <c r="R28" s="717"/>
      <c r="S28" s="714" t="s">
        <v>863</v>
      </c>
      <c r="T28" s="717"/>
      <c r="U28" s="714"/>
      <c r="V28" s="718"/>
      <c r="W28" s="718" t="s">
        <v>864</v>
      </c>
      <c r="X28" s="718"/>
      <c r="Y28" s="719"/>
      <c r="Z28" s="714"/>
      <c r="AA28" s="720"/>
      <c r="AB28" s="714"/>
      <c r="AC28" s="717"/>
      <c r="AD28" s="717"/>
    </row>
    <row r="29" spans="1:30" ht="15" customHeight="1">
      <c r="A29" s="225">
        <v>21</v>
      </c>
      <c r="B29" s="242" t="s">
        <v>2299</v>
      </c>
      <c r="C29" s="529"/>
      <c r="D29" s="529"/>
      <c r="E29" s="529"/>
      <c r="F29" s="529"/>
      <c r="G29" s="529"/>
      <c r="H29" s="735"/>
      <c r="I29" s="736"/>
      <c r="J29" s="736"/>
      <c r="K29" s="715" t="s">
        <v>1054</v>
      </c>
      <c r="L29" s="714"/>
      <c r="M29" s="714"/>
      <c r="N29" s="714"/>
      <c r="O29" s="714"/>
      <c r="P29" s="716"/>
      <c r="Q29" s="714" t="s">
        <v>820</v>
      </c>
      <c r="R29" s="717" t="s">
        <v>864</v>
      </c>
      <c r="S29" s="243" t="s">
        <v>1054</v>
      </c>
      <c r="T29" s="717"/>
      <c r="U29" s="714"/>
      <c r="V29" s="718"/>
      <c r="W29" s="718" t="s">
        <v>864</v>
      </c>
      <c r="X29" s="718"/>
      <c r="Y29" s="719"/>
      <c r="Z29" s="714"/>
      <c r="AA29" s="720"/>
      <c r="AB29" s="714"/>
      <c r="AC29" s="717"/>
      <c r="AD29" s="717"/>
    </row>
    <row r="30" spans="1:30" ht="15" customHeight="1">
      <c r="A30" s="225">
        <v>22</v>
      </c>
      <c r="B30" s="217"/>
      <c r="C30" s="216" t="s">
        <v>1081</v>
      </c>
      <c r="D30" s="529"/>
      <c r="E30" s="529"/>
      <c r="F30" s="529"/>
      <c r="G30" s="529"/>
      <c r="H30" s="735"/>
      <c r="I30" s="736"/>
      <c r="J30" s="735"/>
      <c r="K30" s="715" t="s">
        <v>1082</v>
      </c>
      <c r="L30" s="714"/>
      <c r="M30" s="714"/>
      <c r="N30" s="714"/>
      <c r="O30" s="714"/>
      <c r="P30" s="716"/>
      <c r="Q30" s="714" t="s">
        <v>817</v>
      </c>
      <c r="R30" s="717" t="s">
        <v>864</v>
      </c>
      <c r="S30" s="243" t="s">
        <v>1082</v>
      </c>
      <c r="T30" s="717"/>
      <c r="U30" s="714"/>
      <c r="V30" s="718"/>
      <c r="W30" s="718" t="s">
        <v>864</v>
      </c>
      <c r="X30" s="718"/>
      <c r="Y30" s="719"/>
      <c r="Z30" s="714"/>
      <c r="AA30" s="720"/>
      <c r="AB30" s="714"/>
      <c r="AC30" s="717"/>
      <c r="AD30" s="717"/>
    </row>
    <row r="31" spans="1:30" ht="15" customHeight="1">
      <c r="A31" s="225">
        <v>23</v>
      </c>
      <c r="B31" s="241"/>
      <c r="C31" s="217"/>
      <c r="D31" s="678" t="s">
        <v>1083</v>
      </c>
      <c r="E31" s="253"/>
      <c r="F31" s="241"/>
      <c r="G31" s="714"/>
      <c r="H31" s="714" t="s">
        <v>1084</v>
      </c>
      <c r="I31" s="715" t="s">
        <v>1085</v>
      </c>
      <c r="J31" s="714" t="s">
        <v>1086</v>
      </c>
      <c r="K31" s="715" t="s">
        <v>1087</v>
      </c>
      <c r="L31" s="714"/>
      <c r="M31" s="714"/>
      <c r="N31" s="714"/>
      <c r="O31" s="714"/>
      <c r="P31" s="716"/>
      <c r="Q31" s="714" t="s">
        <v>820</v>
      </c>
      <c r="R31" s="717"/>
      <c r="S31" s="714" t="s">
        <v>863</v>
      </c>
      <c r="T31" s="717"/>
      <c r="U31" s="714" t="s">
        <v>1088</v>
      </c>
      <c r="V31" s="718"/>
      <c r="W31" s="718" t="s">
        <v>864</v>
      </c>
      <c r="X31" s="718"/>
      <c r="Y31" s="719"/>
      <c r="Z31" s="714"/>
      <c r="AA31" s="720"/>
      <c r="AB31" s="714"/>
      <c r="AC31" s="717"/>
      <c r="AD31" s="717"/>
    </row>
    <row r="32" spans="1:30" ht="15" customHeight="1">
      <c r="A32" s="225">
        <v>24</v>
      </c>
      <c r="B32" s="241"/>
      <c r="C32" s="222"/>
      <c r="D32" s="678" t="s">
        <v>1089</v>
      </c>
      <c r="E32" s="221"/>
      <c r="F32" s="241"/>
      <c r="G32" s="714"/>
      <c r="H32" s="714" t="s">
        <v>1090</v>
      </c>
      <c r="I32" s="715" t="s">
        <v>1091</v>
      </c>
      <c r="J32" s="714"/>
      <c r="K32" s="715" t="s">
        <v>1092</v>
      </c>
      <c r="L32" s="714" t="s">
        <v>1093</v>
      </c>
      <c r="M32" s="714" t="s">
        <v>254</v>
      </c>
      <c r="N32" s="714"/>
      <c r="O32" s="714"/>
      <c r="P32" s="716"/>
      <c r="Q32" s="714" t="s">
        <v>817</v>
      </c>
      <c r="R32" s="717"/>
      <c r="S32" s="714" t="s">
        <v>863</v>
      </c>
      <c r="T32" s="717"/>
      <c r="U32" s="714"/>
      <c r="V32" s="718"/>
      <c r="W32" s="718" t="s">
        <v>864</v>
      </c>
      <c r="X32" s="718"/>
      <c r="Y32" s="719"/>
      <c r="Z32" s="714"/>
      <c r="AA32" s="720"/>
      <c r="AB32" s="714"/>
      <c r="AC32" s="717"/>
      <c r="AD32" s="717"/>
    </row>
    <row r="33" spans="1:30" ht="15" customHeight="1">
      <c r="A33" s="225">
        <v>25</v>
      </c>
      <c r="B33" s="217"/>
      <c r="C33" s="222"/>
      <c r="D33" s="240" t="s">
        <v>1094</v>
      </c>
      <c r="E33" s="531"/>
      <c r="F33" s="529"/>
      <c r="G33" s="529"/>
      <c r="H33" s="735"/>
      <c r="I33" s="736"/>
      <c r="J33" s="735"/>
      <c r="K33" s="715" t="s">
        <v>1095</v>
      </c>
      <c r="L33" s="714" t="s">
        <v>1096</v>
      </c>
      <c r="M33" s="714" t="s">
        <v>1097</v>
      </c>
      <c r="N33" s="714"/>
      <c r="O33" s="714"/>
      <c r="P33" s="716"/>
      <c r="Q33" s="714" t="s">
        <v>817</v>
      </c>
      <c r="R33" s="717" t="s">
        <v>864</v>
      </c>
      <c r="S33" s="243" t="s">
        <v>1095</v>
      </c>
      <c r="T33" s="717"/>
      <c r="U33" s="714"/>
      <c r="V33" s="718"/>
      <c r="W33" s="718" t="s">
        <v>864</v>
      </c>
      <c r="X33" s="718"/>
      <c r="Y33" s="719"/>
      <c r="Z33" s="714"/>
      <c r="AA33" s="720"/>
      <c r="AB33" s="714"/>
      <c r="AC33" s="717"/>
      <c r="AD33" s="717"/>
    </row>
    <row r="34" spans="1:30" ht="15" customHeight="1">
      <c r="A34" s="225">
        <v>26</v>
      </c>
      <c r="B34" s="217"/>
      <c r="C34" s="222"/>
      <c r="D34" s="241"/>
      <c r="E34" s="241" t="s">
        <v>1098</v>
      </c>
      <c r="F34" s="241"/>
      <c r="G34" s="241"/>
      <c r="H34" s="714" t="s">
        <v>1099</v>
      </c>
      <c r="I34" s="715" t="s">
        <v>1100</v>
      </c>
      <c r="J34" s="714"/>
      <c r="K34" s="715" t="s">
        <v>1087</v>
      </c>
      <c r="L34" s="714"/>
      <c r="M34" s="714"/>
      <c r="N34" s="714"/>
      <c r="O34" s="714"/>
      <c r="P34" s="716"/>
      <c r="Q34" s="714" t="s">
        <v>820</v>
      </c>
      <c r="R34" s="717"/>
      <c r="S34" s="714" t="s">
        <v>863</v>
      </c>
      <c r="T34" s="717"/>
      <c r="U34" s="714" t="s">
        <v>1101</v>
      </c>
      <c r="V34" s="718"/>
      <c r="W34" s="718" t="s">
        <v>864</v>
      </c>
      <c r="X34" s="718"/>
      <c r="Y34" s="719"/>
      <c r="Z34" s="714"/>
      <c r="AA34" s="720"/>
      <c r="AB34" s="714"/>
      <c r="AC34" s="717"/>
      <c r="AD34" s="717"/>
    </row>
    <row r="35" spans="1:30" ht="15" customHeight="1">
      <c r="A35" s="225">
        <v>27</v>
      </c>
      <c r="B35" s="217"/>
      <c r="C35" s="217"/>
      <c r="D35" s="241"/>
      <c r="E35" s="241" t="s">
        <v>1102</v>
      </c>
      <c r="F35" s="241"/>
      <c r="G35" s="241"/>
      <c r="H35" s="714"/>
      <c r="I35" s="715" t="s">
        <v>1103</v>
      </c>
      <c r="J35" s="714"/>
      <c r="K35" s="715" t="s">
        <v>970</v>
      </c>
      <c r="L35" s="714"/>
      <c r="M35" s="714"/>
      <c r="N35" s="714"/>
      <c r="O35" s="714"/>
      <c r="P35" s="716"/>
      <c r="Q35" s="714" t="s">
        <v>817</v>
      </c>
      <c r="R35" s="717"/>
      <c r="S35" s="714" t="s">
        <v>863</v>
      </c>
      <c r="T35" s="717"/>
      <c r="U35" s="714"/>
      <c r="V35" s="718"/>
      <c r="W35" s="718" t="s">
        <v>864</v>
      </c>
      <c r="X35" s="718"/>
      <c r="Y35" s="719"/>
      <c r="Z35" s="714"/>
      <c r="AA35" s="720"/>
      <c r="AB35" s="714"/>
      <c r="AC35" s="717"/>
      <c r="AD35" s="717"/>
    </row>
    <row r="36" spans="1:30" ht="15" customHeight="1">
      <c r="A36" s="225">
        <v>28</v>
      </c>
      <c r="B36" s="217"/>
      <c r="C36" s="217"/>
      <c r="D36" s="241"/>
      <c r="E36" s="241" t="s">
        <v>1104</v>
      </c>
      <c r="F36" s="241"/>
      <c r="G36" s="241"/>
      <c r="H36" s="714"/>
      <c r="I36" s="715" t="s">
        <v>1105</v>
      </c>
      <c r="J36" s="714"/>
      <c r="K36" s="715" t="s">
        <v>871</v>
      </c>
      <c r="L36" s="714"/>
      <c r="M36" s="714"/>
      <c r="N36" s="714"/>
      <c r="O36" s="714"/>
      <c r="P36" s="716"/>
      <c r="Q36" s="714" t="s">
        <v>817</v>
      </c>
      <c r="R36" s="717"/>
      <c r="S36" s="714" t="s">
        <v>863</v>
      </c>
      <c r="T36" s="717"/>
      <c r="U36" s="714"/>
      <c r="V36" s="718"/>
      <c r="W36" s="718" t="s">
        <v>864</v>
      </c>
      <c r="X36" s="718"/>
      <c r="Y36" s="719"/>
      <c r="Z36" s="714"/>
      <c r="AA36" s="720"/>
      <c r="AB36" s="714"/>
      <c r="AC36" s="717"/>
      <c r="AD36" s="717"/>
    </row>
    <row r="37" spans="1:30" ht="15" customHeight="1">
      <c r="A37" s="225">
        <v>29</v>
      </c>
      <c r="B37" s="217"/>
      <c r="C37" s="216" t="s">
        <v>1106</v>
      </c>
      <c r="D37" s="531"/>
      <c r="E37" s="531"/>
      <c r="F37" s="529"/>
      <c r="G37" s="529"/>
      <c r="H37" s="735"/>
      <c r="I37" s="736"/>
      <c r="J37" s="735"/>
      <c r="K37" s="715" t="s">
        <v>1107</v>
      </c>
      <c r="L37" s="714"/>
      <c r="M37" s="714"/>
      <c r="N37" s="714"/>
      <c r="O37" s="714"/>
      <c r="P37" s="716"/>
      <c r="Q37" s="714" t="s">
        <v>817</v>
      </c>
      <c r="R37" s="717" t="s">
        <v>864</v>
      </c>
      <c r="S37" s="243" t="s">
        <v>1107</v>
      </c>
      <c r="T37" s="717"/>
      <c r="U37" s="714"/>
      <c r="V37" s="718"/>
      <c r="W37" s="718" t="s">
        <v>864</v>
      </c>
      <c r="X37" s="718"/>
      <c r="Y37" s="719"/>
      <c r="Z37" s="714"/>
      <c r="AA37" s="720"/>
      <c r="AB37" s="714"/>
      <c r="AC37" s="717"/>
      <c r="AD37" s="717"/>
    </row>
    <row r="38" spans="1:30" ht="15" customHeight="1">
      <c r="A38" s="225">
        <v>30</v>
      </c>
      <c r="B38" s="217"/>
      <c r="C38" s="217"/>
      <c r="D38" s="241" t="s">
        <v>388</v>
      </c>
      <c r="E38" s="217"/>
      <c r="F38" s="241"/>
      <c r="G38" s="241"/>
      <c r="H38" s="714" t="s">
        <v>1108</v>
      </c>
      <c r="I38" s="715" t="s">
        <v>1109</v>
      </c>
      <c r="J38" s="714" t="s">
        <v>1107</v>
      </c>
      <c r="K38" s="715" t="s">
        <v>871</v>
      </c>
      <c r="L38" s="714" t="s">
        <v>1110</v>
      </c>
      <c r="M38" s="714" t="s">
        <v>388</v>
      </c>
      <c r="N38" s="714"/>
      <c r="O38" s="714"/>
      <c r="P38" s="252"/>
      <c r="Q38" s="714" t="s">
        <v>817</v>
      </c>
      <c r="R38" s="717"/>
      <c r="S38" s="714" t="s">
        <v>863</v>
      </c>
      <c r="T38" s="717"/>
      <c r="U38" s="714"/>
      <c r="V38" s="718"/>
      <c r="W38" s="718" t="s">
        <v>864</v>
      </c>
      <c r="X38" s="718"/>
      <c r="Y38" s="719"/>
      <c r="Z38" s="714"/>
      <c r="AA38" s="720"/>
      <c r="AB38" s="714"/>
      <c r="AC38" s="717"/>
      <c r="AD38" s="717"/>
    </row>
    <row r="39" spans="1:30" ht="15" customHeight="1">
      <c r="A39" s="225">
        <v>31</v>
      </c>
      <c r="B39" s="217"/>
      <c r="C39" s="217"/>
      <c r="D39" s="241" t="s">
        <v>392</v>
      </c>
      <c r="E39" s="217"/>
      <c r="F39" s="241"/>
      <c r="G39" s="241"/>
      <c r="H39" s="714" t="s">
        <v>1112</v>
      </c>
      <c r="I39" s="715">
        <v>59350</v>
      </c>
      <c r="J39" s="714" t="s">
        <v>1113</v>
      </c>
      <c r="K39" s="715" t="s">
        <v>1114</v>
      </c>
      <c r="L39" s="714" t="s">
        <v>1115</v>
      </c>
      <c r="M39" s="714" t="s">
        <v>392</v>
      </c>
      <c r="N39" s="714"/>
      <c r="O39" s="714"/>
      <c r="P39" s="252"/>
      <c r="Q39" s="714" t="s">
        <v>817</v>
      </c>
      <c r="R39" s="717"/>
      <c r="S39" s="714" t="s">
        <v>863</v>
      </c>
      <c r="T39" s="717"/>
      <c r="U39" s="714" t="s">
        <v>1116</v>
      </c>
      <c r="V39" s="718"/>
      <c r="W39" s="718" t="s">
        <v>864</v>
      </c>
      <c r="X39" s="718"/>
      <c r="Y39" s="719"/>
      <c r="Z39" s="714"/>
      <c r="AA39" s="720"/>
      <c r="AB39" s="714"/>
      <c r="AC39" s="717"/>
      <c r="AD39" s="717"/>
    </row>
    <row r="40" spans="1:30" ht="15" customHeight="1">
      <c r="A40" s="225">
        <v>32</v>
      </c>
      <c r="B40" s="217"/>
      <c r="C40" s="217"/>
      <c r="D40" s="241" t="s">
        <v>1117</v>
      </c>
      <c r="E40" s="241"/>
      <c r="F40" s="241"/>
      <c r="G40" s="241"/>
      <c r="H40" s="263" t="s">
        <v>1118</v>
      </c>
      <c r="I40" s="715" t="s">
        <v>1119</v>
      </c>
      <c r="J40" s="714"/>
      <c r="K40" s="715" t="s">
        <v>1120</v>
      </c>
      <c r="L40" s="714"/>
      <c r="M40" s="714"/>
      <c r="N40" s="714"/>
      <c r="O40" s="714"/>
      <c r="P40" s="716"/>
      <c r="Q40" s="714" t="s">
        <v>817</v>
      </c>
      <c r="R40" s="717"/>
      <c r="S40" s="714" t="s">
        <v>863</v>
      </c>
      <c r="T40" s="282"/>
      <c r="U40" s="714"/>
      <c r="V40" s="714"/>
      <c r="W40" s="718" t="s">
        <v>864</v>
      </c>
      <c r="X40" s="714"/>
      <c r="Y40" s="719"/>
      <c r="Z40" s="714"/>
      <c r="AA40" s="720"/>
      <c r="AB40" s="714"/>
      <c r="AC40" s="717"/>
      <c r="AD40" s="717"/>
    </row>
    <row r="41" spans="1:30" ht="15" customHeight="1">
      <c r="A41" s="225">
        <v>33</v>
      </c>
      <c r="B41" s="216" t="s">
        <v>2400</v>
      </c>
      <c r="C41" s="530"/>
      <c r="D41" s="529"/>
      <c r="E41" s="529"/>
      <c r="F41" s="529"/>
      <c r="G41" s="529"/>
      <c r="H41" s="735"/>
      <c r="I41" s="736"/>
      <c r="J41" s="735"/>
      <c r="K41" s="715" t="s">
        <v>2401</v>
      </c>
      <c r="L41" s="714"/>
      <c r="M41" s="714"/>
      <c r="N41" s="714"/>
      <c r="O41" s="714"/>
      <c r="P41" s="716"/>
      <c r="Q41" s="714" t="s">
        <v>820</v>
      </c>
      <c r="R41" s="717" t="s">
        <v>864</v>
      </c>
      <c r="S41" s="379" t="s">
        <v>2401</v>
      </c>
      <c r="T41" s="717"/>
      <c r="U41" s="714"/>
      <c r="V41" s="718" t="s">
        <v>2402</v>
      </c>
      <c r="W41" s="718" t="s">
        <v>864</v>
      </c>
      <c r="X41" s="718"/>
      <c r="Y41" s="719"/>
      <c r="Z41" s="714"/>
      <c r="AA41" s="720"/>
      <c r="AB41" s="714"/>
      <c r="AC41" s="717"/>
      <c r="AD41" s="717"/>
    </row>
    <row r="42" spans="1:30" ht="15" customHeight="1">
      <c r="A42" s="225">
        <v>34</v>
      </c>
      <c r="B42" s="217"/>
      <c r="C42" s="262" t="s">
        <v>2403</v>
      </c>
      <c r="D42" s="530"/>
      <c r="E42" s="529"/>
      <c r="F42" s="529"/>
      <c r="G42" s="529"/>
      <c r="H42" s="735"/>
      <c r="I42" s="736"/>
      <c r="J42" s="735"/>
      <c r="K42" s="715" t="s">
        <v>2404</v>
      </c>
      <c r="L42" s="714"/>
      <c r="M42" s="714"/>
      <c r="N42" s="714"/>
      <c r="O42" s="714"/>
      <c r="P42" s="716"/>
      <c r="Q42" s="714" t="s">
        <v>817</v>
      </c>
      <c r="R42" s="717" t="s">
        <v>864</v>
      </c>
      <c r="S42" s="379" t="s">
        <v>2405</v>
      </c>
      <c r="T42" s="717"/>
      <c r="U42" s="714"/>
      <c r="V42" s="718" t="s">
        <v>2402</v>
      </c>
      <c r="W42" s="718" t="s">
        <v>864</v>
      </c>
      <c r="X42" s="718"/>
      <c r="Y42" s="719"/>
      <c r="Z42" s="714"/>
      <c r="AA42" s="720"/>
      <c r="AB42" s="714"/>
      <c r="AC42" s="717"/>
      <c r="AD42" s="717"/>
    </row>
    <row r="43" spans="1:30" ht="15" customHeight="1">
      <c r="A43" s="225">
        <v>35</v>
      </c>
      <c r="B43" s="217"/>
      <c r="C43" s="219"/>
      <c r="D43" s="219" t="s">
        <v>1534</v>
      </c>
      <c r="E43" s="241"/>
      <c r="F43" s="241"/>
      <c r="G43" s="241"/>
      <c r="H43" s="714" t="s">
        <v>2406</v>
      </c>
      <c r="I43" s="715"/>
      <c r="J43" s="714"/>
      <c r="K43" s="715" t="s">
        <v>1536</v>
      </c>
      <c r="L43" s="714"/>
      <c r="M43" s="714"/>
      <c r="N43" s="714"/>
      <c r="O43" s="714"/>
      <c r="P43" s="716"/>
      <c r="Q43" s="714" t="s">
        <v>817</v>
      </c>
      <c r="R43" s="717"/>
      <c r="S43" s="714" t="s">
        <v>863</v>
      </c>
      <c r="T43" s="717"/>
      <c r="U43" s="714"/>
      <c r="V43" s="718" t="s">
        <v>2402</v>
      </c>
      <c r="W43" s="718" t="s">
        <v>864</v>
      </c>
      <c r="X43" s="718"/>
      <c r="Y43" s="719"/>
      <c r="Z43" s="714"/>
      <c r="AA43" s="720"/>
      <c r="AB43" s="714"/>
      <c r="AC43" s="717"/>
      <c r="AD43" s="717"/>
    </row>
    <row r="44" spans="1:30" ht="15" customHeight="1">
      <c r="A44" s="225">
        <v>36</v>
      </c>
      <c r="B44" s="217"/>
      <c r="C44" s="219"/>
      <c r="D44" s="219" t="s">
        <v>1537</v>
      </c>
      <c r="E44" s="241"/>
      <c r="F44" s="241"/>
      <c r="G44" s="241"/>
      <c r="H44" s="714" t="s">
        <v>1538</v>
      </c>
      <c r="I44" s="715"/>
      <c r="J44" s="714"/>
      <c r="K44" s="715" t="s">
        <v>1539</v>
      </c>
      <c r="L44" s="714"/>
      <c r="M44" s="714"/>
      <c r="N44" s="714"/>
      <c r="O44" s="714"/>
      <c r="P44" s="716"/>
      <c r="Q44" s="714" t="s">
        <v>817</v>
      </c>
      <c r="R44" s="717"/>
      <c r="S44" s="714" t="s">
        <v>863</v>
      </c>
      <c r="T44" s="717"/>
      <c r="U44" s="714"/>
      <c r="V44" s="718" t="s">
        <v>2402</v>
      </c>
      <c r="W44" s="718" t="s">
        <v>864</v>
      </c>
      <c r="X44" s="718"/>
      <c r="Y44" s="719"/>
      <c r="Z44" s="714"/>
      <c r="AA44" s="720"/>
      <c r="AB44" s="714"/>
      <c r="AC44" s="717"/>
      <c r="AD44" s="717"/>
    </row>
    <row r="45" spans="1:30" ht="15" customHeight="1">
      <c r="A45" s="225">
        <v>37</v>
      </c>
      <c r="B45" s="217"/>
      <c r="C45" s="219"/>
      <c r="D45" s="219" t="s">
        <v>1540</v>
      </c>
      <c r="E45" s="241"/>
      <c r="F45" s="241"/>
      <c r="G45" s="241"/>
      <c r="H45" s="714" t="s">
        <v>1541</v>
      </c>
      <c r="I45" s="715"/>
      <c r="J45" s="714"/>
      <c r="K45" s="715" t="s">
        <v>1542</v>
      </c>
      <c r="L45" s="714"/>
      <c r="M45" s="714"/>
      <c r="N45" s="714"/>
      <c r="O45" s="714"/>
      <c r="P45" s="716"/>
      <c r="Q45" s="714" t="s">
        <v>817</v>
      </c>
      <c r="R45" s="717"/>
      <c r="S45" s="714" t="s">
        <v>863</v>
      </c>
      <c r="T45" s="717"/>
      <c r="U45" s="714"/>
      <c r="V45" s="718" t="s">
        <v>2402</v>
      </c>
      <c r="W45" s="718" t="s">
        <v>864</v>
      </c>
      <c r="X45" s="718"/>
      <c r="Y45" s="719"/>
      <c r="Z45" s="714"/>
      <c r="AA45" s="720"/>
      <c r="AB45" s="714"/>
      <c r="AC45" s="717"/>
      <c r="AD45" s="717"/>
    </row>
    <row r="46" spans="1:30" ht="15" customHeight="1">
      <c r="A46" s="225">
        <v>38</v>
      </c>
      <c r="B46" s="217"/>
      <c r="C46" s="219"/>
      <c r="D46" s="241" t="s">
        <v>2407</v>
      </c>
      <c r="E46" s="241"/>
      <c r="F46" s="241"/>
      <c r="G46" s="241"/>
      <c r="H46" s="714" t="s">
        <v>2408</v>
      </c>
      <c r="I46" s="715"/>
      <c r="J46" s="714"/>
      <c r="K46" s="715" t="s">
        <v>2409</v>
      </c>
      <c r="L46" s="714"/>
      <c r="M46" s="714"/>
      <c r="N46" s="714"/>
      <c r="O46" s="714"/>
      <c r="P46" s="716"/>
      <c r="Q46" s="714" t="s">
        <v>817</v>
      </c>
      <c r="R46" s="717"/>
      <c r="S46" s="714" t="s">
        <v>863</v>
      </c>
      <c r="T46" s="717"/>
      <c r="U46" s="714"/>
      <c r="V46" s="718" t="s">
        <v>2402</v>
      </c>
      <c r="W46" s="718" t="s">
        <v>864</v>
      </c>
      <c r="X46" s="718"/>
      <c r="Y46" s="719"/>
      <c r="Z46" s="714"/>
      <c r="AA46" s="720"/>
      <c r="AB46" s="714"/>
      <c r="AC46" s="717"/>
      <c r="AD46" s="717"/>
    </row>
    <row r="47" spans="1:30" ht="15" customHeight="1">
      <c r="A47" s="225">
        <v>39</v>
      </c>
      <c r="B47" s="217"/>
      <c r="C47" s="262" t="s">
        <v>2410</v>
      </c>
      <c r="D47" s="529"/>
      <c r="E47" s="529"/>
      <c r="F47" s="529"/>
      <c r="G47" s="529"/>
      <c r="H47" s="735"/>
      <c r="I47" s="736"/>
      <c r="J47" s="735"/>
      <c r="K47" s="715" t="s">
        <v>2411</v>
      </c>
      <c r="L47" s="714"/>
      <c r="M47" s="714"/>
      <c r="N47" s="714"/>
      <c r="O47" s="714"/>
      <c r="P47" s="716"/>
      <c r="Q47" s="714" t="s">
        <v>817</v>
      </c>
      <c r="R47" s="717"/>
      <c r="S47" s="379" t="s">
        <v>2411</v>
      </c>
      <c r="T47" s="717"/>
      <c r="U47" s="714"/>
      <c r="V47" s="718" t="s">
        <v>864</v>
      </c>
      <c r="W47" s="718" t="s">
        <v>864</v>
      </c>
      <c r="X47" s="718"/>
      <c r="Y47" s="719"/>
      <c r="Z47" s="714"/>
      <c r="AA47" s="720"/>
      <c r="AB47" s="714"/>
      <c r="AC47" s="717"/>
      <c r="AD47" s="717"/>
    </row>
    <row r="48" spans="1:30" ht="15" customHeight="1">
      <c r="A48" s="225">
        <v>40</v>
      </c>
      <c r="B48" s="217"/>
      <c r="C48" s="219"/>
      <c r="D48" s="219" t="s">
        <v>2412</v>
      </c>
      <c r="E48" s="241"/>
      <c r="F48" s="241"/>
      <c r="G48" s="241"/>
      <c r="H48" s="714" t="s">
        <v>2413</v>
      </c>
      <c r="I48" s="715"/>
      <c r="J48" s="714"/>
      <c r="K48" s="715" t="s">
        <v>2414</v>
      </c>
      <c r="L48" s="714"/>
      <c r="M48" s="714"/>
      <c r="N48" s="714"/>
      <c r="O48" s="714"/>
      <c r="P48" s="716"/>
      <c r="Q48" s="714" t="s">
        <v>817</v>
      </c>
      <c r="R48" s="717"/>
      <c r="S48" s="714" t="s">
        <v>863</v>
      </c>
      <c r="T48" s="717"/>
      <c r="U48" s="714"/>
      <c r="V48" s="718" t="s">
        <v>864</v>
      </c>
      <c r="W48" s="718" t="s">
        <v>864</v>
      </c>
      <c r="X48" s="718"/>
      <c r="Y48" s="719"/>
      <c r="Z48" s="714"/>
      <c r="AA48" s="720"/>
      <c r="AB48" s="714"/>
      <c r="AC48" s="717"/>
      <c r="AD48" s="717"/>
    </row>
    <row r="49" spans="1:30" ht="15" customHeight="1">
      <c r="A49" s="225">
        <v>41</v>
      </c>
      <c r="B49" s="217"/>
      <c r="C49" s="219"/>
      <c r="D49" s="219" t="s">
        <v>2415</v>
      </c>
      <c r="E49" s="241"/>
      <c r="F49" s="241"/>
      <c r="G49" s="241"/>
      <c r="H49" s="714" t="s">
        <v>2416</v>
      </c>
      <c r="I49" s="715"/>
      <c r="J49" s="714"/>
      <c r="K49" s="715" t="s">
        <v>2417</v>
      </c>
      <c r="L49" s="714"/>
      <c r="M49" s="714"/>
      <c r="N49" s="714"/>
      <c r="O49" s="714"/>
      <c r="P49" s="716"/>
      <c r="Q49" s="714" t="s">
        <v>817</v>
      </c>
      <c r="R49" s="717"/>
      <c r="S49" s="714" t="s">
        <v>2262</v>
      </c>
      <c r="T49" s="717"/>
      <c r="U49" s="714"/>
      <c r="V49" s="718" t="s">
        <v>864</v>
      </c>
      <c r="W49" s="718" t="s">
        <v>864</v>
      </c>
      <c r="X49" s="718"/>
      <c r="Y49" s="719"/>
      <c r="Z49" s="714"/>
      <c r="AA49" s="720"/>
      <c r="AB49" s="714"/>
      <c r="AC49" s="717"/>
      <c r="AD49" s="717"/>
    </row>
    <row r="50" spans="1:30" ht="15" customHeight="1">
      <c r="A50" s="225">
        <v>42</v>
      </c>
      <c r="B50" s="217"/>
      <c r="C50" s="219"/>
      <c r="D50" s="219" t="s">
        <v>2418</v>
      </c>
      <c r="E50" s="241"/>
      <c r="F50" s="241"/>
      <c r="G50" s="241"/>
      <c r="H50" s="714"/>
      <c r="I50" s="715"/>
      <c r="J50" s="714"/>
      <c r="K50" s="715" t="s">
        <v>2419</v>
      </c>
      <c r="L50" s="714"/>
      <c r="M50" s="714"/>
      <c r="N50" s="714"/>
      <c r="O50" s="714"/>
      <c r="P50" s="716"/>
      <c r="Q50" s="714" t="s">
        <v>817</v>
      </c>
      <c r="R50" s="717"/>
      <c r="S50" s="714" t="s">
        <v>863</v>
      </c>
      <c r="T50" s="717"/>
      <c r="U50" s="714"/>
      <c r="V50" s="718" t="s">
        <v>864</v>
      </c>
      <c r="W50" s="718" t="s">
        <v>864</v>
      </c>
      <c r="X50" s="718"/>
      <c r="Y50" s="719"/>
      <c r="Z50" s="714"/>
      <c r="AA50" s="720"/>
      <c r="AB50" s="714"/>
      <c r="AC50" s="717"/>
      <c r="AD50" s="717"/>
    </row>
    <row r="51" spans="1:30" ht="15" customHeight="1">
      <c r="A51" s="225">
        <v>43</v>
      </c>
      <c r="B51" s="217"/>
      <c r="C51" s="219"/>
      <c r="D51" s="219" t="s">
        <v>2420</v>
      </c>
      <c r="E51" s="241"/>
      <c r="F51" s="241"/>
      <c r="G51" s="241"/>
      <c r="H51" s="714"/>
      <c r="I51" s="715"/>
      <c r="J51" s="714"/>
      <c r="K51" s="715" t="s">
        <v>2421</v>
      </c>
      <c r="L51" s="714"/>
      <c r="M51" s="714"/>
      <c r="N51" s="714"/>
      <c r="O51" s="714"/>
      <c r="P51" s="716"/>
      <c r="Q51" s="714" t="s">
        <v>817</v>
      </c>
      <c r="R51" s="717"/>
      <c r="S51" s="714" t="s">
        <v>863</v>
      </c>
      <c r="T51" s="717"/>
      <c r="U51" s="714"/>
      <c r="V51" s="718" t="s">
        <v>864</v>
      </c>
      <c r="W51" s="718" t="s">
        <v>864</v>
      </c>
      <c r="X51" s="718"/>
      <c r="Y51" s="719"/>
      <c r="Z51" s="714"/>
      <c r="AA51" s="720"/>
      <c r="AB51" s="714"/>
      <c r="AC51" s="717"/>
      <c r="AD51" s="717"/>
    </row>
    <row r="52" spans="1:30" ht="15" customHeight="1">
      <c r="A52" s="225">
        <v>44</v>
      </c>
      <c r="B52" s="217"/>
      <c r="C52" s="219"/>
      <c r="D52" s="219" t="s">
        <v>2422</v>
      </c>
      <c r="E52" s="241"/>
      <c r="F52" s="241"/>
      <c r="G52" s="241"/>
      <c r="H52" s="714" t="s">
        <v>2423</v>
      </c>
      <c r="I52" s="715"/>
      <c r="J52" s="714"/>
      <c r="K52" s="715" t="s">
        <v>2424</v>
      </c>
      <c r="L52" s="714"/>
      <c r="M52" s="714"/>
      <c r="N52" s="714"/>
      <c r="O52" s="714"/>
      <c r="P52" s="716"/>
      <c r="Q52" s="714" t="s">
        <v>817</v>
      </c>
      <c r="R52" s="717"/>
      <c r="S52" s="714" t="s">
        <v>863</v>
      </c>
      <c r="T52" s="717"/>
      <c r="U52" s="714"/>
      <c r="V52" s="718" t="s">
        <v>864</v>
      </c>
      <c r="W52" s="718" t="s">
        <v>864</v>
      </c>
      <c r="X52" s="718"/>
      <c r="Y52" s="719"/>
      <c r="Z52" s="714"/>
      <c r="AA52" s="720"/>
      <c r="AB52" s="714"/>
      <c r="AC52" s="717"/>
      <c r="AD52" s="717"/>
    </row>
    <row r="53" spans="1:30" ht="15" customHeight="1">
      <c r="A53" s="225">
        <v>45</v>
      </c>
      <c r="B53" s="217"/>
      <c r="C53" s="219"/>
      <c r="D53" s="219" t="s">
        <v>2425</v>
      </c>
      <c r="E53" s="241"/>
      <c r="F53" s="241"/>
      <c r="G53" s="241"/>
      <c r="H53" s="714"/>
      <c r="I53" s="715"/>
      <c r="J53" s="714"/>
      <c r="K53" s="715" t="s">
        <v>2426</v>
      </c>
      <c r="L53" s="714"/>
      <c r="M53" s="714"/>
      <c r="N53" s="714"/>
      <c r="O53" s="714"/>
      <c r="P53" s="716"/>
      <c r="Q53" s="714" t="s">
        <v>817</v>
      </c>
      <c r="R53" s="717"/>
      <c r="S53" s="714" t="s">
        <v>863</v>
      </c>
      <c r="T53" s="717"/>
      <c r="U53" s="714"/>
      <c r="V53" s="718" t="s">
        <v>864</v>
      </c>
      <c r="W53" s="718" t="s">
        <v>864</v>
      </c>
      <c r="X53" s="718"/>
      <c r="Y53" s="719"/>
      <c r="Z53" s="714"/>
      <c r="AA53" s="720"/>
      <c r="AB53" s="714"/>
      <c r="AC53" s="717"/>
      <c r="AD53" s="717"/>
    </row>
    <row r="54" spans="1:30" ht="15" customHeight="1">
      <c r="A54" s="225">
        <v>46</v>
      </c>
      <c r="B54" s="217"/>
      <c r="C54" s="219"/>
      <c r="D54" s="219" t="s">
        <v>2427</v>
      </c>
      <c r="E54" s="241"/>
      <c r="F54" s="241"/>
      <c r="G54" s="241"/>
      <c r="H54" s="714"/>
      <c r="I54" s="715"/>
      <c r="J54" s="714"/>
      <c r="K54" s="715" t="s">
        <v>2428</v>
      </c>
      <c r="L54" s="714"/>
      <c r="M54" s="714"/>
      <c r="N54" s="714"/>
      <c r="O54" s="714"/>
      <c r="P54" s="716"/>
      <c r="Q54" s="714" t="s">
        <v>817</v>
      </c>
      <c r="R54" s="717"/>
      <c r="S54" s="714" t="s">
        <v>2262</v>
      </c>
      <c r="T54" s="717"/>
      <c r="U54" s="714"/>
      <c r="V54" s="718" t="s">
        <v>864</v>
      </c>
      <c r="W54" s="718" t="s">
        <v>864</v>
      </c>
      <c r="X54" s="718"/>
      <c r="Y54" s="719"/>
      <c r="Z54" s="714"/>
      <c r="AA54" s="720"/>
      <c r="AB54" s="714"/>
      <c r="AC54" s="717"/>
      <c r="AD54" s="717"/>
    </row>
    <row r="55" spans="1:30" ht="15" customHeight="1">
      <c r="A55" s="225">
        <v>47</v>
      </c>
      <c r="B55" s="217"/>
      <c r="C55" s="219"/>
      <c r="D55" s="219" t="s">
        <v>2429</v>
      </c>
      <c r="E55" s="241"/>
      <c r="F55" s="241"/>
      <c r="G55" s="241"/>
      <c r="H55" s="714"/>
      <c r="I55" s="715"/>
      <c r="J55" s="714"/>
      <c r="K55" s="715" t="s">
        <v>2430</v>
      </c>
      <c r="L55" s="714"/>
      <c r="M55" s="714"/>
      <c r="N55" s="714"/>
      <c r="O55" s="714"/>
      <c r="P55" s="716"/>
      <c r="Q55" s="714" t="s">
        <v>817</v>
      </c>
      <c r="R55" s="717"/>
      <c r="S55" s="714" t="s">
        <v>863</v>
      </c>
      <c r="T55" s="717"/>
      <c r="U55" s="714"/>
      <c r="V55" s="718" t="s">
        <v>864</v>
      </c>
      <c r="W55" s="718" t="s">
        <v>864</v>
      </c>
      <c r="X55" s="718"/>
      <c r="Y55" s="719"/>
      <c r="Z55" s="714"/>
      <c r="AA55" s="720"/>
      <c r="AB55" s="714"/>
      <c r="AC55" s="717"/>
      <c r="AD55" s="717"/>
    </row>
    <row r="56" spans="1:30" ht="15" customHeight="1">
      <c r="A56" s="225">
        <v>48</v>
      </c>
      <c r="B56" s="217"/>
      <c r="C56" s="219"/>
      <c r="D56" s="219" t="s">
        <v>2431</v>
      </c>
      <c r="E56" s="241"/>
      <c r="F56" s="241"/>
      <c r="G56" s="241"/>
      <c r="H56" s="714"/>
      <c r="I56" s="715"/>
      <c r="J56" s="714"/>
      <c r="K56" s="715" t="s">
        <v>2432</v>
      </c>
      <c r="L56" s="714"/>
      <c r="M56" s="714"/>
      <c r="N56" s="714"/>
      <c r="O56" s="714"/>
      <c r="P56" s="716"/>
      <c r="Q56" s="714" t="s">
        <v>817</v>
      </c>
      <c r="R56" s="717"/>
      <c r="S56" s="714" t="s">
        <v>863</v>
      </c>
      <c r="T56" s="717"/>
      <c r="U56" s="714"/>
      <c r="V56" s="718" t="s">
        <v>864</v>
      </c>
      <c r="W56" s="718" t="s">
        <v>864</v>
      </c>
      <c r="X56" s="718"/>
      <c r="Y56" s="719"/>
      <c r="Z56" s="714"/>
      <c r="AA56" s="720"/>
      <c r="AB56" s="714"/>
      <c r="AC56" s="717"/>
      <c r="AD56" s="717"/>
    </row>
    <row r="57" spans="1:30" ht="15" customHeight="1">
      <c r="A57" s="225">
        <v>49</v>
      </c>
      <c r="B57" s="217"/>
      <c r="C57" s="262" t="s">
        <v>2433</v>
      </c>
      <c r="D57" s="529"/>
      <c r="E57" s="529"/>
      <c r="F57" s="529"/>
      <c r="G57" s="529"/>
      <c r="H57" s="735"/>
      <c r="I57" s="736"/>
      <c r="J57" s="735"/>
      <c r="K57" s="715" t="s">
        <v>2434</v>
      </c>
      <c r="L57" s="714"/>
      <c r="M57" s="714"/>
      <c r="N57" s="714"/>
      <c r="O57" s="714"/>
      <c r="P57" s="716"/>
      <c r="Q57" s="714" t="s">
        <v>817</v>
      </c>
      <c r="R57" s="717"/>
      <c r="S57" s="379" t="s">
        <v>2434</v>
      </c>
      <c r="T57" s="717"/>
      <c r="U57" s="714"/>
      <c r="V57" s="718"/>
      <c r="W57" s="718" t="s">
        <v>864</v>
      </c>
      <c r="X57" s="718"/>
      <c r="Y57" s="719"/>
      <c r="Z57" s="714"/>
      <c r="AA57" s="720"/>
      <c r="AB57" s="714"/>
      <c r="AC57" s="717"/>
      <c r="AD57" s="717"/>
    </row>
    <row r="58" spans="1:30" ht="15" customHeight="1">
      <c r="A58" s="225">
        <v>50</v>
      </c>
      <c r="B58" s="217"/>
      <c r="C58" s="219"/>
      <c r="D58" s="219" t="s">
        <v>2435</v>
      </c>
      <c r="E58" s="241"/>
      <c r="F58" s="241"/>
      <c r="G58" s="241"/>
      <c r="H58" s="714"/>
      <c r="I58" s="715"/>
      <c r="J58" s="714"/>
      <c r="K58" s="715" t="s">
        <v>2436</v>
      </c>
      <c r="L58" s="714"/>
      <c r="M58" s="714"/>
      <c r="N58" s="714"/>
      <c r="O58" s="714"/>
      <c r="P58" s="716"/>
      <c r="Q58" s="714" t="s">
        <v>817</v>
      </c>
      <c r="R58" s="717"/>
      <c r="S58" s="714" t="s">
        <v>2262</v>
      </c>
      <c r="T58" s="717"/>
      <c r="U58" s="714"/>
      <c r="V58" s="718"/>
      <c r="W58" s="718" t="s">
        <v>864</v>
      </c>
      <c r="X58" s="718"/>
      <c r="Y58" s="719"/>
      <c r="Z58" s="714"/>
      <c r="AA58" s="720"/>
      <c r="AB58" s="714"/>
      <c r="AC58" s="717"/>
      <c r="AD58" s="717"/>
    </row>
    <row r="59" spans="1:30" ht="15" customHeight="1">
      <c r="A59" s="225">
        <v>51</v>
      </c>
      <c r="B59" s="217"/>
      <c r="C59" s="219"/>
      <c r="D59" s="219" t="s">
        <v>2437</v>
      </c>
      <c r="E59" s="241"/>
      <c r="F59" s="241"/>
      <c r="G59" s="241"/>
      <c r="H59" s="714" t="s">
        <v>2438</v>
      </c>
      <c r="I59" s="715"/>
      <c r="J59" s="714"/>
      <c r="K59" s="715" t="s">
        <v>2439</v>
      </c>
      <c r="L59" s="714"/>
      <c r="M59" s="714"/>
      <c r="N59" s="714"/>
      <c r="O59" s="714"/>
      <c r="P59" s="716"/>
      <c r="Q59" s="714" t="s">
        <v>817</v>
      </c>
      <c r="R59" s="717"/>
      <c r="S59" s="714" t="s">
        <v>863</v>
      </c>
      <c r="T59" s="717"/>
      <c r="U59" s="714"/>
      <c r="V59" s="718"/>
      <c r="W59" s="718" t="s">
        <v>864</v>
      </c>
      <c r="X59" s="718"/>
      <c r="Y59" s="719"/>
      <c r="Z59" s="714"/>
      <c r="AA59" s="720"/>
      <c r="AB59" s="714"/>
      <c r="AC59" s="717"/>
      <c r="AD59" s="717"/>
    </row>
    <row r="60" spans="1:30" ht="15" customHeight="1">
      <c r="A60" s="225">
        <v>52</v>
      </c>
      <c r="B60" s="217"/>
      <c r="C60" s="219"/>
      <c r="D60" s="219" t="s">
        <v>2440</v>
      </c>
      <c r="E60" s="241"/>
      <c r="F60" s="241"/>
      <c r="G60" s="241"/>
      <c r="H60" s="714" t="s">
        <v>2441</v>
      </c>
      <c r="I60" s="715"/>
      <c r="J60" s="714"/>
      <c r="K60" s="715" t="s">
        <v>2442</v>
      </c>
      <c r="L60" s="714"/>
      <c r="M60" s="714"/>
      <c r="N60" s="714"/>
      <c r="O60" s="714"/>
      <c r="P60" s="716"/>
      <c r="Q60" s="714" t="s">
        <v>817</v>
      </c>
      <c r="R60" s="717"/>
      <c r="S60" s="714" t="s">
        <v>863</v>
      </c>
      <c r="T60" s="717"/>
      <c r="U60" s="714"/>
      <c r="V60" s="718"/>
      <c r="W60" s="718" t="s">
        <v>864</v>
      </c>
      <c r="X60" s="718"/>
      <c r="Y60" s="719"/>
      <c r="Z60" s="714"/>
      <c r="AA60" s="720"/>
      <c r="AB60" s="714"/>
      <c r="AC60" s="717"/>
      <c r="AD60" s="717"/>
    </row>
    <row r="61" spans="1:30" ht="15" customHeight="1">
      <c r="A61" s="225">
        <v>53</v>
      </c>
      <c r="B61" s="217"/>
      <c r="C61" s="219"/>
      <c r="D61" s="532" t="s">
        <v>2443</v>
      </c>
      <c r="E61" s="241"/>
      <c r="F61" s="241"/>
      <c r="G61" s="241"/>
      <c r="H61" s="714"/>
      <c r="I61" s="715"/>
      <c r="J61" s="714"/>
      <c r="K61" s="715" t="s">
        <v>2444</v>
      </c>
      <c r="L61" s="714"/>
      <c r="M61" s="714"/>
      <c r="N61" s="714"/>
      <c r="O61" s="714"/>
      <c r="P61" s="716"/>
      <c r="Q61" s="714" t="s">
        <v>817</v>
      </c>
      <c r="R61" s="717"/>
      <c r="S61" s="714" t="s">
        <v>2262</v>
      </c>
      <c r="T61" s="717"/>
      <c r="U61" s="714"/>
      <c r="V61" s="718"/>
      <c r="W61" s="718" t="s">
        <v>864</v>
      </c>
      <c r="X61" s="718"/>
      <c r="Y61" s="719"/>
      <c r="Z61" s="714"/>
      <c r="AA61" s="720"/>
      <c r="AB61" s="714"/>
      <c r="AC61" s="717"/>
      <c r="AD61" s="717"/>
    </row>
    <row r="62" spans="1:30" ht="15" customHeight="1">
      <c r="A62" s="225">
        <v>54</v>
      </c>
      <c r="B62" s="217"/>
      <c r="C62" s="219"/>
      <c r="D62" s="532" t="s">
        <v>2445</v>
      </c>
      <c r="E62" s="241"/>
      <c r="F62" s="241"/>
      <c r="G62" s="241"/>
      <c r="H62" s="714"/>
      <c r="I62" s="715"/>
      <c r="J62" s="714"/>
      <c r="K62" s="715" t="s">
        <v>2446</v>
      </c>
      <c r="L62" s="714"/>
      <c r="M62" s="714"/>
      <c r="N62" s="714"/>
      <c r="O62" s="714"/>
      <c r="P62" s="716"/>
      <c r="Q62" s="714" t="s">
        <v>817</v>
      </c>
      <c r="R62" s="717"/>
      <c r="S62" s="714" t="s">
        <v>2262</v>
      </c>
      <c r="T62" s="717"/>
      <c r="U62" s="714"/>
      <c r="V62" s="718"/>
      <c r="W62" s="718" t="s">
        <v>864</v>
      </c>
      <c r="X62" s="718"/>
      <c r="Y62" s="719"/>
      <c r="Z62" s="714"/>
      <c r="AA62" s="720"/>
      <c r="AB62" s="714"/>
      <c r="AC62" s="717"/>
      <c r="AD62" s="717"/>
    </row>
    <row r="63" spans="1:30" ht="15" customHeight="1">
      <c r="A63" s="225">
        <v>55</v>
      </c>
      <c r="B63" s="217"/>
      <c r="C63" s="219"/>
      <c r="D63" s="532" t="s">
        <v>2447</v>
      </c>
      <c r="E63" s="241"/>
      <c r="F63" s="241"/>
      <c r="G63" s="241"/>
      <c r="H63" s="714"/>
      <c r="I63" s="715"/>
      <c r="J63" s="714"/>
      <c r="K63" s="715" t="s">
        <v>2448</v>
      </c>
      <c r="L63" s="714"/>
      <c r="M63" s="714"/>
      <c r="N63" s="714"/>
      <c r="O63" s="714"/>
      <c r="P63" s="716"/>
      <c r="Q63" s="714" t="s">
        <v>817</v>
      </c>
      <c r="R63" s="717"/>
      <c r="S63" s="714" t="s">
        <v>2262</v>
      </c>
      <c r="T63" s="717"/>
      <c r="U63" s="714"/>
      <c r="V63" s="718"/>
      <c r="W63" s="718" t="s">
        <v>864</v>
      </c>
      <c r="X63" s="718"/>
      <c r="Y63" s="719"/>
      <c r="Z63" s="714"/>
      <c r="AA63" s="720"/>
      <c r="AB63" s="714"/>
      <c r="AC63" s="717"/>
      <c r="AD63" s="717"/>
    </row>
    <row r="64" spans="1:30" ht="15" customHeight="1">
      <c r="A64" s="225">
        <v>56</v>
      </c>
      <c r="B64" s="217"/>
      <c r="C64" s="219"/>
      <c r="D64" s="532" t="s">
        <v>2449</v>
      </c>
      <c r="E64" s="241"/>
      <c r="F64" s="241"/>
      <c r="G64" s="241"/>
      <c r="H64" s="714"/>
      <c r="I64" s="715"/>
      <c r="J64" s="714"/>
      <c r="K64" s="715" t="s">
        <v>2450</v>
      </c>
      <c r="L64" s="714"/>
      <c r="M64" s="714"/>
      <c r="N64" s="714"/>
      <c r="O64" s="714"/>
      <c r="P64" s="716"/>
      <c r="Q64" s="714" t="s">
        <v>817</v>
      </c>
      <c r="R64" s="717"/>
      <c r="S64" s="714" t="s">
        <v>2262</v>
      </c>
      <c r="T64" s="717"/>
      <c r="U64" s="714"/>
      <c r="V64" s="718"/>
      <c r="W64" s="718" t="s">
        <v>864</v>
      </c>
      <c r="X64" s="718"/>
      <c r="Y64" s="719"/>
      <c r="Z64" s="714"/>
      <c r="AA64" s="720"/>
      <c r="AB64" s="714"/>
      <c r="AC64" s="717"/>
      <c r="AD64" s="717"/>
    </row>
    <row r="65" spans="1:30" ht="15" customHeight="1">
      <c r="A65" s="225">
        <v>57</v>
      </c>
      <c r="B65" s="217"/>
      <c r="C65" s="219"/>
      <c r="D65" s="241"/>
      <c r="E65" s="241"/>
      <c r="F65" s="241"/>
      <c r="G65" s="241"/>
      <c r="H65" s="714"/>
      <c r="I65" s="715"/>
      <c r="J65" s="714"/>
      <c r="K65" s="715"/>
      <c r="L65" s="714"/>
      <c r="M65" s="714"/>
      <c r="N65" s="714"/>
      <c r="O65" s="714"/>
      <c r="P65" s="716"/>
      <c r="Q65" s="714"/>
      <c r="R65" s="717"/>
      <c r="S65" s="714"/>
      <c r="T65" s="717"/>
      <c r="U65" s="714"/>
      <c r="V65" s="718"/>
      <c r="W65" s="718" t="s">
        <v>864</v>
      </c>
      <c r="X65" s="718"/>
      <c r="Y65" s="719"/>
      <c r="Z65" s="714"/>
      <c r="AA65" s="720"/>
      <c r="AB65" s="714"/>
      <c r="AC65" s="717"/>
      <c r="AD65" s="717"/>
    </row>
    <row r="66" spans="1:30" ht="15" customHeight="1">
      <c r="A66" s="225">
        <v>58</v>
      </c>
      <c r="B66" s="217"/>
      <c r="C66" s="219"/>
      <c r="D66" s="532" t="s">
        <v>2451</v>
      </c>
      <c r="E66" s="241"/>
      <c r="F66" s="241"/>
      <c r="G66" s="241"/>
      <c r="H66" s="714"/>
      <c r="I66" s="715"/>
      <c r="J66" s="714"/>
      <c r="K66" s="715" t="s">
        <v>2452</v>
      </c>
      <c r="L66" s="714"/>
      <c r="M66" s="714"/>
      <c r="N66" s="714"/>
      <c r="O66" s="714"/>
      <c r="P66" s="716"/>
      <c r="Q66" s="714" t="s">
        <v>817</v>
      </c>
      <c r="R66" s="717"/>
      <c r="S66" s="714" t="s">
        <v>2262</v>
      </c>
      <c r="T66" s="717"/>
      <c r="U66" s="714"/>
      <c r="V66" s="718"/>
      <c r="W66" s="718" t="s">
        <v>864</v>
      </c>
      <c r="X66" s="718"/>
      <c r="Y66" s="719"/>
      <c r="Z66" s="714"/>
      <c r="AA66" s="720"/>
      <c r="AB66" s="714"/>
      <c r="AC66" s="717"/>
      <c r="AD66" s="717"/>
    </row>
    <row r="67" spans="1:30" ht="15" customHeight="1">
      <c r="A67" s="225">
        <v>59</v>
      </c>
      <c r="B67" s="217"/>
      <c r="C67" s="219"/>
      <c r="D67" s="532" t="s">
        <v>2453</v>
      </c>
      <c r="E67" s="241"/>
      <c r="F67" s="241"/>
      <c r="G67" s="241"/>
      <c r="H67" s="714"/>
      <c r="I67" s="715"/>
      <c r="J67" s="714"/>
      <c r="K67" s="715" t="s">
        <v>2454</v>
      </c>
      <c r="L67" s="714"/>
      <c r="M67" s="714"/>
      <c r="N67" s="714"/>
      <c r="O67" s="714"/>
      <c r="P67" s="716"/>
      <c r="Q67" s="714" t="s">
        <v>817</v>
      </c>
      <c r="R67" s="717"/>
      <c r="S67" s="714" t="s">
        <v>2262</v>
      </c>
      <c r="T67" s="717"/>
      <c r="U67" s="714"/>
      <c r="V67" s="718"/>
      <c r="W67" s="718" t="s">
        <v>864</v>
      </c>
      <c r="X67" s="718"/>
      <c r="Y67" s="719"/>
      <c r="Z67" s="714"/>
      <c r="AA67" s="720"/>
      <c r="AB67" s="714"/>
      <c r="AC67" s="717"/>
      <c r="AD67" s="717"/>
    </row>
    <row r="68" spans="1:30" ht="15" customHeight="1">
      <c r="A68" s="225">
        <v>60</v>
      </c>
      <c r="B68" s="217"/>
      <c r="C68" s="219"/>
      <c r="D68" s="532" t="s">
        <v>2455</v>
      </c>
      <c r="E68" s="241"/>
      <c r="F68" s="241"/>
      <c r="G68" s="241"/>
      <c r="H68" s="714"/>
      <c r="I68" s="715"/>
      <c r="J68" s="714"/>
      <c r="K68" s="715" t="s">
        <v>2456</v>
      </c>
      <c r="L68" s="714"/>
      <c r="M68" s="714"/>
      <c r="N68" s="714"/>
      <c r="O68" s="714"/>
      <c r="P68" s="716"/>
      <c r="Q68" s="714" t="s">
        <v>817</v>
      </c>
      <c r="R68" s="717"/>
      <c r="S68" s="714" t="s">
        <v>2262</v>
      </c>
      <c r="T68" s="717"/>
      <c r="U68" s="714"/>
      <c r="V68" s="718"/>
      <c r="W68" s="718" t="s">
        <v>864</v>
      </c>
      <c r="X68" s="718"/>
      <c r="Y68" s="719"/>
      <c r="Z68" s="714"/>
      <c r="AA68" s="720"/>
      <c r="AB68" s="714"/>
      <c r="AC68" s="717"/>
      <c r="AD68" s="717"/>
    </row>
    <row r="69" spans="1:30" ht="15" customHeight="1">
      <c r="A69" s="225">
        <v>61</v>
      </c>
      <c r="B69" s="216" t="s">
        <v>2457</v>
      </c>
      <c r="C69" s="530"/>
      <c r="D69" s="529"/>
      <c r="E69" s="529"/>
      <c r="F69" s="529"/>
      <c r="G69" s="529"/>
      <c r="H69" s="735"/>
      <c r="I69" s="736"/>
      <c r="J69" s="735"/>
      <c r="K69" s="715" t="s">
        <v>1953</v>
      </c>
      <c r="L69" s="714"/>
      <c r="M69" s="714"/>
      <c r="N69" s="714"/>
      <c r="O69" s="714"/>
      <c r="P69" s="716"/>
      <c r="Q69" s="714" t="s">
        <v>817</v>
      </c>
      <c r="R69" s="717"/>
      <c r="S69" s="714"/>
      <c r="T69" s="717"/>
      <c r="U69" s="714"/>
      <c r="V69" s="718"/>
      <c r="W69" s="718" t="s">
        <v>864</v>
      </c>
      <c r="X69" s="718"/>
      <c r="Y69" s="719"/>
      <c r="Z69" s="714"/>
      <c r="AA69" s="720"/>
      <c r="AB69" s="714"/>
      <c r="AC69" s="717"/>
      <c r="AD69" s="717"/>
    </row>
    <row r="70" spans="1:30" ht="15" customHeight="1">
      <c r="A70" s="225">
        <v>62</v>
      </c>
      <c r="B70" s="217"/>
      <c r="C70" s="219" t="s">
        <v>2458</v>
      </c>
      <c r="D70" s="241"/>
      <c r="E70" s="241"/>
      <c r="F70" s="241"/>
      <c r="G70" s="241"/>
      <c r="H70" s="714" t="s">
        <v>2459</v>
      </c>
      <c r="I70" s="715"/>
      <c r="J70" s="714"/>
      <c r="K70" s="715" t="s">
        <v>2460</v>
      </c>
      <c r="L70" s="714"/>
      <c r="M70" s="714"/>
      <c r="N70" s="714"/>
      <c r="O70" s="714"/>
      <c r="P70" s="716"/>
      <c r="Q70" s="714" t="s">
        <v>817</v>
      </c>
      <c r="R70" s="717"/>
      <c r="S70" s="714"/>
      <c r="T70" s="717"/>
      <c r="U70" s="714"/>
      <c r="V70" s="718"/>
      <c r="W70" s="718" t="s">
        <v>864</v>
      </c>
      <c r="X70" s="718"/>
      <c r="Y70" s="719"/>
      <c r="Z70" s="714"/>
      <c r="AA70" s="720"/>
      <c r="AB70" s="714"/>
      <c r="AC70" s="717"/>
      <c r="AD70" s="717"/>
    </row>
    <row r="71" spans="1:30" ht="15" customHeight="1">
      <c r="A71" s="225">
        <v>63</v>
      </c>
      <c r="B71" s="217"/>
      <c r="C71" s="219" t="s">
        <v>2461</v>
      </c>
      <c r="D71" s="241"/>
      <c r="E71" s="241"/>
      <c r="F71" s="241"/>
      <c r="G71" s="241"/>
      <c r="H71" s="714" t="s">
        <v>2462</v>
      </c>
      <c r="I71" s="715"/>
      <c r="J71" s="714"/>
      <c r="K71" s="715" t="s">
        <v>2421</v>
      </c>
      <c r="L71" s="714"/>
      <c r="M71" s="714"/>
      <c r="N71" s="714"/>
      <c r="O71" s="714"/>
      <c r="P71" s="716"/>
      <c r="Q71" s="714" t="s">
        <v>817</v>
      </c>
      <c r="R71" s="717"/>
      <c r="S71" s="714"/>
      <c r="T71" s="717"/>
      <c r="U71" s="714"/>
      <c r="V71" s="718"/>
      <c r="W71" s="718" t="s">
        <v>864</v>
      </c>
      <c r="X71" s="718"/>
      <c r="Y71" s="719"/>
      <c r="Z71" s="714"/>
      <c r="AA71" s="720"/>
      <c r="AB71" s="714"/>
      <c r="AC71" s="717"/>
      <c r="AD71" s="717"/>
    </row>
    <row r="72" spans="1:30" ht="15" customHeight="1">
      <c r="A72" s="225">
        <v>64</v>
      </c>
      <c r="B72" s="217"/>
      <c r="C72" s="219" t="s">
        <v>2463</v>
      </c>
      <c r="D72" s="241"/>
      <c r="E72" s="241"/>
      <c r="F72" s="241"/>
      <c r="G72" s="241"/>
      <c r="H72" s="714"/>
      <c r="I72" s="715"/>
      <c r="J72" s="714"/>
      <c r="K72" s="715" t="s">
        <v>2464</v>
      </c>
      <c r="L72" s="714"/>
      <c r="M72" s="714"/>
      <c r="N72" s="714"/>
      <c r="O72" s="714"/>
      <c r="P72" s="716"/>
      <c r="Q72" s="714" t="s">
        <v>817</v>
      </c>
      <c r="R72" s="717"/>
      <c r="S72" s="714" t="s">
        <v>2262</v>
      </c>
      <c r="T72" s="717"/>
      <c r="U72" s="714"/>
      <c r="V72" s="718"/>
      <c r="W72" s="718" t="s">
        <v>864</v>
      </c>
      <c r="X72" s="718"/>
      <c r="Y72" s="719"/>
      <c r="Z72" s="714"/>
      <c r="AA72" s="720"/>
      <c r="AB72" s="714"/>
      <c r="AC72" s="717"/>
      <c r="AD72" s="717"/>
    </row>
    <row r="73" spans="1:30" ht="15" customHeight="1">
      <c r="A73" s="225">
        <v>65</v>
      </c>
      <c r="B73" s="217"/>
      <c r="C73" s="219" t="s">
        <v>2465</v>
      </c>
      <c r="D73" s="241"/>
      <c r="E73" s="241"/>
      <c r="F73" s="241"/>
      <c r="G73" s="241"/>
      <c r="H73" s="714"/>
      <c r="I73" s="715"/>
      <c r="J73" s="714"/>
      <c r="K73" s="715"/>
      <c r="L73" s="714"/>
      <c r="M73" s="714"/>
      <c r="N73" s="714"/>
      <c r="O73" s="714"/>
      <c r="P73" s="716"/>
      <c r="Q73" s="714" t="s">
        <v>817</v>
      </c>
      <c r="R73" s="717"/>
      <c r="S73" s="714" t="s">
        <v>2262</v>
      </c>
      <c r="T73" s="717"/>
      <c r="U73" s="714"/>
      <c r="V73" s="718"/>
      <c r="W73" s="718" t="s">
        <v>864</v>
      </c>
      <c r="X73" s="718"/>
      <c r="Y73" s="719"/>
      <c r="Z73" s="714"/>
      <c r="AA73" s="720"/>
      <c r="AB73" s="714"/>
      <c r="AC73" s="717"/>
      <c r="AD73" s="717"/>
    </row>
    <row r="74" spans="1:30" ht="15" customHeight="1">
      <c r="A74" s="225">
        <v>66</v>
      </c>
      <c r="B74" s="217"/>
      <c r="C74" s="219" t="s">
        <v>2466</v>
      </c>
      <c r="D74" s="241"/>
      <c r="E74" s="241"/>
      <c r="F74" s="241"/>
      <c r="G74" s="241"/>
      <c r="H74" s="714"/>
      <c r="I74" s="715"/>
      <c r="J74" s="714"/>
      <c r="K74" s="715" t="s">
        <v>2467</v>
      </c>
      <c r="L74" s="714"/>
      <c r="M74" s="714"/>
      <c r="N74" s="714"/>
      <c r="O74" s="714"/>
      <c r="P74" s="716"/>
      <c r="Q74" s="714" t="s">
        <v>817</v>
      </c>
      <c r="R74" s="717"/>
      <c r="S74" s="714" t="s">
        <v>2262</v>
      </c>
      <c r="T74" s="717"/>
      <c r="U74" s="714"/>
      <c r="V74" s="718"/>
      <c r="W74" s="718" t="s">
        <v>864</v>
      </c>
      <c r="X74" s="718"/>
      <c r="Y74" s="719"/>
      <c r="Z74" s="714"/>
      <c r="AA74" s="720"/>
      <c r="AB74" s="714"/>
      <c r="AC74" s="717"/>
      <c r="AD74" s="717"/>
    </row>
    <row r="75" spans="1:30" ht="15" customHeight="1">
      <c r="A75" s="225">
        <v>67</v>
      </c>
      <c r="B75" s="217"/>
      <c r="C75" s="219" t="s">
        <v>2468</v>
      </c>
      <c r="D75" s="241"/>
      <c r="E75" s="241"/>
      <c r="F75" s="241"/>
      <c r="G75" s="241"/>
      <c r="H75" s="714"/>
      <c r="I75" s="715"/>
      <c r="J75" s="714"/>
      <c r="K75" s="715" t="s">
        <v>2469</v>
      </c>
      <c r="L75" s="714"/>
      <c r="M75" s="714"/>
      <c r="N75" s="714"/>
      <c r="O75" s="714"/>
      <c r="P75" s="716"/>
      <c r="Q75" s="714" t="s">
        <v>817</v>
      </c>
      <c r="R75" s="717"/>
      <c r="S75" s="714" t="s">
        <v>2262</v>
      </c>
      <c r="T75" s="717"/>
      <c r="U75" s="714"/>
      <c r="V75" s="718"/>
      <c r="W75" s="718" t="s">
        <v>864</v>
      </c>
      <c r="X75" s="718"/>
      <c r="Y75" s="719"/>
      <c r="Z75" s="714"/>
      <c r="AA75" s="720"/>
      <c r="AB75" s="714"/>
      <c r="AC75" s="717"/>
      <c r="AD75" s="717"/>
    </row>
    <row r="76" spans="1:30" ht="15" customHeight="1">
      <c r="A76" s="225">
        <v>68</v>
      </c>
      <c r="B76" s="217"/>
      <c r="C76" s="528" t="s">
        <v>2470</v>
      </c>
      <c r="D76" s="241"/>
      <c r="E76" s="241"/>
      <c r="F76" s="241"/>
      <c r="G76" s="241"/>
      <c r="H76" s="714" t="s">
        <v>2471</v>
      </c>
      <c r="I76" s="715"/>
      <c r="J76" s="714"/>
      <c r="K76" s="715"/>
      <c r="L76" s="714"/>
      <c r="M76" s="714"/>
      <c r="N76" s="714"/>
      <c r="O76" s="714"/>
      <c r="P76" s="716"/>
      <c r="Q76" s="714" t="s">
        <v>817</v>
      </c>
      <c r="R76" s="717"/>
      <c r="S76" s="714" t="s">
        <v>2262</v>
      </c>
      <c r="T76" s="717"/>
      <c r="U76" s="714"/>
      <c r="V76" s="718"/>
      <c r="W76" s="718" t="s">
        <v>864</v>
      </c>
      <c r="X76" s="718"/>
      <c r="Y76" s="719"/>
      <c r="Z76" s="714"/>
      <c r="AA76" s="720"/>
      <c r="AB76" s="714"/>
      <c r="AC76" s="717"/>
      <c r="AD76" s="717"/>
    </row>
    <row r="77" spans="1:30" ht="15" customHeight="1">
      <c r="A77" s="225">
        <v>69</v>
      </c>
      <c r="B77" s="217"/>
      <c r="C77" s="528" t="s">
        <v>2472</v>
      </c>
      <c r="D77" s="241"/>
      <c r="E77" s="241"/>
      <c r="F77" s="241"/>
      <c r="G77" s="241"/>
      <c r="H77" s="714" t="s">
        <v>2473</v>
      </c>
      <c r="I77" s="715"/>
      <c r="J77" s="714"/>
      <c r="K77" s="715"/>
      <c r="L77" s="714"/>
      <c r="M77" s="714"/>
      <c r="N77" s="714"/>
      <c r="O77" s="714"/>
      <c r="P77" s="716"/>
      <c r="Q77" s="714" t="s">
        <v>817</v>
      </c>
      <c r="R77" s="717"/>
      <c r="S77" s="714" t="s">
        <v>2262</v>
      </c>
      <c r="T77" s="717"/>
      <c r="U77" s="714"/>
      <c r="V77" s="718"/>
      <c r="W77" s="718" t="s">
        <v>864</v>
      </c>
      <c r="X77" s="718"/>
      <c r="Y77" s="719"/>
      <c r="Z77" s="714"/>
      <c r="AA77" s="720"/>
      <c r="AB77" s="714"/>
      <c r="AC77" s="717"/>
      <c r="AD77" s="717"/>
    </row>
    <row r="78" spans="1:30" ht="15" customHeight="1">
      <c r="A78" s="225">
        <v>70</v>
      </c>
      <c r="B78" s="217"/>
      <c r="C78" s="528" t="s">
        <v>2474</v>
      </c>
      <c r="D78" s="241"/>
      <c r="E78" s="241"/>
      <c r="F78" s="241"/>
      <c r="G78" s="241"/>
      <c r="H78" s="263" t="s">
        <v>2475</v>
      </c>
      <c r="I78" s="715"/>
      <c r="J78" s="714"/>
      <c r="K78" s="715"/>
      <c r="L78" s="714"/>
      <c r="M78" s="714"/>
      <c r="N78" s="714"/>
      <c r="O78" s="714"/>
      <c r="P78" s="716"/>
      <c r="Q78" s="714" t="s">
        <v>817</v>
      </c>
      <c r="R78" s="717"/>
      <c r="S78" s="714" t="s">
        <v>2262</v>
      </c>
      <c r="T78" s="717"/>
      <c r="U78" s="714"/>
      <c r="V78" s="718"/>
      <c r="W78" s="718" t="s">
        <v>864</v>
      </c>
      <c r="X78" s="718"/>
      <c r="Y78" s="719"/>
      <c r="Z78" s="714"/>
      <c r="AA78" s="720"/>
      <c r="AB78" s="714"/>
      <c r="AC78" s="717"/>
      <c r="AD78" s="717"/>
    </row>
    <row r="79" spans="1:30" ht="15" customHeight="1">
      <c r="A79" s="225">
        <v>71</v>
      </c>
      <c r="B79" s="217"/>
      <c r="C79" s="528" t="s">
        <v>2476</v>
      </c>
      <c r="D79" s="241"/>
      <c r="E79" s="241"/>
      <c r="F79" s="241"/>
      <c r="G79" s="241"/>
      <c r="H79" s="714" t="s">
        <v>2477</v>
      </c>
      <c r="I79" s="715"/>
      <c r="J79" s="714"/>
      <c r="K79" s="715"/>
      <c r="L79" s="714"/>
      <c r="M79" s="714"/>
      <c r="N79" s="714"/>
      <c r="O79" s="714"/>
      <c r="P79" s="716"/>
      <c r="Q79" s="714" t="s">
        <v>817</v>
      </c>
      <c r="R79" s="717"/>
      <c r="S79" s="714" t="s">
        <v>2262</v>
      </c>
      <c r="T79" s="717"/>
      <c r="U79" s="714"/>
      <c r="V79" s="718"/>
      <c r="W79" s="718" t="s">
        <v>864</v>
      </c>
      <c r="X79" s="718"/>
      <c r="Y79" s="719"/>
      <c r="Z79" s="714"/>
      <c r="AA79" s="720"/>
      <c r="AB79" s="714"/>
      <c r="AC79" s="717"/>
      <c r="AD79" s="717"/>
    </row>
    <row r="80" spans="1:30" ht="15" customHeight="1">
      <c r="A80" s="225">
        <v>72</v>
      </c>
      <c r="B80" s="217"/>
      <c r="C80" s="528" t="s">
        <v>2478</v>
      </c>
      <c r="D80" s="241"/>
      <c r="E80" s="241"/>
      <c r="F80" s="241"/>
      <c r="G80" s="241"/>
      <c r="H80" s="263" t="s">
        <v>2479</v>
      </c>
      <c r="I80" s="715"/>
      <c r="J80" s="714"/>
      <c r="K80" s="715"/>
      <c r="L80" s="714"/>
      <c r="M80" s="714"/>
      <c r="N80" s="714"/>
      <c r="O80" s="714"/>
      <c r="P80" s="716"/>
      <c r="Q80" s="714" t="s">
        <v>817</v>
      </c>
      <c r="R80" s="717"/>
      <c r="S80" s="714" t="s">
        <v>2262</v>
      </c>
      <c r="T80" s="717"/>
      <c r="U80" s="714"/>
      <c r="V80" s="718"/>
      <c r="W80" s="718" t="s">
        <v>864</v>
      </c>
      <c r="X80" s="718"/>
      <c r="Y80" s="719"/>
      <c r="Z80" s="714"/>
      <c r="AA80" s="720"/>
      <c r="AB80" s="714"/>
      <c r="AC80" s="717"/>
      <c r="AD80" s="717"/>
    </row>
    <row r="81" spans="1:30" ht="15" customHeight="1">
      <c r="A81" s="225">
        <v>73</v>
      </c>
      <c r="B81" s="217"/>
      <c r="C81" s="528" t="s">
        <v>2480</v>
      </c>
      <c r="D81" s="241"/>
      <c r="E81" s="241"/>
      <c r="F81" s="241"/>
      <c r="G81" s="241"/>
      <c r="H81" s="714" t="s">
        <v>2481</v>
      </c>
      <c r="I81" s="715"/>
      <c r="J81" s="714"/>
      <c r="K81" s="715"/>
      <c r="L81" s="714"/>
      <c r="M81" s="714"/>
      <c r="N81" s="714"/>
      <c r="O81" s="714"/>
      <c r="P81" s="716"/>
      <c r="Q81" s="714" t="s">
        <v>817</v>
      </c>
      <c r="R81" s="717"/>
      <c r="S81" s="714" t="s">
        <v>2262</v>
      </c>
      <c r="T81" s="717"/>
      <c r="U81" s="714"/>
      <c r="V81" s="718"/>
      <c r="W81" s="718" t="s">
        <v>864</v>
      </c>
      <c r="X81" s="718"/>
      <c r="Y81" s="719"/>
      <c r="Z81" s="714"/>
      <c r="AA81" s="720"/>
      <c r="AB81" s="714"/>
      <c r="AC81" s="717"/>
      <c r="AD81" s="717"/>
    </row>
    <row r="82" spans="1:30" ht="15" customHeight="1">
      <c r="A82" s="225">
        <v>74</v>
      </c>
      <c r="B82" s="217"/>
      <c r="C82" s="528" t="s">
        <v>2482</v>
      </c>
      <c r="D82" s="241"/>
      <c r="E82" s="241"/>
      <c r="F82" s="241"/>
      <c r="G82" s="241"/>
      <c r="H82" s="714" t="s">
        <v>2483</v>
      </c>
      <c r="I82" s="715"/>
      <c r="J82" s="714"/>
      <c r="K82" s="715"/>
      <c r="L82" s="714"/>
      <c r="M82" s="714"/>
      <c r="N82" s="714"/>
      <c r="O82" s="714"/>
      <c r="P82" s="716"/>
      <c r="Q82" s="714" t="s">
        <v>817</v>
      </c>
      <c r="R82" s="717"/>
      <c r="S82" s="714" t="s">
        <v>2262</v>
      </c>
      <c r="T82" s="717"/>
      <c r="U82" s="714"/>
      <c r="V82" s="718"/>
      <c r="W82" s="718" t="s">
        <v>864</v>
      </c>
      <c r="X82" s="718"/>
      <c r="Y82" s="719"/>
      <c r="Z82" s="714"/>
      <c r="AA82" s="720"/>
      <c r="AB82" s="714"/>
      <c r="AC82" s="717"/>
      <c r="AD82" s="717"/>
    </row>
    <row r="83" spans="1:30" ht="15" customHeight="1">
      <c r="A83" s="225">
        <v>75</v>
      </c>
      <c r="B83" s="216" t="s">
        <v>2484</v>
      </c>
      <c r="C83" s="530"/>
      <c r="D83" s="529"/>
      <c r="E83" s="529"/>
      <c r="F83" s="529"/>
      <c r="G83" s="529"/>
      <c r="H83" s="735"/>
      <c r="I83" s="736"/>
      <c r="J83" s="735"/>
      <c r="K83" s="715" t="s">
        <v>1559</v>
      </c>
      <c r="L83" s="714"/>
      <c r="M83" s="714"/>
      <c r="N83" s="714"/>
      <c r="O83" s="714"/>
      <c r="P83" s="716"/>
      <c r="Q83" s="714"/>
      <c r="R83" s="717"/>
      <c r="S83" s="714"/>
      <c r="T83" s="717"/>
      <c r="U83" s="714"/>
      <c r="V83" s="718"/>
      <c r="W83" s="718"/>
      <c r="X83" s="738"/>
      <c r="Y83" s="719"/>
      <c r="Z83" s="714"/>
      <c r="AA83" s="720"/>
      <c r="AB83" s="714"/>
      <c r="AC83" s="717"/>
      <c r="AD83" s="717"/>
    </row>
    <row r="84" spans="1:30" ht="15" customHeight="1">
      <c r="A84" s="225">
        <v>76</v>
      </c>
      <c r="B84" s="216"/>
      <c r="C84" s="216" t="s">
        <v>2485</v>
      </c>
      <c r="D84" s="530"/>
      <c r="E84" s="529"/>
      <c r="F84" s="529"/>
      <c r="G84" s="529"/>
      <c r="H84" s="735"/>
      <c r="I84" s="736"/>
      <c r="J84" s="735"/>
      <c r="K84" s="715" t="s">
        <v>2486</v>
      </c>
      <c r="L84" s="714"/>
      <c r="M84" s="714"/>
      <c r="N84" s="714"/>
      <c r="O84" s="714"/>
      <c r="P84" s="716"/>
      <c r="Q84" s="714" t="s">
        <v>817</v>
      </c>
      <c r="R84" s="717" t="s">
        <v>864</v>
      </c>
      <c r="S84" s="715" t="s">
        <v>2487</v>
      </c>
      <c r="T84" s="717"/>
      <c r="U84" s="714"/>
      <c r="V84" s="718"/>
      <c r="W84" s="718"/>
      <c r="X84" s="738"/>
      <c r="Y84" s="719"/>
      <c r="Z84" s="714"/>
      <c r="AA84" s="720"/>
      <c r="AB84" s="714"/>
      <c r="AC84" s="717"/>
      <c r="AD84" s="717"/>
    </row>
    <row r="85" spans="1:30" ht="15" customHeight="1">
      <c r="A85" s="225">
        <v>77</v>
      </c>
      <c r="B85" s="217"/>
      <c r="C85" s="219"/>
      <c r="D85" s="241" t="s">
        <v>1556</v>
      </c>
      <c r="E85" s="241"/>
      <c r="F85" s="241"/>
      <c r="G85" s="241"/>
      <c r="H85" s="714" t="s">
        <v>2348</v>
      </c>
      <c r="I85" s="715"/>
      <c r="J85" s="714"/>
      <c r="K85" s="715" t="s">
        <v>970</v>
      </c>
      <c r="L85" s="714"/>
      <c r="M85" s="714"/>
      <c r="N85" s="714"/>
      <c r="O85" s="714"/>
      <c r="P85" s="716"/>
      <c r="Q85" s="714"/>
      <c r="R85" s="717"/>
      <c r="S85" s="714"/>
      <c r="T85" s="717"/>
      <c r="U85" s="714"/>
      <c r="V85" s="718"/>
      <c r="W85" s="718"/>
      <c r="X85" s="738"/>
      <c r="Y85" s="719"/>
      <c r="Z85" s="714"/>
      <c r="AA85" s="720"/>
      <c r="AB85" s="714"/>
      <c r="AC85" s="717"/>
      <c r="AD85" s="717"/>
    </row>
    <row r="86" spans="1:30" ht="15" customHeight="1">
      <c r="A86" s="225">
        <v>78</v>
      </c>
      <c r="B86" s="217"/>
      <c r="C86" s="217"/>
      <c r="D86" s="219" t="s">
        <v>2488</v>
      </c>
      <c r="E86" s="241"/>
      <c r="F86" s="241"/>
      <c r="G86" s="241"/>
      <c r="H86" s="714"/>
      <c r="I86" s="715"/>
      <c r="J86" s="714"/>
      <c r="K86" s="715" t="s">
        <v>1575</v>
      </c>
      <c r="L86" s="714"/>
      <c r="M86" s="714"/>
      <c r="N86" s="714"/>
      <c r="O86" s="714"/>
      <c r="P86" s="716"/>
      <c r="Q86" s="714" t="s">
        <v>817</v>
      </c>
      <c r="R86" s="717"/>
      <c r="S86" s="714"/>
      <c r="T86" s="717"/>
      <c r="U86" s="714"/>
      <c r="V86" s="718"/>
      <c r="W86" s="718"/>
      <c r="X86" s="738"/>
      <c r="Y86" s="719"/>
      <c r="Z86" s="714"/>
      <c r="AA86" s="720"/>
      <c r="AB86" s="714"/>
      <c r="AC86" s="717"/>
      <c r="AD86" s="717"/>
    </row>
    <row r="87" spans="1:30" ht="15" customHeight="1">
      <c r="A87" s="225">
        <v>79</v>
      </c>
      <c r="B87" s="217"/>
      <c r="C87" s="217"/>
      <c r="D87" s="219" t="s">
        <v>2489</v>
      </c>
      <c r="E87" s="241"/>
      <c r="F87" s="241"/>
      <c r="G87" s="241"/>
      <c r="H87" s="714"/>
      <c r="I87" s="715"/>
      <c r="J87" s="714"/>
      <c r="K87" s="715" t="s">
        <v>1578</v>
      </c>
      <c r="L87" s="714"/>
      <c r="M87" s="714"/>
      <c r="N87" s="714"/>
      <c r="O87" s="714"/>
      <c r="P87" s="716"/>
      <c r="Q87" s="714" t="s">
        <v>817</v>
      </c>
      <c r="R87" s="717" t="s">
        <v>864</v>
      </c>
      <c r="S87" s="379" t="s">
        <v>1578</v>
      </c>
      <c r="T87" s="717"/>
      <c r="U87" s="714"/>
      <c r="V87" s="718"/>
      <c r="W87" s="718"/>
      <c r="X87" s="738"/>
      <c r="Y87" s="719"/>
      <c r="Z87" s="714"/>
      <c r="AA87" s="720"/>
      <c r="AB87" s="714"/>
      <c r="AC87" s="717"/>
      <c r="AD87" s="717"/>
    </row>
    <row r="88" spans="1:30" ht="15" customHeight="1">
      <c r="A88" s="225">
        <v>80</v>
      </c>
      <c r="B88" s="217"/>
      <c r="C88" s="217"/>
      <c r="D88" s="219"/>
      <c r="E88" s="219" t="s">
        <v>1669</v>
      </c>
      <c r="F88" s="241"/>
      <c r="G88" s="241"/>
      <c r="H88" s="714"/>
      <c r="I88" s="715"/>
      <c r="J88" s="714"/>
      <c r="K88" s="715" t="s">
        <v>2370</v>
      </c>
      <c r="L88" s="714"/>
      <c r="M88" s="714"/>
      <c r="N88" s="714"/>
      <c r="O88" s="714"/>
      <c r="P88" s="716"/>
      <c r="Q88" s="714" t="s">
        <v>817</v>
      </c>
      <c r="R88" s="717"/>
      <c r="S88" s="714"/>
      <c r="T88" s="717"/>
      <c r="U88" s="714"/>
      <c r="V88" s="718"/>
      <c r="W88" s="718"/>
      <c r="X88" s="738"/>
      <c r="Y88" s="719"/>
      <c r="Z88" s="714"/>
      <c r="AA88" s="720"/>
      <c r="AB88" s="714"/>
      <c r="AC88" s="717"/>
      <c r="AD88" s="717"/>
    </row>
    <row r="89" spans="1:30" ht="15" customHeight="1">
      <c r="A89" s="225">
        <v>81</v>
      </c>
      <c r="B89" s="217"/>
      <c r="C89" s="217"/>
      <c r="D89" s="219"/>
      <c r="E89" s="219" t="s">
        <v>1674</v>
      </c>
      <c r="F89" s="241"/>
      <c r="G89" s="241"/>
      <c r="H89" s="714"/>
      <c r="I89" s="715"/>
      <c r="J89" s="714"/>
      <c r="K89" s="715" t="s">
        <v>1677</v>
      </c>
      <c r="L89" s="714"/>
      <c r="M89" s="714"/>
      <c r="N89" s="714"/>
      <c r="O89" s="714"/>
      <c r="P89" s="716"/>
      <c r="Q89" s="714" t="s">
        <v>817</v>
      </c>
      <c r="R89" s="717"/>
      <c r="S89" s="714"/>
      <c r="T89" s="717"/>
      <c r="U89" s="714"/>
      <c r="V89" s="718"/>
      <c r="W89" s="718"/>
      <c r="X89" s="738"/>
      <c r="Y89" s="719"/>
      <c r="Z89" s="714"/>
      <c r="AA89" s="720"/>
      <c r="AB89" s="714"/>
      <c r="AC89" s="717"/>
      <c r="AD89" s="717"/>
    </row>
    <row r="90" spans="1:30" ht="15" customHeight="1">
      <c r="A90" s="225">
        <v>82</v>
      </c>
      <c r="B90" s="217"/>
      <c r="C90" s="219"/>
      <c r="D90" s="241"/>
      <c r="E90" s="219" t="s">
        <v>1568</v>
      </c>
      <c r="F90" s="241"/>
      <c r="G90" s="241"/>
      <c r="H90" s="714"/>
      <c r="I90" s="715"/>
      <c r="J90" s="714"/>
      <c r="K90" s="715" t="s">
        <v>1680</v>
      </c>
      <c r="L90" s="714"/>
      <c r="M90" s="714"/>
      <c r="N90" s="714"/>
      <c r="O90" s="714"/>
      <c r="P90" s="716"/>
      <c r="Q90" s="714" t="s">
        <v>817</v>
      </c>
      <c r="R90" s="717"/>
      <c r="S90" s="714"/>
      <c r="T90" s="717"/>
      <c r="U90" s="714"/>
      <c r="V90" s="718"/>
      <c r="W90" s="718"/>
      <c r="X90" s="738"/>
      <c r="Y90" s="719"/>
      <c r="Z90" s="714"/>
      <c r="AA90" s="720"/>
      <c r="AB90" s="714"/>
      <c r="AC90" s="717"/>
      <c r="AD90" s="717"/>
    </row>
    <row r="91" spans="1:30" ht="15" customHeight="1">
      <c r="A91" s="225">
        <v>80</v>
      </c>
      <c r="B91" s="217"/>
      <c r="C91" s="217" t="s">
        <v>2490</v>
      </c>
      <c r="D91" s="217"/>
      <c r="E91" s="241"/>
      <c r="F91" s="241"/>
      <c r="G91" s="241"/>
      <c r="H91" s="714"/>
      <c r="I91" s="715"/>
      <c r="J91" s="714"/>
      <c r="K91" s="715" t="s">
        <v>2491</v>
      </c>
      <c r="L91" s="714"/>
      <c r="M91" s="714"/>
      <c r="N91" s="714"/>
      <c r="O91" s="714"/>
      <c r="P91" s="716"/>
      <c r="Q91" s="714" t="s">
        <v>817</v>
      </c>
      <c r="R91" s="717"/>
      <c r="S91" s="714" t="s">
        <v>879</v>
      </c>
      <c r="T91" s="717"/>
      <c r="U91" s="714"/>
      <c r="V91" s="718"/>
      <c r="W91" s="718" t="s">
        <v>864</v>
      </c>
      <c r="X91" s="718"/>
      <c r="Y91" s="719"/>
      <c r="Z91" s="714"/>
      <c r="AA91" s="720"/>
      <c r="AB91" s="714"/>
      <c r="AC91" s="717"/>
      <c r="AD91" s="717"/>
    </row>
    <row r="92" spans="1:30" ht="15" customHeight="1">
      <c r="A92" s="225">
        <v>81</v>
      </c>
      <c r="B92" s="217"/>
      <c r="C92" s="217" t="s">
        <v>2492</v>
      </c>
      <c r="D92" s="217"/>
      <c r="E92" s="241"/>
      <c r="F92" s="241"/>
      <c r="G92" s="241"/>
      <c r="H92" s="714"/>
      <c r="I92" s="715"/>
      <c r="J92" s="714"/>
      <c r="K92" s="715" t="s">
        <v>2493</v>
      </c>
      <c r="L92" s="714"/>
      <c r="M92" s="714"/>
      <c r="N92" s="714"/>
      <c r="O92" s="714"/>
      <c r="P92" s="716"/>
      <c r="Q92" s="714" t="s">
        <v>817</v>
      </c>
      <c r="R92" s="717"/>
      <c r="S92" s="714" t="s">
        <v>879</v>
      </c>
      <c r="T92" s="717"/>
      <c r="U92" s="714"/>
      <c r="V92" s="718"/>
      <c r="W92" s="718" t="s">
        <v>864</v>
      </c>
      <c r="X92" s="718"/>
      <c r="Y92" s="719"/>
      <c r="Z92" s="714"/>
      <c r="AA92" s="720"/>
      <c r="AB92" s="714"/>
      <c r="AC92" s="717"/>
      <c r="AD92" s="717"/>
    </row>
    <row r="93" spans="1:30" ht="16.5" customHeight="1">
      <c r="A93" s="225">
        <f>SUBTOTAL(103,createCase215[ID])</f>
        <v>84</v>
      </c>
      <c r="B93" s="224"/>
      <c r="C93" s="225">
        <f>SUBTOTAL(103,createCase215[Donnée (Niveau 2)])</f>
        <v>34</v>
      </c>
      <c r="D93" s="225">
        <f>SUBTOTAL(103,createCase215[Donnée (Niveau 3)])</f>
        <v>34</v>
      </c>
      <c r="E93" s="225">
        <f>SUBTOTAL(103,createCase215[Donnée (Niveau 4)])</f>
        <v>6</v>
      </c>
      <c r="F93" s="225">
        <f>SUBTOTAL(103,createCase215[Donnée (Niveau 5)])</f>
        <v>0</v>
      </c>
      <c r="G93" s="225">
        <f>SUBTOTAL(103,createCase215[Donnée (Niveau 6)])</f>
        <v>0</v>
      </c>
      <c r="H93" s="225">
        <f>SUBTOTAL(103,createCase215[Description])</f>
        <v>35</v>
      </c>
      <c r="I93" s="225">
        <f>SUBTOTAL(103,createCase215[Exemples])</f>
        <v>20</v>
      </c>
      <c r="J93" s="225">
        <f>SUBTOTAL(103,createCase215[Balise NexSIS])</f>
        <v>3</v>
      </c>
      <c r="K93" s="239">
        <f>SUBTOTAL(103,createCase215[Nouvelle balise])</f>
        <v>75</v>
      </c>
      <c r="L93" s="225">
        <f>SUBTOTAL(103,createCase215[Nantes - balise])</f>
        <v>6</v>
      </c>
      <c r="M93" s="225">
        <f>SUBTOTAL(103,createCase215[Nantes - description])</f>
        <v>6</v>
      </c>
      <c r="N93" s="225">
        <f>SUBTOTAL(103,createCase215[GT399])</f>
        <v>0</v>
      </c>
      <c r="O93" s="225">
        <f>SUBTOTAL(103,createCase215[GT399 description])</f>
        <v>0</v>
      </c>
      <c r="P93" s="234">
        <f>SUBTOTAL(103,createCase215[Priorisation])</f>
        <v>1</v>
      </c>
      <c r="Q93" s="225"/>
      <c r="R93" s="225">
        <f>SUBTOTAL(103,createCase215[Objet])</f>
        <v>11</v>
      </c>
      <c r="S93" s="225">
        <f>SUBTOTAL(103,createCase215[Format (ou type)])</f>
        <v>74</v>
      </c>
      <c r="T93" s="274"/>
      <c r="U93" s="225"/>
      <c r="V93" s="225"/>
      <c r="W93" s="225"/>
      <c r="X93" s="225"/>
      <c r="Y93" s="271">
        <f>SUBTOTAL(103,createCase215[Commentaire Hub Santé])</f>
        <v>0</v>
      </c>
      <c r="Z93" s="225">
        <f>SUBTOTAL(103,createCase215[Commentaire Philippe Dreyfus])</f>
        <v>0</v>
      </c>
      <c r="AA93" s="239"/>
      <c r="AB93" s="225">
        <f>SUBTOTAL(103,createCase215[Commentaire Yann Penverne])</f>
        <v>0</v>
      </c>
      <c r="AC93" s="225">
        <f>SUBTOTAL(103,createCase215[NexSIS])-COUNTIFS(createCase215[NexSIS],"=X")</f>
        <v>0</v>
      </c>
      <c r="AD93" s="225">
        <f>SUBTOTAL(103,createCase215[Métier])-COUNTIFS(createCase215[Métier],"=X")</f>
        <v>0</v>
      </c>
    </row>
    <row r="94" spans="1:30" ht="12" customHeight="1">
      <c r="A94" s="3"/>
      <c r="B94" s="3"/>
      <c r="C94" s="131"/>
      <c r="D94" s="131"/>
      <c r="E94" s="131"/>
      <c r="F94" s="131"/>
      <c r="G94" s="5"/>
      <c r="H94" s="155"/>
      <c r="J94" s="5"/>
      <c r="K94" s="155"/>
      <c r="L94" s="5"/>
      <c r="M94" s="5"/>
      <c r="N94" s="5"/>
      <c r="O94" s="5"/>
      <c r="P94" s="188"/>
      <c r="Q94" s="5"/>
      <c r="R94" s="5"/>
      <c r="S94" s="5"/>
      <c r="T94" s="56"/>
      <c r="U94" s="56"/>
      <c r="V94" s="56"/>
      <c r="W94" s="56"/>
      <c r="X94" s="56"/>
      <c r="Y94" s="178"/>
      <c r="Z94" s="5"/>
      <c r="AB94" s="56"/>
      <c r="AC94" s="128"/>
      <c r="AD94" s="56"/>
    </row>
    <row r="95" spans="1:30" ht="12" customHeight="1">
      <c r="A95" s="129"/>
      <c r="B95" s="129"/>
      <c r="C95" s="129"/>
      <c r="D95" s="129"/>
      <c r="E95" s="129"/>
      <c r="F95" s="129"/>
      <c r="AC95" s="128"/>
    </row>
    <row r="96" spans="1:30" ht="12" customHeight="1">
      <c r="G96" s="128"/>
      <c r="H96" s="128"/>
      <c r="I96" s="224"/>
      <c r="J96" s="128"/>
      <c r="K96" s="128"/>
      <c r="L96" s="128"/>
      <c r="M96" s="128"/>
      <c r="N96" s="128"/>
      <c r="O96" s="128"/>
      <c r="P96" s="174"/>
      <c r="Q96" s="128"/>
      <c r="AC96" s="128"/>
    </row>
    <row r="97" spans="1:1016" ht="12" customHeight="1">
      <c r="G97" s="128"/>
      <c r="H97" s="128"/>
      <c r="I97" s="224"/>
      <c r="J97" s="128"/>
      <c r="K97" s="128"/>
      <c r="L97" s="128"/>
      <c r="M97" s="128"/>
      <c r="N97" s="128"/>
      <c r="O97" s="128"/>
      <c r="P97" s="174"/>
      <c r="Q97" s="128"/>
      <c r="AC97" s="128"/>
    </row>
    <row r="98" spans="1:1016" ht="12" customHeight="1">
      <c r="G98" s="128"/>
      <c r="H98" s="128"/>
      <c r="I98" s="224"/>
      <c r="J98" s="128"/>
      <c r="K98" s="128"/>
      <c r="L98" s="128"/>
      <c r="M98" s="128"/>
      <c r="N98" s="128"/>
      <c r="O98" s="128"/>
      <c r="P98" s="174"/>
      <c r="Q98" s="128"/>
      <c r="AC98" s="128"/>
    </row>
    <row r="99" spans="1:1016" ht="12" customHeight="1">
      <c r="G99" s="128"/>
      <c r="H99" s="128"/>
      <c r="I99" s="224"/>
      <c r="J99" s="128"/>
      <c r="K99" s="128"/>
      <c r="L99" s="128"/>
      <c r="M99" s="128"/>
      <c r="N99" s="128"/>
      <c r="O99" s="128"/>
      <c r="P99" s="174"/>
      <c r="Q99" s="128"/>
      <c r="AC99" s="128"/>
    </row>
    <row r="100" spans="1:1016" ht="12" customHeight="1">
      <c r="G100" s="128"/>
      <c r="H100" s="128"/>
      <c r="I100" s="224"/>
      <c r="J100" s="128"/>
      <c r="K100" s="128"/>
      <c r="L100" s="128"/>
      <c r="M100" s="128"/>
      <c r="N100" s="128"/>
      <c r="O100" s="128"/>
      <c r="P100" s="174"/>
      <c r="Q100" s="128"/>
    </row>
    <row r="101" spans="1:1016" ht="12" customHeight="1">
      <c r="AA101" s="161"/>
      <c r="AC101" s="117"/>
    </row>
    <row r="102" spans="1:1016" ht="12" customHeight="1">
      <c r="A102" s="117"/>
      <c r="B102" s="117"/>
      <c r="C102" s="117"/>
      <c r="D102" s="117"/>
      <c r="E102" s="117"/>
      <c r="F102" s="117"/>
      <c r="G102" s="117"/>
      <c r="H102" s="117"/>
      <c r="I102" s="251"/>
      <c r="J102" s="117"/>
      <c r="K102" s="117"/>
      <c r="L102" s="117"/>
      <c r="M102" s="117"/>
      <c r="N102" s="117"/>
      <c r="O102" s="117"/>
      <c r="P102" s="189"/>
      <c r="Q102" s="117"/>
    </row>
    <row r="103" spans="1:1016" ht="12" customHeight="1">
      <c r="R103" s="112"/>
      <c r="S103" s="112"/>
      <c r="T103" s="125"/>
      <c r="U103" s="112"/>
      <c r="V103" s="112"/>
      <c r="W103" s="112"/>
      <c r="X103" s="112"/>
      <c r="Y103" s="180"/>
      <c r="Z103" s="112"/>
      <c r="AB103" s="112"/>
      <c r="AD103" s="112"/>
    </row>
    <row r="104" spans="1:1016" ht="12" customHeight="1"/>
    <row r="105" spans="1:1016" ht="12" customHeight="1"/>
    <row r="106" spans="1:1016" ht="12" customHeight="1"/>
    <row r="107" spans="1:1016" ht="12" customHeight="1"/>
    <row r="108" spans="1:1016" s="117" customFormat="1" ht="12" customHeight="1">
      <c r="A108" s="128"/>
      <c r="B108" s="128"/>
      <c r="C108" s="128"/>
      <c r="D108" s="128"/>
      <c r="E108" s="128"/>
      <c r="F108" s="128"/>
      <c r="G108" s="96"/>
      <c r="H108" s="96"/>
      <c r="I108" s="225"/>
      <c r="J108" s="96"/>
      <c r="K108" s="159"/>
      <c r="L108" s="96"/>
      <c r="M108" s="96"/>
      <c r="N108" s="96"/>
      <c r="O108" s="96"/>
      <c r="P108" s="173"/>
      <c r="Q108" s="96"/>
      <c r="R108" s="96"/>
      <c r="S108" s="96"/>
      <c r="T108" s="278"/>
      <c r="U108" s="96"/>
      <c r="V108" s="96"/>
      <c r="W108" s="96"/>
      <c r="X108" s="96"/>
      <c r="Y108" s="179"/>
      <c r="Z108" s="96"/>
      <c r="AA108" s="159"/>
      <c r="AB108" s="96"/>
      <c r="AC108"/>
      <c r="AD108" s="96"/>
      <c r="AMB108"/>
    </row>
    <row r="109" spans="1:1016" s="117" customFormat="1" ht="12" customHeight="1">
      <c r="A109" s="128"/>
      <c r="B109" s="128"/>
      <c r="C109" s="128"/>
      <c r="D109" s="128"/>
      <c r="E109" s="128"/>
      <c r="F109" s="128"/>
      <c r="G109" s="96"/>
      <c r="H109" s="96"/>
      <c r="I109" s="225"/>
      <c r="J109" s="96"/>
      <c r="K109" s="159"/>
      <c r="L109" s="96"/>
      <c r="M109" s="96"/>
      <c r="N109" s="96"/>
      <c r="O109" s="96"/>
      <c r="P109" s="173"/>
      <c r="Q109" s="96"/>
      <c r="R109" s="96"/>
      <c r="S109" s="96"/>
      <c r="T109" s="278"/>
      <c r="U109" s="96"/>
      <c r="V109" s="96"/>
      <c r="W109" s="96"/>
      <c r="X109" s="96"/>
      <c r="Y109" s="179"/>
      <c r="Z109" s="96"/>
      <c r="AA109" s="159"/>
      <c r="AB109" s="96"/>
      <c r="AC109"/>
      <c r="AD109" s="96"/>
      <c r="AMB109"/>
    </row>
    <row r="110" spans="1:1016" s="117" customFormat="1" ht="12" customHeight="1">
      <c r="A110" s="128"/>
      <c r="B110" s="128"/>
      <c r="C110" s="128"/>
      <c r="D110" s="128"/>
      <c r="E110" s="128"/>
      <c r="F110" s="128"/>
      <c r="G110" s="96"/>
      <c r="H110" s="96"/>
      <c r="I110" s="225"/>
      <c r="J110" s="96"/>
      <c r="K110" s="159"/>
      <c r="L110" s="96"/>
      <c r="M110" s="96"/>
      <c r="N110" s="96"/>
      <c r="O110" s="96"/>
      <c r="P110" s="173"/>
      <c r="Q110" s="96"/>
      <c r="R110" s="96"/>
      <c r="S110" s="96"/>
      <c r="T110" s="278"/>
      <c r="U110" s="96"/>
      <c r="V110" s="96"/>
      <c r="W110" s="96"/>
      <c r="X110" s="96"/>
      <c r="Y110" s="179"/>
      <c r="Z110" s="96"/>
      <c r="AA110" s="159"/>
      <c r="AB110" s="96"/>
      <c r="AC110"/>
      <c r="AD110" s="96"/>
      <c r="AMB110"/>
    </row>
    <row r="111" spans="1:1016" s="117" customFormat="1" ht="12" customHeight="1">
      <c r="A111" s="128"/>
      <c r="B111" s="128"/>
      <c r="C111" s="128"/>
      <c r="D111" s="128"/>
      <c r="E111" s="128"/>
      <c r="F111" s="128"/>
      <c r="G111" s="96"/>
      <c r="H111" s="96"/>
      <c r="I111" s="225"/>
      <c r="J111" s="96"/>
      <c r="K111" s="159"/>
      <c r="L111" s="96"/>
      <c r="M111" s="96"/>
      <c r="N111" s="96"/>
      <c r="O111" s="96"/>
      <c r="P111" s="173"/>
      <c r="Q111" s="96"/>
      <c r="R111" s="96"/>
      <c r="S111" s="96"/>
      <c r="T111" s="278"/>
      <c r="U111" s="96"/>
      <c r="V111" s="96"/>
      <c r="W111" s="96"/>
      <c r="X111" s="96"/>
      <c r="Y111" s="179"/>
      <c r="Z111" s="96"/>
      <c r="AA111" s="159"/>
      <c r="AB111" s="96"/>
      <c r="AC111"/>
      <c r="AD111" s="96"/>
      <c r="AMB111"/>
    </row>
    <row r="112" spans="1:1016" s="117" customFormat="1" ht="12" customHeight="1">
      <c r="A112" s="128"/>
      <c r="B112" s="128"/>
      <c r="C112" s="128"/>
      <c r="D112" s="128"/>
      <c r="E112" s="128"/>
      <c r="F112" s="128"/>
      <c r="G112" s="96"/>
      <c r="H112" s="96"/>
      <c r="I112" s="225"/>
      <c r="J112" s="96"/>
      <c r="K112" s="159"/>
      <c r="L112" s="96"/>
      <c r="M112" s="96"/>
      <c r="N112" s="96"/>
      <c r="O112" s="96"/>
      <c r="P112" s="173"/>
      <c r="Q112" s="96"/>
      <c r="R112" s="96"/>
      <c r="S112" s="96"/>
      <c r="T112" s="278"/>
      <c r="U112" s="96"/>
      <c r="V112" s="96"/>
      <c r="W112" s="96"/>
      <c r="X112" s="96"/>
      <c r="Y112" s="179"/>
      <c r="Z112" s="96"/>
      <c r="AA112" s="159"/>
      <c r="AB112" s="96"/>
      <c r="AC112"/>
      <c r="AD112" s="96"/>
      <c r="AMB112"/>
    </row>
    <row r="113" spans="1:1016" s="117" customFormat="1" ht="12" customHeight="1">
      <c r="A113" s="128"/>
      <c r="B113" s="128"/>
      <c r="C113" s="128"/>
      <c r="D113" s="128"/>
      <c r="E113" s="128"/>
      <c r="F113" s="128"/>
      <c r="G113" s="96"/>
      <c r="H113" s="96"/>
      <c r="I113" s="225"/>
      <c r="J113" s="96"/>
      <c r="K113" s="159"/>
      <c r="L113" s="96"/>
      <c r="M113" s="96"/>
      <c r="N113" s="96"/>
      <c r="O113" s="96"/>
      <c r="P113" s="173"/>
      <c r="Q113" s="96"/>
      <c r="R113" s="96"/>
      <c r="S113" s="96"/>
      <c r="T113" s="278"/>
      <c r="U113" s="96"/>
      <c r="V113" s="96"/>
      <c r="W113" s="96"/>
      <c r="X113" s="96"/>
      <c r="Y113" s="179"/>
      <c r="Z113" s="96"/>
      <c r="AA113" s="159"/>
      <c r="AB113" s="96"/>
      <c r="AC113"/>
      <c r="AD113" s="96"/>
      <c r="AMB113"/>
    </row>
    <row r="114" spans="1:1016" s="117" customFormat="1" ht="12" customHeight="1">
      <c r="A114" s="128"/>
      <c r="B114" s="128"/>
      <c r="C114" s="128"/>
      <c r="D114" s="128"/>
      <c r="E114" s="128"/>
      <c r="F114" s="128"/>
      <c r="G114" s="96"/>
      <c r="H114" s="96"/>
      <c r="I114" s="225"/>
      <c r="J114" s="96"/>
      <c r="K114" s="159"/>
      <c r="L114" s="96"/>
      <c r="M114" s="96"/>
      <c r="N114" s="96"/>
      <c r="O114" s="96"/>
      <c r="P114" s="173"/>
      <c r="Q114" s="96"/>
      <c r="R114" s="96"/>
      <c r="S114" s="96"/>
      <c r="T114" s="278"/>
      <c r="U114" s="96"/>
      <c r="V114" s="96"/>
      <c r="W114" s="96"/>
      <c r="X114" s="96"/>
      <c r="Y114" s="179"/>
      <c r="Z114" s="96"/>
      <c r="AA114" s="159"/>
      <c r="AB114" s="96"/>
      <c r="AC114"/>
      <c r="AD114" s="96"/>
      <c r="AMB114"/>
    </row>
    <row r="115" spans="1:1016" ht="12" customHeight="1">
      <c r="A115" s="130"/>
      <c r="B115" s="130"/>
      <c r="C115" s="130"/>
      <c r="D115" s="130"/>
      <c r="E115" s="130"/>
      <c r="F115" s="130"/>
    </row>
    <row r="116" spans="1:1016" ht="12" customHeight="1">
      <c r="A116" s="130"/>
      <c r="B116" s="130"/>
      <c r="C116" s="130"/>
      <c r="D116" s="130"/>
      <c r="E116" s="130"/>
      <c r="F116" s="130"/>
    </row>
    <row r="117" spans="1:1016" ht="12" customHeight="1">
      <c r="A117" s="130"/>
      <c r="B117" s="130"/>
      <c r="C117" s="130"/>
      <c r="D117" s="130"/>
      <c r="E117" s="130"/>
      <c r="F117" s="130"/>
    </row>
    <row r="118" spans="1:1016" ht="12" customHeight="1">
      <c r="A118" s="130"/>
      <c r="B118" s="130"/>
      <c r="C118" s="130"/>
      <c r="D118" s="130"/>
      <c r="E118" s="130"/>
      <c r="F118" s="130"/>
    </row>
    <row r="119" spans="1:1016" ht="12" customHeight="1">
      <c r="A119" s="130"/>
      <c r="B119" s="130"/>
      <c r="C119" s="130"/>
      <c r="D119" s="130"/>
      <c r="E119" s="130"/>
      <c r="F119" s="130"/>
    </row>
    <row r="120" spans="1:1016" ht="12" customHeight="1">
      <c r="A120" s="130"/>
      <c r="B120" s="130"/>
      <c r="C120" s="130"/>
      <c r="D120" s="130"/>
      <c r="E120" s="130"/>
      <c r="F120" s="130"/>
    </row>
    <row r="121" spans="1:1016" ht="12" customHeight="1">
      <c r="A121" s="130"/>
      <c r="B121" s="130"/>
      <c r="C121" s="130"/>
      <c r="D121" s="130"/>
      <c r="E121" s="130"/>
      <c r="F121" s="130"/>
    </row>
    <row r="122" spans="1:1016">
      <c r="A122" s="130"/>
      <c r="B122" s="130"/>
      <c r="C122" s="130"/>
      <c r="D122" s="130"/>
      <c r="E122" s="130"/>
      <c r="F122" s="130"/>
    </row>
    <row r="123" spans="1:1016">
      <c r="A123" s="129"/>
      <c r="B123" s="129"/>
      <c r="C123" s="129"/>
      <c r="D123" s="129"/>
      <c r="E123" s="129"/>
      <c r="F123" s="129"/>
    </row>
    <row r="124" spans="1:1016">
      <c r="A124" s="129"/>
      <c r="B124" s="129"/>
      <c r="C124" s="129"/>
      <c r="D124" s="129"/>
      <c r="E124" s="129"/>
      <c r="F124" s="129"/>
    </row>
    <row r="125" spans="1:1016">
      <c r="A125" s="129"/>
      <c r="B125" s="129"/>
      <c r="C125" s="129"/>
      <c r="D125" s="129"/>
      <c r="E125" s="129"/>
      <c r="F125" s="129"/>
    </row>
    <row r="126" spans="1:1016">
      <c r="A126" s="129"/>
      <c r="B126" s="129"/>
      <c r="C126" s="129"/>
      <c r="D126" s="129"/>
      <c r="E126" s="129"/>
      <c r="F126" s="129"/>
    </row>
    <row r="127" spans="1:1016">
      <c r="A127" s="129"/>
      <c r="B127" s="129"/>
      <c r="C127" s="129"/>
      <c r="D127" s="129"/>
      <c r="E127" s="129"/>
      <c r="F127" s="129"/>
    </row>
    <row r="128" spans="1:1016">
      <c r="A128" s="129"/>
      <c r="B128" s="129"/>
      <c r="C128" s="129"/>
      <c r="D128" s="129"/>
      <c r="E128" s="129"/>
      <c r="F128" s="129"/>
    </row>
    <row r="129" spans="1:30">
      <c r="A129" s="129"/>
      <c r="B129" s="129"/>
      <c r="C129" s="129"/>
      <c r="D129" s="129"/>
      <c r="E129" s="129"/>
      <c r="F129" s="129"/>
    </row>
    <row r="130" spans="1:30">
      <c r="A130" s="129"/>
      <c r="B130" s="129"/>
      <c r="C130" s="129"/>
      <c r="D130" s="129"/>
      <c r="E130" s="129"/>
      <c r="F130" s="129"/>
      <c r="AA130" s="161"/>
      <c r="AC130" s="117"/>
    </row>
    <row r="131" spans="1:30">
      <c r="A131" s="130"/>
      <c r="B131" s="130"/>
      <c r="C131" s="130"/>
      <c r="D131" s="130"/>
      <c r="E131" s="130"/>
      <c r="F131" s="130"/>
      <c r="AA131" s="161"/>
      <c r="AC131" s="117"/>
    </row>
    <row r="132" spans="1:30">
      <c r="A132" s="123"/>
      <c r="B132" s="123"/>
      <c r="C132" s="123"/>
      <c r="D132" s="123"/>
      <c r="E132" s="123"/>
      <c r="F132" s="123"/>
      <c r="G132" s="112"/>
      <c r="H132" s="112"/>
      <c r="I132" s="277"/>
      <c r="J132" s="112"/>
      <c r="K132" s="161"/>
      <c r="L132" s="112"/>
      <c r="M132" s="112"/>
      <c r="N132" s="112"/>
      <c r="O132" s="112"/>
      <c r="P132" s="190"/>
      <c r="Q132" s="112"/>
      <c r="R132" s="112"/>
      <c r="S132" s="112"/>
      <c r="T132" s="125"/>
      <c r="U132" s="112"/>
      <c r="V132" s="112"/>
      <c r="W132" s="112"/>
      <c r="X132" s="112"/>
      <c r="Y132" s="180"/>
      <c r="Z132" s="112"/>
      <c r="AA132" s="161"/>
      <c r="AB132" s="112"/>
      <c r="AC132" s="117"/>
      <c r="AD132" s="112"/>
    </row>
    <row r="133" spans="1:30">
      <c r="A133" s="123"/>
      <c r="B133" s="123"/>
      <c r="C133" s="123"/>
      <c r="D133" s="123"/>
      <c r="E133" s="123"/>
      <c r="F133" s="123"/>
      <c r="G133" s="112"/>
      <c r="H133" s="112"/>
      <c r="I133" s="277"/>
      <c r="J133" s="112"/>
      <c r="K133" s="161"/>
      <c r="L133" s="112"/>
      <c r="M133" s="112"/>
      <c r="N133" s="112"/>
      <c r="O133" s="112"/>
      <c r="P133" s="190"/>
      <c r="Q133" s="112"/>
      <c r="R133" s="112"/>
      <c r="S133" s="112"/>
      <c r="T133" s="125"/>
      <c r="U133" s="112"/>
      <c r="V133" s="112"/>
      <c r="W133" s="112"/>
      <c r="X133" s="112"/>
      <c r="Y133" s="180"/>
      <c r="Z133" s="112"/>
      <c r="AA133" s="161"/>
      <c r="AB133" s="112"/>
      <c r="AC133" s="117"/>
      <c r="AD133" s="112"/>
    </row>
    <row r="134" spans="1:30">
      <c r="A134" s="123"/>
      <c r="B134" s="123"/>
      <c r="C134" s="123"/>
      <c r="D134" s="123"/>
      <c r="E134" s="123"/>
      <c r="F134" s="123"/>
      <c r="G134" s="112"/>
      <c r="H134" s="112"/>
      <c r="I134" s="277"/>
      <c r="J134" s="112"/>
      <c r="K134" s="161"/>
      <c r="L134" s="112"/>
      <c r="M134" s="112"/>
      <c r="N134" s="112"/>
      <c r="O134" s="112"/>
      <c r="P134" s="190"/>
      <c r="Q134" s="112"/>
      <c r="R134" s="112"/>
      <c r="S134" s="112"/>
      <c r="T134" s="125"/>
      <c r="U134" s="112"/>
      <c r="V134" s="112"/>
      <c r="W134" s="112"/>
      <c r="X134" s="112"/>
      <c r="Y134" s="180"/>
      <c r="Z134" s="112"/>
      <c r="AA134" s="161"/>
      <c r="AB134" s="112"/>
      <c r="AC134" s="117"/>
      <c r="AD134" s="112"/>
    </row>
    <row r="135" spans="1:30">
      <c r="A135" s="123"/>
      <c r="B135" s="123"/>
      <c r="C135" s="123"/>
      <c r="D135" s="123"/>
      <c r="E135" s="123"/>
      <c r="F135" s="123"/>
      <c r="G135" s="112"/>
      <c r="H135" s="112"/>
      <c r="I135" s="277"/>
      <c r="J135" s="112"/>
      <c r="K135" s="161"/>
      <c r="L135" s="112"/>
      <c r="M135" s="112"/>
      <c r="N135" s="112"/>
      <c r="O135" s="112"/>
      <c r="P135" s="190"/>
      <c r="Q135" s="112"/>
      <c r="R135" s="112"/>
      <c r="S135" s="112"/>
      <c r="T135" s="125"/>
      <c r="U135" s="112"/>
      <c r="V135" s="112"/>
      <c r="W135" s="112"/>
      <c r="X135" s="112"/>
      <c r="Y135" s="180"/>
      <c r="Z135" s="112"/>
      <c r="AA135" s="161"/>
      <c r="AB135" s="112"/>
      <c r="AC135" s="117"/>
      <c r="AD135" s="112"/>
    </row>
    <row r="136" spans="1:30">
      <c r="A136" s="123"/>
      <c r="B136" s="123"/>
      <c r="C136" s="123"/>
      <c r="D136" s="123"/>
      <c r="E136" s="123"/>
      <c r="F136" s="123"/>
      <c r="G136" s="112"/>
      <c r="H136" s="112"/>
      <c r="I136" s="277"/>
      <c r="J136" s="112"/>
      <c r="K136" s="161"/>
      <c r="L136" s="112"/>
      <c r="M136" s="112"/>
      <c r="N136" s="112"/>
      <c r="O136" s="112"/>
      <c r="P136" s="190"/>
      <c r="Q136" s="112"/>
      <c r="R136" s="112"/>
      <c r="S136" s="112"/>
      <c r="T136" s="125"/>
      <c r="U136" s="112"/>
      <c r="V136" s="112"/>
      <c r="W136" s="112"/>
      <c r="X136" s="112"/>
      <c r="Y136" s="180"/>
      <c r="Z136" s="112"/>
      <c r="AA136" s="161"/>
      <c r="AB136" s="112"/>
      <c r="AC136" s="117"/>
      <c r="AD136" s="112"/>
    </row>
    <row r="137" spans="1:30">
      <c r="A137" s="123"/>
      <c r="B137" s="123"/>
      <c r="C137" s="123"/>
      <c r="D137" s="123"/>
      <c r="E137" s="123"/>
      <c r="F137" s="123"/>
      <c r="G137" s="112"/>
      <c r="H137" s="112"/>
      <c r="I137" s="277"/>
      <c r="J137" s="112"/>
      <c r="K137" s="161"/>
      <c r="L137" s="112"/>
      <c r="M137" s="112"/>
      <c r="N137" s="112"/>
      <c r="O137" s="112"/>
      <c r="P137" s="190"/>
      <c r="Q137" s="112"/>
      <c r="R137" s="112"/>
      <c r="S137" s="112"/>
      <c r="T137" s="125"/>
      <c r="U137" s="112"/>
      <c r="V137" s="112"/>
      <c r="W137" s="112"/>
      <c r="X137" s="112"/>
      <c r="Y137" s="180"/>
      <c r="Z137" s="112"/>
      <c r="AB137" s="112"/>
      <c r="AD137" s="112"/>
    </row>
    <row r="138" spans="1:30">
      <c r="A138" s="123"/>
      <c r="B138" s="123"/>
      <c r="C138" s="123"/>
      <c r="D138" s="123"/>
      <c r="E138" s="123"/>
      <c r="F138" s="123"/>
      <c r="G138" s="112"/>
      <c r="H138" s="112"/>
      <c r="I138" s="277"/>
      <c r="J138" s="112"/>
      <c r="K138" s="161"/>
      <c r="L138" s="112"/>
      <c r="M138" s="112"/>
      <c r="N138" s="112"/>
      <c r="O138" s="112"/>
      <c r="P138" s="190"/>
      <c r="Q138" s="112"/>
      <c r="R138" s="112"/>
      <c r="S138" s="112"/>
      <c r="T138" s="125"/>
      <c r="U138" s="112"/>
      <c r="V138" s="112"/>
      <c r="W138" s="112"/>
      <c r="X138" s="112"/>
      <c r="Y138" s="180"/>
      <c r="Z138" s="112"/>
      <c r="AB138" s="112"/>
      <c r="AD138" s="112"/>
    </row>
    <row r="139" spans="1:30">
      <c r="A139" s="130"/>
      <c r="B139" s="130"/>
      <c r="C139" s="130"/>
      <c r="D139" s="130"/>
      <c r="E139" s="130"/>
      <c r="F139" s="130"/>
    </row>
    <row r="140" spans="1:30">
      <c r="A140" s="130"/>
      <c r="B140" s="130"/>
      <c r="C140" s="130"/>
      <c r="D140" s="130"/>
      <c r="E140" s="130"/>
      <c r="F140" s="130"/>
    </row>
    <row r="141" spans="1:30">
      <c r="A141" s="130"/>
      <c r="B141" s="130"/>
      <c r="C141" s="130"/>
      <c r="D141" s="130"/>
      <c r="E141" s="130"/>
      <c r="F141" s="130"/>
    </row>
    <row r="142" spans="1:30">
      <c r="A142" s="136"/>
      <c r="B142" s="136"/>
      <c r="C142" s="136"/>
      <c r="D142" s="136"/>
      <c r="E142" s="136"/>
      <c r="F142" s="136"/>
    </row>
    <row r="143" spans="1:30">
      <c r="A143" s="136"/>
      <c r="B143" s="136"/>
      <c r="C143" s="136"/>
      <c r="D143" s="136"/>
      <c r="E143" s="136"/>
      <c r="F143" s="136"/>
    </row>
  </sheetData>
  <mergeCells count="3">
    <mergeCell ref="L7:O7"/>
    <mergeCell ref="AC7:AD7"/>
    <mergeCell ref="V7:X7"/>
  </mergeCells>
  <conditionalFormatting sqref="A94:F95 A115:F955">
    <cfRule type="expression" dxfId="477" priority="269">
      <formula>OR($AD94="X",$AB94="X")</formula>
    </cfRule>
    <cfRule type="expression" dxfId="476" priority="270">
      <formula>AND($AD94=1,$AB94=1)</formula>
    </cfRule>
    <cfRule type="expression" dxfId="475" priority="271">
      <formula>$AD94=1</formula>
    </cfRule>
    <cfRule type="expression" dxfId="474" priority="272">
      <formula>$AB94=1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473" priority="268">
      <formula>$Q94="X"</formula>
    </cfRule>
  </conditionalFormatting>
  <conditionalFormatting sqref="Q9:Q92">
    <cfRule type="cellIs" dxfId="472" priority="1" operator="equal">
      <formula>"1..1"</formula>
    </cfRule>
    <cfRule type="cellIs" dxfId="471" priority="2" operator="equal">
      <formula>"0..n"</formula>
    </cfRule>
    <cfRule type="cellIs" dxfId="470"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workbookViewId="0">
      <selection activeCell="D25" sqref="D25"/>
    </sheetView>
  </sheetViews>
  <sheetFormatPr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2" style="96" customWidth="1"/>
    <col min="13" max="13" width="17.875" style="159" customWidth="1"/>
    <col min="14" max="15" width="4.875" style="96" hidden="1" customWidth="1"/>
    <col min="16" max="17" width="6.125" style="96" hidden="1" customWidth="1"/>
    <col min="18" max="18" width="6.625" style="173" hidden="1" customWidth="1"/>
    <col min="19" max="19" width="10.5" style="96" customWidth="1"/>
    <col min="20" max="20" width="6" style="96" customWidth="1"/>
    <col min="21" max="21" width="18.5" style="96" customWidth="1"/>
    <col min="22" max="22" width="12.625" style="278" customWidth="1"/>
    <col min="23" max="23" width="28.125" style="96" customWidth="1"/>
    <col min="24"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0" hidden="1" customWidth="1"/>
    <col min="32" max="32" width="8" style="96" hidden="1" customWidth="1"/>
    <col min="33" max="1013" width="9.5" style="128"/>
    <col min="1014" max="1014" width="9" style="128" customWidth="1"/>
    <col min="1015" max="1016" width="9" customWidth="1"/>
  </cols>
  <sheetData>
    <row r="1" spans="1:1014" ht="13.5" customHeight="1">
      <c r="A1" s="228" t="s">
        <v>2494</v>
      </c>
      <c r="C1" s="129" t="s">
        <v>813</v>
      </c>
      <c r="E1" s="150" t="s">
        <v>814</v>
      </c>
      <c r="G1" s="128"/>
      <c r="H1" s="128"/>
      <c r="I1" s="128"/>
      <c r="J1" s="128"/>
      <c r="K1" s="128"/>
      <c r="L1" s="128"/>
      <c r="Q1" s="693" t="s">
        <v>816</v>
      </c>
      <c r="R1" s="693"/>
      <c r="AE1" s="96"/>
      <c r="ALZ1"/>
    </row>
    <row r="2" spans="1:1014" ht="13.5" customHeight="1">
      <c r="C2" s="141" t="s">
        <v>818</v>
      </c>
      <c r="D2" s="285"/>
      <c r="E2" s="152" t="s">
        <v>819</v>
      </c>
      <c r="G2" s="128"/>
      <c r="H2" s="128"/>
      <c r="I2" s="128"/>
      <c r="J2" s="128"/>
      <c r="K2" s="128"/>
      <c r="L2" s="128"/>
      <c r="AE2" s="96"/>
      <c r="ALZ2"/>
    </row>
    <row r="3" spans="1:1014" ht="13.5" customHeight="1">
      <c r="C3" s="142" t="s">
        <v>821</v>
      </c>
      <c r="E3" s="151" t="s">
        <v>822</v>
      </c>
      <c r="G3" s="128"/>
      <c r="H3" s="128"/>
      <c r="I3" s="128"/>
      <c r="J3" s="128"/>
      <c r="K3" s="128"/>
      <c r="L3" s="128"/>
      <c r="AE3" s="96"/>
      <c r="ALZ3"/>
    </row>
    <row r="4" spans="1:1014" ht="13.5" customHeight="1">
      <c r="C4" s="143" t="s">
        <v>824</v>
      </c>
      <c r="E4" s="153" t="s">
        <v>825</v>
      </c>
      <c r="G4" s="128"/>
      <c r="H4" s="128"/>
      <c r="I4" s="128"/>
      <c r="J4" s="128"/>
      <c r="K4" s="128"/>
      <c r="L4" s="128"/>
      <c r="AE4" s="96"/>
      <c r="ALZ4"/>
    </row>
    <row r="5" spans="1:1014" s="149" customFormat="1" ht="13.5" customHeight="1">
      <c r="A5" s="128"/>
      <c r="B5" s="128"/>
      <c r="C5" s="145" t="s">
        <v>826</v>
      </c>
      <c r="D5" s="146"/>
      <c r="E5" s="291" t="s">
        <v>912</v>
      </c>
      <c r="F5" s="128"/>
      <c r="G5" s="128"/>
      <c r="H5" s="128"/>
      <c r="I5" s="128"/>
      <c r="J5" s="128"/>
      <c r="K5" s="128"/>
      <c r="L5" s="128"/>
      <c r="M5" s="160"/>
      <c r="N5" s="148"/>
      <c r="O5" s="148"/>
      <c r="P5" s="148"/>
      <c r="Q5" s="148"/>
      <c r="R5" s="186"/>
      <c r="S5" s="148"/>
      <c r="T5" s="148"/>
      <c r="U5" s="148"/>
      <c r="V5" s="280"/>
      <c r="W5" s="148"/>
      <c r="X5" s="148"/>
      <c r="Y5" s="148"/>
      <c r="Z5"/>
      <c r="AA5" s="181"/>
      <c r="AB5" s="148"/>
      <c r="AC5" s="160"/>
      <c r="AD5" s="148"/>
      <c r="AE5" s="148"/>
      <c r="AF5" s="148"/>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G6" s="128"/>
      <c r="H6" s="128"/>
      <c r="I6" s="128"/>
      <c r="J6" s="128"/>
      <c r="K6" s="128"/>
      <c r="L6" s="128"/>
      <c r="AE6" s="96"/>
      <c r="ALZ6"/>
    </row>
    <row r="7" spans="1:1014" ht="13.5" customHeight="1">
      <c r="A7"/>
      <c r="B7"/>
      <c r="C7" s="138"/>
      <c r="D7" s="378"/>
      <c r="E7" s="138"/>
      <c r="F7" s="138"/>
      <c r="N7" s="694" t="s">
        <v>828</v>
      </c>
      <c r="O7" s="694"/>
      <c r="P7" s="694"/>
      <c r="Q7" s="694"/>
      <c r="X7" s="695" t="s">
        <v>829</v>
      </c>
      <c r="Y7" s="695"/>
      <c r="AE7" s="694" t="s">
        <v>830</v>
      </c>
      <c r="AF7" s="694"/>
      <c r="ALZ7"/>
    </row>
    <row r="8" spans="1:1014" s="238" customFormat="1" ht="55.5" customHeight="1">
      <c r="A8" s="233" t="s">
        <v>831</v>
      </c>
      <c r="B8" s="382" t="s">
        <v>832</v>
      </c>
      <c r="C8" s="279" t="s">
        <v>833</v>
      </c>
      <c r="D8" s="279" t="s">
        <v>834</v>
      </c>
      <c r="E8" s="279" t="s">
        <v>835</v>
      </c>
      <c r="F8" s="279" t="s">
        <v>836</v>
      </c>
      <c r="G8" s="279" t="s">
        <v>837</v>
      </c>
      <c r="H8" s="279" t="s">
        <v>2495</v>
      </c>
      <c r="I8" s="279" t="s">
        <v>2496</v>
      </c>
      <c r="J8" s="234" t="s">
        <v>9</v>
      </c>
      <c r="K8" s="234" t="s">
        <v>838</v>
      </c>
      <c r="L8" s="234" t="s">
        <v>841</v>
      </c>
      <c r="M8" s="234" t="s">
        <v>842</v>
      </c>
      <c r="N8" s="235" t="s">
        <v>843</v>
      </c>
      <c r="O8" s="235" t="s">
        <v>844</v>
      </c>
      <c r="P8" s="235" t="s">
        <v>845</v>
      </c>
      <c r="Q8" s="235" t="s">
        <v>846</v>
      </c>
      <c r="R8" s="235" t="s">
        <v>847</v>
      </c>
      <c r="S8" s="234" t="s">
        <v>677</v>
      </c>
      <c r="T8" s="234" t="s">
        <v>3</v>
      </c>
      <c r="U8" s="234" t="s">
        <v>913</v>
      </c>
      <c r="V8" s="284" t="s">
        <v>914</v>
      </c>
      <c r="W8" s="234" t="s">
        <v>849</v>
      </c>
      <c r="X8" s="229" t="s">
        <v>1611</v>
      </c>
      <c r="Y8" s="229" t="s">
        <v>2497</v>
      </c>
      <c r="Z8" s="230" t="s">
        <v>852</v>
      </c>
      <c r="AA8" s="235" t="s">
        <v>853</v>
      </c>
      <c r="AB8" s="235" t="s">
        <v>854</v>
      </c>
      <c r="AC8" s="236" t="s">
        <v>855</v>
      </c>
      <c r="AD8" s="235" t="s">
        <v>856</v>
      </c>
      <c r="AE8" s="235" t="s">
        <v>857</v>
      </c>
      <c r="AF8" s="237" t="s">
        <v>915</v>
      </c>
    </row>
    <row r="9" spans="1:1014" s="224" customFormat="1" ht="13.5" customHeight="1">
      <c r="A9" s="225">
        <v>1</v>
      </c>
      <c r="B9" s="216" t="s">
        <v>2498</v>
      </c>
      <c r="C9" s="264"/>
      <c r="D9" s="264"/>
      <c r="E9" s="264"/>
      <c r="F9" s="264"/>
      <c r="G9" s="264"/>
      <c r="H9" s="264"/>
      <c r="I9" s="264"/>
      <c r="J9" s="269" t="s">
        <v>1544</v>
      </c>
      <c r="K9" s="715"/>
      <c r="L9" s="714"/>
      <c r="M9" s="715" t="s">
        <v>1545</v>
      </c>
      <c r="N9" s="714"/>
      <c r="O9" s="714"/>
      <c r="P9" s="714"/>
      <c r="Q9" s="714"/>
      <c r="R9" s="716"/>
      <c r="S9" s="714" t="s">
        <v>823</v>
      </c>
      <c r="T9" s="714" t="s">
        <v>864</v>
      </c>
      <c r="U9" s="243" t="s">
        <v>1545</v>
      </c>
      <c r="V9" s="717"/>
      <c r="W9" s="714"/>
      <c r="X9" s="718" t="s">
        <v>864</v>
      </c>
      <c r="Y9" s="260"/>
      <c r="Z9" s="232"/>
      <c r="AA9" s="266"/>
      <c r="AB9" s="263"/>
      <c r="AC9" s="720"/>
      <c r="AD9" s="714"/>
      <c r="AE9" s="717"/>
      <c r="AF9" s="717"/>
    </row>
    <row r="10" spans="1:1014" s="224" customFormat="1" ht="13.5" customHeight="1">
      <c r="A10" s="225">
        <v>2</v>
      </c>
      <c r="B10" s="217"/>
      <c r="C10" s="217" t="s">
        <v>1404</v>
      </c>
      <c r="D10" s="241"/>
      <c r="E10" s="241"/>
      <c r="F10" s="241"/>
      <c r="G10" s="241"/>
      <c r="H10" s="241"/>
      <c r="I10" s="241"/>
      <c r="J10" s="714" t="s">
        <v>1664</v>
      </c>
      <c r="K10" s="715"/>
      <c r="L10" s="714"/>
      <c r="M10" s="715" t="s">
        <v>1218</v>
      </c>
      <c r="N10" s="714"/>
      <c r="O10" s="714"/>
      <c r="P10" s="714"/>
      <c r="Q10" s="714"/>
      <c r="R10" s="716"/>
      <c r="S10" s="714" t="s">
        <v>817</v>
      </c>
      <c r="T10" s="714"/>
      <c r="U10" s="714" t="s">
        <v>863</v>
      </c>
      <c r="V10" s="717"/>
      <c r="W10" s="714"/>
      <c r="X10" s="718" t="s">
        <v>864</v>
      </c>
      <c r="Y10" s="260"/>
      <c r="Z10" s="232"/>
      <c r="AA10" s="719"/>
      <c r="AB10" s="263"/>
      <c r="AC10" s="720"/>
      <c r="AD10" s="714"/>
      <c r="AE10" s="717"/>
      <c r="AF10" s="717"/>
    </row>
    <row r="11" spans="1:1014" s="158" customFormat="1" ht="12.75" customHeight="1">
      <c r="A11" s="225">
        <v>3</v>
      </c>
      <c r="B11" s="217"/>
      <c r="C11" s="241" t="s">
        <v>1548</v>
      </c>
      <c r="D11" s="241"/>
      <c r="E11" s="241"/>
      <c r="F11" s="241"/>
      <c r="G11" s="241"/>
      <c r="H11" s="241"/>
      <c r="I11" s="241"/>
      <c r="J11" s="714" t="s">
        <v>1549</v>
      </c>
      <c r="K11" s="715" t="s">
        <v>930</v>
      </c>
      <c r="L11" s="714"/>
      <c r="M11" s="715" t="s">
        <v>931</v>
      </c>
      <c r="N11" s="714"/>
      <c r="O11" s="714"/>
      <c r="P11" s="714"/>
      <c r="Q11" s="714"/>
      <c r="R11" s="716"/>
      <c r="S11" s="714" t="s">
        <v>820</v>
      </c>
      <c r="T11" s="714"/>
      <c r="U11" s="714" t="s">
        <v>879</v>
      </c>
      <c r="V11" s="268"/>
      <c r="W11" s="714"/>
      <c r="X11" s="718" t="s">
        <v>864</v>
      </c>
      <c r="Y11" s="718"/>
      <c r="Z11" s="232"/>
      <c r="AA11" s="719"/>
      <c r="AB11" s="263"/>
      <c r="AC11" s="720"/>
      <c r="AD11" s="714"/>
      <c r="AE11" s="717"/>
      <c r="AF11" s="717"/>
    </row>
    <row r="12" spans="1:1014" s="158" customFormat="1" ht="12.75" customHeight="1">
      <c r="A12" s="225">
        <v>5</v>
      </c>
      <c r="B12" s="217"/>
      <c r="C12" s="241" t="s">
        <v>1685</v>
      </c>
      <c r="D12" s="241"/>
      <c r="E12" s="241"/>
      <c r="F12" s="241"/>
      <c r="G12" s="241"/>
      <c r="H12" s="241"/>
      <c r="I12" s="241"/>
      <c r="J12" s="266" t="s">
        <v>1557</v>
      </c>
      <c r="K12" s="264" t="s">
        <v>1558</v>
      </c>
      <c r="L12" s="263"/>
      <c r="M12" s="715" t="s">
        <v>1559</v>
      </c>
      <c r="N12" s="714"/>
      <c r="O12" s="714"/>
      <c r="P12" s="714"/>
      <c r="Q12" s="714"/>
      <c r="R12" s="716"/>
      <c r="S12" s="714" t="s">
        <v>817</v>
      </c>
      <c r="T12" s="714"/>
      <c r="U12" s="714" t="s">
        <v>863</v>
      </c>
      <c r="V12" s="268" t="s">
        <v>864</v>
      </c>
      <c r="W12" s="374"/>
      <c r="X12" s="265" t="s">
        <v>864</v>
      </c>
      <c r="Y12" s="260"/>
      <c r="Z12" s="232"/>
      <c r="AA12" s="263"/>
      <c r="AB12" s="390"/>
      <c r="AC12" s="267"/>
      <c r="AD12" s="263"/>
      <c r="AE12" s="717"/>
      <c r="AF12" s="717"/>
    </row>
    <row r="13" spans="1:1014" s="158" customFormat="1" ht="12.75" customHeight="1">
      <c r="A13" s="225"/>
      <c r="B13" s="217"/>
      <c r="C13" s="241" t="s">
        <v>2366</v>
      </c>
      <c r="D13" s="241"/>
      <c r="E13" s="241"/>
      <c r="F13" s="241"/>
      <c r="G13" s="241"/>
      <c r="H13" s="241"/>
      <c r="I13" s="241"/>
      <c r="J13" s="728"/>
      <c r="K13" s="715"/>
      <c r="L13" s="714"/>
      <c r="M13" s="715"/>
      <c r="N13" s="714"/>
      <c r="O13" s="714"/>
      <c r="P13" s="714"/>
      <c r="Q13" s="714"/>
      <c r="R13" s="716"/>
      <c r="S13" s="714"/>
      <c r="T13" s="714"/>
      <c r="U13" s="714"/>
      <c r="V13" s="717"/>
      <c r="W13" s="714"/>
      <c r="X13" s="718"/>
      <c r="Y13" s="718"/>
      <c r="Z13" s="232"/>
      <c r="AA13" s="719"/>
      <c r="AB13" s="714"/>
      <c r="AC13" s="720"/>
      <c r="AD13" s="263"/>
      <c r="AE13" s="717"/>
      <c r="AF13" s="717"/>
    </row>
    <row r="14" spans="1:1014" s="158" customFormat="1" ht="12.75" customHeight="1">
      <c r="A14" s="225">
        <v>6</v>
      </c>
      <c r="B14" s="217"/>
      <c r="C14" s="241"/>
      <c r="D14" s="241" t="s">
        <v>1562</v>
      </c>
      <c r="E14" s="241"/>
      <c r="F14" s="241"/>
      <c r="G14" s="241"/>
      <c r="H14" s="241"/>
      <c r="I14" s="241"/>
      <c r="J14" s="269" t="s">
        <v>1563</v>
      </c>
      <c r="K14" s="264" t="s">
        <v>1564</v>
      </c>
      <c r="L14" s="263"/>
      <c r="M14" s="715" t="s">
        <v>1565</v>
      </c>
      <c r="N14" s="714"/>
      <c r="O14" s="714"/>
      <c r="P14" s="714"/>
      <c r="Q14" s="714"/>
      <c r="R14" s="716"/>
      <c r="S14" s="723" t="s">
        <v>823</v>
      </c>
      <c r="T14" s="714"/>
      <c r="U14" s="714" t="s">
        <v>863</v>
      </c>
      <c r="V14" s="268" t="s">
        <v>864</v>
      </c>
      <c r="W14" s="374"/>
      <c r="X14" s="265" t="s">
        <v>864</v>
      </c>
      <c r="Y14" s="260"/>
      <c r="Z14" s="232"/>
      <c r="AA14" s="390"/>
      <c r="AB14" s="390"/>
      <c r="AC14" s="261"/>
      <c r="AD14" s="263"/>
      <c r="AE14" s="717"/>
      <c r="AF14" s="717"/>
    </row>
    <row r="15" spans="1:1014" s="158" customFormat="1" ht="12.75" customHeight="1">
      <c r="A15" s="225">
        <v>7</v>
      </c>
      <c r="B15" s="217"/>
      <c r="C15" s="241"/>
      <c r="D15" s="241" t="s">
        <v>1674</v>
      </c>
      <c r="E15" s="241"/>
      <c r="F15" s="241"/>
      <c r="G15" s="241"/>
      <c r="H15" s="241"/>
      <c r="I15" s="241"/>
      <c r="J15" s="728"/>
      <c r="K15" s="715" t="s">
        <v>2499</v>
      </c>
      <c r="L15" s="714"/>
      <c r="M15" s="715" t="s">
        <v>1365</v>
      </c>
      <c r="N15" s="714"/>
      <c r="O15" s="714"/>
      <c r="P15" s="714"/>
      <c r="Q15" s="714"/>
      <c r="R15" s="716"/>
      <c r="S15" s="263" t="s">
        <v>817</v>
      </c>
      <c r="T15" s="714"/>
      <c r="U15" s="714" t="s">
        <v>863</v>
      </c>
      <c r="V15" s="717" t="s">
        <v>864</v>
      </c>
      <c r="W15" s="714"/>
      <c r="X15" s="718" t="s">
        <v>864</v>
      </c>
      <c r="Y15" s="718"/>
      <c r="Z15" s="232"/>
      <c r="AA15" s="390"/>
      <c r="AB15" s="714"/>
      <c r="AC15" s="720"/>
      <c r="AD15" s="714"/>
      <c r="AE15" s="717"/>
      <c r="AF15" s="717"/>
    </row>
    <row r="16" spans="1:1014" s="249" customFormat="1" ht="12.75" customHeight="1">
      <c r="A16" s="225">
        <v>8</v>
      </c>
      <c r="B16" s="218"/>
      <c r="C16" s="219"/>
      <c r="D16" s="219" t="s">
        <v>1568</v>
      </c>
      <c r="E16" s="218"/>
      <c r="F16" s="218"/>
      <c r="G16" s="218"/>
      <c r="H16" s="218"/>
      <c r="I16" s="218"/>
      <c r="J16" s="269" t="s">
        <v>1689</v>
      </c>
      <c r="K16" s="500"/>
      <c r="L16" s="255"/>
      <c r="M16" s="264" t="s">
        <v>1570</v>
      </c>
      <c r="N16" s="263"/>
      <c r="O16" s="263"/>
      <c r="P16" s="263"/>
      <c r="Q16" s="263"/>
      <c r="R16" s="265"/>
      <c r="S16" s="263" t="s">
        <v>817</v>
      </c>
      <c r="T16" s="263"/>
      <c r="U16" s="263" t="s">
        <v>863</v>
      </c>
      <c r="V16" s="374"/>
      <c r="W16" s="255"/>
      <c r="X16" s="260" t="s">
        <v>864</v>
      </c>
      <c r="Y16" s="260"/>
      <c r="Z16" s="503"/>
      <c r="AA16" s="390"/>
      <c r="AB16" s="255"/>
      <c r="AC16" s="245"/>
      <c r="AD16" s="255"/>
      <c r="AE16" s="374"/>
      <c r="AF16" s="374"/>
    </row>
    <row r="17" spans="1:32" s="158" customFormat="1" ht="12.75" customHeight="1">
      <c r="A17" s="225">
        <v>9</v>
      </c>
      <c r="B17" s="217"/>
      <c r="C17" s="241"/>
      <c r="D17" s="241" t="s">
        <v>1572</v>
      </c>
      <c r="E17" s="241"/>
      <c r="F17" s="241"/>
      <c r="G17" s="241"/>
      <c r="H17" s="241"/>
      <c r="I17" s="241"/>
      <c r="J17" s="269" t="s">
        <v>1573</v>
      </c>
      <c r="K17" s="264" t="s">
        <v>1574</v>
      </c>
      <c r="L17" s="263"/>
      <c r="M17" s="715" t="s">
        <v>1575</v>
      </c>
      <c r="N17" s="714"/>
      <c r="O17" s="714"/>
      <c r="P17" s="714"/>
      <c r="Q17" s="714"/>
      <c r="R17" s="716"/>
      <c r="S17" s="714" t="s">
        <v>817</v>
      </c>
      <c r="T17" s="714"/>
      <c r="U17" s="714" t="s">
        <v>863</v>
      </c>
      <c r="V17" s="268"/>
      <c r="W17" s="377"/>
      <c r="X17" s="265" t="s">
        <v>864</v>
      </c>
      <c r="Y17" s="260"/>
      <c r="Z17" s="232"/>
      <c r="AA17" s="714"/>
      <c r="AB17" s="390"/>
      <c r="AC17" s="267"/>
      <c r="AD17" s="263"/>
      <c r="AE17" s="717"/>
      <c r="AF17" s="717"/>
    </row>
    <row r="18" spans="1:32" s="158" customFormat="1" ht="12.75" customHeight="1">
      <c r="A18" s="225">
        <v>10</v>
      </c>
      <c r="B18" s="242"/>
      <c r="C18" s="264"/>
      <c r="D18" s="242" t="s">
        <v>1577</v>
      </c>
      <c r="E18" s="264"/>
      <c r="F18" s="264"/>
      <c r="G18" s="264"/>
      <c r="H18" s="264"/>
      <c r="I18" s="264"/>
      <c r="J18" s="264"/>
      <c r="K18" s="264"/>
      <c r="L18" s="263"/>
      <c r="M18" s="715" t="s">
        <v>1578</v>
      </c>
      <c r="N18" s="714"/>
      <c r="O18" s="714"/>
      <c r="P18" s="714"/>
      <c r="Q18" s="714"/>
      <c r="R18" s="716"/>
      <c r="S18" s="723" t="s">
        <v>817</v>
      </c>
      <c r="T18" s="714" t="s">
        <v>864</v>
      </c>
      <c r="U18" s="379" t="s">
        <v>1578</v>
      </c>
      <c r="V18" s="268"/>
      <c r="W18" s="263"/>
      <c r="X18" s="265" t="s">
        <v>864</v>
      </c>
      <c r="Y18" s="260"/>
      <c r="Z18" s="232"/>
      <c r="AA18" s="266"/>
      <c r="AB18" s="263"/>
      <c r="AC18" s="261"/>
      <c r="AD18" s="263"/>
      <c r="AE18" s="717"/>
      <c r="AF18" s="717"/>
    </row>
    <row r="19" spans="1:32" s="158" customFormat="1" ht="12.75" customHeight="1">
      <c r="A19" s="225">
        <v>11</v>
      </c>
      <c r="B19" s="241"/>
      <c r="C19" s="241"/>
      <c r="D19" s="241"/>
      <c r="E19" s="241" t="s">
        <v>1580</v>
      </c>
      <c r="F19" s="241"/>
      <c r="G19" s="241"/>
      <c r="H19" s="241"/>
      <c r="I19" s="241"/>
      <c r="J19" s="269" t="s">
        <v>1581</v>
      </c>
      <c r="K19" s="264"/>
      <c r="L19" s="263"/>
      <c r="M19" s="715" t="s">
        <v>970</v>
      </c>
      <c r="N19" s="714"/>
      <c r="O19" s="714"/>
      <c r="P19" s="714"/>
      <c r="Q19" s="714"/>
      <c r="R19" s="716"/>
      <c r="S19" s="723" t="s">
        <v>817</v>
      </c>
      <c r="T19" s="714"/>
      <c r="U19" s="714" t="s">
        <v>863</v>
      </c>
      <c r="V19" s="268" t="s">
        <v>864</v>
      </c>
      <c r="W19" s="263" t="s">
        <v>1582</v>
      </c>
      <c r="X19" s="265" t="s">
        <v>864</v>
      </c>
      <c r="Y19" s="260"/>
      <c r="Z19" s="232"/>
      <c r="AA19" s="266"/>
      <c r="AB19" s="263"/>
      <c r="AC19" s="261"/>
      <c r="AD19" s="263"/>
      <c r="AE19" s="717"/>
      <c r="AF19" s="717"/>
    </row>
    <row r="20" spans="1:32" s="158" customFormat="1" ht="12.75" customHeight="1">
      <c r="A20" s="225">
        <v>12</v>
      </c>
      <c r="B20" s="241"/>
      <c r="C20" s="242"/>
      <c r="D20" s="241"/>
      <c r="E20" s="242" t="s">
        <v>1583</v>
      </c>
      <c r="F20" s="241"/>
      <c r="G20" s="241"/>
      <c r="H20" s="241"/>
      <c r="I20" s="241"/>
      <c r="J20" s="269"/>
      <c r="K20" s="264"/>
      <c r="L20" s="263"/>
      <c r="M20" s="715" t="s">
        <v>1585</v>
      </c>
      <c r="N20" s="714"/>
      <c r="O20" s="714"/>
      <c r="P20" s="714"/>
      <c r="Q20" s="714"/>
      <c r="R20" s="716"/>
      <c r="S20" s="723" t="s">
        <v>817</v>
      </c>
      <c r="T20" s="714" t="s">
        <v>864</v>
      </c>
      <c r="U20" s="714" t="s">
        <v>1054</v>
      </c>
      <c r="V20" s="268"/>
      <c r="W20" s="263"/>
      <c r="X20" s="265" t="s">
        <v>864</v>
      </c>
      <c r="Y20" s="260"/>
      <c r="Z20" s="232"/>
      <c r="AA20" s="266"/>
      <c r="AB20" s="263"/>
      <c r="AC20" s="261"/>
      <c r="AD20" s="263"/>
      <c r="AE20" s="717"/>
      <c r="AF20" s="717"/>
    </row>
    <row r="21" spans="1:32" s="224" customFormat="1" ht="13.5" customHeight="1">
      <c r="A21" s="225">
        <v>14</v>
      </c>
      <c r="B21" s="217"/>
      <c r="C21" s="217"/>
      <c r="D21" s="217"/>
      <c r="E21" s="217"/>
      <c r="F21" s="217" t="s">
        <v>1055</v>
      </c>
      <c r="G21" s="217"/>
      <c r="H21" s="217"/>
      <c r="I21" s="217"/>
      <c r="J21" s="714" t="s">
        <v>1056</v>
      </c>
      <c r="K21" s="715" t="s">
        <v>1057</v>
      </c>
      <c r="L21" s="714" t="s">
        <v>1058</v>
      </c>
      <c r="M21" s="715"/>
      <c r="N21" s="714"/>
      <c r="O21" s="714"/>
      <c r="P21" s="714"/>
      <c r="Q21" s="714"/>
      <c r="R21" s="716"/>
      <c r="S21" s="714" t="s">
        <v>820</v>
      </c>
      <c r="T21" s="714"/>
      <c r="U21" s="714" t="s">
        <v>863</v>
      </c>
      <c r="V21" s="717"/>
      <c r="W21" s="714"/>
      <c r="X21" s="718" t="s">
        <v>864</v>
      </c>
      <c r="Y21" s="718"/>
      <c r="Z21" s="232"/>
      <c r="AA21" s="719"/>
      <c r="AB21" s="714"/>
      <c r="AC21" s="720"/>
      <c r="AD21" s="714"/>
      <c r="AE21" s="717">
        <v>1</v>
      </c>
      <c r="AF21" s="717">
        <v>1</v>
      </c>
    </row>
    <row r="22" spans="1:32" s="249" customFormat="1" ht="13.5" customHeight="1">
      <c r="A22" s="225">
        <v>15</v>
      </c>
      <c r="B22" s="217"/>
      <c r="C22" s="219"/>
      <c r="D22" s="217"/>
      <c r="E22" s="219"/>
      <c r="F22" s="219" t="s">
        <v>1059</v>
      </c>
      <c r="G22" s="219"/>
      <c r="H22" s="220"/>
      <c r="I22" s="220"/>
      <c r="J22" s="714" t="s">
        <v>1060</v>
      </c>
      <c r="K22" s="715" t="s">
        <v>1061</v>
      </c>
      <c r="L22" s="714" t="s">
        <v>1062</v>
      </c>
      <c r="M22" s="715"/>
      <c r="N22" s="714"/>
      <c r="O22" s="714"/>
      <c r="P22" s="714"/>
      <c r="Q22" s="714"/>
      <c r="R22" s="252"/>
      <c r="S22" s="714" t="s">
        <v>817</v>
      </c>
      <c r="T22" s="714"/>
      <c r="U22" s="714" t="s">
        <v>863</v>
      </c>
      <c r="V22" s="717"/>
      <c r="W22" s="714"/>
      <c r="X22" s="260" t="s">
        <v>864</v>
      </c>
      <c r="Y22" s="718"/>
      <c r="Z22" s="232"/>
      <c r="AA22" s="719"/>
      <c r="AB22" s="714"/>
      <c r="AC22" s="720"/>
      <c r="AD22" s="714"/>
      <c r="AE22" s="717">
        <v>1</v>
      </c>
      <c r="AF22" s="717"/>
    </row>
    <row r="23" spans="1:32" s="224" customFormat="1" ht="13.5" customHeight="1">
      <c r="A23" s="225">
        <v>16</v>
      </c>
      <c r="B23" s="217"/>
      <c r="C23" s="217"/>
      <c r="D23" s="217"/>
      <c r="E23" s="217"/>
      <c r="F23" s="217" t="s">
        <v>1063</v>
      </c>
      <c r="G23" s="217"/>
      <c r="H23" s="217"/>
      <c r="I23" s="217"/>
      <c r="J23" s="263" t="s">
        <v>1064</v>
      </c>
      <c r="K23" s="715" t="s">
        <v>1065</v>
      </c>
      <c r="L23" s="714" t="s">
        <v>871</v>
      </c>
      <c r="M23" s="715"/>
      <c r="N23" s="714" t="s">
        <v>1066</v>
      </c>
      <c r="O23" s="714" t="s">
        <v>1067</v>
      </c>
      <c r="P23" s="714"/>
      <c r="Q23" s="714"/>
      <c r="R23" s="252"/>
      <c r="S23" s="714" t="s">
        <v>817</v>
      </c>
      <c r="T23" s="714"/>
      <c r="U23" s="714" t="s">
        <v>863</v>
      </c>
      <c r="V23" s="717"/>
      <c r="W23" s="714"/>
      <c r="X23" s="260" t="s">
        <v>864</v>
      </c>
      <c r="Y23" s="718"/>
      <c r="Z23" s="232"/>
      <c r="AA23" s="719"/>
      <c r="AB23" s="714"/>
      <c r="AC23" s="720"/>
      <c r="AD23" s="714"/>
      <c r="AE23" s="717">
        <v>1</v>
      </c>
      <c r="AF23" s="717">
        <v>1</v>
      </c>
    </row>
    <row r="24" spans="1:32" s="224" customFormat="1" ht="13.5" customHeight="1">
      <c r="A24" s="225">
        <v>17</v>
      </c>
      <c r="B24" s="217"/>
      <c r="C24" s="241"/>
      <c r="D24" s="217"/>
      <c r="E24" s="241"/>
      <c r="F24" s="241" t="s">
        <v>1068</v>
      </c>
      <c r="G24" s="221"/>
      <c r="H24" s="221"/>
      <c r="I24" s="221"/>
      <c r="J24" s="714" t="s">
        <v>1069</v>
      </c>
      <c r="K24" s="722"/>
      <c r="L24" s="714"/>
      <c r="M24" s="264" t="s">
        <v>1070</v>
      </c>
      <c r="N24" s="714"/>
      <c r="O24" s="714"/>
      <c r="P24" s="714"/>
      <c r="Q24" s="714"/>
      <c r="R24" s="716"/>
      <c r="S24" s="714" t="s">
        <v>823</v>
      </c>
      <c r="T24" s="714" t="s">
        <v>864</v>
      </c>
      <c r="U24" s="537" t="s">
        <v>1070</v>
      </c>
      <c r="V24" s="717"/>
      <c r="W24" s="717"/>
      <c r="X24" s="260" t="s">
        <v>864</v>
      </c>
      <c r="Y24" s="260"/>
      <c r="Z24" s="232"/>
      <c r="AA24" s="719"/>
      <c r="AB24" s="714"/>
      <c r="AC24" s="720"/>
      <c r="AD24" s="714"/>
      <c r="AE24" s="717"/>
      <c r="AF24" s="717">
        <v>1</v>
      </c>
    </row>
    <row r="25" spans="1:32" s="224" customFormat="1" ht="13.5" customHeight="1">
      <c r="A25" s="225">
        <v>18</v>
      </c>
      <c r="B25" s="217"/>
      <c r="C25" s="241"/>
      <c r="D25" s="217"/>
      <c r="E25" s="241"/>
      <c r="F25" s="241"/>
      <c r="G25" s="241" t="s">
        <v>1071</v>
      </c>
      <c r="H25" s="241"/>
      <c r="I25" s="241"/>
      <c r="J25" s="714" t="s">
        <v>1072</v>
      </c>
      <c r="K25" s="722" t="s">
        <v>1073</v>
      </c>
      <c r="L25" s="714"/>
      <c r="M25" s="715" t="s">
        <v>908</v>
      </c>
      <c r="N25" s="714"/>
      <c r="O25" s="714"/>
      <c r="P25" s="714"/>
      <c r="Q25" s="714"/>
      <c r="R25" s="716"/>
      <c r="S25" s="714" t="s">
        <v>820</v>
      </c>
      <c r="T25" s="714"/>
      <c r="U25" s="714" t="s">
        <v>863</v>
      </c>
      <c r="V25" s="717" t="s">
        <v>864</v>
      </c>
      <c r="W25" s="715" t="s">
        <v>1074</v>
      </c>
      <c r="X25" s="260" t="s">
        <v>864</v>
      </c>
      <c r="Y25" s="260"/>
      <c r="Z25" s="232"/>
      <c r="AA25" s="266" t="s">
        <v>1075</v>
      </c>
      <c r="AB25" s="714" t="s">
        <v>1076</v>
      </c>
      <c r="AC25" s="245"/>
      <c r="AD25" s="714"/>
      <c r="AE25" s="717"/>
      <c r="AF25" s="717">
        <v>1</v>
      </c>
    </row>
    <row r="26" spans="1:32" s="224" customFormat="1" ht="13.5" customHeight="1">
      <c r="A26" s="225">
        <v>19</v>
      </c>
      <c r="B26" s="217"/>
      <c r="C26" s="241"/>
      <c r="D26" s="217"/>
      <c r="E26" s="241"/>
      <c r="F26" s="241"/>
      <c r="G26" s="241" t="s">
        <v>1077</v>
      </c>
      <c r="H26" s="241"/>
      <c r="I26" s="241"/>
      <c r="J26" s="714" t="s">
        <v>1078</v>
      </c>
      <c r="K26" s="722" t="s">
        <v>1079</v>
      </c>
      <c r="L26" s="714"/>
      <c r="M26" s="715" t="s">
        <v>1080</v>
      </c>
      <c r="N26" s="714"/>
      <c r="O26" s="714"/>
      <c r="P26" s="714"/>
      <c r="Q26" s="714"/>
      <c r="R26" s="716"/>
      <c r="S26" s="714" t="s">
        <v>820</v>
      </c>
      <c r="T26" s="714"/>
      <c r="U26" s="714" t="s">
        <v>863</v>
      </c>
      <c r="V26" s="717"/>
      <c r="W26" s="717"/>
      <c r="X26" s="260" t="s">
        <v>864</v>
      </c>
      <c r="Y26" s="260"/>
      <c r="Z26" s="232"/>
      <c r="AA26" s="719"/>
      <c r="AB26" s="714"/>
      <c r="AC26" s="245"/>
      <c r="AD26" s="714"/>
      <c r="AE26" s="717"/>
      <c r="AF26" s="717">
        <v>1</v>
      </c>
    </row>
    <row r="27" spans="1:32" s="224" customFormat="1" ht="13.5" customHeight="1">
      <c r="A27" s="225">
        <v>20</v>
      </c>
      <c r="B27" s="217"/>
      <c r="C27" s="217"/>
      <c r="D27" s="217"/>
      <c r="E27" s="217"/>
      <c r="F27" s="217" t="s">
        <v>1081</v>
      </c>
      <c r="G27" s="221"/>
      <c r="H27" s="221"/>
      <c r="I27" s="221"/>
      <c r="J27" s="714"/>
      <c r="K27" s="715"/>
      <c r="L27" s="714"/>
      <c r="M27" s="715" t="s">
        <v>1082</v>
      </c>
      <c r="N27" s="714"/>
      <c r="O27" s="714"/>
      <c r="P27" s="714"/>
      <c r="Q27" s="714"/>
      <c r="R27" s="716"/>
      <c r="S27" s="714" t="s">
        <v>817</v>
      </c>
      <c r="T27" s="714" t="s">
        <v>864</v>
      </c>
      <c r="U27" s="243" t="s">
        <v>1082</v>
      </c>
      <c r="V27" s="717"/>
      <c r="W27" s="714"/>
      <c r="X27" s="260" t="s">
        <v>864</v>
      </c>
      <c r="Y27" s="718"/>
      <c r="Z27" s="232"/>
      <c r="AA27" s="719"/>
      <c r="AB27" s="714"/>
      <c r="AC27" s="720"/>
      <c r="AD27" s="714"/>
      <c r="AE27" s="717">
        <v>1</v>
      </c>
      <c r="AF27" s="717">
        <v>1</v>
      </c>
    </row>
    <row r="28" spans="1:32" s="224" customFormat="1" ht="13.5" customHeight="1">
      <c r="A28" s="225">
        <v>21</v>
      </c>
      <c r="B28" s="217"/>
      <c r="C28" s="217"/>
      <c r="D28" s="217"/>
      <c r="E28" s="217"/>
      <c r="F28" s="217"/>
      <c r="G28" s="678" t="s">
        <v>1083</v>
      </c>
      <c r="H28" s="253"/>
      <c r="I28" s="239"/>
      <c r="J28" s="714" t="s">
        <v>1084</v>
      </c>
      <c r="K28" s="715" t="s">
        <v>1085</v>
      </c>
      <c r="L28" s="714" t="s">
        <v>1086</v>
      </c>
      <c r="M28" s="715" t="s">
        <v>1087</v>
      </c>
      <c r="N28" s="714"/>
      <c r="O28" s="714"/>
      <c r="P28" s="714"/>
      <c r="Q28" s="714"/>
      <c r="R28" s="716"/>
      <c r="S28" s="714" t="s">
        <v>820</v>
      </c>
      <c r="T28" s="714"/>
      <c r="U28" s="714" t="s">
        <v>863</v>
      </c>
      <c r="V28" s="717"/>
      <c r="W28" s="714" t="s">
        <v>1088</v>
      </c>
      <c r="X28" s="718" t="s">
        <v>864</v>
      </c>
      <c r="Y28" s="718"/>
      <c r="Z28" s="232"/>
      <c r="AA28" s="719"/>
      <c r="AB28" s="714"/>
      <c r="AC28" s="720"/>
      <c r="AD28" s="714"/>
      <c r="AE28" s="717">
        <v>1</v>
      </c>
      <c r="AF28" s="717">
        <v>1</v>
      </c>
    </row>
    <row r="29" spans="1:32" s="254" customFormat="1" ht="13.5" customHeight="1">
      <c r="A29" s="225">
        <v>22</v>
      </c>
      <c r="B29" s="217"/>
      <c r="C29" s="222"/>
      <c r="D29" s="217"/>
      <c r="E29" s="222"/>
      <c r="F29" s="222"/>
      <c r="G29" s="678" t="s">
        <v>1089</v>
      </c>
      <c r="H29" s="221"/>
      <c r="I29" s="221"/>
      <c r="J29" s="714" t="s">
        <v>1090</v>
      </c>
      <c r="K29" s="715" t="s">
        <v>1091</v>
      </c>
      <c r="L29" s="714"/>
      <c r="M29" s="715" t="s">
        <v>1092</v>
      </c>
      <c r="N29" s="714" t="s">
        <v>1093</v>
      </c>
      <c r="O29" s="714" t="s">
        <v>254</v>
      </c>
      <c r="P29" s="714"/>
      <c r="Q29" s="714"/>
      <c r="R29" s="716"/>
      <c r="S29" s="714" t="s">
        <v>817</v>
      </c>
      <c r="T29" s="714"/>
      <c r="U29" s="714" t="s">
        <v>863</v>
      </c>
      <c r="V29" s="717"/>
      <c r="W29" s="714"/>
      <c r="X29" s="718" t="s">
        <v>864</v>
      </c>
      <c r="Y29" s="718"/>
      <c r="Z29" s="232"/>
      <c r="AA29" s="719"/>
      <c r="AB29" s="714"/>
      <c r="AC29" s="720"/>
      <c r="AD29" s="714"/>
      <c r="AE29" s="717">
        <v>1</v>
      </c>
      <c r="AF29" s="717">
        <v>1</v>
      </c>
    </row>
    <row r="30" spans="1:32" s="254" customFormat="1" ht="13.5" customHeight="1">
      <c r="A30" s="225">
        <v>23</v>
      </c>
      <c r="B30" s="217"/>
      <c r="C30" s="222"/>
      <c r="D30" s="217"/>
      <c r="E30" s="222"/>
      <c r="F30" s="222"/>
      <c r="G30" s="678" t="s">
        <v>1094</v>
      </c>
      <c r="H30" s="221"/>
      <c r="I30" s="221"/>
      <c r="J30" s="714"/>
      <c r="K30" s="715"/>
      <c r="L30" s="714"/>
      <c r="M30" s="715" t="s">
        <v>1095</v>
      </c>
      <c r="N30" s="714" t="s">
        <v>1096</v>
      </c>
      <c r="O30" s="714" t="s">
        <v>1097</v>
      </c>
      <c r="P30" s="714"/>
      <c r="Q30" s="714"/>
      <c r="R30" s="716"/>
      <c r="S30" s="714" t="s">
        <v>817</v>
      </c>
      <c r="T30" s="714" t="s">
        <v>864</v>
      </c>
      <c r="U30" s="243" t="s">
        <v>1095</v>
      </c>
      <c r="V30" s="717"/>
      <c r="W30" s="714"/>
      <c r="X30" s="718" t="s">
        <v>864</v>
      </c>
      <c r="Y30" s="718"/>
      <c r="Z30" s="232"/>
      <c r="AA30" s="719"/>
      <c r="AB30" s="714"/>
      <c r="AC30" s="720"/>
      <c r="AD30" s="714"/>
      <c r="AE30" s="717">
        <v>1</v>
      </c>
      <c r="AF30" s="717">
        <v>1</v>
      </c>
    </row>
    <row r="31" spans="1:32" s="254" customFormat="1" ht="13.5" customHeight="1">
      <c r="A31" s="225">
        <v>24</v>
      </c>
      <c r="B31" s="217"/>
      <c r="C31" s="222"/>
      <c r="D31" s="217"/>
      <c r="E31" s="222"/>
      <c r="F31" s="222"/>
      <c r="G31" s="241"/>
      <c r="H31" s="241" t="s">
        <v>1098</v>
      </c>
      <c r="I31" s="241"/>
      <c r="J31" s="714" t="s">
        <v>1099</v>
      </c>
      <c r="K31" s="715" t="s">
        <v>1100</v>
      </c>
      <c r="L31" s="714"/>
      <c r="M31" s="715" t="s">
        <v>1087</v>
      </c>
      <c r="N31" s="714"/>
      <c r="O31" s="714"/>
      <c r="P31" s="714"/>
      <c r="Q31" s="714"/>
      <c r="R31" s="716"/>
      <c r="S31" s="714" t="s">
        <v>820</v>
      </c>
      <c r="T31" s="714"/>
      <c r="U31" s="714" t="s">
        <v>863</v>
      </c>
      <c r="V31" s="717"/>
      <c r="W31" s="714" t="s">
        <v>1101</v>
      </c>
      <c r="X31" s="718" t="s">
        <v>864</v>
      </c>
      <c r="Y31" s="718"/>
      <c r="Z31" s="232"/>
      <c r="AA31" s="719"/>
      <c r="AB31" s="714"/>
      <c r="AC31" s="720"/>
      <c r="AD31" s="714"/>
      <c r="AE31" s="717">
        <v>1</v>
      </c>
      <c r="AF31" s="717">
        <v>1</v>
      </c>
    </row>
    <row r="32" spans="1:32" s="224" customFormat="1" ht="13.5" customHeight="1">
      <c r="A32" s="225">
        <v>25</v>
      </c>
      <c r="B32" s="217"/>
      <c r="C32" s="217"/>
      <c r="D32" s="217"/>
      <c r="E32" s="217"/>
      <c r="F32" s="217"/>
      <c r="G32" s="241"/>
      <c r="H32" s="241" t="s">
        <v>1102</v>
      </c>
      <c r="I32" s="241"/>
      <c r="J32" s="714"/>
      <c r="K32" s="715" t="s">
        <v>1103</v>
      </c>
      <c r="L32" s="714"/>
      <c r="M32" s="715" t="s">
        <v>970</v>
      </c>
      <c r="N32" s="714"/>
      <c r="O32" s="714"/>
      <c r="P32" s="714"/>
      <c r="Q32" s="714"/>
      <c r="R32" s="716"/>
      <c r="S32" s="714" t="s">
        <v>817</v>
      </c>
      <c r="T32" s="714"/>
      <c r="U32" s="714" t="s">
        <v>863</v>
      </c>
      <c r="V32" s="717"/>
      <c r="W32" s="714"/>
      <c r="X32" s="718" t="s">
        <v>864</v>
      </c>
      <c r="Y32" s="718"/>
      <c r="Z32" s="232"/>
      <c r="AA32" s="719"/>
      <c r="AB32" s="714"/>
      <c r="AC32" s="720"/>
      <c r="AD32" s="714"/>
      <c r="AE32" s="717">
        <v>1</v>
      </c>
      <c r="AF32" s="717">
        <v>1</v>
      </c>
    </row>
    <row r="33" spans="1:32" s="224" customFormat="1" ht="13.5" customHeight="1">
      <c r="A33" s="225">
        <v>26</v>
      </c>
      <c r="B33" s="217"/>
      <c r="C33" s="217"/>
      <c r="D33" s="217"/>
      <c r="E33" s="217"/>
      <c r="F33" s="217"/>
      <c r="G33" s="241"/>
      <c r="H33" s="241" t="s">
        <v>1104</v>
      </c>
      <c r="I33" s="241"/>
      <c r="J33" s="714"/>
      <c r="K33" s="715" t="s">
        <v>1105</v>
      </c>
      <c r="L33" s="714"/>
      <c r="M33" s="715" t="s">
        <v>871</v>
      </c>
      <c r="N33" s="714"/>
      <c r="O33" s="714"/>
      <c r="P33" s="714"/>
      <c r="Q33" s="714"/>
      <c r="R33" s="716"/>
      <c r="S33" s="714" t="s">
        <v>817</v>
      </c>
      <c r="T33" s="714"/>
      <c r="U33" s="714" t="s">
        <v>863</v>
      </c>
      <c r="V33" s="717"/>
      <c r="W33" s="714"/>
      <c r="X33" s="718" t="s">
        <v>864</v>
      </c>
      <c r="Y33" s="718"/>
      <c r="Z33" s="232"/>
      <c r="AA33" s="719"/>
      <c r="AB33" s="714"/>
      <c r="AC33" s="720"/>
      <c r="AD33" s="714"/>
      <c r="AE33" s="717">
        <v>1</v>
      </c>
      <c r="AF33" s="717">
        <v>1</v>
      </c>
    </row>
    <row r="34" spans="1:32" s="224" customFormat="1" ht="13.5" customHeight="1">
      <c r="A34" s="225">
        <v>27</v>
      </c>
      <c r="B34" s="217"/>
      <c r="C34" s="217"/>
      <c r="D34" s="217"/>
      <c r="E34" s="217"/>
      <c r="F34" s="217" t="s">
        <v>1106</v>
      </c>
      <c r="G34" s="221"/>
      <c r="H34" s="221"/>
      <c r="I34" s="221"/>
      <c r="J34" s="714"/>
      <c r="K34" s="715"/>
      <c r="L34" s="714"/>
      <c r="M34" s="715" t="s">
        <v>1107</v>
      </c>
      <c r="N34" s="714"/>
      <c r="O34" s="714"/>
      <c r="P34" s="714"/>
      <c r="Q34" s="714"/>
      <c r="R34" s="716"/>
      <c r="S34" s="714" t="s">
        <v>817</v>
      </c>
      <c r="T34" s="714" t="s">
        <v>864</v>
      </c>
      <c r="U34" s="243" t="s">
        <v>1107</v>
      </c>
      <c r="V34" s="717"/>
      <c r="W34" s="714"/>
      <c r="X34" s="718" t="s">
        <v>864</v>
      </c>
      <c r="Y34" s="718"/>
      <c r="Z34" s="232"/>
      <c r="AA34" s="719"/>
      <c r="AB34" s="714"/>
      <c r="AC34" s="720"/>
      <c r="AD34" s="714"/>
      <c r="AE34" s="717"/>
      <c r="AF34" s="717">
        <v>1</v>
      </c>
    </row>
    <row r="35" spans="1:32" s="231" customFormat="1" ht="13.5" customHeight="1">
      <c r="A35" s="225">
        <v>28</v>
      </c>
      <c r="B35" s="217"/>
      <c r="C35" s="217"/>
      <c r="D35" s="217"/>
      <c r="E35" s="217"/>
      <c r="F35" s="217"/>
      <c r="G35" s="241" t="s">
        <v>388</v>
      </c>
      <c r="H35" s="217"/>
      <c r="I35" s="217"/>
      <c r="J35" s="714" t="s">
        <v>1108</v>
      </c>
      <c r="K35" s="715" t="s">
        <v>1109</v>
      </c>
      <c r="L35" s="714" t="s">
        <v>1107</v>
      </c>
      <c r="M35" s="715" t="s">
        <v>871</v>
      </c>
      <c r="N35" s="714" t="s">
        <v>1110</v>
      </c>
      <c r="O35" s="714" t="s">
        <v>388</v>
      </c>
      <c r="P35" s="714"/>
      <c r="Q35" s="714"/>
      <c r="R35" s="252"/>
      <c r="S35" s="714" t="s">
        <v>817</v>
      </c>
      <c r="T35" s="714"/>
      <c r="U35" s="714" t="s">
        <v>863</v>
      </c>
      <c r="V35" s="717"/>
      <c r="W35" s="714"/>
      <c r="X35" s="718" t="s">
        <v>864</v>
      </c>
      <c r="Y35" s="718"/>
      <c r="Z35" s="232"/>
      <c r="AA35" s="719"/>
      <c r="AB35" s="255"/>
      <c r="AC35" s="245" t="s">
        <v>1111</v>
      </c>
      <c r="AD35" s="714"/>
      <c r="AE35" s="717">
        <v>1</v>
      </c>
      <c r="AF35" s="717">
        <v>1</v>
      </c>
    </row>
    <row r="36" spans="1:32" s="224" customFormat="1" ht="13.5" customHeight="1">
      <c r="A36" s="225">
        <v>29</v>
      </c>
      <c r="B36" s="217"/>
      <c r="C36" s="217"/>
      <c r="D36" s="217"/>
      <c r="E36" s="217"/>
      <c r="F36" s="217"/>
      <c r="G36" s="241" t="s">
        <v>392</v>
      </c>
      <c r="H36" s="217"/>
      <c r="I36" s="217"/>
      <c r="J36" s="714" t="s">
        <v>1112</v>
      </c>
      <c r="K36" s="715">
        <v>59350</v>
      </c>
      <c r="L36" s="714" t="s">
        <v>1113</v>
      </c>
      <c r="M36" s="715" t="s">
        <v>1114</v>
      </c>
      <c r="N36" s="714" t="s">
        <v>1115</v>
      </c>
      <c r="O36" s="714" t="s">
        <v>392</v>
      </c>
      <c r="P36" s="714"/>
      <c r="Q36" s="714"/>
      <c r="R36" s="252"/>
      <c r="S36" s="714" t="s">
        <v>817</v>
      </c>
      <c r="T36" s="714"/>
      <c r="U36" s="714" t="s">
        <v>863</v>
      </c>
      <c r="V36" s="717"/>
      <c r="W36" s="714" t="s">
        <v>1116</v>
      </c>
      <c r="X36" s="718" t="s">
        <v>864</v>
      </c>
      <c r="Y36" s="718"/>
      <c r="Z36" s="232"/>
      <c r="AA36" s="719"/>
      <c r="AB36" s="714"/>
      <c r="AC36" s="720"/>
      <c r="AD36" s="714"/>
      <c r="AE36" s="717">
        <v>1</v>
      </c>
      <c r="AF36" s="717">
        <v>1</v>
      </c>
    </row>
    <row r="37" spans="1:32" s="224" customFormat="1" ht="13.5" customHeight="1">
      <c r="A37" s="225">
        <v>30</v>
      </c>
      <c r="B37" s="217"/>
      <c r="C37" s="217"/>
      <c r="D37" s="217"/>
      <c r="E37" s="217"/>
      <c r="F37" s="217"/>
      <c r="G37" s="241" t="s">
        <v>1117</v>
      </c>
      <c r="H37" s="241"/>
      <c r="I37" s="241"/>
      <c r="J37" s="263" t="s">
        <v>1118</v>
      </c>
      <c r="K37" s="715" t="s">
        <v>1119</v>
      </c>
      <c r="L37" s="714"/>
      <c r="M37" s="715" t="s">
        <v>1120</v>
      </c>
      <c r="N37" s="714"/>
      <c r="O37" s="714"/>
      <c r="P37" s="714"/>
      <c r="Q37" s="714"/>
      <c r="R37" s="716"/>
      <c r="S37" s="714" t="s">
        <v>817</v>
      </c>
      <c r="T37" s="714"/>
      <c r="U37" s="721" t="s">
        <v>863</v>
      </c>
      <c r="V37" s="282"/>
      <c r="W37" s="714"/>
      <c r="X37" s="718" t="s">
        <v>864</v>
      </c>
      <c r="Y37" s="718"/>
      <c r="Z37" s="232"/>
      <c r="AA37" s="719"/>
      <c r="AB37" s="714"/>
      <c r="AC37" s="720"/>
      <c r="AD37" s="714"/>
      <c r="AE37" s="717"/>
      <c r="AF37" s="717">
        <v>1</v>
      </c>
    </row>
    <row r="38" spans="1:32" s="256" customFormat="1" ht="12.75" customHeight="1">
      <c r="A38" s="225">
        <v>31</v>
      </c>
      <c r="B38" s="217"/>
      <c r="C38" s="217"/>
      <c r="D38" s="217"/>
      <c r="E38" s="217"/>
      <c r="F38" s="217" t="s">
        <v>1121</v>
      </c>
      <c r="G38" s="221"/>
      <c r="H38" s="221"/>
      <c r="I38" s="221"/>
      <c r="J38" s="714" t="s">
        <v>1122</v>
      </c>
      <c r="K38" s="715"/>
      <c r="L38" s="714"/>
      <c r="M38" s="715" t="s">
        <v>1123</v>
      </c>
      <c r="N38" s="714"/>
      <c r="O38" s="714"/>
      <c r="P38" s="714"/>
      <c r="Q38" s="714"/>
      <c r="R38" s="716"/>
      <c r="S38" s="714" t="s">
        <v>817</v>
      </c>
      <c r="T38" s="714" t="s">
        <v>864</v>
      </c>
      <c r="U38" s="243" t="s">
        <v>1123</v>
      </c>
      <c r="V38" s="717"/>
      <c r="W38" s="714"/>
      <c r="X38" s="718" t="s">
        <v>864</v>
      </c>
      <c r="Y38" s="718"/>
      <c r="Z38" s="232"/>
      <c r="AA38" s="719"/>
      <c r="AB38" s="714"/>
      <c r="AC38" s="720"/>
      <c r="AD38" s="714"/>
      <c r="AE38" s="717">
        <v>1</v>
      </c>
      <c r="AF38" s="717">
        <v>1</v>
      </c>
    </row>
    <row r="39" spans="1:32" s="256" customFormat="1" ht="12.75" customHeight="1">
      <c r="A39" s="225">
        <v>32</v>
      </c>
      <c r="B39" s="217"/>
      <c r="C39" s="217"/>
      <c r="D39" s="217"/>
      <c r="E39" s="217"/>
      <c r="F39" s="217"/>
      <c r="G39" s="678" t="s">
        <v>415</v>
      </c>
      <c r="H39" s="221"/>
      <c r="I39" s="221"/>
      <c r="J39" s="714" t="s">
        <v>1124</v>
      </c>
      <c r="K39" s="715" t="s">
        <v>1125</v>
      </c>
      <c r="L39" s="714"/>
      <c r="M39" s="715" t="s">
        <v>1126</v>
      </c>
      <c r="N39" s="714" t="s">
        <v>1127</v>
      </c>
      <c r="O39" s="714" t="s">
        <v>415</v>
      </c>
      <c r="P39" s="714"/>
      <c r="Q39" s="714"/>
      <c r="R39" s="716"/>
      <c r="S39" s="714" t="s">
        <v>817</v>
      </c>
      <c r="T39" s="714"/>
      <c r="U39" s="721" t="s">
        <v>863</v>
      </c>
      <c r="V39" s="282"/>
      <c r="W39" s="714"/>
      <c r="X39" s="718" t="s">
        <v>864</v>
      </c>
      <c r="Y39" s="718"/>
      <c r="Z39" s="232"/>
      <c r="AA39" s="719"/>
      <c r="AB39" s="714"/>
      <c r="AC39" s="720"/>
      <c r="AD39" s="714"/>
      <c r="AE39" s="717">
        <v>1</v>
      </c>
      <c r="AF39" s="717">
        <v>1</v>
      </c>
    </row>
    <row r="40" spans="1:32" s="256" customFormat="1" ht="12.75" customHeight="1">
      <c r="A40" s="225">
        <v>33</v>
      </c>
      <c r="B40" s="217"/>
      <c r="C40" s="217"/>
      <c r="D40" s="217"/>
      <c r="E40" s="217"/>
      <c r="F40" s="217"/>
      <c r="G40" s="678" t="s">
        <v>1128</v>
      </c>
      <c r="H40" s="221"/>
      <c r="I40" s="221"/>
      <c r="J40" s="714" t="s">
        <v>1129</v>
      </c>
      <c r="K40" s="715" t="s">
        <v>1130</v>
      </c>
      <c r="L40" s="714"/>
      <c r="M40" s="715" t="s">
        <v>1131</v>
      </c>
      <c r="N40" s="714" t="s">
        <v>1132</v>
      </c>
      <c r="O40" s="714" t="s">
        <v>424</v>
      </c>
      <c r="P40" s="714"/>
      <c r="Q40" s="714"/>
      <c r="R40" s="716"/>
      <c r="S40" s="714" t="s">
        <v>817</v>
      </c>
      <c r="T40" s="714"/>
      <c r="U40" s="721" t="s">
        <v>863</v>
      </c>
      <c r="V40" s="282"/>
      <c r="W40" s="714"/>
      <c r="X40" s="718" t="s">
        <v>864</v>
      </c>
      <c r="Y40" s="718"/>
      <c r="Z40" s="232"/>
      <c r="AA40" s="719"/>
      <c r="AB40" s="714"/>
      <c r="AC40" s="720"/>
      <c r="AD40" s="714"/>
      <c r="AE40" s="717">
        <v>1</v>
      </c>
      <c r="AF40" s="717">
        <v>1</v>
      </c>
    </row>
    <row r="41" spans="1:32" s="244" customFormat="1" ht="12.75" customHeight="1">
      <c r="A41" s="225">
        <v>34</v>
      </c>
      <c r="B41" s="217"/>
      <c r="C41" s="222"/>
      <c r="D41" s="217"/>
      <c r="E41" s="222"/>
      <c r="F41" s="222"/>
      <c r="G41" s="678" t="s">
        <v>429</v>
      </c>
      <c r="H41" s="221"/>
      <c r="I41" s="221"/>
      <c r="J41" s="714" t="s">
        <v>1133</v>
      </c>
      <c r="K41" s="715" t="s">
        <v>1134</v>
      </c>
      <c r="L41" s="714"/>
      <c r="M41" s="715" t="s">
        <v>1135</v>
      </c>
      <c r="N41" s="714"/>
      <c r="O41" s="714"/>
      <c r="P41" s="714"/>
      <c r="Q41" s="714"/>
      <c r="R41" s="716"/>
      <c r="S41" s="714" t="s">
        <v>817</v>
      </c>
      <c r="T41" s="714"/>
      <c r="U41" s="721" t="s">
        <v>863</v>
      </c>
      <c r="V41" s="282"/>
      <c r="W41" s="714"/>
      <c r="X41" s="718" t="s">
        <v>864</v>
      </c>
      <c r="Y41" s="718"/>
      <c r="Z41" s="232"/>
      <c r="AA41" s="719"/>
      <c r="AB41" s="714"/>
      <c r="AC41" s="720"/>
      <c r="AD41" s="714"/>
      <c r="AE41" s="717">
        <v>1</v>
      </c>
      <c r="AF41" s="717">
        <v>1</v>
      </c>
    </row>
    <row r="42" spans="1:32" s="244" customFormat="1" ht="12.75" customHeight="1">
      <c r="A42" s="225">
        <v>35</v>
      </c>
      <c r="B42" s="217"/>
      <c r="C42" s="222"/>
      <c r="D42" s="217"/>
      <c r="E42" s="222"/>
      <c r="F42" s="222"/>
      <c r="G42" s="678" t="s">
        <v>426</v>
      </c>
      <c r="H42" s="221"/>
      <c r="I42" s="221"/>
      <c r="J42" s="714" t="s">
        <v>1136</v>
      </c>
      <c r="K42" s="715" t="s">
        <v>1137</v>
      </c>
      <c r="L42" s="714"/>
      <c r="M42" s="715" t="s">
        <v>1138</v>
      </c>
      <c r="N42" s="714" t="s">
        <v>1139</v>
      </c>
      <c r="O42" s="714" t="s">
        <v>426</v>
      </c>
      <c r="P42" s="714"/>
      <c r="Q42" s="714"/>
      <c r="R42" s="716"/>
      <c r="S42" s="714" t="s">
        <v>823</v>
      </c>
      <c r="T42" s="714"/>
      <c r="U42" s="721" t="s">
        <v>863</v>
      </c>
      <c r="V42" s="282"/>
      <c r="W42" s="714"/>
      <c r="X42" s="718" t="s">
        <v>864</v>
      </c>
      <c r="Y42" s="718"/>
      <c r="Z42" s="232"/>
      <c r="AA42" s="719"/>
      <c r="AB42" s="714"/>
      <c r="AC42" s="720"/>
      <c r="AD42" s="714"/>
      <c r="AE42" s="717">
        <v>1</v>
      </c>
      <c r="AF42" s="717">
        <v>1</v>
      </c>
    </row>
    <row r="43" spans="1:32" s="244" customFormat="1" ht="12.75" customHeight="1">
      <c r="A43" s="225">
        <v>36</v>
      </c>
      <c r="B43" s="217"/>
      <c r="C43" s="222"/>
      <c r="D43" s="217"/>
      <c r="E43" s="222"/>
      <c r="F43" s="222"/>
      <c r="G43" s="678" t="s">
        <v>1140</v>
      </c>
      <c r="H43" s="221"/>
      <c r="I43" s="221"/>
      <c r="J43" s="714" t="s">
        <v>1141</v>
      </c>
      <c r="K43" s="715" t="s">
        <v>1142</v>
      </c>
      <c r="L43" s="714"/>
      <c r="M43" s="715" t="s">
        <v>1143</v>
      </c>
      <c r="N43" s="714"/>
      <c r="O43" s="714"/>
      <c r="P43" s="714"/>
      <c r="Q43" s="714"/>
      <c r="R43" s="716"/>
      <c r="S43" s="714" t="s">
        <v>817</v>
      </c>
      <c r="T43" s="714"/>
      <c r="U43" s="721" t="s">
        <v>863</v>
      </c>
      <c r="V43" s="282"/>
      <c r="W43" s="714"/>
      <c r="X43" s="718" t="s">
        <v>864</v>
      </c>
      <c r="Y43" s="718"/>
      <c r="Z43" s="232"/>
      <c r="AA43" s="719"/>
      <c r="AB43" s="714"/>
      <c r="AC43" s="720"/>
      <c r="AD43" s="714"/>
      <c r="AE43" s="717">
        <v>1</v>
      </c>
      <c r="AF43" s="717">
        <v>1</v>
      </c>
    </row>
    <row r="44" spans="1:32" s="257" customFormat="1" ht="12.75" customHeight="1">
      <c r="A44" s="225">
        <v>37</v>
      </c>
      <c r="B44" s="217"/>
      <c r="C44" s="222"/>
      <c r="D44" s="217"/>
      <c r="E44" s="222"/>
      <c r="F44" s="222"/>
      <c r="G44" s="678" t="s">
        <v>1144</v>
      </c>
      <c r="H44" s="221"/>
      <c r="I44" s="221"/>
      <c r="J44" s="714" t="s">
        <v>410</v>
      </c>
      <c r="K44" s="715" t="s">
        <v>1145</v>
      </c>
      <c r="L44" s="714"/>
      <c r="M44" s="715" t="s">
        <v>1146</v>
      </c>
      <c r="N44" s="714"/>
      <c r="O44" s="714"/>
      <c r="P44" s="714"/>
      <c r="Q44" s="714"/>
      <c r="R44" s="716"/>
      <c r="S44" s="714" t="s">
        <v>817</v>
      </c>
      <c r="T44" s="714"/>
      <c r="U44" s="721" t="s">
        <v>863</v>
      </c>
      <c r="V44" s="282"/>
      <c r="W44" s="714"/>
      <c r="X44" s="718" t="s">
        <v>864</v>
      </c>
      <c r="Y44" s="718"/>
      <c r="Z44" s="232"/>
      <c r="AA44" s="719"/>
      <c r="AB44" s="714"/>
      <c r="AC44" s="720"/>
      <c r="AD44" s="714"/>
      <c r="AE44" s="717">
        <v>1</v>
      </c>
      <c r="AF44" s="717">
        <v>1</v>
      </c>
    </row>
    <row r="45" spans="1:32" s="258" customFormat="1" ht="12.75" customHeight="1">
      <c r="A45" s="225">
        <v>38</v>
      </c>
      <c r="B45" s="217"/>
      <c r="C45" s="218"/>
      <c r="D45" s="217"/>
      <c r="E45" s="218"/>
      <c r="F45" s="218"/>
      <c r="G45" s="678" t="s">
        <v>1147</v>
      </c>
      <c r="H45" s="221"/>
      <c r="I45" s="221"/>
      <c r="J45" s="714"/>
      <c r="K45" s="715" t="s">
        <v>1148</v>
      </c>
      <c r="L45" s="714"/>
      <c r="M45" s="715" t="s">
        <v>1149</v>
      </c>
      <c r="N45" s="714"/>
      <c r="O45" s="714"/>
      <c r="P45" s="714"/>
      <c r="Q45" s="714"/>
      <c r="R45" s="716"/>
      <c r="S45" s="714" t="s">
        <v>817</v>
      </c>
      <c r="T45" s="714"/>
      <c r="U45" s="721" t="s">
        <v>863</v>
      </c>
      <c r="V45" s="282"/>
      <c r="W45" s="714"/>
      <c r="X45" s="718" t="s">
        <v>864</v>
      </c>
      <c r="Y45" s="718"/>
      <c r="Z45" s="232"/>
      <c r="AA45" s="719"/>
      <c r="AB45" s="714"/>
      <c r="AC45" s="720"/>
      <c r="AD45" s="714"/>
      <c r="AE45" s="717">
        <v>1</v>
      </c>
      <c r="AF45" s="717">
        <v>1</v>
      </c>
    </row>
    <row r="46" spans="1:32" s="256" customFormat="1" ht="12.95" customHeight="1">
      <c r="A46" s="225">
        <v>39</v>
      </c>
      <c r="B46" s="217"/>
      <c r="C46" s="218"/>
      <c r="D46" s="217"/>
      <c r="E46" s="218"/>
      <c r="F46" s="218"/>
      <c r="G46" s="678" t="s">
        <v>178</v>
      </c>
      <c r="H46" s="221"/>
      <c r="I46" s="221"/>
      <c r="J46" s="714" t="s">
        <v>1150</v>
      </c>
      <c r="K46" s="715" t="s">
        <v>1151</v>
      </c>
      <c r="L46" s="714"/>
      <c r="M46" s="715" t="s">
        <v>1152</v>
      </c>
      <c r="N46" s="714"/>
      <c r="O46" s="714"/>
      <c r="P46" s="714"/>
      <c r="Q46" s="714"/>
      <c r="R46" s="716"/>
      <c r="S46" s="714" t="s">
        <v>817</v>
      </c>
      <c r="T46" s="714"/>
      <c r="U46" s="721" t="s">
        <v>863</v>
      </c>
      <c r="V46" s="282"/>
      <c r="W46" s="714"/>
      <c r="X46" s="718" t="s">
        <v>864</v>
      </c>
      <c r="Y46" s="718"/>
      <c r="Z46" s="232"/>
      <c r="AA46" s="719"/>
      <c r="AB46" s="714"/>
      <c r="AC46" s="720"/>
      <c r="AD46" s="714"/>
      <c r="AE46" s="717">
        <v>1</v>
      </c>
      <c r="AF46" s="717">
        <v>1</v>
      </c>
    </row>
    <row r="47" spans="1:32" s="256" customFormat="1" ht="12.95" customHeight="1">
      <c r="A47" s="225">
        <v>40</v>
      </c>
      <c r="B47" s="217"/>
      <c r="C47" s="218"/>
      <c r="D47" s="217"/>
      <c r="E47" s="218"/>
      <c r="F47" s="218"/>
      <c r="G47" s="241" t="s">
        <v>1153</v>
      </c>
      <c r="H47" s="241"/>
      <c r="I47" s="241"/>
      <c r="J47" s="714" t="s">
        <v>1154</v>
      </c>
      <c r="K47" s="715">
        <v>33123452323</v>
      </c>
      <c r="L47" s="714"/>
      <c r="M47" s="715" t="s">
        <v>1155</v>
      </c>
      <c r="N47" s="714"/>
      <c r="O47" s="714"/>
      <c r="P47" s="714"/>
      <c r="Q47" s="714"/>
      <c r="R47" s="716"/>
      <c r="S47" s="714" t="s">
        <v>817</v>
      </c>
      <c r="T47" s="714"/>
      <c r="U47" s="714" t="s">
        <v>1092</v>
      </c>
      <c r="V47" s="717"/>
      <c r="W47" s="714"/>
      <c r="X47" s="718" t="s">
        <v>864</v>
      </c>
      <c r="Y47" s="718"/>
      <c r="Z47" s="232"/>
      <c r="AA47" s="719"/>
      <c r="AB47" s="714" t="s">
        <v>1156</v>
      </c>
      <c r="AC47" s="720"/>
      <c r="AD47" s="714"/>
      <c r="AE47" s="717"/>
      <c r="AF47" s="717">
        <v>1</v>
      </c>
    </row>
    <row r="48" spans="1:32" s="224" customFormat="1" ht="13.5" customHeight="1">
      <c r="A48" s="225">
        <v>41</v>
      </c>
      <c r="B48" s="217"/>
      <c r="C48" s="217"/>
      <c r="D48" s="217"/>
      <c r="E48" s="217"/>
      <c r="F48" s="217" t="s">
        <v>1157</v>
      </c>
      <c r="G48" s="217"/>
      <c r="H48" s="217"/>
      <c r="I48" s="217"/>
      <c r="J48" s="714"/>
      <c r="K48" s="715"/>
      <c r="L48" s="714" t="s">
        <v>1158</v>
      </c>
      <c r="M48" s="715" t="s">
        <v>1159</v>
      </c>
      <c r="N48" s="714"/>
      <c r="O48" s="714"/>
      <c r="P48" s="714"/>
      <c r="Q48" s="714"/>
      <c r="R48" s="252"/>
      <c r="S48" s="714" t="s">
        <v>817</v>
      </c>
      <c r="T48" s="714" t="s">
        <v>864</v>
      </c>
      <c r="U48" s="243" t="s">
        <v>1159</v>
      </c>
      <c r="V48" s="717"/>
      <c r="W48" s="714"/>
      <c r="X48" s="718" t="s">
        <v>864</v>
      </c>
      <c r="Y48" s="718"/>
      <c r="Z48" s="232"/>
      <c r="AA48" s="719"/>
      <c r="AB48" s="714"/>
      <c r="AC48" s="720"/>
      <c r="AD48" s="714"/>
      <c r="AE48" s="717">
        <v>1</v>
      </c>
      <c r="AF48" s="717"/>
    </row>
    <row r="49" spans="1:1015" s="224" customFormat="1" ht="13.5" customHeight="1">
      <c r="A49" s="225">
        <v>42</v>
      </c>
      <c r="B49" s="217"/>
      <c r="C49" s="217"/>
      <c r="D49" s="217"/>
      <c r="E49" s="217"/>
      <c r="F49" s="217"/>
      <c r="G49" s="241" t="s">
        <v>1160</v>
      </c>
      <c r="H49" s="241"/>
      <c r="I49" s="241"/>
      <c r="J49" s="714" t="s">
        <v>1161</v>
      </c>
      <c r="K49" s="715" t="s">
        <v>930</v>
      </c>
      <c r="L49" s="714"/>
      <c r="M49" s="715" t="s">
        <v>1162</v>
      </c>
      <c r="N49" s="714"/>
      <c r="O49" s="714"/>
      <c r="P49" s="714"/>
      <c r="Q49" s="714"/>
      <c r="R49" s="716"/>
      <c r="S49" s="714" t="s">
        <v>820</v>
      </c>
      <c r="T49" s="714"/>
      <c r="U49" s="714" t="s">
        <v>879</v>
      </c>
      <c r="V49" s="717"/>
      <c r="W49" s="714"/>
      <c r="X49" s="718" t="s">
        <v>864</v>
      </c>
      <c r="Y49" s="718"/>
      <c r="Z49" s="232"/>
      <c r="AA49" s="719"/>
      <c r="AB49" s="714" t="s">
        <v>1163</v>
      </c>
      <c r="AC49" s="720"/>
      <c r="AD49" s="714"/>
      <c r="AE49" s="717"/>
      <c r="AF49" s="717">
        <v>1</v>
      </c>
    </row>
    <row r="50" spans="1:1015" s="224" customFormat="1" ht="13.5" customHeight="1">
      <c r="A50" s="225">
        <v>43</v>
      </c>
      <c r="B50" s="217"/>
      <c r="C50" s="217"/>
      <c r="D50" s="217"/>
      <c r="E50" s="217"/>
      <c r="F50" s="217"/>
      <c r="G50" s="217" t="s">
        <v>1164</v>
      </c>
      <c r="H50" s="217"/>
      <c r="I50" s="217"/>
      <c r="J50" s="714" t="s">
        <v>1165</v>
      </c>
      <c r="K50" s="715"/>
      <c r="L50" s="714" t="s">
        <v>1166</v>
      </c>
      <c r="M50" s="715" t="s">
        <v>1166</v>
      </c>
      <c r="N50" s="714"/>
      <c r="O50" s="714"/>
      <c r="P50" s="714"/>
      <c r="Q50" s="714"/>
      <c r="R50" s="252"/>
      <c r="S50" s="714" t="s">
        <v>817</v>
      </c>
      <c r="T50" s="714" t="s">
        <v>864</v>
      </c>
      <c r="U50" s="243" t="s">
        <v>1166</v>
      </c>
      <c r="V50" s="717"/>
      <c r="W50" s="714"/>
      <c r="X50" s="718" t="s">
        <v>864</v>
      </c>
      <c r="Y50" s="718"/>
      <c r="Z50" s="232"/>
      <c r="AA50" s="719"/>
      <c r="AB50" s="714"/>
      <c r="AC50" s="720"/>
      <c r="AD50" s="714"/>
      <c r="AE50" s="717">
        <v>1</v>
      </c>
      <c r="AF50" s="717">
        <v>1</v>
      </c>
    </row>
    <row r="51" spans="1:1015" s="224" customFormat="1" ht="13.5" customHeight="1">
      <c r="A51" s="225">
        <v>44</v>
      </c>
      <c r="B51" s="217"/>
      <c r="C51" s="217"/>
      <c r="D51" s="217"/>
      <c r="E51" s="217"/>
      <c r="F51" s="217"/>
      <c r="G51" s="217"/>
      <c r="H51" s="217" t="s">
        <v>1167</v>
      </c>
      <c r="I51" s="217"/>
      <c r="J51" s="714" t="s">
        <v>1168</v>
      </c>
      <c r="K51" s="715"/>
      <c r="L51" s="714" t="s">
        <v>1169</v>
      </c>
      <c r="M51" s="715" t="s">
        <v>1169</v>
      </c>
      <c r="N51" s="714"/>
      <c r="O51" s="714"/>
      <c r="P51" s="714"/>
      <c r="Q51" s="714"/>
      <c r="R51" s="252"/>
      <c r="S51" s="714" t="s">
        <v>820</v>
      </c>
      <c r="T51" s="714" t="s">
        <v>864</v>
      </c>
      <c r="U51" s="243" t="s">
        <v>1169</v>
      </c>
      <c r="V51" s="717"/>
      <c r="W51" s="714"/>
      <c r="X51" s="718" t="s">
        <v>864</v>
      </c>
      <c r="Y51" s="718"/>
      <c r="Z51" s="232"/>
      <c r="AA51" s="719"/>
      <c r="AB51" s="714"/>
      <c r="AC51" s="720"/>
      <c r="AD51" s="714"/>
      <c r="AE51" s="717">
        <v>1</v>
      </c>
      <c r="AF51" s="717">
        <v>1</v>
      </c>
    </row>
    <row r="52" spans="1:1015" s="224" customFormat="1" ht="13.5" customHeight="1">
      <c r="A52" s="225">
        <v>45</v>
      </c>
      <c r="B52" s="217"/>
      <c r="C52" s="217"/>
      <c r="D52" s="217"/>
      <c r="E52" s="217"/>
      <c r="F52" s="217"/>
      <c r="G52" s="217"/>
      <c r="H52" s="217"/>
      <c r="I52" s="217" t="s">
        <v>1170</v>
      </c>
      <c r="J52" s="714" t="s">
        <v>1171</v>
      </c>
      <c r="K52" s="715" t="s">
        <v>1172</v>
      </c>
      <c r="L52" s="714" t="s">
        <v>1173</v>
      </c>
      <c r="M52" s="715" t="s">
        <v>1173</v>
      </c>
      <c r="N52" s="714"/>
      <c r="O52" s="714"/>
      <c r="P52" s="714"/>
      <c r="Q52" s="714"/>
      <c r="R52" s="252"/>
      <c r="S52" s="714" t="s">
        <v>820</v>
      </c>
      <c r="T52" s="714"/>
      <c r="U52" s="714" t="s">
        <v>1092</v>
      </c>
      <c r="V52" s="717"/>
      <c r="W52" s="714"/>
      <c r="X52" s="718" t="s">
        <v>864</v>
      </c>
      <c r="Y52" s="718"/>
      <c r="Z52" s="232"/>
      <c r="AA52" s="714" t="s">
        <v>1174</v>
      </c>
      <c r="AB52" s="714"/>
      <c r="AC52" s="245" t="s">
        <v>1175</v>
      </c>
      <c r="AD52" s="714"/>
      <c r="AE52" s="717">
        <v>1</v>
      </c>
      <c r="AF52" s="717">
        <v>1</v>
      </c>
    </row>
    <row r="53" spans="1:1015" s="256" customFormat="1" ht="13.5" customHeight="1">
      <c r="A53" s="225">
        <v>46</v>
      </c>
      <c r="B53" s="217"/>
      <c r="C53" s="217"/>
      <c r="D53" s="217"/>
      <c r="E53" s="217"/>
      <c r="F53" s="217"/>
      <c r="G53" s="217"/>
      <c r="H53" s="217"/>
      <c r="I53" s="217" t="s">
        <v>1176</v>
      </c>
      <c r="J53" s="714" t="s">
        <v>1177</v>
      </c>
      <c r="K53" s="715" t="s">
        <v>1178</v>
      </c>
      <c r="L53" s="714" t="s">
        <v>1179</v>
      </c>
      <c r="M53" s="715" t="s">
        <v>1179</v>
      </c>
      <c r="N53" s="714"/>
      <c r="O53" s="714"/>
      <c r="P53" s="714"/>
      <c r="Q53" s="714"/>
      <c r="R53" s="252"/>
      <c r="S53" s="714" t="s">
        <v>820</v>
      </c>
      <c r="T53" s="714"/>
      <c r="U53" s="714" t="s">
        <v>1092</v>
      </c>
      <c r="V53" s="717"/>
      <c r="W53" s="714"/>
      <c r="X53" s="718" t="s">
        <v>864</v>
      </c>
      <c r="Y53" s="718"/>
      <c r="Z53" s="232"/>
      <c r="AA53" s="714" t="s">
        <v>1174</v>
      </c>
      <c r="AB53" s="714"/>
      <c r="AC53" s="245" t="s">
        <v>1175</v>
      </c>
      <c r="AD53" s="714"/>
      <c r="AE53" s="717">
        <v>1</v>
      </c>
      <c r="AF53" s="717">
        <v>1</v>
      </c>
    </row>
    <row r="54" spans="1:1015" s="244" customFormat="1" ht="13.5" customHeight="1">
      <c r="A54" s="225">
        <v>47</v>
      </c>
      <c r="B54" s="217"/>
      <c r="C54" s="222"/>
      <c r="D54" s="217"/>
      <c r="E54" s="222"/>
      <c r="F54" s="222"/>
      <c r="G54" s="222"/>
      <c r="H54" s="222"/>
      <c r="I54" s="222" t="s">
        <v>1180</v>
      </c>
      <c r="J54" s="714" t="s">
        <v>1181</v>
      </c>
      <c r="K54" s="715">
        <v>120</v>
      </c>
      <c r="L54" s="714"/>
      <c r="M54" s="714" t="s">
        <v>1182</v>
      </c>
      <c r="N54" s="714"/>
      <c r="O54" s="714"/>
      <c r="P54" s="714"/>
      <c r="Q54" s="714"/>
      <c r="R54" s="716"/>
      <c r="S54" s="714" t="s">
        <v>817</v>
      </c>
      <c r="T54" s="714"/>
      <c r="U54" s="714" t="s">
        <v>1092</v>
      </c>
      <c r="V54" s="717"/>
      <c r="W54" s="714"/>
      <c r="X54" s="718" t="s">
        <v>864</v>
      </c>
      <c r="Y54" s="718"/>
      <c r="Z54" s="232"/>
      <c r="AA54" s="714" t="s">
        <v>1183</v>
      </c>
      <c r="AB54" s="714"/>
      <c r="AC54" s="720"/>
      <c r="AD54" s="714"/>
      <c r="AE54" s="717">
        <v>1</v>
      </c>
      <c r="AF54" s="717">
        <v>1</v>
      </c>
    </row>
    <row r="55" spans="1:1015" s="256" customFormat="1" ht="13.5" customHeight="1">
      <c r="A55" s="225">
        <v>48</v>
      </c>
      <c r="B55" s="217"/>
      <c r="C55" s="217"/>
      <c r="D55" s="217"/>
      <c r="E55" s="217"/>
      <c r="F55" s="217"/>
      <c r="G55" s="241"/>
      <c r="H55" s="241"/>
      <c r="I55" s="241" t="s">
        <v>1184</v>
      </c>
      <c r="J55" s="714" t="s">
        <v>1185</v>
      </c>
      <c r="K55" s="715">
        <v>96</v>
      </c>
      <c r="L55" s="714"/>
      <c r="M55" s="714" t="s">
        <v>1186</v>
      </c>
      <c r="N55" s="714"/>
      <c r="O55" s="714"/>
      <c r="P55" s="714"/>
      <c r="Q55" s="714"/>
      <c r="R55" s="716"/>
      <c r="S55" s="714" t="s">
        <v>817</v>
      </c>
      <c r="T55" s="714"/>
      <c r="U55" s="714" t="s">
        <v>1092</v>
      </c>
      <c r="V55" s="717"/>
      <c r="W55" s="714"/>
      <c r="X55" s="718" t="s">
        <v>864</v>
      </c>
      <c r="Y55" s="718"/>
      <c r="Z55" s="232"/>
      <c r="AA55" s="714" t="s">
        <v>1187</v>
      </c>
      <c r="AB55" s="714"/>
      <c r="AC55" s="720"/>
      <c r="AD55" s="714"/>
      <c r="AE55" s="717">
        <v>1</v>
      </c>
      <c r="AF55" s="717">
        <v>1</v>
      </c>
    </row>
    <row r="56" spans="1:1015" s="256" customFormat="1" ht="13.5" customHeight="1">
      <c r="A56" s="225">
        <v>49</v>
      </c>
      <c r="B56" s="217"/>
      <c r="C56" s="217"/>
      <c r="D56" s="217"/>
      <c r="E56" s="217"/>
      <c r="F56" s="217"/>
      <c r="G56" s="241"/>
      <c r="H56" s="241"/>
      <c r="I56" s="241" t="s">
        <v>1188</v>
      </c>
      <c r="J56" s="714" t="s">
        <v>1189</v>
      </c>
      <c r="K56" s="715">
        <v>34</v>
      </c>
      <c r="L56" s="714"/>
      <c r="M56" s="714" t="s">
        <v>1190</v>
      </c>
      <c r="N56" s="714"/>
      <c r="O56" s="714"/>
      <c r="P56" s="714"/>
      <c r="Q56" s="714"/>
      <c r="R56" s="716"/>
      <c r="S56" s="714" t="s">
        <v>817</v>
      </c>
      <c r="T56" s="714"/>
      <c r="U56" s="714" t="s">
        <v>1092</v>
      </c>
      <c r="V56" s="717"/>
      <c r="W56" s="714"/>
      <c r="X56" s="718" t="s">
        <v>864</v>
      </c>
      <c r="Y56" s="718"/>
      <c r="Z56" s="232"/>
      <c r="AA56" s="714" t="s">
        <v>1191</v>
      </c>
      <c r="AB56" s="714"/>
      <c r="AC56" s="720"/>
      <c r="AD56" s="714"/>
      <c r="AE56" s="717">
        <v>1</v>
      </c>
      <c r="AF56" s="717">
        <v>1</v>
      </c>
    </row>
    <row r="57" spans="1:1015" s="244" customFormat="1" ht="13.5" customHeight="1">
      <c r="A57" s="225">
        <v>50</v>
      </c>
      <c r="B57" s="217"/>
      <c r="C57" s="222"/>
      <c r="D57" s="217"/>
      <c r="E57" s="222"/>
      <c r="F57" s="222"/>
      <c r="G57" s="241"/>
      <c r="H57" s="241"/>
      <c r="I57" s="241" t="s">
        <v>1192</v>
      </c>
      <c r="J57" s="714" t="s">
        <v>1193</v>
      </c>
      <c r="K57" s="715" t="s">
        <v>1194</v>
      </c>
      <c r="L57" s="714"/>
      <c r="M57" s="715" t="s">
        <v>1195</v>
      </c>
      <c r="N57" s="714"/>
      <c r="O57" s="714"/>
      <c r="P57" s="714"/>
      <c r="Q57" s="714"/>
      <c r="R57" s="716"/>
      <c r="S57" s="714" t="s">
        <v>820</v>
      </c>
      <c r="T57" s="714"/>
      <c r="U57" s="714" t="s">
        <v>863</v>
      </c>
      <c r="V57" s="717" t="s">
        <v>864</v>
      </c>
      <c r="W57" s="714" t="s">
        <v>1196</v>
      </c>
      <c r="X57" s="718" t="s">
        <v>864</v>
      </c>
      <c r="Y57" s="718"/>
      <c r="Z57" s="232"/>
      <c r="AA57" s="719"/>
      <c r="AB57" s="714"/>
      <c r="AC57" s="720"/>
      <c r="AD57" s="714"/>
      <c r="AE57" s="717"/>
      <c r="AF57" s="717">
        <v>1</v>
      </c>
    </row>
    <row r="58" spans="1:1015" s="256" customFormat="1" ht="13.5" customHeight="1">
      <c r="A58" s="225">
        <v>51</v>
      </c>
      <c r="B58" s="217"/>
      <c r="C58" s="217"/>
      <c r="D58" s="217"/>
      <c r="E58" s="217"/>
      <c r="F58" s="217"/>
      <c r="G58" s="217"/>
      <c r="H58" s="217" t="s">
        <v>1197</v>
      </c>
      <c r="I58" s="217"/>
      <c r="J58" s="714" t="s">
        <v>1198</v>
      </c>
      <c r="K58" s="715" t="s">
        <v>1199</v>
      </c>
      <c r="L58" s="714" t="s">
        <v>1200</v>
      </c>
      <c r="M58" s="715" t="s">
        <v>1201</v>
      </c>
      <c r="N58" s="714"/>
      <c r="O58" s="714"/>
      <c r="P58" s="714"/>
      <c r="Q58" s="714"/>
      <c r="R58" s="716">
        <v>1</v>
      </c>
      <c r="S58" s="714" t="s">
        <v>817</v>
      </c>
      <c r="T58" s="714"/>
      <c r="U58" s="714" t="s">
        <v>863</v>
      </c>
      <c r="V58" s="717"/>
      <c r="W58" s="714"/>
      <c r="X58" s="718" t="s">
        <v>864</v>
      </c>
      <c r="Y58" s="718"/>
      <c r="Z58" s="232"/>
      <c r="AA58" s="719"/>
      <c r="AB58" s="714"/>
      <c r="AC58" s="720"/>
      <c r="AD58" s="714"/>
      <c r="AE58" s="717">
        <v>1</v>
      </c>
      <c r="AF58" s="717">
        <v>1</v>
      </c>
    </row>
    <row r="59" spans="1:1015" s="256" customFormat="1" ht="12.95" customHeight="1">
      <c r="A59" s="225">
        <v>52</v>
      </c>
      <c r="B59" s="217"/>
      <c r="C59" s="217"/>
      <c r="D59" s="217"/>
      <c r="E59" s="217"/>
      <c r="F59" s="217"/>
      <c r="G59" s="217" t="s">
        <v>1202</v>
      </c>
      <c r="H59" s="217"/>
      <c r="I59" s="217"/>
      <c r="J59" s="714" t="s">
        <v>1203</v>
      </c>
      <c r="K59" s="715"/>
      <c r="L59" s="714" t="s">
        <v>1204</v>
      </c>
      <c r="M59" s="715" t="s">
        <v>1204</v>
      </c>
      <c r="N59" s="714"/>
      <c r="O59" s="714"/>
      <c r="P59" s="714"/>
      <c r="Q59" s="714"/>
      <c r="R59" s="252"/>
      <c r="S59" s="714" t="s">
        <v>817</v>
      </c>
      <c r="T59" s="714"/>
      <c r="U59" s="714" t="s">
        <v>863</v>
      </c>
      <c r="V59" s="717"/>
      <c r="W59" s="714"/>
      <c r="X59" s="718" t="s">
        <v>864</v>
      </c>
      <c r="Y59" s="718"/>
      <c r="Z59" s="232"/>
      <c r="AA59" s="719"/>
      <c r="AB59" s="714"/>
      <c r="AC59" s="720"/>
      <c r="AD59" s="714"/>
      <c r="AE59" s="717">
        <v>1</v>
      </c>
      <c r="AF59" s="717"/>
    </row>
    <row r="60" spans="1:1015" s="224" customFormat="1" ht="13.5" customHeight="1">
      <c r="A60" s="225">
        <v>53</v>
      </c>
      <c r="B60" s="217"/>
      <c r="C60" s="217"/>
      <c r="D60" s="217"/>
      <c r="E60" s="217"/>
      <c r="F60" s="217" t="s">
        <v>1205</v>
      </c>
      <c r="G60" s="217"/>
      <c r="H60" s="217"/>
      <c r="I60" s="217"/>
      <c r="J60" s="714" t="s">
        <v>1206</v>
      </c>
      <c r="K60" s="715"/>
      <c r="L60" s="714" t="s">
        <v>942</v>
      </c>
      <c r="M60" s="715" t="s">
        <v>1207</v>
      </c>
      <c r="N60" s="714"/>
      <c r="O60" s="714"/>
      <c r="P60" s="714"/>
      <c r="Q60" s="714"/>
      <c r="R60" s="252"/>
      <c r="S60" s="714" t="s">
        <v>823</v>
      </c>
      <c r="T60" s="714" t="s">
        <v>864</v>
      </c>
      <c r="U60" s="243" t="s">
        <v>1207</v>
      </c>
      <c r="V60" s="717"/>
      <c r="W60" s="714"/>
      <c r="X60" s="718" t="s">
        <v>864</v>
      </c>
      <c r="Y60" s="718"/>
      <c r="Z60" s="232"/>
      <c r="AA60" s="719"/>
      <c r="AB60" s="714"/>
      <c r="AC60" s="720"/>
      <c r="AD60" s="714"/>
      <c r="AE60" s="717">
        <v>1</v>
      </c>
      <c r="AF60" s="717">
        <v>1</v>
      </c>
    </row>
    <row r="61" spans="1:1015" s="224" customFormat="1" ht="13.5" customHeight="1">
      <c r="A61" s="225">
        <v>54</v>
      </c>
      <c r="B61" s="217"/>
      <c r="C61" s="217"/>
      <c r="D61" s="217"/>
      <c r="E61" s="217"/>
      <c r="F61" s="217"/>
      <c r="G61" s="217" t="s">
        <v>1208</v>
      </c>
      <c r="H61" s="217"/>
      <c r="I61" s="217"/>
      <c r="J61" s="714" t="s">
        <v>1209</v>
      </c>
      <c r="K61" s="715" t="s">
        <v>1210</v>
      </c>
      <c r="L61" s="714" t="s">
        <v>908</v>
      </c>
      <c r="M61" s="715" t="s">
        <v>939</v>
      </c>
      <c r="N61" s="714"/>
      <c r="O61" s="714"/>
      <c r="P61" s="714"/>
      <c r="Q61" s="714"/>
      <c r="R61" s="252"/>
      <c r="S61" s="714" t="s">
        <v>820</v>
      </c>
      <c r="T61" s="714"/>
      <c r="U61" s="714" t="s">
        <v>863</v>
      </c>
      <c r="V61" s="717" t="s">
        <v>864</v>
      </c>
      <c r="W61" s="714" t="s">
        <v>1211</v>
      </c>
      <c r="X61" s="718" t="s">
        <v>864</v>
      </c>
      <c r="Y61" s="718"/>
      <c r="Z61" s="232"/>
      <c r="AA61" s="719"/>
      <c r="AB61" s="714"/>
      <c r="AC61" s="720"/>
      <c r="AD61" s="714"/>
      <c r="AE61" s="717">
        <v>1</v>
      </c>
      <c r="AF61" s="717">
        <v>1</v>
      </c>
    </row>
    <row r="62" spans="1:1015" s="224" customFormat="1" ht="13.5" customHeight="1">
      <c r="A62" s="225">
        <v>55</v>
      </c>
      <c r="B62" s="217"/>
      <c r="C62" s="217"/>
      <c r="D62" s="217"/>
      <c r="E62" s="217"/>
      <c r="F62" s="217"/>
      <c r="G62" s="217" t="s">
        <v>1212</v>
      </c>
      <c r="H62" s="217"/>
      <c r="I62" s="217"/>
      <c r="J62" s="714" t="s">
        <v>1213</v>
      </c>
      <c r="K62" s="715" t="s">
        <v>1214</v>
      </c>
      <c r="L62" s="714" t="s">
        <v>970</v>
      </c>
      <c r="M62" s="715" t="s">
        <v>970</v>
      </c>
      <c r="N62" s="714"/>
      <c r="O62" s="714"/>
      <c r="P62" s="714"/>
      <c r="Q62" s="714"/>
      <c r="R62" s="252"/>
      <c r="S62" s="714" t="s">
        <v>820</v>
      </c>
      <c r="T62" s="714"/>
      <c r="U62" s="714" t="s">
        <v>863</v>
      </c>
      <c r="V62" s="717" t="s">
        <v>864</v>
      </c>
      <c r="W62" s="714" t="s">
        <v>1215</v>
      </c>
      <c r="X62" s="718" t="s">
        <v>864</v>
      </c>
      <c r="Y62" s="718"/>
      <c r="Z62" s="232"/>
      <c r="AA62" s="719"/>
      <c r="AB62" s="714"/>
      <c r="AC62" s="720"/>
      <c r="AD62" s="714"/>
      <c r="AE62" s="717">
        <v>1</v>
      </c>
      <c r="AF62" s="717">
        <v>1</v>
      </c>
    </row>
    <row r="63" spans="1:1015" s="231" customFormat="1" ht="12.95" customHeight="1">
      <c r="A63" s="225">
        <v>56</v>
      </c>
      <c r="B63" s="217"/>
      <c r="C63" s="217"/>
      <c r="D63" s="217"/>
      <c r="E63" s="217"/>
      <c r="F63" s="217"/>
      <c r="G63" s="217" t="s">
        <v>1077</v>
      </c>
      <c r="H63" s="217"/>
      <c r="I63" s="217"/>
      <c r="J63" s="714" t="s">
        <v>1216</v>
      </c>
      <c r="K63" s="715" t="s">
        <v>1217</v>
      </c>
      <c r="L63" s="714" t="s">
        <v>1218</v>
      </c>
      <c r="M63" s="715" t="s">
        <v>1219</v>
      </c>
      <c r="N63" s="714"/>
      <c r="O63" s="714"/>
      <c r="P63" s="714"/>
      <c r="Q63" s="714"/>
      <c r="R63" s="252"/>
      <c r="S63" s="714" t="s">
        <v>820</v>
      </c>
      <c r="T63" s="714"/>
      <c r="U63" s="721" t="s">
        <v>863</v>
      </c>
      <c r="V63" s="282"/>
      <c r="W63" s="714"/>
      <c r="X63" s="718" t="s">
        <v>864</v>
      </c>
      <c r="Y63" s="718"/>
      <c r="Z63" s="232"/>
      <c r="AA63" s="719"/>
      <c r="AB63" s="714"/>
      <c r="AC63" s="720"/>
      <c r="AD63" s="714"/>
      <c r="AE63" s="717">
        <v>1</v>
      </c>
      <c r="AF63" s="717">
        <v>1</v>
      </c>
      <c r="AG63" s="725"/>
      <c r="AH63" s="725"/>
      <c r="AI63" s="725"/>
      <c r="AJ63" s="725"/>
      <c r="AK63" s="725"/>
      <c r="AL63" s="725"/>
      <c r="AM63" s="725"/>
      <c r="AN63" s="725"/>
      <c r="AO63" s="725"/>
      <c r="AP63" s="725"/>
      <c r="AQ63" s="725"/>
      <c r="AR63" s="725"/>
      <c r="AS63" s="725"/>
      <c r="AT63" s="725"/>
      <c r="AU63" s="725"/>
      <c r="AV63" s="725"/>
      <c r="AW63" s="725"/>
      <c r="AX63" s="725"/>
      <c r="AY63" s="725"/>
      <c r="AZ63" s="725"/>
      <c r="BA63" s="725"/>
      <c r="BB63" s="725"/>
      <c r="BC63" s="725"/>
      <c r="BD63" s="725"/>
      <c r="BE63" s="725"/>
      <c r="BF63" s="725"/>
      <c r="BG63" s="725"/>
      <c r="BH63" s="725"/>
      <c r="BI63" s="725"/>
      <c r="BJ63" s="725"/>
      <c r="BK63" s="725"/>
      <c r="BL63" s="725"/>
      <c r="BM63" s="725"/>
      <c r="BN63" s="725"/>
      <c r="BO63" s="725"/>
      <c r="BP63" s="725"/>
      <c r="BQ63" s="725"/>
      <c r="BR63" s="725"/>
      <c r="BS63" s="725"/>
      <c r="BT63" s="725"/>
      <c r="BU63" s="725"/>
      <c r="BV63" s="725"/>
      <c r="BW63" s="725"/>
      <c r="BX63" s="725"/>
      <c r="BY63" s="725"/>
      <c r="BZ63" s="725"/>
      <c r="CA63" s="725"/>
      <c r="CB63" s="725"/>
      <c r="CC63" s="725"/>
      <c r="CD63" s="725"/>
      <c r="CE63" s="725"/>
      <c r="CF63" s="725"/>
      <c r="CG63" s="725"/>
      <c r="CH63" s="725"/>
      <c r="CI63" s="725"/>
      <c r="CJ63" s="725"/>
      <c r="CK63" s="725"/>
      <c r="CL63" s="725"/>
      <c r="CM63" s="725"/>
      <c r="CN63" s="725"/>
      <c r="CO63" s="725"/>
      <c r="CP63" s="725"/>
      <c r="CQ63" s="725"/>
      <c r="CR63" s="725"/>
      <c r="CS63" s="725"/>
      <c r="CT63" s="725"/>
      <c r="CU63" s="725"/>
      <c r="CV63" s="725"/>
      <c r="CW63" s="725"/>
      <c r="CX63" s="725"/>
      <c r="CY63" s="725"/>
      <c r="CZ63" s="725"/>
      <c r="DA63" s="725"/>
      <c r="DB63" s="725"/>
      <c r="DC63" s="725"/>
      <c r="DD63" s="725"/>
      <c r="DE63" s="725"/>
      <c r="DF63" s="725"/>
      <c r="DG63" s="725"/>
      <c r="DH63" s="725"/>
      <c r="DI63" s="725"/>
      <c r="DJ63" s="725"/>
      <c r="DK63" s="725"/>
      <c r="DL63" s="725"/>
      <c r="DM63" s="725"/>
      <c r="DN63" s="725"/>
      <c r="DO63" s="725"/>
      <c r="DP63" s="725"/>
      <c r="DQ63" s="725"/>
      <c r="DR63" s="725"/>
      <c r="DS63" s="725"/>
      <c r="DT63" s="725"/>
      <c r="DU63" s="725"/>
      <c r="DV63" s="725"/>
      <c r="DW63" s="725"/>
      <c r="DX63" s="725"/>
      <c r="DY63" s="725"/>
      <c r="DZ63" s="725"/>
      <c r="EA63" s="725"/>
      <c r="EB63" s="725"/>
      <c r="EC63" s="725"/>
      <c r="ED63" s="725"/>
      <c r="EE63" s="725"/>
      <c r="EF63" s="725"/>
      <c r="EG63" s="725"/>
      <c r="EH63" s="725"/>
      <c r="EI63" s="725"/>
      <c r="EJ63" s="725"/>
      <c r="EK63" s="725"/>
      <c r="EL63" s="725"/>
      <c r="EM63" s="725"/>
      <c r="EN63" s="725"/>
      <c r="EO63" s="725"/>
      <c r="EP63" s="725"/>
      <c r="EQ63" s="725"/>
      <c r="ER63" s="725"/>
      <c r="ES63" s="725"/>
      <c r="ET63" s="725"/>
      <c r="EU63" s="725"/>
      <c r="EV63" s="725"/>
      <c r="EW63" s="725"/>
      <c r="EX63" s="725"/>
      <c r="EY63" s="725"/>
      <c r="EZ63" s="725"/>
      <c r="FA63" s="725"/>
      <c r="FB63" s="725"/>
      <c r="FC63" s="725"/>
      <c r="FD63" s="725"/>
      <c r="FE63" s="725"/>
      <c r="FF63" s="725"/>
      <c r="FG63" s="725"/>
      <c r="FH63" s="725"/>
      <c r="FI63" s="725"/>
      <c r="FJ63" s="725"/>
      <c r="FK63" s="725"/>
      <c r="FL63" s="725"/>
      <c r="FM63" s="725"/>
      <c r="FN63" s="725"/>
      <c r="FO63" s="725"/>
      <c r="FP63" s="725"/>
      <c r="FQ63" s="725"/>
      <c r="FR63" s="725"/>
      <c r="FS63" s="725"/>
      <c r="FT63" s="725"/>
      <c r="FU63" s="725"/>
      <c r="FV63" s="725"/>
      <c r="FW63" s="725"/>
      <c r="FX63" s="725"/>
      <c r="FY63" s="725"/>
      <c r="FZ63" s="725"/>
      <c r="GA63" s="725"/>
      <c r="GB63" s="725"/>
      <c r="GC63" s="725"/>
      <c r="GD63" s="725"/>
      <c r="GE63" s="725"/>
      <c r="GF63" s="725"/>
      <c r="GG63" s="725"/>
      <c r="GH63" s="725"/>
      <c r="GI63" s="725"/>
      <c r="GJ63" s="725"/>
      <c r="GK63" s="725"/>
      <c r="GL63" s="725"/>
      <c r="GM63" s="725"/>
      <c r="GN63" s="725"/>
      <c r="GO63" s="725"/>
      <c r="GP63" s="725"/>
      <c r="GQ63" s="725"/>
      <c r="GR63" s="725"/>
      <c r="GS63" s="725"/>
      <c r="GT63" s="725"/>
      <c r="GU63" s="725"/>
      <c r="GV63" s="725"/>
      <c r="GW63" s="725"/>
      <c r="GX63" s="725"/>
      <c r="GY63" s="725"/>
      <c r="GZ63" s="725"/>
      <c r="HA63" s="725"/>
      <c r="HB63" s="725"/>
      <c r="HC63" s="725"/>
      <c r="HD63" s="725"/>
      <c r="HE63" s="725"/>
      <c r="HF63" s="725"/>
      <c r="HG63" s="725"/>
      <c r="HH63" s="725"/>
      <c r="HI63" s="725"/>
      <c r="HJ63" s="725"/>
      <c r="HK63" s="725"/>
      <c r="HL63" s="725"/>
      <c r="HM63" s="725"/>
      <c r="HN63" s="725"/>
      <c r="HO63" s="725"/>
      <c r="HP63" s="725"/>
      <c r="HQ63" s="725"/>
      <c r="HR63" s="725"/>
      <c r="HS63" s="725"/>
      <c r="HT63" s="725"/>
      <c r="HU63" s="725"/>
      <c r="HV63" s="725"/>
      <c r="HW63" s="725"/>
      <c r="HX63" s="725"/>
      <c r="HY63" s="725"/>
      <c r="HZ63" s="725"/>
      <c r="IA63" s="725"/>
      <c r="IB63" s="725"/>
      <c r="IC63" s="725"/>
      <c r="ID63" s="725"/>
      <c r="IE63" s="725"/>
      <c r="IF63" s="725"/>
      <c r="IG63" s="725"/>
      <c r="IH63" s="725"/>
      <c r="II63" s="725"/>
      <c r="IJ63" s="725"/>
      <c r="IK63" s="725"/>
      <c r="IL63" s="725"/>
      <c r="IM63" s="725"/>
      <c r="IN63" s="725"/>
      <c r="IO63" s="725"/>
      <c r="IP63" s="725"/>
      <c r="IQ63" s="725"/>
      <c r="IR63" s="725"/>
      <c r="IS63" s="725"/>
      <c r="IT63" s="725"/>
      <c r="IU63" s="725"/>
      <c r="IV63" s="725"/>
      <c r="IW63" s="725"/>
      <c r="IX63" s="725"/>
      <c r="IY63" s="725"/>
      <c r="IZ63" s="725"/>
      <c r="JA63" s="725"/>
      <c r="JB63" s="725"/>
      <c r="JC63" s="725"/>
      <c r="JD63" s="725"/>
      <c r="JE63" s="725"/>
      <c r="JF63" s="725"/>
      <c r="JG63" s="725"/>
      <c r="JH63" s="725"/>
      <c r="JI63" s="725"/>
      <c r="JJ63" s="725"/>
      <c r="JK63" s="725"/>
      <c r="JL63" s="725"/>
      <c r="JM63" s="725"/>
      <c r="JN63" s="725"/>
      <c r="JO63" s="725"/>
      <c r="JP63" s="725"/>
      <c r="JQ63" s="725"/>
      <c r="JR63" s="725"/>
      <c r="JS63" s="725"/>
      <c r="JT63" s="725"/>
      <c r="JU63" s="725"/>
      <c r="JV63" s="725"/>
      <c r="JW63" s="725"/>
      <c r="JX63" s="725"/>
      <c r="JY63" s="725"/>
      <c r="JZ63" s="725"/>
      <c r="KA63" s="725"/>
      <c r="KB63" s="725"/>
      <c r="KC63" s="725"/>
      <c r="KD63" s="725"/>
      <c r="KE63" s="725"/>
      <c r="KF63" s="725"/>
      <c r="KG63" s="725"/>
      <c r="KH63" s="725"/>
      <c r="KI63" s="725"/>
      <c r="KJ63" s="725"/>
      <c r="KK63" s="725"/>
      <c r="KL63" s="725"/>
      <c r="KM63" s="725"/>
      <c r="KN63" s="725"/>
      <c r="KO63" s="725"/>
      <c r="KP63" s="725"/>
      <c r="KQ63" s="725"/>
      <c r="KR63" s="725"/>
      <c r="KS63" s="725"/>
      <c r="KT63" s="725"/>
      <c r="KU63" s="725"/>
      <c r="KV63" s="725"/>
      <c r="KW63" s="725"/>
      <c r="KX63" s="725"/>
      <c r="KY63" s="725"/>
      <c r="KZ63" s="725"/>
      <c r="LA63" s="725"/>
      <c r="LB63" s="725"/>
      <c r="LC63" s="725"/>
      <c r="LD63" s="725"/>
      <c r="LE63" s="725"/>
      <c r="LF63" s="725"/>
      <c r="LG63" s="725"/>
      <c r="LH63" s="725"/>
      <c r="LI63" s="725"/>
      <c r="LJ63" s="725"/>
      <c r="LK63" s="725"/>
      <c r="LL63" s="725"/>
      <c r="LM63" s="725"/>
      <c r="LN63" s="725"/>
      <c r="LO63" s="725"/>
      <c r="LP63" s="725"/>
      <c r="LQ63" s="725"/>
      <c r="LR63" s="725"/>
      <c r="LS63" s="725"/>
      <c r="LT63" s="725"/>
      <c r="LU63" s="725"/>
      <c r="LV63" s="725"/>
      <c r="LW63" s="725"/>
      <c r="LX63" s="725"/>
      <c r="LY63" s="725"/>
      <c r="LZ63" s="725"/>
      <c r="MA63" s="725"/>
      <c r="MB63" s="725"/>
      <c r="MC63" s="725"/>
      <c r="MD63" s="725"/>
      <c r="ME63" s="725"/>
      <c r="MF63" s="725"/>
      <c r="MG63" s="725"/>
      <c r="MH63" s="725"/>
      <c r="MI63" s="725"/>
      <c r="MJ63" s="725"/>
      <c r="MK63" s="725"/>
      <c r="ML63" s="725"/>
      <c r="MM63" s="725"/>
      <c r="MN63" s="725"/>
      <c r="MO63" s="725"/>
      <c r="MP63" s="725"/>
      <c r="MQ63" s="725"/>
      <c r="MR63" s="725"/>
      <c r="MS63" s="725"/>
      <c r="MT63" s="725"/>
      <c r="MU63" s="725"/>
      <c r="MV63" s="725"/>
      <c r="MW63" s="725"/>
      <c r="MX63" s="725"/>
      <c r="MY63" s="725"/>
      <c r="MZ63" s="725"/>
      <c r="NA63" s="725"/>
      <c r="NB63" s="725"/>
      <c r="NC63" s="725"/>
      <c r="ND63" s="725"/>
      <c r="NE63" s="725"/>
      <c r="NF63" s="725"/>
      <c r="NG63" s="725"/>
      <c r="NH63" s="725"/>
      <c r="NI63" s="725"/>
      <c r="NJ63" s="725"/>
      <c r="NK63" s="725"/>
      <c r="NL63" s="725"/>
      <c r="NM63" s="725"/>
      <c r="NN63" s="725"/>
      <c r="NO63" s="725"/>
      <c r="NP63" s="725"/>
      <c r="NQ63" s="725"/>
      <c r="NR63" s="725"/>
      <c r="NS63" s="725"/>
      <c r="NT63" s="725"/>
      <c r="NU63" s="725"/>
      <c r="NV63" s="725"/>
      <c r="NW63" s="725"/>
      <c r="NX63" s="725"/>
      <c r="NY63" s="725"/>
      <c r="NZ63" s="725"/>
      <c r="OA63" s="725"/>
      <c r="OB63" s="725"/>
      <c r="OC63" s="725"/>
      <c r="OD63" s="725"/>
      <c r="OE63" s="725"/>
      <c r="OF63" s="725"/>
      <c r="OG63" s="725"/>
      <c r="OH63" s="725"/>
      <c r="OI63" s="725"/>
      <c r="OJ63" s="725"/>
      <c r="OK63" s="725"/>
      <c r="OL63" s="725"/>
      <c r="OM63" s="725"/>
      <c r="ON63" s="725"/>
      <c r="OO63" s="725"/>
      <c r="OP63" s="725"/>
      <c r="OQ63" s="725"/>
      <c r="OR63" s="725"/>
      <c r="OS63" s="725"/>
      <c r="OT63" s="725"/>
      <c r="OU63" s="725"/>
      <c r="OV63" s="725"/>
      <c r="OW63" s="725"/>
      <c r="OX63" s="725"/>
      <c r="OY63" s="725"/>
      <c r="OZ63" s="725"/>
      <c r="PA63" s="725"/>
      <c r="PB63" s="725"/>
      <c r="PC63" s="725"/>
      <c r="PD63" s="725"/>
      <c r="PE63" s="725"/>
      <c r="PF63" s="725"/>
      <c r="PG63" s="725"/>
      <c r="PH63" s="725"/>
      <c r="PI63" s="725"/>
      <c r="PJ63" s="725"/>
      <c r="PK63" s="725"/>
      <c r="PL63" s="725"/>
      <c r="PM63" s="725"/>
      <c r="PN63" s="725"/>
      <c r="PO63" s="725"/>
      <c r="PP63" s="725"/>
      <c r="PQ63" s="725"/>
      <c r="PR63" s="725"/>
      <c r="PS63" s="725"/>
      <c r="PT63" s="725"/>
      <c r="PU63" s="725"/>
      <c r="PV63" s="725"/>
      <c r="PW63" s="725"/>
      <c r="PX63" s="725"/>
      <c r="PY63" s="725"/>
      <c r="PZ63" s="725"/>
      <c r="QA63" s="725"/>
      <c r="QB63" s="725"/>
      <c r="QC63" s="725"/>
      <c r="QD63" s="725"/>
      <c r="QE63" s="725"/>
      <c r="QF63" s="725"/>
      <c r="QG63" s="725"/>
      <c r="QH63" s="725"/>
      <c r="QI63" s="725"/>
      <c r="QJ63" s="725"/>
      <c r="QK63" s="725"/>
      <c r="QL63" s="725"/>
      <c r="QM63" s="725"/>
      <c r="QN63" s="725"/>
      <c r="QO63" s="725"/>
      <c r="QP63" s="725"/>
      <c r="QQ63" s="725"/>
      <c r="QR63" s="725"/>
      <c r="QS63" s="725"/>
      <c r="QT63" s="725"/>
      <c r="QU63" s="725"/>
      <c r="QV63" s="725"/>
      <c r="QW63" s="725"/>
      <c r="QX63" s="725"/>
      <c r="QY63" s="725"/>
      <c r="QZ63" s="725"/>
      <c r="RA63" s="725"/>
      <c r="RB63" s="725"/>
      <c r="RC63" s="725"/>
      <c r="RD63" s="725"/>
      <c r="RE63" s="725"/>
      <c r="RF63" s="725"/>
      <c r="RG63" s="725"/>
      <c r="RH63" s="725"/>
      <c r="RI63" s="725"/>
      <c r="RJ63" s="725"/>
      <c r="RK63" s="725"/>
      <c r="RL63" s="725"/>
      <c r="RM63" s="725"/>
      <c r="RN63" s="725"/>
      <c r="RO63" s="725"/>
      <c r="RP63" s="725"/>
      <c r="RQ63" s="725"/>
      <c r="RR63" s="725"/>
      <c r="RS63" s="725"/>
      <c r="RT63" s="725"/>
      <c r="RU63" s="725"/>
      <c r="RV63" s="725"/>
      <c r="RW63" s="725"/>
      <c r="RX63" s="725"/>
      <c r="RY63" s="725"/>
      <c r="RZ63" s="725"/>
      <c r="SA63" s="725"/>
      <c r="SB63" s="725"/>
      <c r="SC63" s="725"/>
      <c r="SD63" s="725"/>
      <c r="SE63" s="725"/>
      <c r="SF63" s="725"/>
      <c r="SG63" s="725"/>
      <c r="SH63" s="725"/>
      <c r="SI63" s="725"/>
      <c r="SJ63" s="725"/>
      <c r="SK63" s="725"/>
      <c r="SL63" s="725"/>
      <c r="SM63" s="725"/>
      <c r="SN63" s="725"/>
      <c r="SO63" s="725"/>
      <c r="SP63" s="725"/>
      <c r="SQ63" s="725"/>
      <c r="SR63" s="725"/>
      <c r="SS63" s="725"/>
      <c r="ST63" s="725"/>
      <c r="SU63" s="725"/>
      <c r="SV63" s="725"/>
      <c r="SW63" s="725"/>
      <c r="SX63" s="725"/>
      <c r="SY63" s="725"/>
      <c r="SZ63" s="725"/>
      <c r="TA63" s="725"/>
      <c r="TB63" s="725"/>
      <c r="TC63" s="725"/>
      <c r="TD63" s="725"/>
      <c r="TE63" s="725"/>
      <c r="TF63" s="725"/>
      <c r="TG63" s="725"/>
      <c r="TH63" s="725"/>
      <c r="TI63" s="725"/>
      <c r="TJ63" s="725"/>
      <c r="TK63" s="725"/>
      <c r="TL63" s="725"/>
      <c r="TM63" s="725"/>
      <c r="TN63" s="725"/>
      <c r="TO63" s="725"/>
      <c r="TP63" s="725"/>
      <c r="TQ63" s="725"/>
      <c r="TR63" s="725"/>
      <c r="TS63" s="725"/>
      <c r="TT63" s="725"/>
      <c r="TU63" s="725"/>
      <c r="TV63" s="725"/>
      <c r="TW63" s="725"/>
      <c r="TX63" s="725"/>
      <c r="TY63" s="725"/>
      <c r="TZ63" s="725"/>
      <c r="UA63" s="725"/>
      <c r="UB63" s="725"/>
      <c r="UC63" s="725"/>
      <c r="UD63" s="725"/>
      <c r="UE63" s="725"/>
      <c r="UF63" s="725"/>
      <c r="UG63" s="725"/>
      <c r="UH63" s="725"/>
      <c r="UI63" s="725"/>
      <c r="UJ63" s="725"/>
      <c r="UK63" s="725"/>
      <c r="UL63" s="725"/>
      <c r="UM63" s="725"/>
      <c r="UN63" s="725"/>
      <c r="UO63" s="725"/>
      <c r="UP63" s="725"/>
      <c r="UQ63" s="725"/>
      <c r="UR63" s="725"/>
      <c r="US63" s="725"/>
      <c r="UT63" s="725"/>
      <c r="UU63" s="725"/>
      <c r="UV63" s="725"/>
      <c r="UW63" s="725"/>
      <c r="UX63" s="725"/>
      <c r="UY63" s="725"/>
      <c r="UZ63" s="725"/>
      <c r="VA63" s="725"/>
      <c r="VB63" s="725"/>
      <c r="VC63" s="725"/>
      <c r="VD63" s="725"/>
      <c r="VE63" s="725"/>
      <c r="VF63" s="725"/>
      <c r="VG63" s="725"/>
      <c r="VH63" s="725"/>
      <c r="VI63" s="725"/>
      <c r="VJ63" s="725"/>
      <c r="VK63" s="725"/>
      <c r="VL63" s="725"/>
      <c r="VM63" s="725"/>
      <c r="VN63" s="725"/>
      <c r="VO63" s="725"/>
      <c r="VP63" s="725"/>
      <c r="VQ63" s="725"/>
      <c r="VR63" s="725"/>
      <c r="VS63" s="725"/>
      <c r="VT63" s="725"/>
      <c r="VU63" s="725"/>
      <c r="VV63" s="725"/>
      <c r="VW63" s="725"/>
      <c r="VX63" s="725"/>
      <c r="VY63" s="725"/>
      <c r="VZ63" s="725"/>
      <c r="WA63" s="725"/>
      <c r="WB63" s="725"/>
      <c r="WC63" s="725"/>
      <c r="WD63" s="725"/>
      <c r="WE63" s="725"/>
      <c r="WF63" s="725"/>
      <c r="WG63" s="725"/>
      <c r="WH63" s="725"/>
      <c r="WI63" s="725"/>
      <c r="WJ63" s="725"/>
      <c r="WK63" s="725"/>
      <c r="WL63" s="725"/>
      <c r="WM63" s="725"/>
      <c r="WN63" s="725"/>
      <c r="WO63" s="725"/>
      <c r="WP63" s="725"/>
      <c r="WQ63" s="725"/>
      <c r="WR63" s="725"/>
      <c r="WS63" s="725"/>
      <c r="WT63" s="725"/>
      <c r="WU63" s="725"/>
      <c r="WV63" s="725"/>
      <c r="WW63" s="725"/>
      <c r="WX63" s="725"/>
      <c r="WY63" s="725"/>
      <c r="WZ63" s="725"/>
      <c r="XA63" s="725"/>
      <c r="XB63" s="725"/>
      <c r="XC63" s="725"/>
      <c r="XD63" s="725"/>
      <c r="XE63" s="725"/>
      <c r="XF63" s="725"/>
      <c r="XG63" s="725"/>
      <c r="XH63" s="725"/>
      <c r="XI63" s="725"/>
      <c r="XJ63" s="725"/>
      <c r="XK63" s="725"/>
      <c r="XL63" s="725"/>
      <c r="XM63" s="725"/>
      <c r="XN63" s="725"/>
      <c r="XO63" s="725"/>
      <c r="XP63" s="725"/>
      <c r="XQ63" s="725"/>
      <c r="XR63" s="725"/>
      <c r="XS63" s="725"/>
      <c r="XT63" s="725"/>
      <c r="XU63" s="725"/>
      <c r="XV63" s="725"/>
      <c r="XW63" s="725"/>
      <c r="XX63" s="725"/>
      <c r="XY63" s="725"/>
      <c r="XZ63" s="725"/>
      <c r="YA63" s="725"/>
      <c r="YB63" s="725"/>
      <c r="YC63" s="725"/>
      <c r="YD63" s="725"/>
      <c r="YE63" s="725"/>
      <c r="YF63" s="725"/>
      <c r="YG63" s="725"/>
      <c r="YH63" s="725"/>
      <c r="YI63" s="725"/>
      <c r="YJ63" s="725"/>
      <c r="YK63" s="725"/>
      <c r="YL63" s="725"/>
      <c r="YM63" s="725"/>
      <c r="YN63" s="725"/>
      <c r="YO63" s="725"/>
      <c r="YP63" s="725"/>
      <c r="YQ63" s="725"/>
      <c r="YR63" s="725"/>
      <c r="YS63" s="725"/>
      <c r="YT63" s="725"/>
      <c r="YU63" s="725"/>
      <c r="YV63" s="725"/>
      <c r="YW63" s="725"/>
      <c r="YX63" s="725"/>
      <c r="YY63" s="725"/>
      <c r="YZ63" s="725"/>
      <c r="ZA63" s="725"/>
      <c r="ZB63" s="725"/>
      <c r="ZC63" s="725"/>
      <c r="ZD63" s="725"/>
      <c r="ZE63" s="725"/>
      <c r="ZF63" s="725"/>
      <c r="ZG63" s="725"/>
      <c r="ZH63" s="725"/>
      <c r="ZI63" s="725"/>
      <c r="ZJ63" s="725"/>
      <c r="ZK63" s="725"/>
      <c r="ZL63" s="725"/>
      <c r="ZM63" s="725"/>
      <c r="ZN63" s="725"/>
      <c r="ZO63" s="725"/>
      <c r="ZP63" s="725"/>
      <c r="ZQ63" s="725"/>
      <c r="ZR63" s="725"/>
      <c r="ZS63" s="725"/>
      <c r="ZT63" s="725"/>
      <c r="ZU63" s="725"/>
      <c r="ZV63" s="725"/>
      <c r="ZW63" s="725"/>
      <c r="ZX63" s="725"/>
      <c r="ZY63" s="725"/>
      <c r="ZZ63" s="725"/>
      <c r="AAA63" s="725"/>
      <c r="AAB63" s="725"/>
      <c r="AAC63" s="725"/>
      <c r="AAD63" s="725"/>
      <c r="AAE63" s="725"/>
      <c r="AAF63" s="725"/>
      <c r="AAG63" s="725"/>
      <c r="AAH63" s="725"/>
      <c r="AAI63" s="725"/>
      <c r="AAJ63" s="725"/>
      <c r="AAK63" s="725"/>
      <c r="AAL63" s="725"/>
      <c r="AAM63" s="725"/>
      <c r="AAN63" s="725"/>
      <c r="AAO63" s="725"/>
      <c r="AAP63" s="725"/>
      <c r="AAQ63" s="725"/>
      <c r="AAR63" s="725"/>
      <c r="AAS63" s="725"/>
      <c r="AAT63" s="725"/>
      <c r="AAU63" s="725"/>
      <c r="AAV63" s="725"/>
      <c r="AAW63" s="725"/>
      <c r="AAX63" s="725"/>
      <c r="AAY63" s="725"/>
      <c r="AAZ63" s="725"/>
      <c r="ABA63" s="725"/>
      <c r="ABB63" s="725"/>
      <c r="ABC63" s="725"/>
      <c r="ABD63" s="725"/>
      <c r="ABE63" s="725"/>
      <c r="ABF63" s="725"/>
      <c r="ABG63" s="725"/>
      <c r="ABH63" s="725"/>
      <c r="ABI63" s="725"/>
      <c r="ABJ63" s="725"/>
      <c r="ABK63" s="725"/>
      <c r="ABL63" s="725"/>
      <c r="ABM63" s="725"/>
      <c r="ABN63" s="725"/>
      <c r="ABO63" s="725"/>
      <c r="ABP63" s="725"/>
      <c r="ABQ63" s="725"/>
      <c r="ABR63" s="725"/>
      <c r="ABS63" s="725"/>
      <c r="ABT63" s="725"/>
      <c r="ABU63" s="725"/>
      <c r="ABV63" s="725"/>
      <c r="ABW63" s="725"/>
      <c r="ABX63" s="725"/>
      <c r="ABY63" s="725"/>
      <c r="ABZ63" s="725"/>
      <c r="ACA63" s="725"/>
      <c r="ACB63" s="725"/>
      <c r="ACC63" s="725"/>
      <c r="ACD63" s="725"/>
      <c r="ACE63" s="725"/>
      <c r="ACF63" s="725"/>
      <c r="ACG63" s="725"/>
      <c r="ACH63" s="725"/>
      <c r="ACI63" s="725"/>
      <c r="ACJ63" s="725"/>
      <c r="ACK63" s="725"/>
      <c r="ACL63" s="725"/>
      <c r="ACM63" s="725"/>
      <c r="ACN63" s="725"/>
      <c r="ACO63" s="725"/>
      <c r="ACP63" s="725"/>
      <c r="ACQ63" s="725"/>
      <c r="ACR63" s="725"/>
      <c r="ACS63" s="725"/>
      <c r="ACT63" s="725"/>
      <c r="ACU63" s="725"/>
      <c r="ACV63" s="725"/>
      <c r="ACW63" s="725"/>
      <c r="ACX63" s="725"/>
      <c r="ACY63" s="725"/>
      <c r="ACZ63" s="725"/>
      <c r="ADA63" s="725"/>
      <c r="ADB63" s="725"/>
      <c r="ADC63" s="725"/>
      <c r="ADD63" s="725"/>
      <c r="ADE63" s="725"/>
      <c r="ADF63" s="725"/>
      <c r="ADG63" s="725"/>
      <c r="ADH63" s="725"/>
      <c r="ADI63" s="725"/>
      <c r="ADJ63" s="725"/>
      <c r="ADK63" s="725"/>
      <c r="ADL63" s="725"/>
      <c r="ADM63" s="725"/>
      <c r="ADN63" s="725"/>
      <c r="ADO63" s="725"/>
      <c r="ADP63" s="725"/>
      <c r="ADQ63" s="725"/>
      <c r="ADR63" s="725"/>
      <c r="ADS63" s="725"/>
      <c r="ADT63" s="725"/>
      <c r="ADU63" s="725"/>
      <c r="ADV63" s="725"/>
      <c r="ADW63" s="725"/>
      <c r="ADX63" s="725"/>
      <c r="ADY63" s="725"/>
      <c r="ADZ63" s="725"/>
      <c r="AEA63" s="725"/>
      <c r="AEB63" s="725"/>
      <c r="AEC63" s="725"/>
      <c r="AED63" s="725"/>
      <c r="AEE63" s="725"/>
      <c r="AEF63" s="725"/>
      <c r="AEG63" s="725"/>
      <c r="AEH63" s="725"/>
      <c r="AEI63" s="725"/>
      <c r="AEJ63" s="725"/>
      <c r="AEK63" s="725"/>
      <c r="AEL63" s="725"/>
      <c r="AEM63" s="725"/>
      <c r="AEN63" s="725"/>
      <c r="AEO63" s="725"/>
      <c r="AEP63" s="725"/>
      <c r="AEQ63" s="725"/>
      <c r="AER63" s="725"/>
      <c r="AES63" s="725"/>
      <c r="AET63" s="725"/>
      <c r="AEU63" s="725"/>
      <c r="AEV63" s="725"/>
      <c r="AEW63" s="725"/>
      <c r="AEX63" s="725"/>
      <c r="AEY63" s="725"/>
      <c r="AEZ63" s="725"/>
      <c r="AFA63" s="725"/>
      <c r="AFB63" s="725"/>
      <c r="AFC63" s="725"/>
      <c r="AFD63" s="725"/>
      <c r="AFE63" s="725"/>
      <c r="AFF63" s="725"/>
      <c r="AFG63" s="725"/>
      <c r="AFH63" s="725"/>
      <c r="AFI63" s="725"/>
      <c r="AFJ63" s="725"/>
      <c r="AFK63" s="725"/>
      <c r="AFL63" s="725"/>
      <c r="AFM63" s="725"/>
      <c r="AFN63" s="725"/>
      <c r="AFO63" s="725"/>
      <c r="AFP63" s="725"/>
      <c r="AFQ63" s="725"/>
      <c r="AFR63" s="725"/>
      <c r="AFS63" s="725"/>
      <c r="AFT63" s="725"/>
      <c r="AFU63" s="725"/>
      <c r="AFV63" s="725"/>
      <c r="AFW63" s="725"/>
      <c r="AFX63" s="725"/>
      <c r="AFY63" s="725"/>
      <c r="AFZ63" s="725"/>
      <c r="AGA63" s="725"/>
      <c r="AGB63" s="725"/>
      <c r="AGC63" s="725"/>
      <c r="AGD63" s="725"/>
      <c r="AGE63" s="725"/>
      <c r="AGF63" s="725"/>
      <c r="AGG63" s="725"/>
      <c r="AGH63" s="725"/>
      <c r="AGI63" s="725"/>
      <c r="AGJ63" s="725"/>
      <c r="AGK63" s="725"/>
      <c r="AGL63" s="725"/>
      <c r="AGM63" s="725"/>
      <c r="AGN63" s="725"/>
      <c r="AGO63" s="725"/>
      <c r="AGP63" s="725"/>
      <c r="AGQ63" s="725"/>
      <c r="AGR63" s="725"/>
      <c r="AGS63" s="725"/>
      <c r="AGT63" s="725"/>
      <c r="AGU63" s="725"/>
      <c r="AGV63" s="725"/>
      <c r="AGW63" s="725"/>
      <c r="AGX63" s="725"/>
      <c r="AGY63" s="725"/>
      <c r="AGZ63" s="725"/>
      <c r="AHA63" s="725"/>
      <c r="AHB63" s="725"/>
      <c r="AHC63" s="725"/>
      <c r="AHD63" s="725"/>
      <c r="AHE63" s="725"/>
      <c r="AHF63" s="725"/>
      <c r="AHG63" s="725"/>
      <c r="AHH63" s="725"/>
      <c r="AHI63" s="725"/>
      <c r="AHJ63" s="725"/>
      <c r="AHK63" s="725"/>
      <c r="AHL63" s="725"/>
      <c r="AHM63" s="725"/>
      <c r="AHN63" s="725"/>
      <c r="AHO63" s="725"/>
      <c r="AHP63" s="725"/>
      <c r="AHQ63" s="725"/>
      <c r="AHR63" s="725"/>
      <c r="AHS63" s="725"/>
      <c r="AHT63" s="725"/>
      <c r="AHU63" s="725"/>
      <c r="AHV63" s="725"/>
      <c r="AHW63" s="725"/>
      <c r="AHX63" s="725"/>
      <c r="AHY63" s="725"/>
      <c r="AHZ63" s="725"/>
      <c r="AIA63" s="725"/>
      <c r="AIB63" s="725"/>
      <c r="AIC63" s="725"/>
      <c r="AID63" s="725"/>
      <c r="AIE63" s="725"/>
      <c r="AIF63" s="725"/>
      <c r="AIG63" s="725"/>
      <c r="AIH63" s="725"/>
      <c r="AII63" s="725"/>
      <c r="AIJ63" s="725"/>
      <c r="AIK63" s="725"/>
      <c r="AIL63" s="725"/>
      <c r="AIM63" s="725"/>
      <c r="AIN63" s="725"/>
      <c r="AIO63" s="725"/>
      <c r="AIP63" s="725"/>
      <c r="AIQ63" s="725"/>
      <c r="AIR63" s="725"/>
      <c r="AIS63" s="725"/>
      <c r="AIT63" s="725"/>
      <c r="AIU63" s="725"/>
      <c r="AIV63" s="725"/>
      <c r="AIW63" s="725"/>
      <c r="AIX63" s="725"/>
      <c r="AIY63" s="725"/>
      <c r="AIZ63" s="725"/>
      <c r="AJA63" s="725"/>
      <c r="AJB63" s="725"/>
      <c r="AJC63" s="725"/>
      <c r="AJD63" s="725"/>
      <c r="AJE63" s="725"/>
      <c r="AJF63" s="725"/>
      <c r="AJG63" s="725"/>
      <c r="AJH63" s="725"/>
      <c r="AJI63" s="725"/>
      <c r="AJJ63" s="725"/>
      <c r="AJK63" s="725"/>
      <c r="AJL63" s="725"/>
      <c r="AJM63" s="725"/>
      <c r="AJN63" s="725"/>
      <c r="AJO63" s="725"/>
      <c r="AJP63" s="725"/>
      <c r="AJQ63" s="725"/>
      <c r="AJR63" s="725"/>
      <c r="AJS63" s="725"/>
      <c r="AJT63" s="725"/>
      <c r="AJU63" s="725"/>
      <c r="AJV63" s="725"/>
      <c r="AJW63" s="725"/>
      <c r="AJX63" s="725"/>
      <c r="AJY63" s="725"/>
      <c r="AJZ63" s="725"/>
      <c r="AKA63" s="725"/>
      <c r="AKB63" s="725"/>
      <c r="AKC63" s="725"/>
      <c r="AKD63" s="725"/>
      <c r="AKE63" s="725"/>
      <c r="AKF63" s="725"/>
      <c r="AKG63" s="725"/>
      <c r="AKH63" s="725"/>
      <c r="AKI63" s="725"/>
      <c r="AKJ63" s="725"/>
      <c r="AKK63" s="725"/>
      <c r="AKL63" s="725"/>
      <c r="AKM63" s="725"/>
      <c r="AKN63" s="725"/>
      <c r="AKO63" s="725"/>
      <c r="AKP63" s="725"/>
      <c r="AKQ63" s="725"/>
      <c r="AKR63" s="725"/>
      <c r="AKS63" s="725"/>
      <c r="AKT63" s="725"/>
      <c r="AKU63" s="725"/>
      <c r="AKV63" s="725"/>
      <c r="AKW63" s="725"/>
      <c r="AKX63" s="725"/>
      <c r="AKY63" s="725"/>
      <c r="AKZ63" s="725"/>
      <c r="ALA63" s="725"/>
      <c r="ALB63" s="725"/>
      <c r="ALC63" s="725"/>
      <c r="ALD63" s="725"/>
      <c r="ALE63" s="725"/>
      <c r="ALF63" s="725"/>
      <c r="ALG63" s="725"/>
      <c r="ALH63" s="725"/>
      <c r="ALI63" s="725"/>
      <c r="ALJ63" s="725"/>
      <c r="ALK63" s="725"/>
      <c r="ALL63" s="725"/>
      <c r="ALM63" s="725"/>
      <c r="ALN63" s="725"/>
      <c r="ALO63" s="725"/>
      <c r="ALP63" s="725"/>
      <c r="ALQ63" s="725"/>
      <c r="ALR63" s="725"/>
      <c r="ALS63" s="725"/>
      <c r="ALT63" s="725"/>
      <c r="ALU63" s="725"/>
      <c r="ALV63" s="725"/>
      <c r="ALW63" s="725"/>
      <c r="ALX63" s="725"/>
      <c r="ALY63" s="725"/>
      <c r="ALZ63" s="725"/>
      <c r="AMA63" s="725"/>
    </row>
    <row r="64" spans="1:1015" s="224" customFormat="1" ht="13.5" customHeight="1">
      <c r="A64" s="225">
        <v>57</v>
      </c>
      <c r="B64" s="217"/>
      <c r="C64" s="217"/>
      <c r="D64" s="217"/>
      <c r="E64" s="217"/>
      <c r="F64" s="217" t="s">
        <v>264</v>
      </c>
      <c r="G64" s="217"/>
      <c r="H64" s="217"/>
      <c r="I64" s="217"/>
      <c r="J64" s="714"/>
      <c r="K64" s="715" t="s">
        <v>1220</v>
      </c>
      <c r="L64" s="714" t="s">
        <v>1221</v>
      </c>
      <c r="M64" s="715"/>
      <c r="N64" s="714"/>
      <c r="O64" s="714"/>
      <c r="P64" s="714"/>
      <c r="Q64" s="714"/>
      <c r="R64" s="252"/>
      <c r="S64" s="714" t="s">
        <v>820</v>
      </c>
      <c r="T64" s="714"/>
      <c r="U64" s="721" t="s">
        <v>863</v>
      </c>
      <c r="V64" s="282" t="s">
        <v>864</v>
      </c>
      <c r="W64" s="714" t="s">
        <v>1222</v>
      </c>
      <c r="X64" s="718" t="s">
        <v>864</v>
      </c>
      <c r="Y64" s="718"/>
      <c r="Z64" s="232"/>
      <c r="AA64" s="719"/>
      <c r="AB64" s="714" t="s">
        <v>1223</v>
      </c>
      <c r="AC64" s="245" t="s">
        <v>1224</v>
      </c>
      <c r="AD64" s="714"/>
      <c r="AE64" s="717"/>
      <c r="AF64" s="717">
        <v>1</v>
      </c>
    </row>
    <row r="65" spans="1:32">
      <c r="A65" s="225">
        <f>SUBTOTAL(103,createCase16[ID])</f>
        <v>55</v>
      </c>
      <c r="B65" s="224"/>
      <c r="C65" s="225">
        <f>SUBTOTAL(103,createCase16[Donnée (Niveau 2)])</f>
        <v>4</v>
      </c>
      <c r="D65" s="225">
        <f>SUBTOTAL(103,createCase16[Donnée (Niveau 3)])</f>
        <v>5</v>
      </c>
      <c r="E65" s="225">
        <f>SUBTOTAL(103,createCase16[Donnée (Niveau 4)])</f>
        <v>2</v>
      </c>
      <c r="F65" s="225">
        <f>SUBTOTAL(103,createCase16[Donnée (Niveau 5)])</f>
        <v>10</v>
      </c>
      <c r="G65" s="225">
        <f>SUBTOTAL(103,createCase16[Donnée (Niveau 6)])</f>
        <v>23</v>
      </c>
      <c r="H65" s="225"/>
      <c r="I65" s="225"/>
      <c r="J65" s="225">
        <f>SUBTOTAL(103,createCase16[Description])</f>
        <v>44</v>
      </c>
      <c r="K65" s="225">
        <f>SUBTOTAL(103,createCase16[Exemples])</f>
        <v>39</v>
      </c>
      <c r="L65" s="225">
        <f>SUBTOTAL(103,createCase16[Balise NexSIS])</f>
        <v>18</v>
      </c>
      <c r="M65" s="239">
        <f>SUBTOTAL(103,createCase16[Nouvelle balise])</f>
        <v>51</v>
      </c>
      <c r="N65" s="225">
        <f>SUBTOTAL(103,createCase16[Nantes - balise])</f>
        <v>8</v>
      </c>
      <c r="O65" s="225">
        <f>SUBTOTAL(103,createCase16[Nantes - description])</f>
        <v>8</v>
      </c>
      <c r="P65" s="225">
        <f>SUBTOTAL(103,createCase16[GT399])</f>
        <v>0</v>
      </c>
      <c r="Q65" s="225">
        <f>SUBTOTAL(103,createCase16[GT399 description])</f>
        <v>0</v>
      </c>
      <c r="R65" s="234">
        <f>SUBTOTAL(103,createCase16[Priorisation])</f>
        <v>1</v>
      </c>
      <c r="S65" s="225"/>
      <c r="T65" s="225">
        <f>SUBTOTAL(103,createCase16[Objet])</f>
        <v>12</v>
      </c>
      <c r="U65" s="225">
        <f>SUBTOTAL(103,createCase16[Format (ou type)])</f>
        <v>55</v>
      </c>
      <c r="V65" s="274"/>
      <c r="W65" s="225"/>
      <c r="X65" s="225"/>
      <c r="Y65" s="225"/>
      <c r="Z65" s="224"/>
      <c r="AA65" s="271">
        <f>SUBTOTAL(103,createCase16[Commentaire Hub Santé])</f>
        <v>6</v>
      </c>
      <c r="AB65" s="225">
        <f>SUBTOTAL(103,createCase16[Commentaire Philippe Dreyfus])</f>
        <v>4</v>
      </c>
      <c r="AC65" s="271"/>
      <c r="AD65" s="225">
        <f>SUBTOTAL(103,createCase16[Commentaire Yann Penverne])</f>
        <v>0</v>
      </c>
      <c r="AE65" s="225">
        <f>SUBTOTAL(103,createCase16[NexSIS])-COUNTIFS(createCase16[NexSIS],"=X")</f>
        <v>35</v>
      </c>
      <c r="AF65" s="225">
        <f>SUBTOTAL(103,createCase16[Métier])-COUNTIFS(createCase16[Métier],"=X")</f>
        <v>41</v>
      </c>
    </row>
    <row r="66" spans="1:32">
      <c r="A66" s="3"/>
      <c r="B66" s="3"/>
      <c r="C66" s="131"/>
      <c r="D66" s="131"/>
      <c r="E66" s="131"/>
      <c r="F66" s="131"/>
      <c r="G66" s="5"/>
      <c r="H66" s="5"/>
      <c r="I66" s="5"/>
      <c r="J66" s="155"/>
      <c r="L66" s="5"/>
      <c r="M66" s="155"/>
      <c r="N66" s="5"/>
      <c r="O66" s="5"/>
      <c r="P66" s="5"/>
      <c r="Q66" s="5"/>
      <c r="R66" s="188"/>
      <c r="S66" s="5"/>
      <c r="T66" s="5"/>
      <c r="U66" s="5"/>
      <c r="V66" s="56"/>
      <c r="W66" s="56"/>
      <c r="X66" s="56"/>
      <c r="Y66" s="56"/>
      <c r="AA66" s="178"/>
      <c r="AB66" s="5"/>
      <c r="AC66" s="225"/>
      <c r="AD66" s="56"/>
      <c r="AE66" s="128"/>
      <c r="AF66" s="56"/>
    </row>
    <row r="67" spans="1:32">
      <c r="A67" s="129"/>
      <c r="B67" s="129"/>
      <c r="C67" s="129"/>
      <c r="D67" s="129"/>
      <c r="E67" s="129"/>
      <c r="F67" s="129"/>
      <c r="AE67" s="128"/>
    </row>
    <row r="68" spans="1:32">
      <c r="G68" s="128"/>
      <c r="H68" s="128"/>
      <c r="I68" s="128"/>
      <c r="J68" s="128"/>
      <c r="K68" s="224"/>
      <c r="L68" s="128"/>
      <c r="M68" s="128"/>
      <c r="N68" s="128"/>
      <c r="O68" s="128"/>
      <c r="P68" s="128"/>
      <c r="Q68" s="128"/>
      <c r="R68" s="174"/>
      <c r="S68" s="128"/>
      <c r="AE68" s="128"/>
    </row>
    <row r="69" spans="1:32">
      <c r="G69" s="128"/>
      <c r="H69" s="128"/>
      <c r="I69" s="128"/>
      <c r="J69" s="128"/>
      <c r="K69" s="224"/>
      <c r="L69" s="128"/>
      <c r="M69" s="128"/>
      <c r="N69" s="128"/>
      <c r="O69" s="128"/>
      <c r="P69" s="128"/>
      <c r="Q69" s="128"/>
      <c r="R69" s="174"/>
      <c r="S69" s="128"/>
      <c r="AE69" s="128"/>
    </row>
    <row r="70" spans="1:32">
      <c r="G70" s="128"/>
      <c r="H70" s="128"/>
      <c r="I70" s="128"/>
      <c r="J70" s="128"/>
      <c r="K70" s="224"/>
      <c r="L70" s="128"/>
      <c r="M70" s="128"/>
      <c r="N70" s="128"/>
      <c r="O70" s="128"/>
      <c r="P70" s="128"/>
      <c r="Q70" s="128"/>
      <c r="R70" s="174"/>
      <c r="S70" s="128"/>
      <c r="AE70" s="128"/>
    </row>
    <row r="71" spans="1:32">
      <c r="G71" s="128"/>
      <c r="H71" s="128"/>
      <c r="I71" s="128"/>
      <c r="J71" s="128"/>
      <c r="K71" s="224"/>
      <c r="L71" s="128"/>
      <c r="M71" s="128"/>
      <c r="N71" s="128"/>
      <c r="O71" s="128"/>
      <c r="P71" s="128"/>
      <c r="Q71" s="128"/>
      <c r="R71" s="174"/>
      <c r="S71" s="128"/>
      <c r="AE71" s="128"/>
    </row>
    <row r="72" spans="1:32">
      <c r="G72" s="128"/>
      <c r="H72" s="128"/>
      <c r="I72" s="128"/>
      <c r="J72" s="128"/>
      <c r="K72" s="224"/>
      <c r="L72" s="128"/>
      <c r="M72" s="128"/>
      <c r="N72" s="128"/>
      <c r="O72" s="128"/>
      <c r="P72" s="128"/>
      <c r="Q72" s="128"/>
      <c r="R72" s="174"/>
      <c r="S72" s="128"/>
    </row>
    <row r="73" spans="1:32" ht="12" customHeight="1">
      <c r="AC73" s="161"/>
      <c r="AE73" s="117"/>
    </row>
    <row r="74" spans="1:32" ht="12" customHeight="1">
      <c r="A74" s="117"/>
      <c r="B74" s="117"/>
      <c r="C74" s="117"/>
      <c r="D74" s="117"/>
      <c r="E74" s="117"/>
      <c r="F74" s="117"/>
      <c r="G74" s="117"/>
      <c r="H74" s="117"/>
      <c r="I74" s="117"/>
      <c r="J74" s="117"/>
      <c r="K74" s="251"/>
      <c r="L74" s="117"/>
      <c r="M74" s="117"/>
      <c r="N74" s="117"/>
      <c r="O74" s="117"/>
      <c r="P74" s="117"/>
      <c r="Q74" s="117"/>
      <c r="R74" s="189"/>
      <c r="S74" s="117"/>
    </row>
    <row r="75" spans="1:32" ht="12" customHeight="1">
      <c r="T75" s="112"/>
      <c r="U75" s="112"/>
      <c r="V75" s="125"/>
      <c r="W75" s="112"/>
      <c r="X75" s="112"/>
      <c r="Y75" s="112"/>
      <c r="AA75" s="180"/>
      <c r="AB75" s="112"/>
      <c r="AD75" s="112"/>
      <c r="AF75" s="112"/>
    </row>
    <row r="76" spans="1:32" ht="12" customHeight="1"/>
    <row r="77" spans="1:32" ht="12" customHeight="1"/>
    <row r="78" spans="1:32" ht="12" customHeight="1"/>
    <row r="79" spans="1:32" ht="12" customHeight="1"/>
    <row r="80" spans="1:32" ht="12" customHeight="1"/>
    <row r="81" spans="1:1016" ht="12" customHeight="1"/>
    <row r="82" spans="1:1016" ht="12" customHeight="1"/>
    <row r="83" spans="1:1016" ht="12" customHeight="1"/>
    <row r="84" spans="1:1016" ht="12" customHeight="1"/>
    <row r="85" spans="1:1016" ht="12" customHeight="1"/>
    <row r="86" spans="1:1016" ht="12" customHeight="1"/>
    <row r="87" spans="1:1016" ht="12" customHeight="1">
      <c r="A87" s="130"/>
      <c r="B87" s="130"/>
      <c r="C87" s="130"/>
      <c r="D87" s="130"/>
      <c r="E87" s="130"/>
      <c r="F87" s="130"/>
    </row>
    <row r="88" spans="1:1016" s="117" customFormat="1" ht="12" customHeight="1">
      <c r="A88" s="130"/>
      <c r="B88" s="130"/>
      <c r="C88" s="130"/>
      <c r="D88" s="130"/>
      <c r="E88" s="130"/>
      <c r="F88" s="130"/>
      <c r="G88" s="96"/>
      <c r="H88" s="96"/>
      <c r="I88" s="96"/>
      <c r="J88" s="96"/>
      <c r="K88" s="225"/>
      <c r="L88" s="96"/>
      <c r="M88" s="159"/>
      <c r="N88" s="96"/>
      <c r="O88" s="96"/>
      <c r="P88" s="96"/>
      <c r="Q88" s="96"/>
      <c r="R88" s="173"/>
      <c r="S88" s="96"/>
      <c r="T88" s="96"/>
      <c r="U88" s="96"/>
      <c r="V88" s="278"/>
      <c r="W88" s="96"/>
      <c r="X88" s="96"/>
      <c r="Y88" s="96"/>
      <c r="Z88"/>
      <c r="AA88" s="179"/>
      <c r="AB88" s="96"/>
      <c r="AC88" s="159"/>
      <c r="AD88" s="96"/>
      <c r="AE88"/>
      <c r="AF88" s="96"/>
      <c r="AMB88"/>
    </row>
    <row r="89" spans="1:1016" s="117" customFormat="1" ht="12" customHeight="1">
      <c r="A89" s="130"/>
      <c r="B89" s="130"/>
      <c r="C89" s="130"/>
      <c r="D89" s="130"/>
      <c r="E89" s="130"/>
      <c r="F89" s="130"/>
      <c r="G89" s="96"/>
      <c r="H89" s="96"/>
      <c r="I89" s="96"/>
      <c r="J89" s="96"/>
      <c r="K89" s="225"/>
      <c r="L89" s="96"/>
      <c r="M89" s="159"/>
      <c r="N89" s="96"/>
      <c r="O89" s="96"/>
      <c r="P89" s="96"/>
      <c r="Q89" s="96"/>
      <c r="R89" s="173"/>
      <c r="S89" s="96"/>
      <c r="T89" s="96"/>
      <c r="U89" s="96"/>
      <c r="V89" s="278"/>
      <c r="W89" s="96"/>
      <c r="X89" s="96"/>
      <c r="Y89" s="96"/>
      <c r="Z89"/>
      <c r="AA89" s="179"/>
      <c r="AB89" s="96"/>
      <c r="AC89" s="159"/>
      <c r="AD89" s="96"/>
      <c r="AE89"/>
      <c r="AF89" s="96"/>
      <c r="AMB89"/>
    </row>
    <row r="90" spans="1:1016" s="117" customFormat="1" ht="12" customHeight="1">
      <c r="A90" s="130"/>
      <c r="B90" s="130"/>
      <c r="C90" s="130"/>
      <c r="D90" s="130"/>
      <c r="E90" s="130"/>
      <c r="F90" s="130"/>
      <c r="G90" s="96"/>
      <c r="H90" s="96"/>
      <c r="I90" s="96"/>
      <c r="J90" s="96"/>
      <c r="K90" s="225"/>
      <c r="L90" s="96"/>
      <c r="M90" s="159"/>
      <c r="N90" s="96"/>
      <c r="O90" s="96"/>
      <c r="P90" s="96"/>
      <c r="Q90" s="96"/>
      <c r="R90" s="173"/>
      <c r="S90" s="96"/>
      <c r="T90" s="96"/>
      <c r="U90" s="96"/>
      <c r="V90" s="278"/>
      <c r="W90" s="96"/>
      <c r="X90" s="96"/>
      <c r="Y90" s="96"/>
      <c r="Z90"/>
      <c r="AA90" s="179"/>
      <c r="AB90" s="96"/>
      <c r="AC90" s="159"/>
      <c r="AD90" s="96"/>
      <c r="AE90"/>
      <c r="AF90" s="96"/>
      <c r="AMB90"/>
    </row>
    <row r="91" spans="1:1016" s="117" customFormat="1" ht="12" customHeight="1">
      <c r="A91" s="130"/>
      <c r="B91" s="130"/>
      <c r="C91" s="130"/>
      <c r="D91" s="130"/>
      <c r="E91" s="130"/>
      <c r="F91" s="130"/>
      <c r="G91" s="96"/>
      <c r="H91" s="96"/>
      <c r="I91" s="96"/>
      <c r="J91" s="96"/>
      <c r="K91" s="225"/>
      <c r="L91" s="96"/>
      <c r="M91" s="159"/>
      <c r="N91" s="96"/>
      <c r="O91" s="96"/>
      <c r="P91" s="96"/>
      <c r="Q91" s="96"/>
      <c r="R91" s="173"/>
      <c r="S91" s="96"/>
      <c r="T91" s="96"/>
      <c r="U91" s="96"/>
      <c r="V91" s="278"/>
      <c r="W91" s="96"/>
      <c r="X91" s="96"/>
      <c r="Y91" s="96"/>
      <c r="Z91"/>
      <c r="AA91" s="179"/>
      <c r="AB91" s="96"/>
      <c r="AC91" s="159"/>
      <c r="AD91" s="96"/>
      <c r="AE91"/>
      <c r="AF91" s="96"/>
      <c r="AMB91"/>
    </row>
    <row r="92" spans="1:1016" s="117" customFormat="1" ht="12" customHeight="1">
      <c r="A92" s="130"/>
      <c r="B92" s="130"/>
      <c r="C92" s="130"/>
      <c r="D92" s="130"/>
      <c r="E92" s="130"/>
      <c r="F92" s="130"/>
      <c r="G92" s="96"/>
      <c r="H92" s="96"/>
      <c r="I92" s="96"/>
      <c r="J92" s="96"/>
      <c r="K92" s="225"/>
      <c r="L92" s="96"/>
      <c r="M92" s="159"/>
      <c r="N92" s="96"/>
      <c r="O92" s="96"/>
      <c r="P92" s="96"/>
      <c r="Q92" s="96"/>
      <c r="R92" s="173"/>
      <c r="S92" s="96"/>
      <c r="T92" s="96"/>
      <c r="U92" s="96"/>
      <c r="V92" s="278"/>
      <c r="W92" s="96"/>
      <c r="X92" s="96"/>
      <c r="Y92" s="96"/>
      <c r="Z92"/>
      <c r="AA92" s="179"/>
      <c r="AB92" s="96"/>
      <c r="AC92" s="159"/>
      <c r="AD92" s="96"/>
      <c r="AE92"/>
      <c r="AF92" s="96"/>
      <c r="AMB92"/>
    </row>
    <row r="93" spans="1:1016" s="117" customFormat="1" ht="12" customHeight="1">
      <c r="A93" s="130"/>
      <c r="B93" s="130"/>
      <c r="C93" s="130"/>
      <c r="D93" s="130"/>
      <c r="E93" s="130"/>
      <c r="F93" s="130"/>
      <c r="G93" s="96"/>
      <c r="H93" s="96"/>
      <c r="I93" s="96"/>
      <c r="J93" s="96"/>
      <c r="K93" s="225"/>
      <c r="L93" s="96"/>
      <c r="M93" s="159"/>
      <c r="N93" s="96"/>
      <c r="O93" s="96"/>
      <c r="P93" s="96"/>
      <c r="Q93" s="96"/>
      <c r="R93" s="173"/>
      <c r="S93" s="96"/>
      <c r="T93" s="96"/>
      <c r="U93" s="96"/>
      <c r="V93" s="278"/>
      <c r="W93" s="96"/>
      <c r="X93" s="96"/>
      <c r="Y93" s="96"/>
      <c r="Z93"/>
      <c r="AA93" s="179"/>
      <c r="AB93" s="96"/>
      <c r="AC93" s="159"/>
      <c r="AD93" s="96"/>
      <c r="AE93"/>
      <c r="AF93" s="96"/>
      <c r="AMB93"/>
    </row>
    <row r="94" spans="1:1016" s="117" customFormat="1" ht="12" customHeight="1">
      <c r="A94" s="130"/>
      <c r="B94" s="130"/>
      <c r="C94" s="130"/>
      <c r="D94" s="130"/>
      <c r="E94" s="130"/>
      <c r="F94" s="130"/>
      <c r="G94" s="96"/>
      <c r="H94" s="96"/>
      <c r="I94" s="96"/>
      <c r="J94" s="96"/>
      <c r="K94" s="225"/>
      <c r="L94" s="96"/>
      <c r="M94" s="159"/>
      <c r="N94" s="96"/>
      <c r="O94" s="96"/>
      <c r="P94" s="96"/>
      <c r="Q94" s="96"/>
      <c r="R94" s="173"/>
      <c r="S94" s="96"/>
      <c r="T94" s="96"/>
      <c r="U94" s="96"/>
      <c r="V94" s="278"/>
      <c r="W94" s="96"/>
      <c r="X94" s="96"/>
      <c r="Y94" s="96"/>
      <c r="Z94"/>
      <c r="AA94" s="179"/>
      <c r="AB94" s="96"/>
      <c r="AC94" s="159"/>
      <c r="AD94" s="96"/>
      <c r="AE94"/>
      <c r="AF94" s="96"/>
      <c r="AMB94"/>
    </row>
    <row r="95" spans="1:1016" ht="12" customHeight="1">
      <c r="A95" s="129"/>
      <c r="B95" s="129"/>
      <c r="C95" s="129"/>
      <c r="D95" s="129"/>
      <c r="E95" s="129"/>
      <c r="F95" s="129"/>
    </row>
    <row r="96" spans="1:1016" ht="12" customHeight="1">
      <c r="A96" s="129"/>
      <c r="B96" s="129"/>
      <c r="C96" s="129"/>
      <c r="D96" s="129"/>
      <c r="E96" s="129"/>
      <c r="F96" s="129"/>
    </row>
    <row r="97" spans="1:32" ht="12" customHeight="1">
      <c r="A97" s="129"/>
      <c r="B97" s="129"/>
      <c r="C97" s="129"/>
      <c r="D97" s="129"/>
      <c r="E97" s="129"/>
      <c r="F97" s="129"/>
    </row>
    <row r="98" spans="1:32" ht="12" customHeight="1">
      <c r="A98" s="129"/>
      <c r="B98" s="129"/>
      <c r="C98" s="129"/>
      <c r="D98" s="129"/>
      <c r="E98" s="129"/>
      <c r="F98" s="129"/>
    </row>
    <row r="99" spans="1:32" ht="12" customHeight="1">
      <c r="A99" s="129"/>
      <c r="B99" s="129"/>
      <c r="C99" s="129"/>
      <c r="D99" s="129"/>
      <c r="E99" s="129"/>
      <c r="F99" s="129"/>
    </row>
    <row r="100" spans="1:32" ht="12" customHeight="1">
      <c r="A100" s="129"/>
      <c r="B100" s="129"/>
      <c r="C100" s="129"/>
      <c r="D100" s="129"/>
      <c r="E100" s="129"/>
      <c r="F100" s="129"/>
    </row>
    <row r="101" spans="1:32" ht="12" customHeight="1">
      <c r="A101" s="129"/>
      <c r="B101" s="129"/>
      <c r="C101" s="129"/>
      <c r="D101" s="129"/>
      <c r="E101" s="129"/>
      <c r="F101" s="129"/>
    </row>
    <row r="102" spans="1:32">
      <c r="A102" s="129"/>
      <c r="B102" s="129"/>
      <c r="C102" s="129"/>
      <c r="D102" s="129"/>
      <c r="E102" s="129"/>
      <c r="F102" s="129"/>
      <c r="AC102" s="161"/>
      <c r="AE102" s="117"/>
    </row>
    <row r="103" spans="1:32">
      <c r="A103" s="130"/>
      <c r="B103" s="130"/>
      <c r="C103" s="130"/>
      <c r="D103" s="130"/>
      <c r="E103" s="130"/>
      <c r="F103" s="130"/>
      <c r="AC103" s="161"/>
      <c r="AE103" s="117"/>
    </row>
    <row r="104" spans="1:32">
      <c r="A104" s="123"/>
      <c r="B104" s="123"/>
      <c r="C104" s="123"/>
      <c r="D104" s="123"/>
      <c r="E104" s="123"/>
      <c r="F104" s="123"/>
      <c r="G104" s="112"/>
      <c r="H104" s="112"/>
      <c r="I104" s="112"/>
      <c r="J104" s="112"/>
      <c r="K104" s="277"/>
      <c r="L104" s="112"/>
      <c r="M104" s="161"/>
      <c r="N104" s="112"/>
      <c r="O104" s="112"/>
      <c r="P104" s="112"/>
      <c r="Q104" s="112"/>
      <c r="R104" s="190"/>
      <c r="S104" s="112"/>
      <c r="T104" s="112"/>
      <c r="U104" s="112"/>
      <c r="V104" s="125"/>
      <c r="W104" s="112"/>
      <c r="X104" s="112"/>
      <c r="Y104" s="112"/>
      <c r="AA104" s="180"/>
      <c r="AB104" s="112"/>
      <c r="AC104" s="161"/>
      <c r="AD104" s="112"/>
      <c r="AE104" s="117"/>
      <c r="AF104" s="112"/>
    </row>
    <row r="105" spans="1:32">
      <c r="A105" s="123"/>
      <c r="B105" s="123"/>
      <c r="C105" s="123"/>
      <c r="D105" s="123"/>
      <c r="E105" s="123"/>
      <c r="F105" s="123"/>
      <c r="G105" s="112"/>
      <c r="H105" s="112"/>
      <c r="I105" s="112"/>
      <c r="J105" s="112"/>
      <c r="K105" s="277"/>
      <c r="L105" s="112"/>
      <c r="M105" s="161"/>
      <c r="N105" s="112"/>
      <c r="O105" s="112"/>
      <c r="P105" s="112"/>
      <c r="Q105" s="112"/>
      <c r="R105" s="190"/>
      <c r="S105" s="112"/>
      <c r="T105" s="112"/>
      <c r="U105" s="112"/>
      <c r="V105" s="125"/>
      <c r="W105" s="112"/>
      <c r="X105" s="112"/>
      <c r="Y105" s="112"/>
      <c r="AA105" s="180"/>
      <c r="AB105" s="112"/>
      <c r="AC105" s="161"/>
      <c r="AD105" s="112"/>
      <c r="AE105" s="117"/>
      <c r="AF105" s="112"/>
    </row>
    <row r="106" spans="1:32">
      <c r="A106" s="123"/>
      <c r="B106" s="123"/>
      <c r="C106" s="123"/>
      <c r="D106" s="123"/>
      <c r="E106" s="123"/>
      <c r="F106" s="123"/>
      <c r="G106" s="112"/>
      <c r="H106" s="112"/>
      <c r="I106" s="112"/>
      <c r="J106" s="112"/>
      <c r="K106" s="277"/>
      <c r="L106" s="112"/>
      <c r="M106" s="161"/>
      <c r="N106" s="112"/>
      <c r="O106" s="112"/>
      <c r="P106" s="112"/>
      <c r="Q106" s="112"/>
      <c r="R106" s="190"/>
      <c r="S106" s="112"/>
      <c r="T106" s="112"/>
      <c r="U106" s="112"/>
      <c r="V106" s="125"/>
      <c r="W106" s="112"/>
      <c r="X106" s="112"/>
      <c r="Y106" s="112"/>
      <c r="AA106" s="180"/>
      <c r="AB106" s="112"/>
      <c r="AC106" s="161"/>
      <c r="AD106" s="112"/>
      <c r="AE106" s="117"/>
      <c r="AF106" s="112"/>
    </row>
    <row r="107" spans="1:32">
      <c r="A107" s="123"/>
      <c r="B107" s="123"/>
      <c r="C107" s="123"/>
      <c r="D107" s="123"/>
      <c r="E107" s="123"/>
      <c r="F107" s="123"/>
      <c r="G107" s="112"/>
      <c r="H107" s="112"/>
      <c r="I107" s="112"/>
      <c r="J107" s="112"/>
      <c r="K107" s="277"/>
      <c r="L107" s="112"/>
      <c r="M107" s="161"/>
      <c r="N107" s="112"/>
      <c r="O107" s="112"/>
      <c r="P107" s="112"/>
      <c r="Q107" s="112"/>
      <c r="R107" s="190"/>
      <c r="S107" s="112"/>
      <c r="T107" s="112"/>
      <c r="U107" s="112"/>
      <c r="V107" s="125"/>
      <c r="W107" s="112"/>
      <c r="X107" s="112"/>
      <c r="Y107" s="112"/>
      <c r="AA107" s="180"/>
      <c r="AB107" s="112"/>
      <c r="AC107" s="161"/>
      <c r="AD107" s="112"/>
      <c r="AE107" s="117"/>
      <c r="AF107" s="112"/>
    </row>
    <row r="108" spans="1:32">
      <c r="A108" s="123"/>
      <c r="B108" s="123"/>
      <c r="C108" s="123"/>
      <c r="D108" s="123"/>
      <c r="E108" s="123"/>
      <c r="F108" s="123"/>
      <c r="G108" s="112"/>
      <c r="H108" s="112"/>
      <c r="I108" s="112"/>
      <c r="J108" s="112"/>
      <c r="K108" s="277"/>
      <c r="L108" s="112"/>
      <c r="M108" s="161"/>
      <c r="N108" s="112"/>
      <c r="O108" s="112"/>
      <c r="P108" s="112"/>
      <c r="Q108" s="112"/>
      <c r="R108" s="190"/>
      <c r="S108" s="112"/>
      <c r="T108" s="112"/>
      <c r="U108" s="112"/>
      <c r="V108" s="125"/>
      <c r="W108" s="112"/>
      <c r="X108" s="112"/>
      <c r="Y108" s="112"/>
      <c r="AA108" s="180"/>
      <c r="AB108" s="112"/>
      <c r="AC108" s="161"/>
      <c r="AD108" s="112"/>
      <c r="AE108" s="117"/>
      <c r="AF108" s="112"/>
    </row>
    <row r="109" spans="1:32">
      <c r="A109" s="123"/>
      <c r="B109" s="123"/>
      <c r="C109" s="123"/>
      <c r="D109" s="123"/>
      <c r="E109" s="123"/>
      <c r="F109" s="123"/>
      <c r="G109" s="112"/>
      <c r="H109" s="112"/>
      <c r="I109" s="112"/>
      <c r="J109" s="112"/>
      <c r="K109" s="277"/>
      <c r="L109" s="112"/>
      <c r="M109" s="161"/>
      <c r="N109" s="112"/>
      <c r="O109" s="112"/>
      <c r="P109" s="112"/>
      <c r="Q109" s="112"/>
      <c r="R109" s="190"/>
      <c r="S109" s="112"/>
      <c r="T109" s="112"/>
      <c r="U109" s="112"/>
      <c r="V109" s="125"/>
      <c r="W109" s="112"/>
      <c r="X109" s="112"/>
      <c r="Y109" s="112"/>
      <c r="AA109" s="180"/>
      <c r="AB109" s="112"/>
      <c r="AD109" s="112"/>
      <c r="AF109" s="112"/>
    </row>
    <row r="110" spans="1:32">
      <c r="A110" s="123"/>
      <c r="B110" s="123"/>
      <c r="C110" s="123"/>
      <c r="D110" s="123"/>
      <c r="E110" s="123"/>
      <c r="F110" s="123"/>
      <c r="G110" s="112"/>
      <c r="H110" s="112"/>
      <c r="I110" s="112"/>
      <c r="J110" s="112"/>
      <c r="K110" s="277"/>
      <c r="L110" s="112"/>
      <c r="M110" s="161"/>
      <c r="N110" s="112"/>
      <c r="O110" s="112"/>
      <c r="P110" s="112"/>
      <c r="Q110" s="112"/>
      <c r="R110" s="190"/>
      <c r="S110" s="112"/>
      <c r="T110" s="112"/>
      <c r="U110" s="112"/>
      <c r="V110" s="125"/>
      <c r="W110" s="112"/>
      <c r="X110" s="112"/>
      <c r="Y110" s="112"/>
      <c r="AA110" s="180"/>
      <c r="AB110" s="112"/>
      <c r="AD110" s="112"/>
      <c r="AF110" s="112"/>
    </row>
    <row r="111" spans="1:32">
      <c r="A111" s="130"/>
      <c r="B111" s="130"/>
      <c r="C111" s="130"/>
      <c r="D111" s="130"/>
      <c r="E111" s="130"/>
      <c r="F111" s="130"/>
    </row>
    <row r="112" spans="1:32">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Q1:R1"/>
    <mergeCell ref="N7:Q7"/>
    <mergeCell ref="X7:Y7"/>
    <mergeCell ref="AE7:AF7"/>
  </mergeCells>
  <conditionalFormatting sqref="A66:F67 A87:F927">
    <cfRule type="expression" dxfId="406" priority="259">
      <formula>OR($AF66="X",$AD66="X")</formula>
    </cfRule>
    <cfRule type="expression" dxfId="405" priority="260">
      <formula>AND($AF66=1,$AD66=1)</formula>
    </cfRule>
    <cfRule type="expression" dxfId="404" priority="261">
      <formula>$AF66=1</formula>
    </cfRule>
    <cfRule type="expression" dxfId="403" priority="262">
      <formula>$AD66=1</formula>
    </cfRule>
  </conditionalFormatting>
  <conditionalFormatting sqref="C9:I9 K9:K64">
    <cfRule type="expression" dxfId="402" priority="1">
      <formula>$T9="X"</formula>
    </cfRule>
  </conditionalFormatting>
  <conditionalFormatting sqref="C18:J18">
    <cfRule type="expression" dxfId="401" priority="2">
      <formula>$T18="X"</formula>
    </cfRule>
  </conditionalFormatting>
  <conditionalFormatting sqref="J66:J67 J87:J927">
    <cfRule type="expression" dxfId="400" priority="258">
      <formula>$S66="X"</formula>
    </cfRule>
  </conditionalFormatting>
  <conditionalFormatting sqref="S9:S64">
    <cfRule type="cellIs" dxfId="399" priority="168" operator="equal">
      <formula>"1..1"</formula>
    </cfRule>
    <cfRule type="cellIs" dxfId="398" priority="169" operator="equal">
      <formula>"0..n"</formula>
    </cfRule>
    <cfRule type="cellIs" dxfId="397" priority="170" operator="equal">
      <formula>"0..1"</formula>
    </cfRule>
  </conditionalFormatting>
  <pageMargins left="0.7" right="0.7" top="0.75" bottom="0.75" header="0.3" footer="0.3"/>
  <legacyDrawing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MC65"/>
  <sheetViews>
    <sheetView workbookViewId="0">
      <selection activeCell="H54" sqref="H54"/>
    </sheetView>
  </sheetViews>
  <sheetFormatPr defaultColWidth="9.5" defaultRowHeight="15"/>
  <cols>
    <col min="1" max="1" width="4.625" style="128" customWidth="1"/>
    <col min="2" max="2" width="24.625" style="128" customWidth="1"/>
    <col min="3" max="3" width="44.625" style="128" bestFit="1" customWidth="1"/>
    <col min="4" max="4" width="50.625" style="128" customWidth="1"/>
    <col min="5" max="5" width="11.625" style="128" customWidth="1"/>
    <col min="6" max="6" width="8.625" style="128" customWidth="1"/>
    <col min="7" max="7" width="10.125" style="96" customWidth="1"/>
    <col min="8" max="8" width="60" style="96" customWidth="1"/>
    <col min="9" max="9" width="33.5" style="225" customWidth="1"/>
    <col min="10" max="10" width="12"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8" customWidth="1"/>
    <col min="19" max="19" width="18.5" style="96" customWidth="1"/>
    <col min="20" max="20" width="12.625" style="278"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7" ht="13.5" customHeight="1">
      <c r="A1" s="228" t="s">
        <v>2500</v>
      </c>
      <c r="C1" s="129" t="s">
        <v>813</v>
      </c>
      <c r="E1" s="150" t="s">
        <v>814</v>
      </c>
      <c r="F1" s="157"/>
      <c r="G1" s="128"/>
      <c r="AC1" s="96"/>
      <c r="AE1"/>
      <c r="AF1" s="128"/>
      <c r="ALZ1"/>
    </row>
    <row r="2" spans="1:1017" ht="13.5" customHeight="1">
      <c r="C2" s="141" t="s">
        <v>818</v>
      </c>
      <c r="D2" s="285"/>
      <c r="E2" s="152" t="s">
        <v>819</v>
      </c>
      <c r="F2" s="157"/>
      <c r="G2" s="128"/>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1" t="s">
        <v>912</v>
      </c>
      <c r="F5" s="146"/>
      <c r="G5" s="148"/>
      <c r="H5" s="148"/>
      <c r="I5" s="275"/>
      <c r="J5" s="148"/>
      <c r="K5" s="160"/>
      <c r="L5" s="148"/>
      <c r="M5" s="148"/>
      <c r="N5" s="148"/>
      <c r="O5" s="148"/>
      <c r="P5" s="186"/>
      <c r="Q5" s="148"/>
      <c r="R5" s="280"/>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378"/>
      <c r="E7" s="138"/>
      <c r="F7" s="138"/>
      <c r="L7" s="694" t="s">
        <v>828</v>
      </c>
      <c r="M7" s="694"/>
      <c r="N7" s="694"/>
      <c r="O7" s="694"/>
      <c r="V7" s="695" t="s">
        <v>829</v>
      </c>
      <c r="W7" s="695"/>
      <c r="AC7" s="694" t="s">
        <v>830</v>
      </c>
      <c r="AD7" s="694"/>
      <c r="AE7"/>
      <c r="AF7" s="128"/>
      <c r="ALZ7"/>
    </row>
    <row r="8" spans="1:1017"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526" t="s">
        <v>2231</v>
      </c>
      <c r="C9" s="521"/>
      <c r="D9" s="521"/>
      <c r="E9" s="521"/>
      <c r="F9" s="521"/>
      <c r="G9" s="521"/>
      <c r="H9" s="731"/>
      <c r="I9" s="522"/>
      <c r="J9" s="714"/>
      <c r="K9" s="715" t="s">
        <v>1795</v>
      </c>
      <c r="L9" s="714"/>
      <c r="M9" s="714"/>
      <c r="N9" s="714"/>
      <c r="O9" s="714"/>
      <c r="P9" s="716"/>
      <c r="Q9" s="714" t="s">
        <v>820</v>
      </c>
      <c r="R9" s="717" t="s">
        <v>864</v>
      </c>
      <c r="S9" s="243" t="s">
        <v>1795</v>
      </c>
      <c r="T9" s="714"/>
      <c r="U9" s="714"/>
      <c r="V9" s="718"/>
      <c r="W9" s="718"/>
      <c r="X9" s="232"/>
      <c r="Y9" s="719"/>
      <c r="Z9" s="714"/>
      <c r="AA9" s="720"/>
      <c r="AB9" s="714"/>
      <c r="AC9" s="717"/>
      <c r="AD9" s="717"/>
    </row>
    <row r="10" spans="1:1017" s="224" customFormat="1" ht="13.5" customHeight="1">
      <c r="A10" s="225">
        <v>2</v>
      </c>
      <c r="B10" s="240"/>
      <c r="C10" s="241" t="s">
        <v>2501</v>
      </c>
      <c r="D10" s="241"/>
      <c r="E10" s="241"/>
      <c r="F10" s="241"/>
      <c r="G10" s="241"/>
      <c r="H10" s="714" t="s">
        <v>2502</v>
      </c>
      <c r="I10" s="715" t="s">
        <v>1341</v>
      </c>
      <c r="J10" s="714"/>
      <c r="K10" s="715" t="s">
        <v>2234</v>
      </c>
      <c r="L10" s="714"/>
      <c r="M10" s="714"/>
      <c r="N10" s="714"/>
      <c r="O10" s="714"/>
      <c r="P10" s="716"/>
      <c r="Q10" s="714" t="s">
        <v>820</v>
      </c>
      <c r="R10" s="717"/>
      <c r="S10" s="714" t="s">
        <v>863</v>
      </c>
      <c r="T10" s="714"/>
      <c r="U10" s="714"/>
      <c r="V10" s="718"/>
      <c r="W10" s="718"/>
      <c r="X10" s="232"/>
      <c r="Y10" s="719"/>
      <c r="Z10" s="714"/>
      <c r="AA10" s="720"/>
      <c r="AB10" s="714"/>
      <c r="AC10" s="717"/>
      <c r="AD10" s="717"/>
    </row>
    <row r="11" spans="1:1017" s="224" customFormat="1" ht="13.5" customHeight="1">
      <c r="A11" s="225">
        <v>3</v>
      </c>
      <c r="B11" s="240"/>
      <c r="C11" s="241" t="s">
        <v>2235</v>
      </c>
      <c r="D11" s="241"/>
      <c r="E11" s="241"/>
      <c r="F11" s="241"/>
      <c r="G11" s="241"/>
      <c r="H11" s="714" t="s">
        <v>2236</v>
      </c>
      <c r="I11" s="715" t="s">
        <v>2237</v>
      </c>
      <c r="J11" s="714"/>
      <c r="K11" s="715" t="s">
        <v>2238</v>
      </c>
      <c r="L11" s="714"/>
      <c r="M11" s="714"/>
      <c r="N11" s="714"/>
      <c r="O11" s="714"/>
      <c r="P11" s="716"/>
      <c r="Q11" s="714" t="s">
        <v>820</v>
      </c>
      <c r="R11" s="717"/>
      <c r="S11" s="714" t="s">
        <v>863</v>
      </c>
      <c r="T11" s="714"/>
      <c r="U11" s="714"/>
      <c r="V11" s="718"/>
      <c r="W11" s="718"/>
      <c r="X11" s="232"/>
      <c r="Y11" s="719"/>
      <c r="Z11" s="714"/>
      <c r="AA11" s="720"/>
      <c r="AB11" s="714"/>
      <c r="AC11" s="717"/>
      <c r="AD11" s="717"/>
    </row>
    <row r="12" spans="1:1017" s="224" customFormat="1" ht="13.5" customHeight="1">
      <c r="A12" s="225">
        <v>4</v>
      </c>
      <c r="B12" s="242" t="s">
        <v>2332</v>
      </c>
      <c r="C12" s="523"/>
      <c r="D12" s="523"/>
      <c r="E12" s="523"/>
      <c r="F12" s="523"/>
      <c r="G12" s="523"/>
      <c r="H12" s="731"/>
      <c r="I12" s="732"/>
      <c r="J12" s="714"/>
      <c r="K12" s="715" t="s">
        <v>2503</v>
      </c>
      <c r="L12" s="714"/>
      <c r="M12" s="714"/>
      <c r="N12" s="714"/>
      <c r="O12" s="714"/>
      <c r="P12" s="716"/>
      <c r="Q12" s="714" t="s">
        <v>817</v>
      </c>
      <c r="R12" s="717" t="s">
        <v>864</v>
      </c>
      <c r="S12" s="243" t="s">
        <v>2334</v>
      </c>
      <c r="T12" s="717"/>
      <c r="U12" s="714"/>
      <c r="V12" s="718"/>
      <c r="W12" s="718"/>
      <c r="X12" s="232"/>
      <c r="Y12" s="719"/>
      <c r="Z12" s="714"/>
      <c r="AA12" s="720"/>
      <c r="AB12" s="714"/>
      <c r="AC12" s="717"/>
      <c r="AD12" s="717"/>
    </row>
    <row r="13" spans="1:1017" s="224" customFormat="1" ht="13.5" customHeight="1">
      <c r="A13" s="225">
        <v>5</v>
      </c>
      <c r="B13" s="241"/>
      <c r="C13" s="241" t="s">
        <v>2504</v>
      </c>
      <c r="D13" s="241"/>
      <c r="E13" s="241"/>
      <c r="F13" s="241"/>
      <c r="G13" s="241"/>
      <c r="H13" s="714" t="s">
        <v>2240</v>
      </c>
      <c r="I13" s="715" t="s">
        <v>930</v>
      </c>
      <c r="J13" s="714"/>
      <c r="K13" s="715" t="s">
        <v>2336</v>
      </c>
      <c r="L13" s="714"/>
      <c r="M13" s="714"/>
      <c r="N13" s="714"/>
      <c r="O13" s="714"/>
      <c r="P13" s="716"/>
      <c r="Q13" s="714" t="s">
        <v>820</v>
      </c>
      <c r="R13" s="717"/>
      <c r="S13" s="714" t="s">
        <v>879</v>
      </c>
      <c r="T13" s="717"/>
      <c r="U13" s="714"/>
      <c r="V13" s="718"/>
      <c r="W13" s="718"/>
      <c r="X13" s="232"/>
      <c r="Y13" s="719"/>
      <c r="Z13" s="714"/>
      <c r="AA13" s="720"/>
      <c r="AB13" s="714"/>
      <c r="AC13" s="717"/>
      <c r="AD13" s="717"/>
    </row>
    <row r="14" spans="1:1017" s="224" customFormat="1" ht="13.5" customHeight="1">
      <c r="A14" s="225">
        <v>6</v>
      </c>
      <c r="B14" s="217"/>
      <c r="C14" s="241" t="s">
        <v>2505</v>
      </c>
      <c r="D14" s="241"/>
      <c r="E14" s="241"/>
      <c r="F14" s="241"/>
      <c r="G14" s="241"/>
      <c r="H14" s="714"/>
      <c r="I14" s="715"/>
      <c r="J14" s="714"/>
      <c r="K14" s="715"/>
      <c r="L14" s="714"/>
      <c r="M14" s="714"/>
      <c r="N14" s="714"/>
      <c r="O14" s="714"/>
      <c r="P14" s="716"/>
      <c r="Q14" s="714"/>
      <c r="R14" s="717"/>
      <c r="S14" s="714"/>
      <c r="T14" s="717"/>
      <c r="U14" s="714"/>
      <c r="V14" s="718"/>
      <c r="W14" s="718"/>
      <c r="X14" s="232"/>
      <c r="Y14" s="719"/>
      <c r="Z14" s="714"/>
      <c r="AA14" s="720"/>
      <c r="AB14" s="714"/>
      <c r="AC14" s="717"/>
      <c r="AD14" s="717"/>
    </row>
    <row r="15" spans="1:1017" s="224" customFormat="1" ht="12" customHeight="1">
      <c r="A15" s="225">
        <f>SUBTOTAL(103,createCase291217[ID])</f>
        <v>6</v>
      </c>
      <c r="C15" s="225">
        <f>SUBTOTAL(103,createCase291217[Donnée (Niveau 2)])</f>
        <v>4</v>
      </c>
      <c r="D15" s="225">
        <f>SUBTOTAL(103,createCase291217[Donnée (Niveau 3)])</f>
        <v>0</v>
      </c>
      <c r="E15" s="225">
        <f>SUBTOTAL(103,createCase291217[Donnée (Niveau 4)])</f>
        <v>0</v>
      </c>
      <c r="F15" s="225">
        <f>SUBTOTAL(103,createCase291217[Donnée (Niveau 5)])</f>
        <v>0</v>
      </c>
      <c r="G15" s="225">
        <f>SUBTOTAL(103,createCase291217[Donnée (Niveau 6)])</f>
        <v>0</v>
      </c>
      <c r="H15" s="225">
        <f>SUBTOTAL(103,createCase291217[Description])</f>
        <v>3</v>
      </c>
      <c r="I15" s="225">
        <f>SUBTOTAL(103,createCase291217[Exemples])</f>
        <v>3</v>
      </c>
      <c r="J15" s="225">
        <f>SUBTOTAL(103,createCase291217[Balise NexSIS])</f>
        <v>0</v>
      </c>
      <c r="K15" s="239">
        <f>SUBTOTAL(103,createCase291217[Nouvelle balise])</f>
        <v>5</v>
      </c>
      <c r="L15" s="225">
        <f>SUBTOTAL(103,createCase291217[Nantes - balise])</f>
        <v>0</v>
      </c>
      <c r="M15" s="225">
        <f>SUBTOTAL(103,createCase291217[Nantes - description])</f>
        <v>0</v>
      </c>
      <c r="N15" s="225">
        <f>SUBTOTAL(103,createCase291217[GT399])</f>
        <v>0</v>
      </c>
      <c r="O15" s="225">
        <f>SUBTOTAL(103,createCase291217[GT399 description])</f>
        <v>0</v>
      </c>
      <c r="P15" s="234">
        <f>SUBTOTAL(103,createCase291217[Priorisation])</f>
        <v>0</v>
      </c>
      <c r="Q15" s="225"/>
      <c r="R15" s="274">
        <f>SUBTOTAL(103,createCase291217[Objet])</f>
        <v>2</v>
      </c>
      <c r="S15" s="225">
        <f>SUBTOTAL(103,createCase291217[Format (ou type)])</f>
        <v>5</v>
      </c>
      <c r="T15" s="274"/>
      <c r="U15" s="225"/>
      <c r="V15" s="225"/>
      <c r="W15" s="225"/>
      <c r="Y15" s="271">
        <f>SUBTOTAL(103,createCase291217[Commentaire Hub Santé])</f>
        <v>0</v>
      </c>
      <c r="Z15" s="225">
        <f>SUBTOTAL(103,createCase291217[Commentaire Philippe Dreyfus])</f>
        <v>0</v>
      </c>
      <c r="AA15" s="239"/>
      <c r="AB15" s="225">
        <f>SUBTOTAL(103,createCase291217[Commentaire Yann Penverne])</f>
        <v>0</v>
      </c>
      <c r="AC15" s="225">
        <f>SUBTOTAL(103,createCase291217[NexSIS])-COUNTIFS(createCase291217[NexSIS],"=X")</f>
        <v>0</v>
      </c>
      <c r="AD15" s="225">
        <f>SUBTOTAL(103,createCase291217[Métier])-COUNTIFS(createCase291217[Métier],"=X")</f>
        <v>0</v>
      </c>
    </row>
    <row r="16" spans="1:1017" s="128" customFormat="1" ht="12" customHeight="1">
      <c r="A16" s="3"/>
      <c r="B16" s="3"/>
      <c r="C16" s="131"/>
      <c r="D16" s="131"/>
      <c r="E16" s="131"/>
      <c r="F16" s="131"/>
      <c r="G16" s="5"/>
      <c r="H16" s="155"/>
      <c r="I16" s="225"/>
      <c r="J16" s="5"/>
      <c r="K16" s="155"/>
      <c r="L16" s="5"/>
      <c r="M16" s="5"/>
      <c r="N16" s="5"/>
      <c r="O16" s="5"/>
      <c r="P16" s="188"/>
      <c r="Q16" s="5"/>
      <c r="R16" s="56"/>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278"/>
      <c r="S17" s="96"/>
      <c r="T17" s="278"/>
      <c r="U17" s="96"/>
      <c r="V17" s="96"/>
      <c r="W17" s="96"/>
      <c r="X17"/>
      <c r="Y17" s="179"/>
      <c r="Z17" s="96"/>
      <c r="AA17" s="159"/>
      <c r="AB17" s="96"/>
      <c r="AD17" s="96"/>
      <c r="AMA17"/>
      <c r="AMB17"/>
      <c r="AMC17"/>
    </row>
    <row r="18" spans="1:1017" s="128" customFormat="1" ht="12" customHeight="1">
      <c r="I18" s="224"/>
      <c r="P18" s="174"/>
      <c r="R18" s="278"/>
      <c r="S18" s="96"/>
      <c r="T18" s="278"/>
      <c r="U18" s="96"/>
      <c r="V18" s="96"/>
      <c r="W18" s="96"/>
      <c r="X18"/>
      <c r="Y18" s="179"/>
      <c r="Z18" s="96"/>
      <c r="AA18" s="159"/>
      <c r="AB18" s="96"/>
      <c r="AD18" s="96"/>
      <c r="AMA18"/>
      <c r="AMB18"/>
      <c r="AMC18"/>
    </row>
    <row r="19" spans="1:1017" s="128" customFormat="1" ht="12" customHeight="1">
      <c r="I19" s="224"/>
      <c r="P19" s="174"/>
      <c r="R19" s="278"/>
      <c r="S19" s="96"/>
      <c r="T19" s="278"/>
      <c r="U19" s="96"/>
      <c r="V19" s="96"/>
      <c r="W19" s="96"/>
      <c r="X19"/>
      <c r="Y19" s="179"/>
      <c r="Z19" s="96"/>
      <c r="AA19" s="159"/>
      <c r="AB19" s="96"/>
      <c r="AD19" s="96"/>
      <c r="AMA19"/>
      <c r="AMB19"/>
      <c r="AMC19"/>
    </row>
    <row r="20" spans="1:1017" s="128" customFormat="1" ht="12" customHeight="1">
      <c r="I20" s="224"/>
      <c r="P20" s="174"/>
      <c r="R20" s="278"/>
      <c r="S20" s="96"/>
      <c r="T20" s="278"/>
      <c r="U20" s="96"/>
      <c r="V20" s="96"/>
      <c r="W20" s="96"/>
      <c r="X20"/>
      <c r="Y20" s="179"/>
      <c r="Z20" s="96"/>
      <c r="AA20" s="159"/>
      <c r="AB20" s="96"/>
      <c r="AD20" s="96"/>
      <c r="AMA20"/>
      <c r="AMB20"/>
      <c r="AMC20"/>
    </row>
    <row r="21" spans="1:1017" s="128" customFormat="1" ht="12" customHeight="1">
      <c r="I21" s="224"/>
      <c r="P21" s="174"/>
      <c r="R21" s="278"/>
      <c r="S21" s="96"/>
      <c r="T21" s="278"/>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278"/>
      <c r="S23" s="96"/>
      <c r="T23" s="278"/>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25"/>
      <c r="S25" s="112"/>
      <c r="T25" s="125"/>
      <c r="U25" s="112"/>
      <c r="V25" s="112"/>
      <c r="W25" s="112"/>
      <c r="Y25" s="180"/>
      <c r="Z25" s="112"/>
      <c r="AB25" s="112"/>
      <c r="AD25" s="112"/>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s="117" customFormat="1" ht="12" customHeight="1">
      <c r="A52" s="129"/>
      <c r="B52" s="129"/>
      <c r="C52" s="129"/>
      <c r="D52" s="129"/>
      <c r="E52" s="129"/>
      <c r="F52" s="129"/>
      <c r="G52" s="96"/>
      <c r="H52" s="96"/>
      <c r="I52" s="225"/>
      <c r="J52" s="96"/>
      <c r="K52" s="159"/>
      <c r="L52" s="96"/>
      <c r="M52" s="96"/>
      <c r="N52" s="96"/>
      <c r="O52" s="96"/>
      <c r="P52" s="173"/>
      <c r="Q52" s="96"/>
      <c r="R52" s="278"/>
      <c r="S52" s="96"/>
      <c r="T52" s="278"/>
      <c r="U52" s="96"/>
      <c r="V52" s="96"/>
      <c r="W52" s="96"/>
      <c r="X52"/>
      <c r="Y52" s="179"/>
      <c r="Z52" s="96"/>
      <c r="AA52" s="161"/>
      <c r="AB52" s="96"/>
      <c r="AD52" s="96"/>
      <c r="AMB52"/>
    </row>
    <row r="53" spans="1:1016" s="117" customFormat="1" ht="12" customHeight="1">
      <c r="A53" s="130"/>
      <c r="B53" s="130"/>
      <c r="C53" s="130"/>
      <c r="D53" s="130"/>
      <c r="E53" s="130"/>
      <c r="F53" s="130"/>
      <c r="G53" s="96"/>
      <c r="H53" s="96"/>
      <c r="I53" s="225"/>
      <c r="J53" s="96"/>
      <c r="K53" s="159"/>
      <c r="L53" s="96"/>
      <c r="M53" s="96"/>
      <c r="N53" s="96"/>
      <c r="O53" s="96"/>
      <c r="P53" s="173"/>
      <c r="Q53" s="96"/>
      <c r="R53" s="278"/>
      <c r="S53" s="96"/>
      <c r="T53" s="278"/>
      <c r="U53" s="96"/>
      <c r="V53" s="96"/>
      <c r="W53" s="96"/>
      <c r="X53"/>
      <c r="Y53" s="179"/>
      <c r="Z53" s="96"/>
      <c r="AA53" s="161"/>
      <c r="AB53" s="96"/>
      <c r="AD53" s="96"/>
      <c r="AMB53"/>
    </row>
    <row r="54" spans="1:1016" s="117" customFormat="1" ht="12" customHeight="1">
      <c r="A54" s="123"/>
      <c r="B54" s="123"/>
      <c r="C54" s="123"/>
      <c r="D54" s="123"/>
      <c r="E54" s="123"/>
      <c r="F54" s="123"/>
      <c r="G54" s="112"/>
      <c r="H54" s="112"/>
      <c r="I54" s="277"/>
      <c r="J54" s="112"/>
      <c r="K54" s="161"/>
      <c r="L54" s="112"/>
      <c r="M54" s="112"/>
      <c r="N54" s="112"/>
      <c r="O54" s="112"/>
      <c r="P54" s="190"/>
      <c r="Q54" s="112"/>
      <c r="R54" s="125"/>
      <c r="S54" s="112"/>
      <c r="T54" s="125"/>
      <c r="U54" s="112"/>
      <c r="V54" s="112"/>
      <c r="W54" s="112"/>
      <c r="X54"/>
      <c r="Y54" s="180"/>
      <c r="Z54" s="112"/>
      <c r="AA54" s="161"/>
      <c r="AB54" s="112"/>
      <c r="AD54" s="112"/>
      <c r="AMB54"/>
    </row>
    <row r="55" spans="1:1016" s="117" customFormat="1" ht="12" customHeight="1">
      <c r="A55" s="123"/>
      <c r="B55" s="123"/>
      <c r="C55" s="123"/>
      <c r="D55" s="123"/>
      <c r="E55" s="123"/>
      <c r="F55" s="123"/>
      <c r="G55" s="112"/>
      <c r="H55" s="112"/>
      <c r="I55" s="277"/>
      <c r="J55" s="112"/>
      <c r="K55" s="161"/>
      <c r="L55" s="112"/>
      <c r="M55" s="112"/>
      <c r="N55" s="112"/>
      <c r="O55" s="112"/>
      <c r="P55" s="190"/>
      <c r="Q55" s="112"/>
      <c r="R55" s="125"/>
      <c r="S55" s="112"/>
      <c r="T55" s="125"/>
      <c r="U55" s="112"/>
      <c r="V55" s="112"/>
      <c r="W55" s="112"/>
      <c r="X55"/>
      <c r="Y55" s="180"/>
      <c r="Z55" s="112"/>
      <c r="AA55" s="161"/>
      <c r="AB55" s="112"/>
      <c r="AD55" s="112"/>
      <c r="AMB55"/>
    </row>
    <row r="56" spans="1:1016" s="117" customFormat="1" ht="12" customHeight="1">
      <c r="A56" s="123"/>
      <c r="B56" s="123"/>
      <c r="C56" s="123"/>
      <c r="D56" s="123"/>
      <c r="E56" s="123"/>
      <c r="F56" s="123"/>
      <c r="G56" s="112"/>
      <c r="H56" s="112"/>
      <c r="I56" s="277"/>
      <c r="J56" s="112"/>
      <c r="K56" s="161"/>
      <c r="L56" s="112"/>
      <c r="M56" s="112"/>
      <c r="N56" s="112"/>
      <c r="O56" s="112"/>
      <c r="P56" s="190"/>
      <c r="Q56" s="112"/>
      <c r="R56" s="125"/>
      <c r="S56" s="112"/>
      <c r="T56" s="125"/>
      <c r="U56" s="112"/>
      <c r="V56" s="112"/>
      <c r="W56" s="112"/>
      <c r="X56"/>
      <c r="Y56" s="180"/>
      <c r="Z56" s="112"/>
      <c r="AA56" s="161"/>
      <c r="AB56" s="112"/>
      <c r="AD56" s="112"/>
      <c r="AMB56"/>
    </row>
    <row r="57" spans="1:1016" s="117" customFormat="1" ht="12" customHeight="1">
      <c r="A57" s="123"/>
      <c r="B57" s="123"/>
      <c r="C57" s="123"/>
      <c r="D57" s="123"/>
      <c r="E57" s="123"/>
      <c r="F57" s="123"/>
      <c r="G57" s="112"/>
      <c r="H57" s="112"/>
      <c r="I57" s="277"/>
      <c r="J57" s="112"/>
      <c r="K57" s="161"/>
      <c r="L57" s="112"/>
      <c r="M57" s="112"/>
      <c r="N57" s="112"/>
      <c r="O57" s="112"/>
      <c r="P57" s="190"/>
      <c r="Q57" s="112"/>
      <c r="R57" s="125"/>
      <c r="S57" s="112"/>
      <c r="T57" s="125"/>
      <c r="U57" s="112"/>
      <c r="V57" s="112"/>
      <c r="W57" s="112"/>
      <c r="X57"/>
      <c r="Y57" s="180"/>
      <c r="Z57" s="112"/>
      <c r="AA57" s="161"/>
      <c r="AB57" s="112"/>
      <c r="AD57" s="112"/>
      <c r="AMB57"/>
    </row>
    <row r="58" spans="1:1016" s="117" customFormat="1" ht="12" customHeight="1">
      <c r="A58" s="123"/>
      <c r="B58" s="123"/>
      <c r="C58" s="123"/>
      <c r="D58" s="123"/>
      <c r="E58" s="123"/>
      <c r="F58" s="123"/>
      <c r="G58" s="112"/>
      <c r="H58" s="112"/>
      <c r="I58" s="277"/>
      <c r="J58" s="112"/>
      <c r="K58" s="161"/>
      <c r="L58" s="112"/>
      <c r="M58" s="112"/>
      <c r="N58" s="112"/>
      <c r="O58" s="112"/>
      <c r="P58" s="190"/>
      <c r="Q58" s="112"/>
      <c r="R58" s="125"/>
      <c r="S58" s="112"/>
      <c r="T58" s="125"/>
      <c r="U58" s="112"/>
      <c r="V58" s="112"/>
      <c r="W58" s="112"/>
      <c r="X58"/>
      <c r="Y58" s="180"/>
      <c r="Z58" s="112"/>
      <c r="AA58" s="161"/>
      <c r="AB58" s="112"/>
      <c r="AD58" s="112"/>
      <c r="AMB58"/>
    </row>
    <row r="59" spans="1:1016" ht="12" customHeight="1">
      <c r="A59" s="123"/>
      <c r="B59" s="123"/>
      <c r="C59" s="123"/>
      <c r="D59" s="123"/>
      <c r="E59" s="123"/>
      <c r="F59" s="123"/>
      <c r="G59" s="112"/>
      <c r="H59" s="112"/>
      <c r="I59" s="277"/>
      <c r="J59" s="112"/>
      <c r="K59" s="161"/>
      <c r="L59" s="112"/>
      <c r="M59" s="112"/>
      <c r="N59" s="112"/>
      <c r="O59" s="112"/>
      <c r="P59" s="190"/>
      <c r="Q59" s="112"/>
      <c r="R59" s="125"/>
      <c r="S59" s="112"/>
      <c r="T59" s="125"/>
      <c r="U59" s="112"/>
      <c r="V59" s="112"/>
      <c r="W59" s="112"/>
      <c r="Y59" s="180"/>
      <c r="Z59" s="112"/>
      <c r="AB59" s="112"/>
      <c r="AD59" s="112"/>
    </row>
    <row r="60" spans="1:1016" ht="12" customHeight="1">
      <c r="A60" s="123"/>
      <c r="B60" s="123"/>
      <c r="C60" s="123"/>
      <c r="D60" s="123"/>
      <c r="E60" s="123"/>
      <c r="F60" s="123"/>
      <c r="G60" s="112"/>
      <c r="H60" s="112"/>
      <c r="I60" s="277"/>
      <c r="J60" s="112"/>
      <c r="K60" s="161"/>
      <c r="L60" s="112"/>
      <c r="M60" s="112"/>
      <c r="N60" s="112"/>
      <c r="O60" s="112"/>
      <c r="P60" s="190"/>
      <c r="Q60" s="112"/>
      <c r="R60" s="125"/>
      <c r="S60" s="112"/>
      <c r="T60" s="125"/>
      <c r="U60" s="112"/>
      <c r="V60" s="112"/>
      <c r="W60" s="112"/>
      <c r="Y60" s="180"/>
      <c r="Z60" s="112"/>
      <c r="AB60" s="112"/>
      <c r="AD60" s="112"/>
    </row>
    <row r="61" spans="1:1016" ht="12" customHeight="1">
      <c r="A61" s="130"/>
      <c r="B61" s="130"/>
      <c r="C61" s="130"/>
      <c r="D61" s="130"/>
      <c r="E61" s="130"/>
      <c r="F61" s="130"/>
    </row>
    <row r="62" spans="1:1016" ht="12" customHeight="1">
      <c r="A62" s="130"/>
      <c r="B62" s="130"/>
      <c r="C62" s="130"/>
      <c r="D62" s="130"/>
      <c r="E62" s="130"/>
      <c r="F62" s="130"/>
    </row>
    <row r="63" spans="1:1016" ht="12" customHeight="1">
      <c r="A63" s="130"/>
      <c r="B63" s="130"/>
      <c r="C63" s="130"/>
      <c r="D63" s="130"/>
      <c r="E63" s="130"/>
      <c r="F63" s="130"/>
    </row>
    <row r="64" spans="1:1016" ht="12" customHeight="1">
      <c r="A64" s="136"/>
      <c r="B64" s="136"/>
      <c r="C64" s="136"/>
      <c r="D64" s="136"/>
      <c r="E64" s="136"/>
      <c r="F64" s="136"/>
    </row>
    <row r="65" spans="1:6" ht="12" customHeight="1">
      <c r="A65" s="136"/>
      <c r="B65" s="136"/>
      <c r="C65" s="136"/>
      <c r="D65" s="136"/>
      <c r="E65" s="136"/>
      <c r="F65" s="136"/>
    </row>
  </sheetData>
  <mergeCells count="3">
    <mergeCell ref="L7:O7"/>
    <mergeCell ref="V7:W7"/>
    <mergeCell ref="AC7:AD7"/>
  </mergeCells>
  <conditionalFormatting sqref="A16:F17 A37:F877">
    <cfRule type="expression" dxfId="329" priority="15">
      <formula>OR($AD16="X",$AB16="X")</formula>
    </cfRule>
    <cfRule type="expression" dxfId="328" priority="16">
      <formula>AND($AD16=1,$AB16=1)</formula>
    </cfRule>
    <cfRule type="expression" dxfId="327" priority="17">
      <formula>$AD16=1</formula>
    </cfRule>
    <cfRule type="expression" dxfId="326" priority="18">
      <formula>$AB16=1</formula>
    </cfRule>
  </conditionalFormatting>
  <conditionalFormatting sqref="F1:F2">
    <cfRule type="dataBar" priority="13">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H16:H17 H37:H877">
    <cfRule type="expression" dxfId="325" priority="14">
      <formula>$Q16="X"</formula>
    </cfRule>
  </conditionalFormatting>
  <conditionalFormatting sqref="Q9:Q14">
    <cfRule type="cellIs" dxfId="324" priority="7" operator="equal">
      <formula>"1..1"</formula>
    </cfRule>
    <cfRule type="cellIs" dxfId="323" priority="8" operator="equal">
      <formula>"0..n"</formula>
    </cfRule>
    <cfRule type="cellIs" dxfId="322" priority="9" operator="equal">
      <formula>"0..1"</formula>
    </cfRule>
  </conditionalFormatting>
  <conditionalFormatting sqref="T9:T11">
    <cfRule type="cellIs" dxfId="321" priority="10" operator="equal">
      <formula>"1..1"</formula>
    </cfRule>
    <cfRule type="cellIs" dxfId="320" priority="11" operator="equal">
      <formula>"0..n"</formula>
    </cfRule>
    <cfRule type="cellIs" dxfId="319" priority="12"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topLeftCell="A6" workbookViewId="0">
      <selection activeCell="C33" sqref="C33"/>
    </sheetView>
  </sheetViews>
  <sheetFormatPr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2" style="96"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2506</v>
      </c>
      <c r="C1" s="129" t="s">
        <v>813</v>
      </c>
      <c r="E1" s="150" t="s">
        <v>814</v>
      </c>
      <c r="F1" s="157">
        <f>createCase29[[#Totals],[Métier]] / createCase29[[#Totals],[ID]]</f>
        <v>0</v>
      </c>
      <c r="G1" s="128"/>
      <c r="AC1" s="96"/>
      <c r="AE1"/>
      <c r="AF1" s="128"/>
      <c r="ALZ1"/>
    </row>
    <row r="2" spans="1:1014" ht="13.5" customHeight="1">
      <c r="C2" s="141" t="s">
        <v>818</v>
      </c>
      <c r="D2" s="285"/>
      <c r="E2" s="152" t="s">
        <v>819</v>
      </c>
      <c r="F2" s="157">
        <f>createCase29[[#Totals],[NexSIS]] / createCase29[[#Totals],[ID]]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694" t="s">
        <v>828</v>
      </c>
      <c r="M7" s="694"/>
      <c r="N7" s="694"/>
      <c r="O7" s="694"/>
      <c r="V7" s="695" t="s">
        <v>829</v>
      </c>
      <c r="W7" s="695"/>
      <c r="AC7" s="694" t="s">
        <v>830</v>
      </c>
      <c r="AD7" s="694"/>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c r="C9" s="240"/>
      <c r="D9" s="678"/>
      <c r="E9" s="678"/>
      <c r="F9" s="678"/>
      <c r="G9" s="678"/>
      <c r="H9" s="714"/>
      <c r="I9" s="317"/>
      <c r="J9" s="714"/>
      <c r="K9" s="715"/>
      <c r="L9" s="714"/>
      <c r="M9" s="714"/>
      <c r="N9" s="714"/>
      <c r="O9" s="714"/>
      <c r="P9" s="716"/>
      <c r="Q9" s="714"/>
      <c r="R9" s="714"/>
      <c r="S9" s="714"/>
      <c r="T9" s="717"/>
      <c r="U9" s="714"/>
      <c r="V9" s="718"/>
      <c r="W9" s="718"/>
      <c r="X9" s="232"/>
      <c r="Y9" s="719"/>
      <c r="Z9" s="714"/>
      <c r="AA9" s="720"/>
      <c r="AB9" s="714"/>
      <c r="AC9" s="717"/>
      <c r="AD9" s="717"/>
    </row>
    <row r="10" spans="1:1014" s="224" customFormat="1" ht="13.5" customHeight="1">
      <c r="A10" s="225">
        <v>2</v>
      </c>
      <c r="B10" s="253"/>
      <c r="C10" s="221"/>
      <c r="D10" s="221"/>
      <c r="E10" s="221"/>
      <c r="F10" s="221"/>
      <c r="G10" s="221"/>
      <c r="H10" s="714"/>
      <c r="I10" s="131"/>
      <c r="J10" s="714"/>
      <c r="K10" s="715"/>
      <c r="L10" s="714"/>
      <c r="M10" s="714"/>
      <c r="N10" s="714"/>
      <c r="O10" s="714"/>
      <c r="P10" s="716"/>
      <c r="Q10" s="714"/>
      <c r="R10" s="714"/>
      <c r="S10" s="714"/>
      <c r="T10" s="717"/>
      <c r="U10" s="714"/>
      <c r="V10" s="718"/>
      <c r="W10" s="718"/>
      <c r="X10" s="232"/>
      <c r="Y10" s="719"/>
      <c r="Z10" s="714"/>
      <c r="AA10" s="720"/>
      <c r="AB10" s="714"/>
      <c r="AC10" s="717"/>
      <c r="AD10" s="717"/>
    </row>
    <row r="11" spans="1:1014" s="224" customFormat="1" ht="13.5" customHeight="1">
      <c r="A11" s="225">
        <v>3</v>
      </c>
      <c r="B11" s="217"/>
      <c r="C11" s="240"/>
      <c r="D11" s="241"/>
      <c r="E11" s="241"/>
      <c r="F11" s="241"/>
      <c r="G11" s="241"/>
      <c r="H11" s="714"/>
      <c r="I11" s="715"/>
      <c r="J11" s="714"/>
      <c r="K11" s="715"/>
      <c r="L11" s="714"/>
      <c r="M11" s="714"/>
      <c r="N11" s="714"/>
      <c r="O11" s="714"/>
      <c r="P11" s="716"/>
      <c r="Q11" s="714"/>
      <c r="R11" s="714"/>
      <c r="S11" s="714"/>
      <c r="T11" s="717"/>
      <c r="U11" s="714"/>
      <c r="V11" s="718"/>
      <c r="W11" s="718"/>
      <c r="X11" s="232"/>
      <c r="Y11" s="719"/>
      <c r="Z11" s="714"/>
      <c r="AA11" s="720"/>
      <c r="AB11" s="714"/>
      <c r="AC11" s="717"/>
      <c r="AD11" s="717"/>
    </row>
    <row r="12" spans="1:1014" s="224" customFormat="1" ht="13.5" customHeight="1">
      <c r="A12" s="225">
        <v>4</v>
      </c>
      <c r="B12" s="217"/>
      <c r="C12" s="240"/>
      <c r="D12" s="241"/>
      <c r="E12" s="241"/>
      <c r="F12" s="241"/>
      <c r="G12" s="241"/>
      <c r="H12" s="714"/>
      <c r="I12" s="715"/>
      <c r="J12" s="714"/>
      <c r="K12" s="715"/>
      <c r="L12" s="714"/>
      <c r="M12" s="714"/>
      <c r="N12" s="714"/>
      <c r="O12" s="714"/>
      <c r="P12" s="716"/>
      <c r="Q12" s="714"/>
      <c r="R12" s="714"/>
      <c r="S12" s="714"/>
      <c r="T12" s="717"/>
      <c r="U12" s="714"/>
      <c r="V12" s="718"/>
      <c r="W12" s="718"/>
      <c r="X12" s="232"/>
      <c r="Y12" s="719"/>
      <c r="Z12" s="714"/>
      <c r="AA12" s="720"/>
      <c r="AB12" s="714"/>
      <c r="AC12" s="717"/>
      <c r="AD12" s="717"/>
    </row>
    <row r="13" spans="1:1014" s="224" customFormat="1" ht="13.5" customHeight="1">
      <c r="A13" s="225">
        <v>5</v>
      </c>
      <c r="B13" s="217"/>
      <c r="C13" s="678"/>
      <c r="D13" s="241"/>
      <c r="E13" s="241"/>
      <c r="F13" s="241"/>
      <c r="G13" s="241"/>
      <c r="H13" s="714"/>
      <c r="I13" s="715"/>
      <c r="J13" s="714"/>
      <c r="K13" s="715"/>
      <c r="L13" s="714"/>
      <c r="M13" s="714"/>
      <c r="N13" s="714"/>
      <c r="O13" s="714"/>
      <c r="P13" s="716"/>
      <c r="Q13" s="714"/>
      <c r="R13" s="714"/>
      <c r="S13" s="243"/>
      <c r="T13" s="717"/>
      <c r="U13" s="714"/>
      <c r="V13" s="718"/>
      <c r="W13" s="718"/>
      <c r="X13" s="232"/>
      <c r="Y13" s="719"/>
      <c r="Z13" s="714"/>
      <c r="AA13" s="720"/>
      <c r="AB13" s="714"/>
      <c r="AC13" s="717"/>
      <c r="AD13" s="717"/>
    </row>
    <row r="14" spans="1:1014" s="224" customFormat="1" ht="13.5" customHeight="1">
      <c r="A14" s="225">
        <v>6</v>
      </c>
      <c r="B14" s="217"/>
      <c r="C14" s="678"/>
      <c r="D14" s="241"/>
      <c r="E14" s="241"/>
      <c r="F14" s="241"/>
      <c r="G14" s="241"/>
      <c r="H14" s="714"/>
      <c r="I14" s="715"/>
      <c r="J14" s="714"/>
      <c r="K14" s="715"/>
      <c r="L14" s="714"/>
      <c r="M14" s="714"/>
      <c r="N14" s="714"/>
      <c r="O14" s="714"/>
      <c r="P14" s="716"/>
      <c r="Q14" s="714"/>
      <c r="R14" s="714"/>
      <c r="S14" s="714"/>
      <c r="T14" s="717"/>
      <c r="U14" s="714"/>
      <c r="V14" s="718"/>
      <c r="W14" s="718"/>
      <c r="X14" s="232"/>
      <c r="Y14" s="719"/>
      <c r="Z14" s="714"/>
      <c r="AA14" s="720"/>
      <c r="AB14" s="714"/>
      <c r="AC14" s="717"/>
      <c r="AD14" s="717"/>
    </row>
    <row r="15" spans="1:1014" s="224" customFormat="1" ht="13.5" customHeight="1">
      <c r="A15" s="225">
        <v>7</v>
      </c>
      <c r="B15" s="217"/>
      <c r="C15" s="678"/>
      <c r="D15" s="241"/>
      <c r="E15" s="241"/>
      <c r="F15" s="241"/>
      <c r="G15" s="241"/>
      <c r="H15" s="714"/>
      <c r="I15" s="715"/>
      <c r="J15" s="714"/>
      <c r="K15" s="715"/>
      <c r="L15" s="714"/>
      <c r="M15" s="714"/>
      <c r="N15" s="714"/>
      <c r="O15" s="714"/>
      <c r="P15" s="716"/>
      <c r="Q15" s="714"/>
      <c r="R15" s="714"/>
      <c r="S15" s="714"/>
      <c r="T15" s="717"/>
      <c r="U15" s="714"/>
      <c r="V15" s="718"/>
      <c r="W15" s="718"/>
      <c r="X15" s="232"/>
      <c r="Y15" s="719"/>
      <c r="Z15" s="714"/>
      <c r="AA15" s="720"/>
      <c r="AB15" s="714"/>
      <c r="AC15" s="717"/>
      <c r="AD15" s="717"/>
    </row>
    <row r="16" spans="1:1014" s="224" customFormat="1" ht="13.5" customHeight="1">
      <c r="A16" s="225">
        <v>8</v>
      </c>
      <c r="B16" s="217"/>
      <c r="C16" s="678"/>
      <c r="D16" s="241"/>
      <c r="E16" s="241"/>
      <c r="F16" s="241"/>
      <c r="G16" s="241"/>
      <c r="H16" s="714"/>
      <c r="I16" s="715"/>
      <c r="J16" s="714"/>
      <c r="K16" s="715"/>
      <c r="L16" s="714"/>
      <c r="M16" s="714"/>
      <c r="N16" s="714"/>
      <c r="O16" s="714"/>
      <c r="P16" s="716"/>
      <c r="Q16" s="714"/>
      <c r="R16" s="714"/>
      <c r="S16" s="714"/>
      <c r="T16" s="717"/>
      <c r="U16" s="714"/>
      <c r="V16" s="718"/>
      <c r="W16" s="718"/>
      <c r="X16" s="232"/>
      <c r="Y16" s="719"/>
      <c r="Z16" s="714"/>
      <c r="AA16" s="720"/>
      <c r="AB16" s="714"/>
      <c r="AC16" s="717"/>
      <c r="AD16" s="717"/>
    </row>
    <row r="17" spans="1:1017" s="224" customFormat="1" ht="13.5" customHeight="1">
      <c r="A17" s="225">
        <v>9</v>
      </c>
      <c r="B17" s="217"/>
      <c r="C17" s="678"/>
      <c r="D17" s="241"/>
      <c r="E17" s="241"/>
      <c r="F17" s="241"/>
      <c r="G17" s="241"/>
      <c r="H17" s="714"/>
      <c r="I17" s="715"/>
      <c r="J17" s="714"/>
      <c r="K17" s="715"/>
      <c r="L17" s="714"/>
      <c r="M17" s="714"/>
      <c r="N17" s="714"/>
      <c r="O17" s="714"/>
      <c r="P17" s="716"/>
      <c r="Q17" s="714"/>
      <c r="R17" s="714"/>
      <c r="S17" s="714"/>
      <c r="T17" s="717"/>
      <c r="U17" s="714"/>
      <c r="V17" s="718"/>
      <c r="W17" s="718"/>
      <c r="X17" s="232"/>
      <c r="Y17" s="719"/>
      <c r="Z17" s="714"/>
      <c r="AA17" s="720"/>
      <c r="AB17" s="714"/>
      <c r="AC17" s="717"/>
      <c r="AD17" s="717"/>
    </row>
    <row r="18" spans="1:1017" s="224" customFormat="1" ht="13.5" customHeight="1">
      <c r="A18" s="225">
        <v>10</v>
      </c>
      <c r="B18" s="217"/>
      <c r="C18" s="678"/>
      <c r="D18" s="241"/>
      <c r="E18" s="241"/>
      <c r="F18" s="241"/>
      <c r="G18" s="241"/>
      <c r="H18" s="714"/>
      <c r="I18" s="715"/>
      <c r="J18" s="714"/>
      <c r="K18" s="715"/>
      <c r="L18" s="714"/>
      <c r="M18" s="714"/>
      <c r="N18" s="714"/>
      <c r="O18" s="714"/>
      <c r="P18" s="716"/>
      <c r="Q18" s="714"/>
      <c r="R18" s="714"/>
      <c r="S18" s="714"/>
      <c r="T18" s="717"/>
      <c r="U18" s="714"/>
      <c r="V18" s="718"/>
      <c r="W18" s="718"/>
      <c r="X18" s="232"/>
      <c r="Y18" s="719"/>
      <c r="Z18" s="714"/>
      <c r="AA18" s="720"/>
      <c r="AB18" s="714"/>
      <c r="AC18" s="717"/>
      <c r="AD18" s="717"/>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8"/>
      <c r="U21" s="96"/>
      <c r="V21" s="96"/>
      <c r="W21" s="96"/>
      <c r="X21"/>
      <c r="Y21" s="179"/>
      <c r="Z21" s="96"/>
      <c r="AA21" s="159"/>
      <c r="AB21" s="96"/>
      <c r="AD21" s="96"/>
      <c r="AMA21"/>
      <c r="AMB21"/>
      <c r="AMC21"/>
    </row>
    <row r="22" spans="1:1017" s="128" customFormat="1" ht="12" customHeight="1">
      <c r="I22" s="224"/>
      <c r="P22" s="174"/>
      <c r="R22" s="96"/>
      <c r="S22" s="96"/>
      <c r="T22" s="278"/>
      <c r="U22" s="96"/>
      <c r="V22" s="96"/>
      <c r="W22" s="96"/>
      <c r="X22"/>
      <c r="Y22" s="179"/>
      <c r="Z22" s="96"/>
      <c r="AA22" s="159"/>
      <c r="AB22" s="96"/>
      <c r="AD22" s="96"/>
      <c r="AMA22"/>
      <c r="AMB22"/>
      <c r="AMC22"/>
    </row>
    <row r="23" spans="1:1017" s="128" customFormat="1" ht="12" customHeight="1">
      <c r="I23" s="224"/>
      <c r="P23" s="174"/>
      <c r="R23" s="96"/>
      <c r="S23" s="96"/>
      <c r="T23" s="278"/>
      <c r="U23" s="96"/>
      <c r="V23" s="96"/>
      <c r="W23" s="96"/>
      <c r="X23"/>
      <c r="Y23" s="179"/>
      <c r="Z23" s="96"/>
      <c r="AA23" s="159"/>
      <c r="AB23" s="96"/>
      <c r="AD23" s="96"/>
      <c r="AMA23"/>
      <c r="AMB23"/>
      <c r="AMC23"/>
    </row>
    <row r="24" spans="1:1017" s="128" customFormat="1" ht="12" customHeight="1">
      <c r="I24" s="224"/>
      <c r="P24" s="174"/>
      <c r="R24" s="96"/>
      <c r="S24" s="96"/>
      <c r="T24" s="278"/>
      <c r="U24" s="96"/>
      <c r="V24" s="96"/>
      <c r="W24" s="96"/>
      <c r="X24"/>
      <c r="Y24" s="179"/>
      <c r="Z24" s="96"/>
      <c r="AA24" s="159"/>
      <c r="AB24" s="96"/>
      <c r="AD24" s="96"/>
      <c r="AMA24"/>
      <c r="AMB24"/>
      <c r="AMC24"/>
    </row>
    <row r="25" spans="1:1017" s="128" customFormat="1" ht="12" customHeight="1">
      <c r="I25" s="224"/>
      <c r="P25" s="174"/>
      <c r="R25" s="96"/>
      <c r="S25" s="96"/>
      <c r="T25" s="278"/>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8"/>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8"/>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8"/>
      <c r="U57" s="96"/>
      <c r="V57" s="96"/>
      <c r="W57" s="96"/>
      <c r="X57"/>
      <c r="Y57" s="179"/>
      <c r="Z57" s="96"/>
      <c r="AA57" s="161"/>
      <c r="AB57" s="96"/>
      <c r="AD57" s="96"/>
      <c r="AMB57"/>
    </row>
    <row r="58" spans="1:1016"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7"/>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7"/>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7"/>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7"/>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255" priority="8">
      <formula>OR($AD10="X",$AC10="X")</formula>
    </cfRule>
  </conditionalFormatting>
  <conditionalFormatting sqref="A20:F21 A41:F881">
    <cfRule type="expression" dxfId="254" priority="20">
      <formula>OR($AD20="X",$AB20="X")</formula>
    </cfRule>
    <cfRule type="expression" dxfId="253" priority="21">
      <formula>AND($AD20=1,$AB20=1)</formula>
    </cfRule>
    <cfRule type="expression" dxfId="252" priority="22">
      <formula>$AD20=1</formula>
    </cfRule>
    <cfRule type="expression" dxfId="251" priority="23">
      <formula>$AB20=1</formula>
    </cfRule>
  </conditionalFormatting>
  <conditionalFormatting sqref="A9:G9 A10:A18">
    <cfRule type="expression" dxfId="250" priority="25">
      <formula>AND($AD9=1,$AC9=1)</formula>
    </cfRule>
    <cfRule type="expression" dxfId="249" priority="26">
      <formula>$AD9=1</formula>
    </cfRule>
    <cfRule type="expression" dxfId="248" priority="27">
      <formula>$AC9=1</formula>
    </cfRule>
  </conditionalFormatting>
  <conditionalFormatting sqref="A9:G9">
    <cfRule type="expression" dxfId="247" priority="24">
      <formula>OR($AD9="X",$AC9="X")</formula>
    </cfRule>
  </conditionalFormatting>
  <conditionalFormatting sqref="A9:G18">
    <cfRule type="expression" dxfId="246" priority="28">
      <formula>AND(NOT(ISBLANK($W9)),ISBLANK($AC9),ISBLANK($AD9))</formula>
    </cfRule>
  </conditionalFormatting>
  <conditionalFormatting sqref="B10:G18">
    <cfRule type="expression" dxfId="245" priority="12">
      <formula>OR($AD10="X",$AC10="X")</formula>
    </cfRule>
    <cfRule type="expression" dxfId="244" priority="13">
      <formula>AND($AD10=1,$AC10=1)</formula>
    </cfRule>
    <cfRule type="expression" dxfId="243" priority="14">
      <formula>$AD10=1</formula>
    </cfRule>
    <cfRule type="expression" dxfId="242" priority="15">
      <formula>$AC10=1</formula>
    </cfRule>
  </conditionalFormatting>
  <conditionalFormatting sqref="C9:C18">
    <cfRule type="expression" dxfId="241" priority="11">
      <formula>AND($R9="X",$B9&lt;&gt;"")</formula>
    </cfRule>
  </conditionalFormatting>
  <conditionalFormatting sqref="D9:D18">
    <cfRule type="expression" dxfId="240" priority="2">
      <formula>AND($R9="X",OR($B9&lt;&gt;"",$C9&lt;&gt;""))</formula>
    </cfRule>
  </conditionalFormatting>
  <conditionalFormatting sqref="E9:E18">
    <cfRule type="expression" dxfId="239"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238" priority="4">
      <formula>AND($R9="X",OR($B9&lt;&gt;"",$C9&lt;&gt;"",$D9&lt;&gt;"",$E9&lt;&gt;""))</formula>
    </cfRule>
  </conditionalFormatting>
  <conditionalFormatting sqref="G9:G18">
    <cfRule type="expression" dxfId="237" priority="1">
      <formula>AND($R9="X",OR($B9&lt;&gt;"",$C9&lt;&gt;"",$D9&lt;&gt;"",$E9&lt;&gt;"",$F9&lt;&gt;""))</formula>
    </cfRule>
  </conditionalFormatting>
  <conditionalFormatting sqref="H20:H21 H41:H881">
    <cfRule type="expression" dxfId="236" priority="19">
      <formula>$Q20="X"</formula>
    </cfRule>
  </conditionalFormatting>
  <conditionalFormatting sqref="I11:I18">
    <cfRule type="expression" dxfId="235" priority="10">
      <formula>$R11="X"</formula>
    </cfRule>
  </conditionalFormatting>
  <conditionalFormatting sqref="Q9:Q18">
    <cfRule type="cellIs" dxfId="234" priority="5" operator="equal">
      <formula>"1..1"</formula>
    </cfRule>
    <cfRule type="cellIs" dxfId="233" priority="6" operator="equal">
      <formula>"0..n"</formula>
    </cfRule>
    <cfRule type="cellIs" dxfId="232"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tabSelected="1" zoomScaleNormal="100" workbookViewId="0">
      <pane xSplit="7" ySplit="8" topLeftCell="H9" activePane="bottomRight" state="frozen"/>
      <selection pane="bottomRight" activeCell="A2" sqref="A2"/>
      <selection pane="bottomLeft"/>
      <selection pane="topRight"/>
    </sheetView>
  </sheetViews>
  <sheetFormatPr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4.125" hidden="1" customWidth="1"/>
    <col min="11" max="11" width="16" customWidth="1"/>
    <col min="12" max="12" width="10.875" hidden="1" customWidth="1"/>
    <col min="13" max="13" width="7.625" hidden="1" customWidth="1"/>
    <col min="14" max="14" width="8.625" hidden="1" customWidth="1"/>
    <col min="15" max="15" width="7" hidden="1" customWidth="1"/>
    <col min="16" max="16" width="9.125" hidden="1" customWidth="1"/>
    <col min="17" max="17" width="11" bestFit="1" customWidth="1"/>
    <col min="18" max="18" width="7.125" customWidth="1"/>
    <col min="20" max="20" width="14.125" bestFit="1" customWidth="1"/>
    <col min="21" max="21" width="12.5" bestFit="1" customWidth="1"/>
    <col min="22" max="23" width="9" style="95"/>
    <col min="24" max="30" width="0" hidden="1" customWidth="1"/>
  </cols>
  <sheetData>
    <row r="1" spans="1:1014" ht="14.25" customHeight="1">
      <c r="A1" s="228" t="s">
        <v>2507</v>
      </c>
      <c r="B1" s="128"/>
      <c r="C1" s="129" t="s">
        <v>813</v>
      </c>
      <c r="D1" s="128"/>
      <c r="E1" s="150" t="s">
        <v>814</v>
      </c>
      <c r="F1" s="157"/>
      <c r="G1" s="128"/>
      <c r="H1" s="148"/>
      <c r="I1" s="275"/>
      <c r="J1" s="148"/>
      <c r="K1" s="159"/>
      <c r="L1" s="96"/>
      <c r="M1" s="96"/>
      <c r="N1" s="96"/>
      <c r="O1" s="693" t="s">
        <v>816</v>
      </c>
      <c r="P1" s="693"/>
      <c r="Q1" s="96"/>
      <c r="R1" s="96"/>
      <c r="S1" s="96"/>
      <c r="T1" s="278"/>
      <c r="U1" s="96"/>
      <c r="V1" s="278"/>
      <c r="W1" s="278"/>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148"/>
      <c r="I2" s="275"/>
      <c r="J2" s="148"/>
      <c r="K2" s="159"/>
      <c r="L2" s="96"/>
      <c r="M2" s="96"/>
      <c r="N2" s="96"/>
      <c r="O2" s="96"/>
      <c r="P2" s="173"/>
      <c r="Q2" s="96"/>
      <c r="R2" s="96"/>
      <c r="S2" s="96"/>
      <c r="T2" s="278"/>
      <c r="U2" s="96"/>
      <c r="V2" s="278"/>
      <c r="W2" s="278"/>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278"/>
      <c r="W3" s="278"/>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278"/>
      <c r="W4" s="278"/>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280"/>
      <c r="W5" s="280"/>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278"/>
      <c r="W6" s="278"/>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694" t="s">
        <v>828</v>
      </c>
      <c r="M7" s="694"/>
      <c r="N7" s="694"/>
      <c r="O7" s="694"/>
      <c r="P7" s="173"/>
      <c r="Q7" s="96"/>
      <c r="R7" s="96"/>
      <c r="S7" s="96"/>
      <c r="T7" s="278"/>
      <c r="U7" s="96"/>
      <c r="V7" s="701" t="s">
        <v>829</v>
      </c>
      <c r="W7" s="701"/>
      <c r="Y7" s="179"/>
      <c r="Z7" s="96"/>
      <c r="AA7" s="159"/>
      <c r="AB7" s="96"/>
      <c r="AC7" s="694" t="s">
        <v>830</v>
      </c>
      <c r="AD7" s="694"/>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2508</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70">
        <v>1</v>
      </c>
      <c r="B9" s="415" t="s">
        <v>2509</v>
      </c>
      <c r="C9" s="415"/>
      <c r="D9" s="415"/>
      <c r="E9" s="415"/>
      <c r="F9" s="415"/>
      <c r="G9" s="415"/>
      <c r="H9" s="317" t="s">
        <v>2510</v>
      </c>
      <c r="I9" s="417" t="s">
        <v>1694</v>
      </c>
      <c r="J9" s="317" t="s">
        <v>2511</v>
      </c>
      <c r="K9" s="317" t="s">
        <v>1953</v>
      </c>
      <c r="L9" s="342" t="s">
        <v>864</v>
      </c>
      <c r="M9" s="342" t="s">
        <v>1953</v>
      </c>
      <c r="N9" s="418"/>
      <c r="O9" s="418"/>
      <c r="P9" s="418" t="s">
        <v>864</v>
      </c>
      <c r="Q9" s="417" t="s">
        <v>823</v>
      </c>
      <c r="R9" s="342" t="s">
        <v>864</v>
      </c>
      <c r="S9" s="342" t="s">
        <v>1953</v>
      </c>
      <c r="T9" s="418"/>
      <c r="U9" s="418"/>
      <c r="V9" s="505" t="s">
        <v>864</v>
      </c>
      <c r="W9" s="506" t="s">
        <v>864</v>
      </c>
      <c r="ALN9" s="238"/>
      <c r="ALO9" s="238"/>
      <c r="ALP9" s="238"/>
      <c r="ALQ9" s="238"/>
      <c r="ALR9" s="238"/>
      <c r="ALS9" s="238"/>
      <c r="ALT9" s="238"/>
      <c r="ALU9" s="238"/>
      <c r="ALV9" s="238"/>
      <c r="ALW9" s="238"/>
      <c r="ALX9" s="238"/>
      <c r="ALY9" s="238"/>
      <c r="ALZ9" s="238"/>
    </row>
    <row r="10" spans="1:1014" ht="14.25" customHeight="1">
      <c r="A10" s="396">
        <v>2</v>
      </c>
      <c r="B10" s="397"/>
      <c r="C10" s="397" t="s">
        <v>2512</v>
      </c>
      <c r="D10" s="466"/>
      <c r="E10" s="466"/>
      <c r="F10" s="466"/>
      <c r="G10" s="466"/>
      <c r="H10" s="323" t="s">
        <v>2513</v>
      </c>
      <c r="I10" s="323" t="s">
        <v>2514</v>
      </c>
      <c r="K10" s="323" t="s">
        <v>1218</v>
      </c>
      <c r="Q10" s="325" t="s">
        <v>820</v>
      </c>
      <c r="R10" s="224"/>
      <c r="S10" s="224" t="s">
        <v>863</v>
      </c>
      <c r="V10" s="95" t="s">
        <v>864</v>
      </c>
      <c r="W10" s="95" t="s">
        <v>864</v>
      </c>
    </row>
    <row r="11" spans="1:1014" ht="14.25" customHeight="1">
      <c r="A11" s="396">
        <v>3</v>
      </c>
      <c r="B11" s="397"/>
      <c r="C11" s="397" t="s">
        <v>2515</v>
      </c>
      <c r="D11" s="397"/>
      <c r="E11" s="397"/>
      <c r="F11" s="397"/>
      <c r="G11" s="397"/>
      <c r="H11" s="317" t="s">
        <v>2516</v>
      </c>
      <c r="I11" s="317" t="s">
        <v>2517</v>
      </c>
      <c r="K11" s="317" t="s">
        <v>879</v>
      </c>
      <c r="Q11" s="320" t="s">
        <v>820</v>
      </c>
      <c r="R11" s="224"/>
      <c r="S11" s="224" t="s">
        <v>879</v>
      </c>
      <c r="V11" s="95" t="s">
        <v>864</v>
      </c>
      <c r="W11" s="95" t="s">
        <v>864</v>
      </c>
    </row>
    <row r="12" spans="1:1014" ht="14.25" customHeight="1">
      <c r="A12" s="470">
        <v>4</v>
      </c>
      <c r="B12" s="397"/>
      <c r="C12" s="397" t="s">
        <v>2518</v>
      </c>
      <c r="D12" s="397"/>
      <c r="E12" s="397"/>
      <c r="F12" s="397"/>
      <c r="G12" s="397"/>
      <c r="H12" s="400" t="s">
        <v>2519</v>
      </c>
      <c r="I12" s="400" t="s">
        <v>2520</v>
      </c>
      <c r="K12" s="400" t="s">
        <v>2521</v>
      </c>
      <c r="Q12" s="333" t="s">
        <v>817</v>
      </c>
      <c r="R12" s="224"/>
      <c r="S12" s="224" t="s">
        <v>879</v>
      </c>
      <c r="V12" s="95" t="s">
        <v>864</v>
      </c>
      <c r="W12" s="95" t="s">
        <v>864</v>
      </c>
    </row>
    <row r="13" spans="1:1014" ht="14.25" customHeight="1">
      <c r="A13" s="396">
        <v>5</v>
      </c>
      <c r="B13" s="397"/>
      <c r="C13" s="397" t="s">
        <v>1167</v>
      </c>
      <c r="D13" s="397"/>
      <c r="E13" s="397"/>
      <c r="F13" s="397"/>
      <c r="G13" s="397"/>
      <c r="H13" s="399" t="s">
        <v>2522</v>
      </c>
      <c r="I13" s="394"/>
      <c r="K13" s="399" t="s">
        <v>1169</v>
      </c>
      <c r="Q13" s="395" t="s">
        <v>823</v>
      </c>
      <c r="R13" s="224" t="s">
        <v>864</v>
      </c>
      <c r="S13" s="317" t="s">
        <v>1169</v>
      </c>
      <c r="V13" s="95" t="s">
        <v>864</v>
      </c>
      <c r="W13" s="95" t="s">
        <v>864</v>
      </c>
    </row>
    <row r="14" spans="1:1014" ht="14.25" customHeight="1">
      <c r="A14" s="396">
        <v>6</v>
      </c>
      <c r="B14" s="397"/>
      <c r="C14" s="397"/>
      <c r="D14" s="397" t="s">
        <v>1972</v>
      </c>
      <c r="E14" s="397"/>
      <c r="F14" s="397"/>
      <c r="G14" s="397"/>
      <c r="H14" s="400" t="s">
        <v>2523</v>
      </c>
      <c r="I14" s="400" t="s">
        <v>1975</v>
      </c>
      <c r="K14" s="400" t="s">
        <v>1173</v>
      </c>
      <c r="Q14" s="325" t="s">
        <v>820</v>
      </c>
      <c r="R14" s="224"/>
      <c r="S14" s="323" t="s">
        <v>1092</v>
      </c>
      <c r="V14" s="95" t="s">
        <v>864</v>
      </c>
      <c r="W14" s="95" t="s">
        <v>864</v>
      </c>
    </row>
    <row r="15" spans="1:1014" ht="14.25" customHeight="1">
      <c r="A15" s="470">
        <v>7</v>
      </c>
      <c r="B15" s="397"/>
      <c r="C15" s="397"/>
      <c r="D15" s="397" t="s">
        <v>1176</v>
      </c>
      <c r="E15" s="397"/>
      <c r="F15" s="397"/>
      <c r="G15" s="397"/>
      <c r="H15" s="399" t="s">
        <v>2524</v>
      </c>
      <c r="I15" s="401" t="s">
        <v>1979</v>
      </c>
      <c r="K15" s="399" t="s">
        <v>1179</v>
      </c>
      <c r="Q15" s="320" t="s">
        <v>820</v>
      </c>
      <c r="R15" s="224"/>
      <c r="S15" s="317" t="s">
        <v>1092</v>
      </c>
      <c r="V15" s="95" t="s">
        <v>864</v>
      </c>
      <c r="W15" s="95" t="s">
        <v>864</v>
      </c>
    </row>
    <row r="16" spans="1:1014" ht="14.25" customHeight="1">
      <c r="A16" s="396">
        <v>8</v>
      </c>
      <c r="B16" s="397"/>
      <c r="C16" s="397"/>
      <c r="D16" s="397" t="s">
        <v>1981</v>
      </c>
      <c r="E16" s="397"/>
      <c r="F16" s="397"/>
      <c r="G16" s="397"/>
      <c r="H16" s="400" t="s">
        <v>2525</v>
      </c>
      <c r="I16" s="402">
        <v>1</v>
      </c>
      <c r="K16" s="400" t="s">
        <v>1182</v>
      </c>
      <c r="Q16" s="333" t="s">
        <v>817</v>
      </c>
      <c r="R16" s="224"/>
      <c r="S16" s="323" t="s">
        <v>1092</v>
      </c>
      <c r="V16" s="95" t="s">
        <v>864</v>
      </c>
      <c r="W16" s="95" t="s">
        <v>864</v>
      </c>
    </row>
    <row r="17" spans="1:23" ht="14.25" customHeight="1">
      <c r="A17" s="396">
        <v>9</v>
      </c>
      <c r="B17" s="397"/>
      <c r="C17" s="397" t="s">
        <v>2526</v>
      </c>
      <c r="D17" s="397"/>
      <c r="E17" s="397"/>
      <c r="F17" s="397"/>
      <c r="G17" s="397"/>
      <c r="H17" s="399" t="s">
        <v>2527</v>
      </c>
      <c r="I17" s="464">
        <v>80</v>
      </c>
      <c r="K17" s="399" t="s">
        <v>1190</v>
      </c>
      <c r="Q17" s="333" t="s">
        <v>817</v>
      </c>
      <c r="R17" s="224"/>
      <c r="S17" s="323" t="s">
        <v>1092</v>
      </c>
      <c r="V17" s="95" t="s">
        <v>864</v>
      </c>
      <c r="W17" s="95" t="s">
        <v>864</v>
      </c>
    </row>
    <row r="18" spans="1:23" ht="14.25" customHeight="1">
      <c r="A18" s="470">
        <v>10</v>
      </c>
      <c r="B18" s="397"/>
      <c r="C18" s="397" t="s">
        <v>2528</v>
      </c>
      <c r="D18" s="397"/>
      <c r="E18" s="397"/>
      <c r="F18" s="397"/>
      <c r="G18" s="397"/>
      <c r="H18" s="400" t="s">
        <v>2529</v>
      </c>
      <c r="I18" s="402">
        <v>96</v>
      </c>
      <c r="K18" s="400" t="s">
        <v>2530</v>
      </c>
      <c r="Q18" s="333" t="s">
        <v>817</v>
      </c>
      <c r="R18" s="224"/>
      <c r="S18" s="224" t="s">
        <v>863</v>
      </c>
      <c r="V18" s="95" t="s">
        <v>864</v>
      </c>
      <c r="W18" s="95" t="s">
        <v>864</v>
      </c>
    </row>
    <row r="19" spans="1:23" ht="14.25" customHeight="1">
      <c r="A19" s="396">
        <v>11</v>
      </c>
      <c r="B19" s="397"/>
      <c r="C19" s="397" t="s">
        <v>2531</v>
      </c>
      <c r="D19" s="397"/>
      <c r="E19" s="397"/>
      <c r="F19" s="397"/>
      <c r="G19" s="397"/>
      <c r="H19" s="399" t="s">
        <v>2532</v>
      </c>
      <c r="I19" s="464" t="s">
        <v>2533</v>
      </c>
      <c r="K19" s="399" t="s">
        <v>2534</v>
      </c>
      <c r="Q19" s="333" t="s">
        <v>817</v>
      </c>
      <c r="R19" s="224"/>
      <c r="S19" s="224" t="s">
        <v>863</v>
      </c>
      <c r="T19" s="457" t="s">
        <v>864</v>
      </c>
      <c r="U19" t="s">
        <v>2535</v>
      </c>
      <c r="V19" s="95" t="s">
        <v>864</v>
      </c>
      <c r="W19" s="95" t="s">
        <v>864</v>
      </c>
    </row>
    <row r="20" spans="1:23" ht="14.25" customHeight="1">
      <c r="A20" s="396">
        <v>12</v>
      </c>
      <c r="B20" s="397"/>
      <c r="C20" s="397" t="s">
        <v>2536</v>
      </c>
      <c r="D20" s="397"/>
      <c r="E20" s="397"/>
      <c r="F20" s="397"/>
      <c r="G20" s="397"/>
      <c r="H20" s="323" t="s">
        <v>2537</v>
      </c>
      <c r="I20" s="376" t="b">
        <v>1</v>
      </c>
      <c r="K20" s="323" t="s">
        <v>2538</v>
      </c>
      <c r="Q20" s="333" t="s">
        <v>817</v>
      </c>
      <c r="R20" s="224"/>
      <c r="S20" s="323" t="s">
        <v>2262</v>
      </c>
      <c r="T20" s="457"/>
      <c r="U20" s="225"/>
      <c r="V20" s="95" t="s">
        <v>864</v>
      </c>
      <c r="W20" s="95" t="s">
        <v>864</v>
      </c>
    </row>
    <row r="21" spans="1:23" ht="14.25" customHeight="1">
      <c r="A21" s="470">
        <v>13</v>
      </c>
      <c r="B21" s="397"/>
      <c r="C21" s="397" t="s">
        <v>2539</v>
      </c>
      <c r="D21" s="397"/>
      <c r="E21" s="397"/>
      <c r="F21" s="397"/>
      <c r="G21" s="397"/>
      <c r="H21" s="399" t="s">
        <v>2540</v>
      </c>
      <c r="I21" s="376" t="b">
        <v>1</v>
      </c>
      <c r="K21" s="399" t="s">
        <v>2541</v>
      </c>
      <c r="Q21" s="333" t="s">
        <v>817</v>
      </c>
      <c r="R21" s="224"/>
      <c r="S21" s="323" t="s">
        <v>2262</v>
      </c>
      <c r="T21" s="457"/>
      <c r="U21" s="225"/>
      <c r="V21" s="95" t="s">
        <v>864</v>
      </c>
      <c r="W21" s="95" t="s">
        <v>864</v>
      </c>
    </row>
    <row r="22" spans="1:23" ht="14.25" customHeight="1">
      <c r="A22" s="396">
        <v>14</v>
      </c>
      <c r="B22" s="397"/>
      <c r="C22" s="397" t="s">
        <v>2127</v>
      </c>
      <c r="D22" s="397"/>
      <c r="E22" s="397"/>
      <c r="F22" s="397"/>
      <c r="G22" s="397"/>
      <c r="H22" s="323" t="s">
        <v>2542</v>
      </c>
      <c r="I22" s="376" t="s">
        <v>2543</v>
      </c>
      <c r="K22" s="323" t="s">
        <v>888</v>
      </c>
      <c r="Q22" s="333" t="s">
        <v>817</v>
      </c>
      <c r="R22" s="224"/>
      <c r="S22" s="224" t="s">
        <v>863</v>
      </c>
      <c r="T22" s="238" t="s">
        <v>864</v>
      </c>
      <c r="U22" s="225" t="s">
        <v>2544</v>
      </c>
      <c r="V22" s="95" t="s">
        <v>864</v>
      </c>
      <c r="W22" s="95" t="s">
        <v>864</v>
      </c>
    </row>
    <row r="23" spans="1:23" ht="14.25" customHeight="1" thickBot="1">
      <c r="A23" s="491">
        <v>15</v>
      </c>
      <c r="B23" s="476"/>
      <c r="C23" s="476" t="s">
        <v>2545</v>
      </c>
      <c r="D23" s="476"/>
      <c r="E23" s="476"/>
      <c r="F23" s="476"/>
      <c r="G23" s="476"/>
      <c r="H23" s="494" t="s">
        <v>2546</v>
      </c>
      <c r="I23" s="495" t="s">
        <v>2547</v>
      </c>
      <c r="J23" s="479"/>
      <c r="K23" s="494" t="s">
        <v>2548</v>
      </c>
      <c r="L23" s="479"/>
      <c r="M23" s="479"/>
      <c r="N23" s="479"/>
      <c r="O23" s="479"/>
      <c r="P23" s="479"/>
      <c r="Q23" s="480" t="s">
        <v>817</v>
      </c>
      <c r="R23" s="482"/>
      <c r="S23" s="482" t="s">
        <v>863</v>
      </c>
      <c r="T23" s="481" t="s">
        <v>864</v>
      </c>
      <c r="U23" s="496" t="s">
        <v>2549</v>
      </c>
      <c r="V23" s="497" t="s">
        <v>864</v>
      </c>
      <c r="W23" s="497" t="s">
        <v>864</v>
      </c>
    </row>
    <row r="24" spans="1:23" ht="15.75" thickTop="1">
      <c r="A24" s="407">
        <f>SUBTOTAL(103,Tableau3[ID])</f>
        <v>15</v>
      </c>
      <c r="B24" s="407">
        <f>SUBTOTAL(103,Tableau3[Donnée (Niveau 1)])</f>
        <v>1</v>
      </c>
      <c r="C24" s="407">
        <f>SUBTOTAL(103,Tableau3[Donnée (Niveau 2)])</f>
        <v>11</v>
      </c>
      <c r="D24" s="407">
        <f>SUBTOTAL(103,Tableau3[Donnée (Niveau 3)])</f>
        <v>3</v>
      </c>
      <c r="E24" s="407">
        <f>SUBTOTAL(103,Tableau3[Donnée (Niveau 4)])</f>
        <v>0</v>
      </c>
      <c r="F24" s="407">
        <f>SUBTOTAL(103,Tableau3[Donnée (Niveau 5)])</f>
        <v>0</v>
      </c>
      <c r="G24" s="407">
        <f>SUBTOTAL(103,Tableau3[Donnée (Niveau 6)])</f>
        <v>0</v>
      </c>
      <c r="H24" s="407">
        <f>SUBTOTAL(103,Tableau3[Description])</f>
        <v>15</v>
      </c>
      <c r="I24" s="407">
        <f>SUBTOTAL(103,Tableau3[Exemples])</f>
        <v>14</v>
      </c>
      <c r="J24" s="407">
        <f>SUBTOTAL(103,Tableau3[Balise NexSIS])</f>
        <v>1</v>
      </c>
      <c r="K24" s="407">
        <f>SUBTOTAL(103,Tableau3[Nouvelle balise])</f>
        <v>15</v>
      </c>
      <c r="L24" s="407">
        <f>SUBTOTAL(103,Tableau3[Nantes - balise])</f>
        <v>1</v>
      </c>
      <c r="M24" s="407">
        <f>SUBTOTAL(103,Tableau3[Nantes - description])</f>
        <v>1</v>
      </c>
      <c r="N24" s="407">
        <f>SUBTOTAL(103,Tableau3[GT399])</f>
        <v>0</v>
      </c>
      <c r="O24" s="407">
        <f>SUBTOTAL(103,Tableau3[GT399 description])</f>
        <v>0</v>
      </c>
      <c r="P24" s="407">
        <f>SUBTOTAL(103,Tableau3[Priorisation])</f>
        <v>1</v>
      </c>
      <c r="Q24" s="407">
        <f>SUBTOTAL(103,Tableau3[Cardinalité])</f>
        <v>15</v>
      </c>
      <c r="R24" s="407">
        <f>SUBTOTAL(103,Tableau3[Objet])</f>
        <v>2</v>
      </c>
      <c r="S24" s="407">
        <f>SUBTOTAL(103,Tableau3[Format (ou type)])</f>
        <v>15</v>
      </c>
      <c r="T24" s="407">
        <f>SUBTOTAL(103,Tableau3[Nomenclature/ énumération])</f>
        <v>3</v>
      </c>
      <c r="U24" s="407">
        <f>SUBTOTAL(103,Tableau3[Détails de format])</f>
        <v>3</v>
      </c>
      <c r="V24" s="407">
        <f>SUBTOTAL(103,Tableau3[15-18])</f>
        <v>15</v>
      </c>
      <c r="W24" s="407">
        <f>SUBTOTAL(103,Tableau3[15-15])</f>
        <v>15</v>
      </c>
    </row>
    <row r="25" spans="1:23"/>
    <row r="26" spans="1:23"/>
    <row r="27" spans="1:23"/>
    <row r="28" spans="1:23"/>
    <row r="29" spans="1:23"/>
    <row r="30" spans="1:23"/>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H25" activePane="bottomRight" state="frozen"/>
      <selection pane="bottomRight" activeCell="A2" sqref="A2"/>
      <selection pane="bottomLeft"/>
      <selection pane="topRight"/>
    </sheetView>
  </sheetViews>
  <sheetFormatPr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0" hidden="1" customWidth="1"/>
    <col min="11" max="11" width="12.125" customWidth="1"/>
    <col min="12" max="16" width="0" hidden="1" customWidth="1"/>
    <col min="17" max="17" width="10.125" customWidth="1"/>
    <col min="19" max="19" width="9.625" customWidth="1"/>
    <col min="20" max="20" width="13.125" customWidth="1"/>
    <col min="21" max="21" width="9.5" customWidth="1"/>
    <col min="24" max="30" width="0" hidden="1" customWidth="1"/>
  </cols>
  <sheetData>
    <row r="1" spans="1:1014" ht="14.25" customHeight="1">
      <c r="A1" s="228" t="s">
        <v>2550</v>
      </c>
      <c r="B1" s="128"/>
      <c r="C1" s="129" t="s">
        <v>813</v>
      </c>
      <c r="D1" s="128"/>
      <c r="E1" s="150" t="s">
        <v>814</v>
      </c>
      <c r="F1" s="157"/>
      <c r="G1" s="128"/>
      <c r="H1" s="96"/>
      <c r="I1" s="225"/>
      <c r="J1" s="96"/>
      <c r="K1" s="159"/>
      <c r="L1" s="96"/>
      <c r="M1" s="96"/>
      <c r="N1" s="96"/>
      <c r="O1" s="693" t="s">
        <v>816</v>
      </c>
      <c r="P1" s="693"/>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148"/>
      <c r="I2" s="275"/>
      <c r="J2" s="148"/>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694" t="s">
        <v>828</v>
      </c>
      <c r="M7" s="694"/>
      <c r="N7" s="694"/>
      <c r="O7" s="694"/>
      <c r="P7" s="173"/>
      <c r="Q7" s="96"/>
      <c r="R7" s="96"/>
      <c r="S7" s="96"/>
      <c r="T7" s="278"/>
      <c r="U7" s="96"/>
      <c r="V7" s="701" t="s">
        <v>829</v>
      </c>
      <c r="W7" s="701"/>
      <c r="Y7" s="179"/>
      <c r="Z7" s="96"/>
      <c r="AA7" s="159"/>
      <c r="AB7" s="96"/>
      <c r="AC7" s="694" t="s">
        <v>830</v>
      </c>
      <c r="AD7" s="694"/>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2508</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1">
        <v>1</v>
      </c>
      <c r="B9" s="475" t="s">
        <v>2551</v>
      </c>
      <c r="C9" s="492"/>
      <c r="D9" s="475"/>
      <c r="E9" s="476"/>
      <c r="F9" s="476"/>
      <c r="G9" s="476"/>
      <c r="H9" s="493" t="s">
        <v>2552</v>
      </c>
      <c r="I9" s="493" t="s">
        <v>2514</v>
      </c>
      <c r="J9" s="479"/>
      <c r="K9" s="493" t="s">
        <v>1680</v>
      </c>
      <c r="L9" s="479"/>
      <c r="M9" s="479"/>
      <c r="N9" s="479"/>
      <c r="O9" s="479"/>
      <c r="P9" s="479"/>
      <c r="Q9" s="480" t="s">
        <v>893</v>
      </c>
      <c r="R9" s="482"/>
      <c r="S9" s="482" t="s">
        <v>863</v>
      </c>
      <c r="T9" s="479"/>
      <c r="U9" s="479"/>
      <c r="V9" s="479" t="s">
        <v>864</v>
      </c>
      <c r="W9" s="479" t="s">
        <v>864</v>
      </c>
    </row>
    <row r="10" spans="1:1014" ht="15.75" thickTop="1">
      <c r="A10" s="406">
        <f>SUBTOTAL(103,Tableau35[ID])</f>
        <v>1</v>
      </c>
      <c r="B10" s="406">
        <f>SUBTOTAL(103,Tableau35[Donnée (Niveau 1)])</f>
        <v>1</v>
      </c>
      <c r="C10" s="406">
        <f>SUBTOTAL(103,Tableau35[Donnée (Niveau 2)])</f>
        <v>0</v>
      </c>
      <c r="D10" s="406">
        <f>SUBTOTAL(103,Tableau35[Donnée (Niveau 3)])</f>
        <v>0</v>
      </c>
      <c r="E10" s="406">
        <f>SUBTOTAL(103,Tableau35[Donnée (Niveau 4)])</f>
        <v>0</v>
      </c>
      <c r="F10" s="406">
        <f>SUBTOTAL(103,Tableau35[Donnée (Niveau 5)])</f>
        <v>0</v>
      </c>
      <c r="G10" s="406">
        <f>SUBTOTAL(103,Tableau35[Donnée (Niveau 6)])</f>
        <v>0</v>
      </c>
      <c r="H10" s="406">
        <f>SUBTOTAL(103,Tableau35[Description])</f>
        <v>1</v>
      </c>
      <c r="I10" s="406">
        <f>SUBTOTAL(103,Tableau35[Exemples])</f>
        <v>1</v>
      </c>
      <c r="J10" s="406">
        <f>SUBTOTAL(103,Tableau35[Balise NexSIS])</f>
        <v>0</v>
      </c>
      <c r="K10" s="406">
        <f>SUBTOTAL(103,Tableau35[Nouvelle balise])</f>
        <v>1</v>
      </c>
      <c r="L10" s="406">
        <f>SUBTOTAL(103,Tableau35[Nantes - balise])</f>
        <v>0</v>
      </c>
      <c r="M10" s="406">
        <f>SUBTOTAL(103,Tableau35[Nantes - description])</f>
        <v>0</v>
      </c>
      <c r="N10" s="406">
        <f>SUBTOTAL(103,Tableau35[GT399])</f>
        <v>0</v>
      </c>
      <c r="O10" s="406">
        <f>SUBTOTAL(103,Tableau35[GT399 description])</f>
        <v>0</v>
      </c>
      <c r="P10" s="406">
        <f>SUBTOTAL(103,Tableau35[Priorisation])</f>
        <v>0</v>
      </c>
      <c r="Q10" s="406">
        <f>SUBTOTAL(103,Tableau35[Cardinalité])</f>
        <v>1</v>
      </c>
      <c r="R10" s="406">
        <f>SUBTOTAL(103,Tableau35[Objet])</f>
        <v>0</v>
      </c>
      <c r="S10" s="406">
        <f>SUBTOTAL(103,Tableau35[Format (ou type)])</f>
        <v>1</v>
      </c>
      <c r="T10" s="406">
        <f>SUBTOTAL(103,Tableau35[Nomenclature/ énumération])</f>
        <v>0</v>
      </c>
      <c r="U10" s="406">
        <f>SUBTOTAL(103,Tableau35[Détails de format])</f>
        <v>0</v>
      </c>
      <c r="V10" s="406">
        <f>SUBTOTAL(103,Tableau35[15-18])</f>
        <v>1</v>
      </c>
      <c r="W10" s="406">
        <f>SUBTOTAL(103,Tableau35[15-15])</f>
        <v>1</v>
      </c>
    </row>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10" activePane="bottomRight" state="frozen"/>
      <selection pane="bottomRight" activeCell="A2" sqref="A2"/>
      <selection pane="bottomLeft"/>
      <selection pane="topRight"/>
    </sheetView>
  </sheetViews>
  <sheetFormatPr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6.1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2553</v>
      </c>
      <c r="B1" s="128"/>
      <c r="C1" s="129" t="s">
        <v>813</v>
      </c>
      <c r="D1" s="128"/>
      <c r="E1" s="150" t="s">
        <v>814</v>
      </c>
      <c r="F1" s="157"/>
      <c r="G1" s="128"/>
      <c r="H1" s="96"/>
      <c r="I1" s="225"/>
      <c r="J1" s="96"/>
      <c r="K1" s="159"/>
      <c r="L1" s="96"/>
      <c r="M1" s="96"/>
      <c r="N1" s="96"/>
      <c r="O1" s="693" t="s">
        <v>816</v>
      </c>
      <c r="P1" s="693"/>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5"/>
      <c r="E2" s="152" t="s">
        <v>819</v>
      </c>
      <c r="F2" s="157"/>
      <c r="G2" s="128"/>
      <c r="H2" s="148"/>
      <c r="I2" s="275"/>
      <c r="J2" s="148"/>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694" t="s">
        <v>828</v>
      </c>
      <c r="M7" s="694"/>
      <c r="N7" s="694"/>
      <c r="O7" s="694"/>
      <c r="P7" s="173"/>
      <c r="Q7" s="96"/>
      <c r="R7" s="96"/>
      <c r="S7" s="96"/>
      <c r="T7" s="278"/>
      <c r="U7" s="96"/>
      <c r="V7" s="701" t="s">
        <v>829</v>
      </c>
      <c r="W7" s="701"/>
      <c r="Y7" s="179"/>
      <c r="Z7" s="96"/>
      <c r="AA7" s="159"/>
      <c r="AB7" s="96"/>
      <c r="AC7" s="694" t="s">
        <v>830</v>
      </c>
      <c r="AD7" s="694"/>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2508</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8">
        <v>1</v>
      </c>
      <c r="B9" s="393" t="s">
        <v>2060</v>
      </c>
      <c r="C9" s="393"/>
      <c r="D9" s="393"/>
      <c r="E9" s="397"/>
      <c r="F9" s="397"/>
      <c r="G9" s="397"/>
      <c r="H9" s="317" t="s">
        <v>2554</v>
      </c>
      <c r="I9" s="395"/>
      <c r="K9" s="317" t="s">
        <v>1365</v>
      </c>
      <c r="Q9" s="395" t="s">
        <v>823</v>
      </c>
      <c r="R9" s="224" t="s">
        <v>864</v>
      </c>
      <c r="S9" s="224" t="s">
        <v>1365</v>
      </c>
      <c r="T9" s="457"/>
      <c r="U9" s="224"/>
      <c r="V9" t="s">
        <v>864</v>
      </c>
      <c r="W9" t="s">
        <v>864</v>
      </c>
    </row>
    <row r="10" spans="1:1014" ht="13.5" customHeight="1">
      <c r="A10" s="396">
        <v>2</v>
      </c>
      <c r="B10" s="468"/>
      <c r="C10" s="468" t="s">
        <v>2512</v>
      </c>
      <c r="D10" s="468"/>
      <c r="E10" s="466"/>
      <c r="F10" s="466"/>
      <c r="G10" s="397"/>
      <c r="H10" s="323" t="s">
        <v>2513</v>
      </c>
      <c r="I10" s="323" t="s">
        <v>2514</v>
      </c>
      <c r="K10" s="323" t="s">
        <v>1218</v>
      </c>
      <c r="Q10" s="320" t="s">
        <v>820</v>
      </c>
      <c r="R10" s="224"/>
      <c r="S10" s="224" t="s">
        <v>863</v>
      </c>
      <c r="T10" s="457"/>
      <c r="U10" s="224"/>
      <c r="V10" t="s">
        <v>864</v>
      </c>
      <c r="W10" t="s">
        <v>864</v>
      </c>
    </row>
    <row r="11" spans="1:1014" ht="13.5" customHeight="1">
      <c r="A11" s="398">
        <v>3</v>
      </c>
      <c r="B11" s="393"/>
      <c r="C11" s="393" t="s">
        <v>2011</v>
      </c>
      <c r="D11" s="393"/>
      <c r="E11" s="397"/>
      <c r="F11" s="397"/>
      <c r="G11" s="397"/>
      <c r="H11" s="317" t="s">
        <v>2555</v>
      </c>
      <c r="I11" s="317" t="s">
        <v>2556</v>
      </c>
      <c r="K11" s="317" t="s">
        <v>2557</v>
      </c>
      <c r="Q11" s="320" t="s">
        <v>820</v>
      </c>
      <c r="R11" s="224"/>
      <c r="S11" s="224" t="s">
        <v>863</v>
      </c>
      <c r="T11" s="457"/>
      <c r="U11" s="224"/>
      <c r="V11" t="s">
        <v>864</v>
      </c>
      <c r="W11" t="s">
        <v>864</v>
      </c>
    </row>
    <row r="12" spans="1:1014" ht="13.5" customHeight="1">
      <c r="A12" s="396">
        <v>4</v>
      </c>
      <c r="B12" s="393"/>
      <c r="C12" s="393" t="s">
        <v>2090</v>
      </c>
      <c r="D12" s="393"/>
      <c r="E12" s="397"/>
      <c r="F12" s="397"/>
      <c r="G12" s="397"/>
      <c r="H12" s="323" t="s">
        <v>2558</v>
      </c>
      <c r="I12" s="323" t="s">
        <v>2559</v>
      </c>
      <c r="K12" s="323" t="s">
        <v>871</v>
      </c>
      <c r="Q12" s="333" t="s">
        <v>817</v>
      </c>
      <c r="R12" s="224"/>
      <c r="S12" s="224" t="s">
        <v>863</v>
      </c>
      <c r="T12" s="457"/>
      <c r="U12" s="224"/>
      <c r="V12" t="s">
        <v>864</v>
      </c>
      <c r="W12" t="s">
        <v>864</v>
      </c>
    </row>
    <row r="13" spans="1:1014" ht="13.5" customHeight="1">
      <c r="A13" s="398">
        <v>5</v>
      </c>
      <c r="B13" s="393"/>
      <c r="C13" s="393" t="s">
        <v>2560</v>
      </c>
      <c r="D13" s="393"/>
      <c r="E13" s="397"/>
      <c r="F13" s="397"/>
      <c r="G13" s="397"/>
      <c r="H13" s="317" t="s">
        <v>2561</v>
      </c>
      <c r="I13" s="317" t="s">
        <v>2369</v>
      </c>
      <c r="K13" s="317" t="s">
        <v>970</v>
      </c>
      <c r="Q13" s="325" t="s">
        <v>820</v>
      </c>
      <c r="R13" s="224"/>
      <c r="S13" s="224" t="s">
        <v>863</v>
      </c>
      <c r="T13" s="457" t="s">
        <v>864</v>
      </c>
      <c r="U13" s="224" t="s">
        <v>2562</v>
      </c>
      <c r="V13" t="s">
        <v>864</v>
      </c>
      <c r="W13" t="s">
        <v>864</v>
      </c>
    </row>
    <row r="14" spans="1:1014" ht="13.5" customHeight="1">
      <c r="A14" s="396">
        <v>6</v>
      </c>
      <c r="B14" s="393"/>
      <c r="C14" s="393" t="s">
        <v>2563</v>
      </c>
      <c r="D14" s="393"/>
      <c r="E14" s="397"/>
      <c r="F14" s="397"/>
      <c r="G14" s="397"/>
      <c r="H14" s="323" t="s">
        <v>2564</v>
      </c>
      <c r="I14" s="323" t="s">
        <v>2565</v>
      </c>
      <c r="K14" s="323" t="s">
        <v>2566</v>
      </c>
      <c r="Q14" s="333" t="s">
        <v>817</v>
      </c>
      <c r="R14" s="224"/>
      <c r="S14" s="224" t="s">
        <v>863</v>
      </c>
      <c r="T14" s="457" t="s">
        <v>864</v>
      </c>
      <c r="U14" s="224" t="s">
        <v>2567</v>
      </c>
      <c r="V14" t="s">
        <v>864</v>
      </c>
      <c r="W14" t="s">
        <v>864</v>
      </c>
    </row>
    <row r="15" spans="1:1014" ht="13.5" customHeight="1">
      <c r="A15" s="398">
        <v>7</v>
      </c>
      <c r="B15" s="393"/>
      <c r="C15" s="393" t="s">
        <v>2568</v>
      </c>
      <c r="D15" s="393"/>
      <c r="E15" s="397"/>
      <c r="F15" s="397"/>
      <c r="G15" s="397"/>
      <c r="H15" s="317" t="s">
        <v>2569</v>
      </c>
      <c r="I15" s="317" t="s">
        <v>2570</v>
      </c>
      <c r="K15" s="317" t="s">
        <v>2571</v>
      </c>
      <c r="Q15" s="333" t="s">
        <v>817</v>
      </c>
      <c r="R15" s="224"/>
      <c r="S15" s="224" t="s">
        <v>863</v>
      </c>
      <c r="T15" s="457" t="s">
        <v>864</v>
      </c>
      <c r="U15" s="224" t="s">
        <v>2572</v>
      </c>
      <c r="V15" t="s">
        <v>864</v>
      </c>
      <c r="W15" t="s">
        <v>864</v>
      </c>
    </row>
    <row r="16" spans="1:1014" ht="13.5" customHeight="1">
      <c r="A16" s="396">
        <v>8</v>
      </c>
      <c r="B16" s="393"/>
      <c r="C16" s="393" t="s">
        <v>2075</v>
      </c>
      <c r="D16" s="393"/>
      <c r="E16" s="397"/>
      <c r="F16" s="397"/>
      <c r="G16" s="397"/>
      <c r="H16" s="323" t="s">
        <v>2573</v>
      </c>
      <c r="I16" s="323" t="s">
        <v>2574</v>
      </c>
      <c r="K16" s="323" t="s">
        <v>2575</v>
      </c>
      <c r="Q16" s="333" t="s">
        <v>817</v>
      </c>
      <c r="R16" s="224"/>
      <c r="S16" s="224" t="s">
        <v>863</v>
      </c>
      <c r="T16" s="457" t="s">
        <v>864</v>
      </c>
      <c r="U16" s="224" t="s">
        <v>2576</v>
      </c>
      <c r="V16" t="s">
        <v>864</v>
      </c>
      <c r="W16" t="s">
        <v>864</v>
      </c>
    </row>
    <row r="17" spans="1:23" ht="13.5" customHeight="1">
      <c r="A17" s="398">
        <v>9</v>
      </c>
      <c r="B17" s="393"/>
      <c r="C17" s="393" t="s">
        <v>2136</v>
      </c>
      <c r="D17" s="393"/>
      <c r="E17" s="397"/>
      <c r="F17" s="397"/>
      <c r="G17" s="397"/>
      <c r="H17" s="399" t="s">
        <v>2137</v>
      </c>
      <c r="I17" s="394"/>
      <c r="K17" s="317" t="s">
        <v>2577</v>
      </c>
      <c r="Q17" s="395" t="s">
        <v>823</v>
      </c>
      <c r="R17" s="224" t="s">
        <v>864</v>
      </c>
      <c r="S17" s="224" t="s">
        <v>1264</v>
      </c>
      <c r="T17" s="457"/>
      <c r="U17" s="224"/>
      <c r="V17" t="s">
        <v>864</v>
      </c>
      <c r="W17" t="s">
        <v>864</v>
      </c>
    </row>
    <row r="18" spans="1:23" ht="13.5" customHeight="1">
      <c r="A18" s="471">
        <v>10</v>
      </c>
      <c r="B18" s="469"/>
      <c r="C18" s="469"/>
      <c r="D18" s="469" t="s">
        <v>2140</v>
      </c>
      <c r="E18" s="467"/>
      <c r="F18" s="467"/>
      <c r="G18" s="467"/>
      <c r="H18" s="472" t="s">
        <v>2578</v>
      </c>
      <c r="I18" s="472" t="s">
        <v>1268</v>
      </c>
      <c r="K18" s="472" t="s">
        <v>970</v>
      </c>
      <c r="Q18" s="473" t="s">
        <v>817</v>
      </c>
      <c r="R18" s="224"/>
      <c r="S18" s="507" t="s">
        <v>863</v>
      </c>
      <c r="T18" s="457" t="s">
        <v>864</v>
      </c>
      <c r="U18" s="224" t="s">
        <v>2579</v>
      </c>
      <c r="V18" t="s">
        <v>864</v>
      </c>
      <c r="W18" t="s">
        <v>864</v>
      </c>
    </row>
    <row r="19" spans="1:23" ht="13.5" customHeight="1" thickBot="1">
      <c r="A19" s="474">
        <v>11</v>
      </c>
      <c r="B19" s="475"/>
      <c r="C19" s="475"/>
      <c r="D19" s="475" t="s">
        <v>2143</v>
      </c>
      <c r="E19" s="476"/>
      <c r="F19" s="476"/>
      <c r="G19" s="476"/>
      <c r="H19" s="477" t="s">
        <v>2580</v>
      </c>
      <c r="I19" s="478" t="s">
        <v>2581</v>
      </c>
      <c r="J19" s="479"/>
      <c r="K19" s="477" t="s">
        <v>1013</v>
      </c>
      <c r="L19" s="479"/>
      <c r="M19" s="479"/>
      <c r="N19" s="479"/>
      <c r="O19" s="479"/>
      <c r="P19" s="479"/>
      <c r="Q19" s="480" t="s">
        <v>817</v>
      </c>
      <c r="R19" s="482"/>
      <c r="S19" s="508" t="s">
        <v>863</v>
      </c>
      <c r="T19" s="481"/>
      <c r="U19" s="482"/>
      <c r="V19" s="479" t="s">
        <v>864</v>
      </c>
      <c r="W19" s="479" t="s">
        <v>864</v>
      </c>
    </row>
    <row r="20" spans="1:23" ht="15.75" thickTop="1">
      <c r="A20" s="406">
        <f>SUBTOTAL(103,Tableau357[ID])</f>
        <v>11</v>
      </c>
      <c r="B20" s="406">
        <f>SUBTOTAL(103,Tableau357[Donnée (Niveau 1)])</f>
        <v>1</v>
      </c>
      <c r="C20" s="406">
        <f>SUBTOTAL(103,Tableau357[Donnée (Niveau 2)])</f>
        <v>8</v>
      </c>
      <c r="D20" s="406">
        <f>SUBTOTAL(103,Tableau357[Donnée (Niveau 3)])</f>
        <v>2</v>
      </c>
      <c r="E20" s="406">
        <f>SUBTOTAL(103,Tableau357[Donnée (Niveau 4)])</f>
        <v>0</v>
      </c>
      <c r="F20" s="406">
        <f>SUBTOTAL(103,Tableau357[Donnée (Niveau 5)])</f>
        <v>0</v>
      </c>
      <c r="G20" s="406">
        <f>SUBTOTAL(103,Tableau357[Donnée (Niveau 6)])</f>
        <v>0</v>
      </c>
      <c r="H20" s="406">
        <f>SUBTOTAL(103,Tableau357[Description])</f>
        <v>11</v>
      </c>
      <c r="I20" s="406">
        <f>SUBTOTAL(103,Tableau357[Exemples])</f>
        <v>9</v>
      </c>
      <c r="J20" s="406">
        <f>SUBTOTAL(103,Tableau357[Balise NexSIS])</f>
        <v>0</v>
      </c>
      <c r="K20" s="406">
        <f>SUBTOTAL(103,Tableau357[Nouvelle balise])</f>
        <v>11</v>
      </c>
      <c r="L20" s="406">
        <f>SUBTOTAL(103,Tableau357[Nantes - balise])</f>
        <v>0</v>
      </c>
      <c r="M20" s="406">
        <f>SUBTOTAL(103,Tableau357[Nantes - description])</f>
        <v>0</v>
      </c>
      <c r="N20" s="406">
        <f>SUBTOTAL(103,Tableau357[GT399])</f>
        <v>0</v>
      </c>
      <c r="O20" s="406">
        <f>SUBTOTAL(103,Tableau357[GT399 description])</f>
        <v>0</v>
      </c>
      <c r="P20" s="406">
        <f>SUBTOTAL(103,Tableau357[Priorisation])</f>
        <v>0</v>
      </c>
      <c r="Q20" s="406">
        <f>SUBTOTAL(103,Tableau357[Cardinalité])</f>
        <v>11</v>
      </c>
      <c r="R20" s="406">
        <f>SUBTOTAL(103,Tableau357[Objet])</f>
        <v>2</v>
      </c>
      <c r="S20" s="406">
        <f>SUBTOTAL(103,Tableau357[Format (ou type)])</f>
        <v>11</v>
      </c>
      <c r="T20" s="406">
        <f>SUBTOTAL(103,Tableau357[Nomenclature/ énumération])</f>
        <v>5</v>
      </c>
      <c r="U20" s="406">
        <f>SUBTOTAL(103,Tableau357[Détails de format])</f>
        <v>5</v>
      </c>
      <c r="V20" s="406">
        <f>SUBTOTAL(103,Tableau357[15-18])</f>
        <v>11</v>
      </c>
      <c r="W20" s="406">
        <f>SUBTOTAL(103,Tableau357[15-15])</f>
        <v>11</v>
      </c>
    </row>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11" activePane="bottomRight" state="frozen"/>
      <selection pane="bottomRight" activeCell="A2" sqref="A2"/>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2582</v>
      </c>
      <c r="B1" s="272"/>
      <c r="C1" s="129" t="s">
        <v>813</v>
      </c>
      <c r="D1" s="128"/>
      <c r="E1" s="708" t="s">
        <v>814</v>
      </c>
      <c r="F1" s="708"/>
      <c r="G1" s="128"/>
      <c r="H1" s="697" t="s">
        <v>1694</v>
      </c>
      <c r="I1" s="697"/>
      <c r="J1" s="697"/>
      <c r="K1" s="96"/>
      <c r="L1" s="96"/>
      <c r="M1" s="96"/>
      <c r="N1" s="96"/>
      <c r="O1" s="709" t="s">
        <v>816</v>
      </c>
      <c r="P1" s="709"/>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6" t="s">
        <v>818</v>
      </c>
      <c r="D2" s="128"/>
      <c r="E2" s="707" t="s">
        <v>819</v>
      </c>
      <c r="F2" s="707"/>
      <c r="G2" s="128"/>
      <c r="H2" s="697"/>
      <c r="I2" s="697"/>
      <c r="J2" s="697"/>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8" t="s">
        <v>821</v>
      </c>
      <c r="D3" s="128"/>
      <c r="E3" s="706" t="s">
        <v>822</v>
      </c>
      <c r="F3" s="706"/>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300" t="s">
        <v>824</v>
      </c>
      <c r="D4" s="128"/>
      <c r="E4" s="704" t="s">
        <v>825</v>
      </c>
      <c r="F4" s="705"/>
      <c r="G4" s="137" t="s">
        <v>1694</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1694</v>
      </c>
      <c r="E5" s="702" t="s">
        <v>912</v>
      </c>
      <c r="F5" s="703"/>
      <c r="G5" s="148"/>
      <c r="H5" s="148"/>
      <c r="I5" s="409"/>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3" t="s">
        <v>827</v>
      </c>
      <c r="D6" s="138" t="s">
        <v>1694</v>
      </c>
      <c r="E6" s="128"/>
      <c r="F6" s="138" t="s">
        <v>1694</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1694</v>
      </c>
      <c r="D7" s="410" t="s">
        <v>1694</v>
      </c>
      <c r="E7" s="304" t="s">
        <v>1694</v>
      </c>
      <c r="F7" s="304" t="s">
        <v>1694</v>
      </c>
      <c r="G7" s="96"/>
      <c r="H7" s="96"/>
      <c r="I7" s="5"/>
      <c r="J7" s="96"/>
      <c r="K7" s="96"/>
      <c r="L7" s="698" t="s">
        <v>828</v>
      </c>
      <c r="M7" s="698"/>
      <c r="N7" s="698"/>
      <c r="O7" s="698"/>
      <c r="P7" s="96"/>
      <c r="Q7" s="96"/>
      <c r="R7" s="96"/>
      <c r="S7" s="96"/>
      <c r="T7" s="96"/>
      <c r="U7" s="96"/>
      <c r="V7" s="710" t="s">
        <v>829</v>
      </c>
      <c r="W7" s="710"/>
      <c r="Y7" s="96"/>
      <c r="Z7" s="96"/>
      <c r="AA7" s="96"/>
      <c r="AB7" s="96"/>
      <c r="AC7" s="698" t="s">
        <v>830</v>
      </c>
      <c r="AD7" s="69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6" customFormat="1" ht="27.75" customHeight="1">
      <c r="A8" s="438" t="s">
        <v>831</v>
      </c>
      <c r="B8" s="439" t="s">
        <v>832</v>
      </c>
      <c r="C8" s="439" t="s">
        <v>833</v>
      </c>
      <c r="D8" s="439" t="s">
        <v>834</v>
      </c>
      <c r="E8" s="439" t="s">
        <v>835</v>
      </c>
      <c r="F8" s="439" t="s">
        <v>836</v>
      </c>
      <c r="G8" s="439" t="s">
        <v>837</v>
      </c>
      <c r="H8" s="437" t="s">
        <v>9</v>
      </c>
      <c r="I8" s="437" t="s">
        <v>838</v>
      </c>
      <c r="J8" s="437" t="s">
        <v>841</v>
      </c>
      <c r="K8" s="437" t="s">
        <v>842</v>
      </c>
      <c r="L8" s="437" t="s">
        <v>843</v>
      </c>
      <c r="M8" s="437" t="s">
        <v>844</v>
      </c>
      <c r="N8" s="437" t="s">
        <v>845</v>
      </c>
      <c r="O8" s="437" t="s">
        <v>846</v>
      </c>
      <c r="P8" s="437" t="s">
        <v>847</v>
      </c>
      <c r="Q8" s="437" t="s">
        <v>677</v>
      </c>
      <c r="R8" s="437" t="s">
        <v>3</v>
      </c>
      <c r="S8" s="437" t="s">
        <v>2583</v>
      </c>
      <c r="T8" s="437" t="s">
        <v>914</v>
      </c>
      <c r="U8" s="437" t="s">
        <v>849</v>
      </c>
      <c r="V8" s="440" t="s">
        <v>850</v>
      </c>
      <c r="W8" s="440" t="s">
        <v>851</v>
      </c>
      <c r="X8" s="441" t="s">
        <v>852</v>
      </c>
      <c r="Y8" s="442" t="s">
        <v>853</v>
      </c>
      <c r="Z8" s="442" t="s">
        <v>854</v>
      </c>
      <c r="AA8" s="443" t="s">
        <v>855</v>
      </c>
      <c r="AB8" s="442" t="s">
        <v>856</v>
      </c>
      <c r="AC8" s="442" t="s">
        <v>857</v>
      </c>
      <c r="AD8" s="444" t="s">
        <v>915</v>
      </c>
      <c r="AE8" s="445"/>
      <c r="AF8" s="445"/>
      <c r="AG8" s="445"/>
      <c r="AH8" s="445"/>
      <c r="AI8" s="445"/>
      <c r="AJ8" s="445"/>
      <c r="AK8" s="445"/>
      <c r="AL8" s="445"/>
      <c r="AM8" s="445"/>
      <c r="AN8" s="445"/>
      <c r="AO8" s="445"/>
      <c r="AP8" s="445"/>
      <c r="AQ8" s="445"/>
      <c r="AR8" s="445"/>
      <c r="AS8" s="445"/>
      <c r="AT8" s="445"/>
      <c r="AU8" s="445"/>
      <c r="AV8" s="445"/>
      <c r="AW8" s="445"/>
      <c r="AX8" s="445"/>
      <c r="AY8" s="445"/>
      <c r="AZ8" s="445"/>
      <c r="BA8" s="445"/>
      <c r="BB8" s="445"/>
      <c r="BC8" s="445"/>
      <c r="BD8" s="445"/>
      <c r="BE8" s="445"/>
      <c r="BF8" s="445"/>
      <c r="BG8" s="445"/>
      <c r="BH8" s="445"/>
      <c r="BI8" s="445"/>
      <c r="BJ8" s="445"/>
      <c r="BK8" s="445"/>
      <c r="BL8" s="445"/>
      <c r="BM8" s="445"/>
      <c r="BN8" s="445"/>
      <c r="BO8" s="445"/>
      <c r="BP8" s="445"/>
      <c r="BQ8" s="445"/>
      <c r="BR8" s="445"/>
      <c r="BS8" s="445"/>
      <c r="BT8" s="445"/>
      <c r="BU8" s="445"/>
      <c r="BV8" s="445"/>
      <c r="BW8" s="445"/>
      <c r="BX8" s="445"/>
      <c r="BY8" s="445"/>
      <c r="BZ8" s="445"/>
      <c r="CA8" s="445"/>
      <c r="CB8" s="445"/>
      <c r="CC8" s="445"/>
      <c r="CD8" s="445"/>
      <c r="CE8" s="445"/>
      <c r="CF8" s="445"/>
      <c r="CG8" s="445"/>
      <c r="CH8" s="445"/>
      <c r="CI8" s="445"/>
      <c r="CJ8" s="445"/>
      <c r="CK8" s="445"/>
      <c r="CL8" s="445"/>
      <c r="CM8" s="445"/>
      <c r="CN8" s="445"/>
      <c r="CO8" s="445"/>
      <c r="CP8" s="445"/>
      <c r="CQ8" s="445"/>
      <c r="CR8" s="445"/>
      <c r="CS8" s="445"/>
      <c r="CT8" s="445"/>
      <c r="CU8" s="445"/>
      <c r="CV8" s="445"/>
      <c r="CW8" s="445"/>
      <c r="CX8" s="445"/>
      <c r="CY8" s="445"/>
      <c r="CZ8" s="445"/>
      <c r="DA8" s="445"/>
      <c r="DB8" s="445"/>
      <c r="DC8" s="445"/>
      <c r="DD8" s="445"/>
      <c r="DE8" s="445"/>
      <c r="DF8" s="445"/>
      <c r="DG8" s="445"/>
      <c r="DH8" s="445"/>
      <c r="DI8" s="445"/>
      <c r="DJ8" s="445"/>
      <c r="DK8" s="445"/>
      <c r="DL8" s="445"/>
      <c r="DM8" s="445"/>
      <c r="DN8" s="445"/>
      <c r="DO8" s="445"/>
      <c r="DP8" s="445"/>
      <c r="DQ8" s="445"/>
      <c r="DR8" s="445"/>
      <c r="DS8" s="445"/>
      <c r="DT8" s="445"/>
      <c r="DU8" s="445"/>
      <c r="DV8" s="445"/>
      <c r="DW8" s="445"/>
      <c r="DX8" s="445"/>
      <c r="DY8" s="445"/>
      <c r="DZ8" s="445"/>
      <c r="EA8" s="445"/>
      <c r="EB8" s="445"/>
      <c r="EC8" s="445"/>
      <c r="ED8" s="445"/>
      <c r="EE8" s="445"/>
      <c r="EF8" s="445"/>
      <c r="EG8" s="445"/>
      <c r="EH8" s="445"/>
      <c r="EI8" s="445"/>
      <c r="EJ8" s="445"/>
      <c r="EK8" s="445"/>
      <c r="EL8" s="445"/>
      <c r="EM8" s="445"/>
      <c r="EN8" s="445"/>
      <c r="EO8" s="445"/>
      <c r="EP8" s="445"/>
      <c r="EQ8" s="445"/>
      <c r="ER8" s="445"/>
      <c r="ES8" s="445"/>
      <c r="ET8" s="445"/>
      <c r="EU8" s="445"/>
      <c r="EV8" s="445"/>
      <c r="EW8" s="445"/>
      <c r="EX8" s="445"/>
      <c r="EY8" s="445"/>
      <c r="EZ8" s="445"/>
      <c r="FA8" s="445"/>
      <c r="FB8" s="445"/>
      <c r="FC8" s="445"/>
      <c r="FD8" s="445"/>
      <c r="FE8" s="445"/>
      <c r="FF8" s="445"/>
      <c r="FG8" s="445"/>
      <c r="FH8" s="445"/>
      <c r="FI8" s="445"/>
      <c r="FJ8" s="445"/>
      <c r="FK8" s="445"/>
      <c r="FL8" s="445"/>
      <c r="FM8" s="445"/>
      <c r="FN8" s="445"/>
      <c r="FO8" s="445"/>
      <c r="FP8" s="445"/>
      <c r="FQ8" s="445"/>
      <c r="FR8" s="445"/>
      <c r="FS8" s="445"/>
      <c r="FT8" s="445"/>
      <c r="FU8" s="445"/>
      <c r="FV8" s="445"/>
      <c r="FW8" s="445"/>
      <c r="FX8" s="445"/>
      <c r="FY8" s="445"/>
      <c r="FZ8" s="445"/>
      <c r="GA8" s="445"/>
      <c r="GB8" s="445"/>
      <c r="GC8" s="445"/>
      <c r="GD8" s="445"/>
      <c r="GE8" s="445"/>
      <c r="GF8" s="445"/>
      <c r="GG8" s="445"/>
      <c r="GH8" s="445"/>
      <c r="GI8" s="445"/>
      <c r="GJ8" s="445"/>
      <c r="GK8" s="445"/>
      <c r="GL8" s="445"/>
      <c r="GM8" s="445"/>
      <c r="GN8" s="445"/>
      <c r="GO8" s="445"/>
      <c r="GP8" s="445"/>
      <c r="GQ8" s="445"/>
      <c r="GR8" s="445"/>
      <c r="GS8" s="445"/>
      <c r="GT8" s="445"/>
      <c r="GU8" s="445"/>
      <c r="GV8" s="445"/>
      <c r="GW8" s="445"/>
      <c r="GX8" s="445"/>
      <c r="GY8" s="445"/>
      <c r="GZ8" s="445"/>
      <c r="HA8" s="445"/>
      <c r="HB8" s="445"/>
      <c r="HC8" s="445"/>
      <c r="HD8" s="445"/>
      <c r="HE8" s="445"/>
      <c r="HF8" s="445"/>
      <c r="HG8" s="445"/>
      <c r="HH8" s="445"/>
      <c r="HI8" s="445"/>
      <c r="HJ8" s="445"/>
      <c r="HK8" s="445"/>
      <c r="HL8" s="445"/>
      <c r="HM8" s="445"/>
      <c r="HN8" s="445"/>
      <c r="HO8" s="445"/>
      <c r="HP8" s="445"/>
      <c r="HQ8" s="445"/>
      <c r="HR8" s="445"/>
      <c r="HS8" s="445"/>
      <c r="HT8" s="445"/>
      <c r="HU8" s="445"/>
      <c r="HV8" s="445"/>
      <c r="HW8" s="445"/>
      <c r="HX8" s="445"/>
      <c r="HY8" s="445"/>
      <c r="HZ8" s="445"/>
      <c r="IA8" s="445"/>
      <c r="IB8" s="445"/>
      <c r="IC8" s="445"/>
      <c r="ID8" s="445"/>
      <c r="IE8" s="445"/>
      <c r="IF8" s="445"/>
      <c r="IG8" s="445"/>
      <c r="IH8" s="445"/>
      <c r="II8" s="445"/>
      <c r="IJ8" s="445"/>
      <c r="IK8" s="445"/>
      <c r="IL8" s="445"/>
      <c r="IM8" s="445"/>
      <c r="IN8" s="445"/>
      <c r="IO8" s="445"/>
      <c r="IP8" s="445"/>
      <c r="IQ8" s="445"/>
      <c r="IR8" s="445"/>
      <c r="IS8" s="445"/>
      <c r="IT8" s="445"/>
      <c r="IU8" s="445"/>
      <c r="IV8" s="445"/>
      <c r="IW8" s="445"/>
      <c r="IX8" s="445"/>
      <c r="IY8" s="445"/>
      <c r="IZ8" s="445"/>
      <c r="JA8" s="445"/>
      <c r="JB8" s="445"/>
      <c r="JC8" s="445"/>
      <c r="JD8" s="445"/>
      <c r="JE8" s="445"/>
      <c r="JF8" s="445"/>
      <c r="JG8" s="445"/>
      <c r="JH8" s="445"/>
      <c r="JI8" s="445"/>
      <c r="JJ8" s="445"/>
      <c r="JK8" s="445"/>
      <c r="JL8" s="445"/>
      <c r="JM8" s="445"/>
      <c r="JN8" s="445"/>
      <c r="JO8" s="445"/>
      <c r="JP8" s="445"/>
      <c r="JQ8" s="445"/>
      <c r="JR8" s="445"/>
      <c r="JS8" s="445"/>
      <c r="JT8" s="445"/>
      <c r="JU8" s="445"/>
      <c r="JV8" s="445"/>
      <c r="JW8" s="445"/>
      <c r="JX8" s="445"/>
      <c r="JY8" s="445"/>
      <c r="JZ8" s="445"/>
      <c r="KA8" s="445"/>
      <c r="KB8" s="445"/>
      <c r="KC8" s="445"/>
      <c r="KD8" s="445"/>
      <c r="KE8" s="445"/>
      <c r="KF8" s="445"/>
      <c r="KG8" s="445"/>
      <c r="KH8" s="445"/>
      <c r="KI8" s="445"/>
      <c r="KJ8" s="445"/>
      <c r="KK8" s="445"/>
      <c r="KL8" s="445"/>
      <c r="KM8" s="445"/>
      <c r="KN8" s="445"/>
      <c r="KO8" s="445"/>
      <c r="KP8" s="445"/>
      <c r="KQ8" s="445"/>
      <c r="KR8" s="445"/>
      <c r="KS8" s="445"/>
      <c r="KT8" s="445"/>
      <c r="KU8" s="445"/>
      <c r="KV8" s="445"/>
      <c r="KW8" s="445"/>
      <c r="KX8" s="445"/>
      <c r="KY8" s="445"/>
      <c r="KZ8" s="445"/>
      <c r="LA8" s="445"/>
      <c r="LB8" s="445"/>
      <c r="LC8" s="445"/>
      <c r="LD8" s="445"/>
      <c r="LE8" s="445"/>
      <c r="LF8" s="445"/>
      <c r="LG8" s="445"/>
      <c r="LH8" s="445"/>
      <c r="LI8" s="445"/>
      <c r="LJ8" s="445"/>
      <c r="LK8" s="445"/>
      <c r="LL8" s="445"/>
      <c r="LM8" s="445"/>
      <c r="LN8" s="445"/>
      <c r="LO8" s="445"/>
      <c r="LP8" s="445"/>
      <c r="LQ8" s="445"/>
      <c r="LR8" s="445"/>
      <c r="LS8" s="445"/>
      <c r="LT8" s="445"/>
      <c r="LU8" s="445"/>
      <c r="LV8" s="445"/>
      <c r="LW8" s="445"/>
      <c r="LX8" s="445"/>
      <c r="LY8" s="445"/>
      <c r="LZ8" s="445"/>
      <c r="MA8" s="445"/>
      <c r="MB8" s="445"/>
      <c r="MC8" s="445"/>
      <c r="MD8" s="445"/>
      <c r="ME8" s="445"/>
      <c r="MF8" s="445"/>
      <c r="MG8" s="445"/>
      <c r="MH8" s="445"/>
      <c r="MI8" s="445"/>
      <c r="MJ8" s="445"/>
      <c r="MK8" s="445"/>
      <c r="ML8" s="445"/>
      <c r="MM8" s="445"/>
      <c r="MN8" s="445"/>
      <c r="MO8" s="445"/>
      <c r="MP8" s="445"/>
      <c r="MQ8" s="445"/>
      <c r="MR8" s="445"/>
      <c r="MS8" s="445"/>
      <c r="MT8" s="445"/>
      <c r="MU8" s="445"/>
      <c r="MV8" s="445"/>
      <c r="MW8" s="445"/>
      <c r="MX8" s="445"/>
      <c r="MY8" s="445"/>
      <c r="MZ8" s="445"/>
      <c r="NA8" s="445"/>
      <c r="NB8" s="445"/>
      <c r="NC8" s="445"/>
      <c r="ND8" s="445"/>
      <c r="NE8" s="445"/>
      <c r="NF8" s="445"/>
      <c r="NG8" s="445"/>
      <c r="NH8" s="445"/>
      <c r="NI8" s="445"/>
      <c r="NJ8" s="445"/>
      <c r="NK8" s="445"/>
      <c r="NL8" s="445"/>
      <c r="NM8" s="445"/>
      <c r="NN8" s="445"/>
      <c r="NO8" s="445"/>
      <c r="NP8" s="445"/>
      <c r="NQ8" s="445"/>
      <c r="NR8" s="445"/>
      <c r="NS8" s="445"/>
      <c r="NT8" s="445"/>
      <c r="NU8" s="445"/>
      <c r="NV8" s="445"/>
      <c r="NW8" s="445"/>
      <c r="NX8" s="445"/>
      <c r="NY8" s="445"/>
      <c r="NZ8" s="445"/>
      <c r="OA8" s="445"/>
      <c r="OB8" s="445"/>
      <c r="OC8" s="445"/>
      <c r="OD8" s="445"/>
      <c r="OE8" s="445"/>
      <c r="OF8" s="445"/>
      <c r="OG8" s="445"/>
      <c r="OH8" s="445"/>
      <c r="OI8" s="445"/>
      <c r="OJ8" s="445"/>
      <c r="OK8" s="445"/>
      <c r="OL8" s="445"/>
      <c r="OM8" s="445"/>
      <c r="ON8" s="445"/>
      <c r="OO8" s="445"/>
      <c r="OP8" s="445"/>
      <c r="OQ8" s="445"/>
      <c r="OR8" s="445"/>
      <c r="OS8" s="445"/>
      <c r="OT8" s="445"/>
      <c r="OU8" s="445"/>
      <c r="OV8" s="445"/>
      <c r="OW8" s="445"/>
      <c r="OX8" s="445"/>
      <c r="OY8" s="445"/>
      <c r="OZ8" s="445"/>
      <c r="PA8" s="445"/>
      <c r="PB8" s="445"/>
      <c r="PC8" s="445"/>
      <c r="PD8" s="445"/>
      <c r="PE8" s="445"/>
      <c r="PF8" s="445"/>
      <c r="PG8" s="445"/>
      <c r="PH8" s="445"/>
      <c r="PI8" s="445"/>
      <c r="PJ8" s="445"/>
      <c r="PK8" s="445"/>
      <c r="PL8" s="445"/>
      <c r="PM8" s="445"/>
      <c r="PN8" s="445"/>
      <c r="PO8" s="445"/>
      <c r="PP8" s="445"/>
      <c r="PQ8" s="445"/>
      <c r="PR8" s="445"/>
      <c r="PS8" s="445"/>
      <c r="PT8" s="445"/>
      <c r="PU8" s="445"/>
      <c r="PV8" s="445"/>
      <c r="PW8" s="445"/>
      <c r="PX8" s="445"/>
      <c r="PY8" s="445"/>
      <c r="PZ8" s="445"/>
      <c r="QA8" s="445"/>
      <c r="QB8" s="445"/>
      <c r="QC8" s="445"/>
      <c r="QD8" s="445"/>
      <c r="QE8" s="445"/>
      <c r="QF8" s="445"/>
      <c r="QG8" s="445"/>
      <c r="QH8" s="445"/>
      <c r="QI8" s="445"/>
      <c r="QJ8" s="445"/>
      <c r="QK8" s="445"/>
      <c r="QL8" s="445"/>
      <c r="QM8" s="445"/>
      <c r="QN8" s="445"/>
      <c r="QO8" s="445"/>
      <c r="QP8" s="445"/>
      <c r="QQ8" s="445"/>
      <c r="QR8" s="445"/>
      <c r="QS8" s="445"/>
      <c r="QT8" s="445"/>
      <c r="QU8" s="445"/>
      <c r="QV8" s="445"/>
      <c r="QW8" s="445"/>
      <c r="QX8" s="445"/>
      <c r="QY8" s="445"/>
      <c r="QZ8" s="445"/>
      <c r="RA8" s="445"/>
      <c r="RB8" s="445"/>
      <c r="RC8" s="445"/>
      <c r="RD8" s="445"/>
      <c r="RE8" s="445"/>
      <c r="RF8" s="445"/>
      <c r="RG8" s="445"/>
      <c r="RH8" s="445"/>
      <c r="RI8" s="445"/>
      <c r="RJ8" s="445"/>
      <c r="RK8" s="445"/>
      <c r="RL8" s="445"/>
      <c r="RM8" s="445"/>
      <c r="RN8" s="445"/>
      <c r="RO8" s="445"/>
      <c r="RP8" s="445"/>
      <c r="RQ8" s="445"/>
      <c r="RR8" s="445"/>
      <c r="RS8" s="445"/>
      <c r="RT8" s="445"/>
      <c r="RU8" s="445"/>
      <c r="RV8" s="445"/>
      <c r="RW8" s="445"/>
      <c r="RX8" s="445"/>
      <c r="RY8" s="445"/>
      <c r="RZ8" s="445"/>
      <c r="SA8" s="445"/>
      <c r="SB8" s="445"/>
      <c r="SC8" s="445"/>
      <c r="SD8" s="445"/>
      <c r="SE8" s="445"/>
      <c r="SF8" s="445"/>
      <c r="SG8" s="445"/>
      <c r="SH8" s="445"/>
      <c r="SI8" s="445"/>
      <c r="SJ8" s="445"/>
      <c r="SK8" s="445"/>
      <c r="SL8" s="445"/>
      <c r="SM8" s="445"/>
      <c r="SN8" s="445"/>
      <c r="SO8" s="445"/>
      <c r="SP8" s="445"/>
      <c r="SQ8" s="445"/>
      <c r="SR8" s="445"/>
      <c r="SS8" s="445"/>
      <c r="ST8" s="445"/>
      <c r="SU8" s="445"/>
      <c r="SV8" s="445"/>
      <c r="SW8" s="445"/>
      <c r="SX8" s="445"/>
      <c r="SY8" s="445"/>
      <c r="SZ8" s="445"/>
      <c r="TA8" s="445"/>
      <c r="TB8" s="445"/>
      <c r="TC8" s="445"/>
      <c r="TD8" s="445"/>
      <c r="TE8" s="445"/>
      <c r="TF8" s="445"/>
      <c r="TG8" s="445"/>
      <c r="TH8" s="445"/>
      <c r="TI8" s="445"/>
      <c r="TJ8" s="445"/>
      <c r="TK8" s="445"/>
      <c r="TL8" s="445"/>
      <c r="TM8" s="445"/>
      <c r="TN8" s="445"/>
      <c r="TO8" s="445"/>
      <c r="TP8" s="445"/>
      <c r="TQ8" s="445"/>
      <c r="TR8" s="445"/>
      <c r="TS8" s="445"/>
      <c r="TT8" s="445"/>
      <c r="TU8" s="445"/>
      <c r="TV8" s="445"/>
      <c r="TW8" s="445"/>
      <c r="TX8" s="445"/>
      <c r="TY8" s="445"/>
      <c r="TZ8" s="445"/>
      <c r="UA8" s="445"/>
      <c r="UB8" s="445"/>
      <c r="UC8" s="445"/>
      <c r="UD8" s="445"/>
      <c r="UE8" s="445"/>
      <c r="UF8" s="445"/>
      <c r="UG8" s="445"/>
      <c r="UH8" s="445"/>
      <c r="UI8" s="445"/>
      <c r="UJ8" s="445"/>
      <c r="UK8" s="445"/>
      <c r="UL8" s="445"/>
      <c r="UM8" s="445"/>
      <c r="UN8" s="445"/>
      <c r="UO8" s="445"/>
      <c r="UP8" s="445"/>
      <c r="UQ8" s="445"/>
      <c r="UR8" s="445"/>
      <c r="US8" s="445"/>
      <c r="UT8" s="445"/>
      <c r="UU8" s="445"/>
      <c r="UV8" s="445"/>
      <c r="UW8" s="445"/>
      <c r="UX8" s="445"/>
      <c r="UY8" s="445"/>
      <c r="UZ8" s="445"/>
      <c r="VA8" s="445"/>
      <c r="VB8" s="445"/>
      <c r="VC8" s="445"/>
      <c r="VD8" s="445"/>
      <c r="VE8" s="445"/>
      <c r="VF8" s="445"/>
      <c r="VG8" s="445"/>
      <c r="VH8" s="445"/>
      <c r="VI8" s="445"/>
      <c r="VJ8" s="445"/>
      <c r="VK8" s="445"/>
      <c r="VL8" s="445"/>
      <c r="VM8" s="445"/>
      <c r="VN8" s="445"/>
      <c r="VO8" s="445"/>
      <c r="VP8" s="445"/>
      <c r="VQ8" s="445"/>
      <c r="VR8" s="445"/>
      <c r="VS8" s="445"/>
      <c r="VT8" s="445"/>
      <c r="VU8" s="445"/>
      <c r="VV8" s="445"/>
      <c r="VW8" s="445"/>
      <c r="VX8" s="445"/>
      <c r="VY8" s="445"/>
      <c r="VZ8" s="445"/>
      <c r="WA8" s="445"/>
      <c r="WB8" s="445"/>
      <c r="WC8" s="445"/>
      <c r="WD8" s="445"/>
      <c r="WE8" s="445"/>
      <c r="WF8" s="445"/>
      <c r="WG8" s="445"/>
      <c r="WH8" s="445"/>
      <c r="WI8" s="445"/>
      <c r="WJ8" s="445"/>
      <c r="WK8" s="445"/>
      <c r="WL8" s="445"/>
      <c r="WM8" s="445"/>
      <c r="WN8" s="445"/>
      <c r="WO8" s="445"/>
      <c r="WP8" s="445"/>
      <c r="WQ8" s="445"/>
      <c r="WR8" s="445"/>
      <c r="WS8" s="445"/>
      <c r="WT8" s="445"/>
      <c r="WU8" s="445"/>
      <c r="WV8" s="445"/>
      <c r="WW8" s="445"/>
      <c r="WX8" s="445"/>
      <c r="WY8" s="445"/>
      <c r="WZ8" s="445"/>
      <c r="XA8" s="445"/>
      <c r="XB8" s="445"/>
      <c r="XC8" s="445"/>
      <c r="XD8" s="445"/>
      <c r="XE8" s="445"/>
      <c r="XF8" s="445"/>
      <c r="XG8" s="445"/>
      <c r="XH8" s="445"/>
      <c r="XI8" s="445"/>
      <c r="XJ8" s="445"/>
      <c r="XK8" s="445"/>
      <c r="XL8" s="445"/>
      <c r="XM8" s="445"/>
      <c r="XN8" s="445"/>
      <c r="XO8" s="445"/>
      <c r="XP8" s="445"/>
      <c r="XQ8" s="445"/>
      <c r="XR8" s="445"/>
      <c r="XS8" s="445"/>
      <c r="XT8" s="445"/>
      <c r="XU8" s="445"/>
      <c r="XV8" s="445"/>
      <c r="XW8" s="445"/>
      <c r="XX8" s="445"/>
      <c r="XY8" s="445"/>
      <c r="XZ8" s="445"/>
      <c r="YA8" s="445"/>
      <c r="YB8" s="445"/>
      <c r="YC8" s="445"/>
      <c r="YD8" s="445"/>
      <c r="YE8" s="445"/>
      <c r="YF8" s="445"/>
      <c r="YG8" s="445"/>
      <c r="YH8" s="445"/>
      <c r="YI8" s="445"/>
      <c r="YJ8" s="445"/>
      <c r="YK8" s="445"/>
      <c r="YL8" s="445"/>
      <c r="YM8" s="445"/>
      <c r="YN8" s="445"/>
      <c r="YO8" s="445"/>
      <c r="YP8" s="445"/>
      <c r="YQ8" s="445"/>
      <c r="YR8" s="445"/>
      <c r="YS8" s="445"/>
      <c r="YT8" s="445"/>
      <c r="YU8" s="445"/>
      <c r="YV8" s="445"/>
      <c r="YW8" s="445"/>
      <c r="YX8" s="445"/>
      <c r="YY8" s="445"/>
      <c r="YZ8" s="445"/>
      <c r="ZA8" s="445"/>
      <c r="ZB8" s="445"/>
      <c r="ZC8" s="445"/>
      <c r="ZD8" s="445"/>
      <c r="ZE8" s="445"/>
      <c r="ZF8" s="445"/>
      <c r="ZG8" s="445"/>
      <c r="ZH8" s="445"/>
      <c r="ZI8" s="445"/>
      <c r="ZJ8" s="445"/>
      <c r="ZK8" s="445"/>
      <c r="ZL8" s="445"/>
      <c r="ZM8" s="445"/>
      <c r="ZN8" s="445"/>
      <c r="ZO8" s="445"/>
      <c r="ZP8" s="445"/>
      <c r="ZQ8" s="445"/>
      <c r="ZR8" s="445"/>
      <c r="ZS8" s="445"/>
      <c r="ZT8" s="445"/>
      <c r="ZU8" s="445"/>
      <c r="ZV8" s="445"/>
      <c r="ZW8" s="445"/>
      <c r="ZX8" s="445"/>
      <c r="ZY8" s="445"/>
      <c r="ZZ8" s="445"/>
      <c r="AAA8" s="445"/>
      <c r="AAB8" s="445"/>
      <c r="AAC8" s="445"/>
      <c r="AAD8" s="445"/>
      <c r="AAE8" s="445"/>
      <c r="AAF8" s="445"/>
      <c r="AAG8" s="445"/>
      <c r="AAH8" s="445"/>
      <c r="AAI8" s="445"/>
      <c r="AAJ8" s="445"/>
      <c r="AAK8" s="445"/>
      <c r="AAL8" s="445"/>
      <c r="AAM8" s="445"/>
      <c r="AAN8" s="445"/>
      <c r="AAO8" s="445"/>
      <c r="AAP8" s="445"/>
      <c r="AAQ8" s="445"/>
      <c r="AAR8" s="445"/>
      <c r="AAS8" s="445"/>
      <c r="AAT8" s="445"/>
      <c r="AAU8" s="445"/>
      <c r="AAV8" s="445"/>
      <c r="AAW8" s="445"/>
      <c r="AAX8" s="445"/>
      <c r="AAY8" s="445"/>
      <c r="AAZ8" s="445"/>
      <c r="ABA8" s="445"/>
      <c r="ABB8" s="445"/>
      <c r="ABC8" s="445"/>
      <c r="ABD8" s="445"/>
      <c r="ABE8" s="445"/>
      <c r="ABF8" s="445"/>
      <c r="ABG8" s="445"/>
      <c r="ABH8" s="445"/>
      <c r="ABI8" s="445"/>
      <c r="ABJ8" s="445"/>
      <c r="ABK8" s="445"/>
      <c r="ABL8" s="445"/>
      <c r="ABM8" s="445"/>
      <c r="ABN8" s="445"/>
      <c r="ABO8" s="445"/>
      <c r="ABP8" s="445"/>
      <c r="ABQ8" s="445"/>
      <c r="ABR8" s="445"/>
      <c r="ABS8" s="445"/>
      <c r="ABT8" s="445"/>
      <c r="ABU8" s="445"/>
      <c r="ABV8" s="445"/>
      <c r="ABW8" s="445"/>
      <c r="ABX8" s="445"/>
      <c r="ABY8" s="445"/>
      <c r="ABZ8" s="445"/>
      <c r="ACA8" s="445"/>
      <c r="ACB8" s="445"/>
      <c r="ACC8" s="445"/>
      <c r="ACD8" s="445"/>
      <c r="ACE8" s="445"/>
      <c r="ACF8" s="445"/>
      <c r="ACG8" s="445"/>
      <c r="ACH8" s="445"/>
      <c r="ACI8" s="445"/>
      <c r="ACJ8" s="445"/>
      <c r="ACK8" s="445"/>
      <c r="ACL8" s="445"/>
      <c r="ACM8" s="445"/>
      <c r="ACN8" s="445"/>
      <c r="ACO8" s="445"/>
      <c r="ACP8" s="445"/>
      <c r="ACQ8" s="445"/>
      <c r="ACR8" s="445"/>
      <c r="ACS8" s="445"/>
      <c r="ACT8" s="445"/>
      <c r="ACU8" s="445"/>
      <c r="ACV8" s="445"/>
      <c r="ACW8" s="445"/>
      <c r="ACX8" s="445"/>
      <c r="ACY8" s="445"/>
      <c r="ACZ8" s="445"/>
      <c r="ADA8" s="445"/>
      <c r="ADB8" s="445"/>
      <c r="ADC8" s="445"/>
      <c r="ADD8" s="445"/>
      <c r="ADE8" s="445"/>
      <c r="ADF8" s="445"/>
      <c r="ADG8" s="445"/>
      <c r="ADH8" s="445"/>
      <c r="ADI8" s="445"/>
      <c r="ADJ8" s="445"/>
      <c r="ADK8" s="445"/>
      <c r="ADL8" s="445"/>
      <c r="ADM8" s="445"/>
      <c r="ADN8" s="445"/>
      <c r="ADO8" s="445"/>
      <c r="ADP8" s="445"/>
      <c r="ADQ8" s="445"/>
      <c r="ADR8" s="445"/>
      <c r="ADS8" s="445"/>
      <c r="ADT8" s="445"/>
      <c r="ADU8" s="445"/>
      <c r="ADV8" s="445"/>
      <c r="ADW8" s="445"/>
      <c r="ADX8" s="445"/>
      <c r="ADY8" s="445"/>
      <c r="ADZ8" s="445"/>
      <c r="AEA8" s="445"/>
      <c r="AEB8" s="445"/>
      <c r="AEC8" s="445"/>
      <c r="AED8" s="445"/>
      <c r="AEE8" s="445"/>
      <c r="AEF8" s="445"/>
      <c r="AEG8" s="445"/>
      <c r="AEH8" s="445"/>
      <c r="AEI8" s="445"/>
      <c r="AEJ8" s="445"/>
      <c r="AEK8" s="445"/>
      <c r="AEL8" s="445"/>
      <c r="AEM8" s="445"/>
      <c r="AEN8" s="445"/>
      <c r="AEO8" s="445"/>
      <c r="AEP8" s="445"/>
      <c r="AEQ8" s="445"/>
      <c r="AER8" s="445"/>
      <c r="AES8" s="445"/>
      <c r="AET8" s="445"/>
      <c r="AEU8" s="445"/>
      <c r="AEV8" s="445"/>
      <c r="AEW8" s="445"/>
      <c r="AEX8" s="445"/>
      <c r="AEY8" s="445"/>
      <c r="AEZ8" s="445"/>
      <c r="AFA8" s="445"/>
      <c r="AFB8" s="445"/>
      <c r="AFC8" s="445"/>
      <c r="AFD8" s="445"/>
      <c r="AFE8" s="445"/>
      <c r="AFF8" s="445"/>
      <c r="AFG8" s="445"/>
      <c r="AFH8" s="445"/>
      <c r="AFI8" s="445"/>
      <c r="AFJ8" s="445"/>
      <c r="AFK8" s="445"/>
      <c r="AFL8" s="445"/>
      <c r="AFM8" s="445"/>
      <c r="AFN8" s="445"/>
      <c r="AFO8" s="445"/>
      <c r="AFP8" s="445"/>
      <c r="AFQ8" s="445"/>
      <c r="AFR8" s="445"/>
      <c r="AFS8" s="445"/>
      <c r="AFT8" s="445"/>
      <c r="AFU8" s="445"/>
      <c r="AFV8" s="445"/>
      <c r="AFW8" s="445"/>
      <c r="AFX8" s="445"/>
      <c r="AFY8" s="445"/>
      <c r="AFZ8" s="445"/>
      <c r="AGA8" s="445"/>
      <c r="AGB8" s="445"/>
      <c r="AGC8" s="445"/>
      <c r="AGD8" s="445"/>
      <c r="AGE8" s="445"/>
      <c r="AGF8" s="445"/>
      <c r="AGG8" s="445"/>
      <c r="AGH8" s="445"/>
      <c r="AGI8" s="445"/>
      <c r="AGJ8" s="445"/>
      <c r="AGK8" s="445"/>
      <c r="AGL8" s="445"/>
      <c r="AGM8" s="445"/>
      <c r="AGN8" s="445"/>
      <c r="AGO8" s="445"/>
      <c r="AGP8" s="445"/>
      <c r="AGQ8" s="445"/>
      <c r="AGR8" s="445"/>
      <c r="AGS8" s="445"/>
      <c r="AGT8" s="445"/>
      <c r="AGU8" s="445"/>
      <c r="AGV8" s="445"/>
      <c r="AGW8" s="445"/>
      <c r="AGX8" s="445"/>
      <c r="AGY8" s="445"/>
      <c r="AGZ8" s="445"/>
      <c r="AHA8" s="445"/>
      <c r="AHB8" s="445"/>
      <c r="AHC8" s="445"/>
      <c r="AHD8" s="445"/>
      <c r="AHE8" s="445"/>
      <c r="AHF8" s="445"/>
      <c r="AHG8" s="445"/>
      <c r="AHH8" s="445"/>
      <c r="AHI8" s="445"/>
      <c r="AHJ8" s="445"/>
      <c r="AHK8" s="445"/>
      <c r="AHL8" s="445"/>
      <c r="AHM8" s="445"/>
      <c r="AHN8" s="445"/>
      <c r="AHO8" s="445"/>
      <c r="AHP8" s="445"/>
      <c r="AHQ8" s="445"/>
      <c r="AHR8" s="445"/>
      <c r="AHS8" s="445"/>
      <c r="AHT8" s="445"/>
      <c r="AHU8" s="445"/>
      <c r="AHV8" s="445"/>
      <c r="AHW8" s="445"/>
      <c r="AHX8" s="445"/>
      <c r="AHY8" s="445"/>
      <c r="AHZ8" s="445"/>
      <c r="AIA8" s="445"/>
      <c r="AIB8" s="445"/>
      <c r="AIC8" s="445"/>
      <c r="AID8" s="445"/>
      <c r="AIE8" s="445"/>
      <c r="AIF8" s="445"/>
      <c r="AIG8" s="445"/>
      <c r="AIH8" s="445"/>
      <c r="AII8" s="445"/>
      <c r="AIJ8" s="445"/>
      <c r="AIK8" s="445"/>
      <c r="AIL8" s="445"/>
      <c r="AIM8" s="445"/>
      <c r="AIN8" s="445"/>
      <c r="AIO8" s="445"/>
      <c r="AIP8" s="445"/>
      <c r="AIQ8" s="445"/>
      <c r="AIR8" s="445"/>
      <c r="AIS8" s="445"/>
      <c r="AIT8" s="445"/>
      <c r="AIU8" s="445"/>
      <c r="AIV8" s="445"/>
      <c r="AIW8" s="445"/>
      <c r="AIX8" s="445"/>
      <c r="AIY8" s="445"/>
      <c r="AIZ8" s="445"/>
      <c r="AJA8" s="445"/>
      <c r="AJB8" s="445"/>
      <c r="AJC8" s="445"/>
      <c r="AJD8" s="445"/>
      <c r="AJE8" s="445"/>
      <c r="AJF8" s="445"/>
      <c r="AJG8" s="445"/>
      <c r="AJH8" s="445"/>
      <c r="AJI8" s="445"/>
      <c r="AJJ8" s="445"/>
      <c r="AJK8" s="445"/>
      <c r="AJL8" s="445"/>
      <c r="AJM8" s="445"/>
      <c r="AJN8" s="445"/>
      <c r="AJO8" s="445"/>
      <c r="AJP8" s="445"/>
      <c r="AJQ8" s="445"/>
      <c r="AJR8" s="445"/>
      <c r="AJS8" s="445"/>
      <c r="AJT8" s="445"/>
      <c r="AJU8" s="445"/>
      <c r="AJV8" s="445"/>
      <c r="AJW8" s="445"/>
      <c r="AJX8" s="445"/>
      <c r="AJY8" s="445"/>
      <c r="AJZ8" s="445"/>
      <c r="AKA8" s="445"/>
      <c r="AKB8" s="445"/>
      <c r="AKC8" s="445"/>
      <c r="AKD8" s="445"/>
      <c r="AKE8" s="445"/>
      <c r="AKF8" s="445"/>
      <c r="AKG8" s="445"/>
      <c r="AKH8" s="445"/>
      <c r="AKI8" s="445"/>
      <c r="AKJ8" s="445"/>
      <c r="AKK8" s="445"/>
      <c r="AKL8" s="445"/>
      <c r="AKM8" s="445"/>
      <c r="AKN8" s="445"/>
      <c r="AKO8" s="445"/>
      <c r="AKP8" s="445"/>
      <c r="AKQ8" s="445"/>
      <c r="AKR8" s="445"/>
      <c r="AKS8" s="445"/>
      <c r="AKT8" s="445"/>
      <c r="AKU8" s="445"/>
      <c r="AKV8" s="445"/>
      <c r="AKW8" s="445"/>
      <c r="AKX8" s="445"/>
      <c r="AKY8" s="445"/>
      <c r="AKZ8" s="445"/>
      <c r="ALA8" s="445"/>
      <c r="ALB8" s="445"/>
      <c r="ALC8" s="445"/>
      <c r="ALD8" s="445"/>
      <c r="ALE8" s="445"/>
      <c r="ALF8" s="445"/>
      <c r="ALG8" s="445"/>
      <c r="ALH8" s="445"/>
      <c r="ALI8" s="445"/>
      <c r="ALJ8" s="445"/>
      <c r="ALK8" s="445"/>
      <c r="ALL8" s="445"/>
      <c r="ALM8" s="445"/>
      <c r="ALN8" s="445"/>
      <c r="ALO8" s="445"/>
      <c r="ALP8" s="445"/>
      <c r="ALQ8" s="445"/>
      <c r="ALR8" s="445"/>
      <c r="ALS8" s="445"/>
      <c r="ALT8" s="445"/>
      <c r="ALU8" s="445"/>
      <c r="ALV8" s="445"/>
      <c r="ALW8" s="445"/>
      <c r="ALX8" s="445"/>
      <c r="ALY8" s="445"/>
      <c r="ALZ8" s="445"/>
    </row>
    <row r="9" spans="1:1014" ht="15" customHeight="1">
      <c r="A9" s="425">
        <v>1</v>
      </c>
      <c r="B9" s="322" t="s">
        <v>2584</v>
      </c>
      <c r="C9" s="322"/>
      <c r="D9" s="322"/>
      <c r="E9" s="415"/>
      <c r="F9" s="415"/>
      <c r="G9" s="415"/>
      <c r="H9" s="436" t="s">
        <v>2585</v>
      </c>
      <c r="I9" s="416"/>
      <c r="J9" s="418"/>
      <c r="K9" s="317" t="s">
        <v>2586</v>
      </c>
      <c r="L9" s="418"/>
      <c r="M9" s="418"/>
      <c r="N9" s="418"/>
      <c r="O9" s="418"/>
      <c r="P9" s="418"/>
      <c r="Q9" s="417" t="s">
        <v>820</v>
      </c>
      <c r="R9" s="342" t="s">
        <v>864</v>
      </c>
      <c r="S9" s="342" t="s">
        <v>2586</v>
      </c>
      <c r="T9" s="418"/>
      <c r="U9" s="418"/>
      <c r="V9" s="418" t="s">
        <v>864</v>
      </c>
      <c r="W9" s="418" t="s">
        <v>864</v>
      </c>
    </row>
    <row r="10" spans="1:1014" ht="15" customHeight="1">
      <c r="A10" s="425">
        <v>2</v>
      </c>
      <c r="B10" s="322"/>
      <c r="C10" s="322" t="s">
        <v>2587</v>
      </c>
      <c r="D10" s="322"/>
      <c r="E10" s="415"/>
      <c r="F10" s="415"/>
      <c r="G10" s="415"/>
      <c r="H10" s="448" t="s">
        <v>2588</v>
      </c>
      <c r="I10" s="420">
        <v>101</v>
      </c>
      <c r="J10" s="424"/>
      <c r="K10" s="421" t="s">
        <v>2589</v>
      </c>
      <c r="L10" s="422"/>
      <c r="M10" s="422"/>
      <c r="N10" s="422"/>
      <c r="O10" s="422"/>
      <c r="P10" s="422"/>
      <c r="Q10" s="417" t="s">
        <v>820</v>
      </c>
      <c r="R10" s="345"/>
      <c r="S10" s="345" t="s">
        <v>1092</v>
      </c>
      <c r="T10" s="422"/>
      <c r="U10" s="422"/>
      <c r="V10" s="422" t="s">
        <v>864</v>
      </c>
      <c r="W10" s="422" t="s">
        <v>864</v>
      </c>
    </row>
    <row r="11" spans="1:1014" ht="15" customHeight="1">
      <c r="A11" s="425">
        <v>3</v>
      </c>
      <c r="B11" s="322"/>
      <c r="C11" s="322" t="s">
        <v>2590</v>
      </c>
      <c r="D11" s="322"/>
      <c r="E11" s="415"/>
      <c r="F11" s="415"/>
      <c r="G11" s="415"/>
      <c r="H11" s="447" t="s">
        <v>2591</v>
      </c>
      <c r="I11" s="423" t="s">
        <v>2592</v>
      </c>
      <c r="J11" s="418"/>
      <c r="K11" s="317" t="s">
        <v>2593</v>
      </c>
      <c r="L11" s="418"/>
      <c r="M11" s="418"/>
      <c r="N11" s="418"/>
      <c r="O11" s="418"/>
      <c r="P11" s="418"/>
      <c r="Q11" s="417" t="s">
        <v>820</v>
      </c>
      <c r="R11" s="342"/>
      <c r="S11" s="342" t="s">
        <v>863</v>
      </c>
      <c r="T11" s="418"/>
      <c r="U11" s="418"/>
      <c r="V11" s="418" t="s">
        <v>864</v>
      </c>
      <c r="W11" s="418" t="s">
        <v>864</v>
      </c>
    </row>
    <row r="12" spans="1:1014" ht="15" customHeight="1">
      <c r="A12" s="425">
        <v>4</v>
      </c>
      <c r="B12" s="322" t="s">
        <v>2594</v>
      </c>
      <c r="C12" s="322"/>
      <c r="D12" s="322"/>
      <c r="E12" s="415"/>
      <c r="F12" s="415"/>
      <c r="G12" s="415"/>
      <c r="H12" s="449" t="s">
        <v>2595</v>
      </c>
      <c r="I12" s="420" t="s">
        <v>2596</v>
      </c>
      <c r="J12" s="424"/>
      <c r="K12" s="421" t="s">
        <v>2597</v>
      </c>
      <c r="L12" s="422"/>
      <c r="M12" s="422"/>
      <c r="N12" s="422"/>
      <c r="O12" s="422"/>
      <c r="P12" s="422"/>
      <c r="Q12" s="417" t="s">
        <v>820</v>
      </c>
      <c r="R12" s="345"/>
      <c r="S12" s="345" t="s">
        <v>863</v>
      </c>
      <c r="T12" s="422"/>
      <c r="U12" s="422"/>
      <c r="V12" s="422" t="s">
        <v>864</v>
      </c>
      <c r="W12" s="422" t="s">
        <v>864</v>
      </c>
    </row>
    <row r="13" spans="1:1014" ht="15" customHeight="1">
      <c r="A13" s="430">
        <v>5</v>
      </c>
      <c r="B13" s="431" t="s">
        <v>2598</v>
      </c>
      <c r="C13" s="431"/>
      <c r="D13" s="431"/>
      <c r="E13" s="432"/>
      <c r="F13" s="432"/>
      <c r="G13" s="432"/>
      <c r="H13" s="450" t="s">
        <v>2599</v>
      </c>
      <c r="I13" s="433"/>
      <c r="J13" s="434"/>
      <c r="K13" s="433" t="s">
        <v>2600</v>
      </c>
      <c r="L13" s="434"/>
      <c r="M13" s="434"/>
      <c r="N13" s="434"/>
      <c r="O13" s="434"/>
      <c r="P13" s="434"/>
      <c r="Q13" s="435" t="s">
        <v>817</v>
      </c>
      <c r="R13" s="509" t="s">
        <v>864</v>
      </c>
      <c r="S13" s="510" t="s">
        <v>2600</v>
      </c>
      <c r="T13" s="434"/>
      <c r="U13" s="434"/>
      <c r="V13" s="434" t="s">
        <v>864</v>
      </c>
      <c r="W13" s="434" t="s">
        <v>864</v>
      </c>
    </row>
    <row r="14" spans="1:1014" ht="15" customHeight="1" thickBot="1">
      <c r="A14" s="484">
        <v>6</v>
      </c>
      <c r="B14" s="485" t="s">
        <v>2601</v>
      </c>
      <c r="C14" s="485"/>
      <c r="D14" s="485"/>
      <c r="E14" s="486"/>
      <c r="F14" s="486"/>
      <c r="G14" s="486"/>
      <c r="H14" s="487" t="s">
        <v>2602</v>
      </c>
      <c r="I14" s="488"/>
      <c r="J14" s="489"/>
      <c r="K14" s="477" t="s">
        <v>2603</v>
      </c>
      <c r="L14" s="489"/>
      <c r="M14" s="489"/>
      <c r="N14" s="489"/>
      <c r="O14" s="489"/>
      <c r="P14" s="489"/>
      <c r="Q14" s="490" t="s">
        <v>820</v>
      </c>
      <c r="R14" s="511"/>
      <c r="S14" s="511" t="s">
        <v>863</v>
      </c>
      <c r="T14" s="489"/>
      <c r="U14" s="489"/>
      <c r="V14" s="489" t="s">
        <v>864</v>
      </c>
      <c r="W14" s="489" t="s">
        <v>864</v>
      </c>
    </row>
    <row r="15" spans="1:1014" s="456" customFormat="1" ht="15">
      <c r="A15" s="483">
        <f>SUBTOTAL(103, Tableau9[ID])</f>
        <v>6</v>
      </c>
      <c r="B15" s="483">
        <f>SUBTOTAL(103, Tableau9[Donnée (Niveau 1)])</f>
        <v>4</v>
      </c>
      <c r="C15" s="483">
        <f>SUBTOTAL(103, Tableau9[Donnée (Niveau 2)])</f>
        <v>2</v>
      </c>
      <c r="D15" s="483">
        <f>SUBTOTAL(103, Tableau9[Donnée (Niveau 3)])</f>
        <v>0</v>
      </c>
      <c r="E15" s="483">
        <f>SUBTOTAL(103, Tableau9[Donnée (Niveau 4)])</f>
        <v>0</v>
      </c>
      <c r="F15" s="483">
        <f>SUBTOTAL(103, Tableau9[Donnée (Niveau 5)])</f>
        <v>0</v>
      </c>
      <c r="G15" s="483">
        <f>SUBTOTAL(103, Tableau9[Donnée (Niveau 6)])</f>
        <v>0</v>
      </c>
      <c r="H15" s="483">
        <f>SUBTOTAL(103, Tableau9[Description])</f>
        <v>6</v>
      </c>
      <c r="I15" s="483">
        <f>SUBTOTAL(103, Tableau9[Exemples])</f>
        <v>3</v>
      </c>
      <c r="J15" s="483">
        <f>SUBTOTAL(103, Tableau9[Balise NexSIS])</f>
        <v>0</v>
      </c>
      <c r="K15" s="483">
        <f>SUBTOTAL(103, Tableau9[Nouvelle balise])</f>
        <v>6</v>
      </c>
      <c r="L15" s="483">
        <f>SUBTOTAL(103, Tableau9[Nantes - balise])</f>
        <v>0</v>
      </c>
      <c r="M15" s="483">
        <f>SUBTOTAL(103, Tableau9[Nantes - description])</f>
        <v>0</v>
      </c>
      <c r="N15" s="483">
        <f>SUBTOTAL(103, Tableau9[GT399])</f>
        <v>0</v>
      </c>
      <c r="O15" s="483">
        <f>SUBTOTAL(103, Tableau9[GT399 description])</f>
        <v>0</v>
      </c>
      <c r="P15" s="483">
        <f>SUBTOTAL(103, Tableau9[Priorisation])</f>
        <v>0</v>
      </c>
      <c r="Q15" s="483">
        <f>SUBTOTAL(103, Tableau9[Cardinalité])</f>
        <v>6</v>
      </c>
      <c r="R15" s="483">
        <f>SUBTOTAL(103, Tableau9[Objet])</f>
        <v>2</v>
      </c>
      <c r="S15" s="483">
        <f>SUBTOTAL(103, Tableau9[Format (ou type)])</f>
        <v>6</v>
      </c>
      <c r="T15" s="483">
        <f>SUBTOTAL(103, Tableau9[Nomenclature/ énumération])</f>
        <v>0</v>
      </c>
      <c r="U15" s="483">
        <f>SUBTOTAL(103, Tableau9[Détails de format])</f>
        <v>0</v>
      </c>
      <c r="V15" s="483">
        <f>SUBTOTAL(103, Tableau9[15-18])</f>
        <v>6</v>
      </c>
      <c r="W15" s="483">
        <f>SUBTOTAL(103, Tableau9[15-15])</f>
        <v>6</v>
      </c>
    </row>
    <row r="16" spans="1:1014">
      <c r="E16" s="57"/>
      <c r="AF16" s="452"/>
      <c r="AG16" s="453"/>
      <c r="AH16" s="453"/>
      <c r="AI16" s="454"/>
    </row>
    <row r="17" spans="3:5">
      <c r="E17" s="57"/>
    </row>
    <row r="18" spans="3:5">
      <c r="E18" s="57"/>
    </row>
    <row r="19" spans="3:5">
      <c r="C19" s="455"/>
      <c r="E19" s="57"/>
    </row>
  </sheetData>
  <mergeCells count="10">
    <mergeCell ref="E1:F1"/>
    <mergeCell ref="H1:J2"/>
    <mergeCell ref="O1:P1"/>
    <mergeCell ref="L7:O7"/>
    <mergeCell ref="V7:W7"/>
    <mergeCell ref="AC7:AD7"/>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15" activePane="bottomRight" state="frozen"/>
      <selection pane="bottomRight" activeCell="A2" sqref="A2"/>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125" customWidth="1"/>
    <col min="21" max="21" width="10.625" customWidth="1"/>
    <col min="22" max="22" width="11" bestFit="1" customWidth="1"/>
    <col min="23" max="23" width="7.375" bestFit="1" customWidth="1"/>
    <col min="24" max="30" width="9" customWidth="1"/>
  </cols>
  <sheetData>
    <row r="1" spans="1:1014" ht="14.25" customHeight="1">
      <c r="A1" s="272" t="s">
        <v>2604</v>
      </c>
      <c r="B1" s="128"/>
      <c r="C1" s="129" t="s">
        <v>813</v>
      </c>
      <c r="D1" s="128"/>
      <c r="E1" s="294" t="s">
        <v>814</v>
      </c>
      <c r="F1" s="128"/>
      <c r="G1" s="128"/>
      <c r="H1" s="697" t="s">
        <v>1694</v>
      </c>
      <c r="I1" s="697"/>
      <c r="J1" s="96"/>
      <c r="K1" s="96"/>
      <c r="L1" s="96"/>
      <c r="M1" s="96"/>
      <c r="N1" s="96"/>
      <c r="O1" s="709" t="s">
        <v>816</v>
      </c>
      <c r="P1" s="709"/>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6" t="s">
        <v>818</v>
      </c>
      <c r="D2" s="128"/>
      <c r="E2" s="297" t="s">
        <v>819</v>
      </c>
      <c r="F2" s="128"/>
      <c r="G2" s="128"/>
      <c r="H2" s="697"/>
      <c r="I2" s="697"/>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8" t="s">
        <v>821</v>
      </c>
      <c r="D3" s="128"/>
      <c r="E3" s="299"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300" t="s">
        <v>824</v>
      </c>
      <c r="D4" s="128"/>
      <c r="E4" s="301" t="s">
        <v>825</v>
      </c>
      <c r="F4" s="128"/>
      <c r="G4" s="137" t="s">
        <v>1694</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1694</v>
      </c>
      <c r="E5" s="408" t="s">
        <v>912</v>
      </c>
      <c r="F5" s="146" t="s">
        <v>1694</v>
      </c>
      <c r="G5" s="148"/>
      <c r="H5" s="148"/>
      <c r="I5" s="409"/>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3" t="s">
        <v>827</v>
      </c>
      <c r="D6" s="138" t="s">
        <v>1694</v>
      </c>
      <c r="E6" s="128"/>
      <c r="F6" s="138" t="s">
        <v>1694</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1694</v>
      </c>
      <c r="D7" s="410" t="s">
        <v>1694</v>
      </c>
      <c r="E7" s="304" t="s">
        <v>1694</v>
      </c>
      <c r="F7" s="304" t="s">
        <v>1694</v>
      </c>
      <c r="G7" s="96"/>
      <c r="H7" s="96"/>
      <c r="I7" s="5"/>
      <c r="J7" s="96"/>
      <c r="K7" s="96"/>
      <c r="L7" s="698" t="s">
        <v>828</v>
      </c>
      <c r="M7" s="698"/>
      <c r="N7" s="698"/>
      <c r="O7" s="698"/>
      <c r="P7" s="96"/>
      <c r="Q7" s="96"/>
      <c r="R7" s="96"/>
      <c r="S7" s="96"/>
      <c r="T7" s="96"/>
      <c r="V7" s="411" t="s">
        <v>829</v>
      </c>
      <c r="W7" s="411"/>
      <c r="Y7" s="96"/>
      <c r="Z7" s="96"/>
      <c r="AA7" s="96"/>
      <c r="AB7" s="96"/>
      <c r="AC7" s="698" t="s">
        <v>830</v>
      </c>
      <c r="AD7" s="69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6" customFormat="1" ht="27.75" customHeight="1">
      <c r="A8" s="306" t="s">
        <v>831</v>
      </c>
      <c r="B8" s="412" t="s">
        <v>832</v>
      </c>
      <c r="C8" s="412" t="s">
        <v>833</v>
      </c>
      <c r="D8" s="412" t="s">
        <v>834</v>
      </c>
      <c r="E8" s="412" t="s">
        <v>835</v>
      </c>
      <c r="F8" s="412" t="s">
        <v>836</v>
      </c>
      <c r="G8" s="412" t="s">
        <v>837</v>
      </c>
      <c r="H8" s="310" t="s">
        <v>9</v>
      </c>
      <c r="I8" s="310" t="s">
        <v>838</v>
      </c>
      <c r="J8" s="310" t="s">
        <v>841</v>
      </c>
      <c r="K8" s="310" t="s">
        <v>842</v>
      </c>
      <c r="L8" s="437" t="s">
        <v>843</v>
      </c>
      <c r="M8" s="437" t="s">
        <v>844</v>
      </c>
      <c r="N8" s="437" t="s">
        <v>845</v>
      </c>
      <c r="O8" s="437" t="s">
        <v>846</v>
      </c>
      <c r="P8" s="437" t="s">
        <v>847</v>
      </c>
      <c r="Q8" s="310" t="s">
        <v>677</v>
      </c>
      <c r="R8" s="310" t="s">
        <v>3</v>
      </c>
      <c r="S8" s="310" t="s">
        <v>2583</v>
      </c>
      <c r="T8" s="310" t="s">
        <v>914</v>
      </c>
      <c r="U8" s="310" t="s">
        <v>849</v>
      </c>
      <c r="V8" s="311" t="s">
        <v>850</v>
      </c>
      <c r="W8" s="413"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5"/>
      <c r="ALO8" s="445"/>
      <c r="ALP8" s="445"/>
      <c r="ALQ8" s="445"/>
      <c r="ALR8" s="445"/>
      <c r="ALS8" s="445"/>
      <c r="ALT8" s="445"/>
      <c r="ALU8" s="445"/>
      <c r="ALV8" s="445"/>
      <c r="ALW8" s="445"/>
      <c r="ALX8" s="445"/>
      <c r="ALY8" s="445"/>
      <c r="ALZ8" s="445"/>
    </row>
    <row r="9" spans="1:1014" ht="29.25" customHeight="1">
      <c r="A9" s="414">
        <v>1</v>
      </c>
      <c r="B9" s="322" t="s">
        <v>2605</v>
      </c>
      <c r="C9" s="322"/>
      <c r="D9" s="322"/>
      <c r="E9" s="415"/>
      <c r="F9" s="415"/>
      <c r="G9" s="415"/>
      <c r="H9" s="436" t="s">
        <v>2606</v>
      </c>
      <c r="I9" s="399"/>
      <c r="J9" s="418"/>
      <c r="K9" s="317" t="s">
        <v>2604</v>
      </c>
      <c r="L9" s="317"/>
      <c r="M9" s="317"/>
      <c r="N9" s="317"/>
      <c r="O9" s="317"/>
      <c r="P9" s="317"/>
      <c r="Q9" s="417" t="s">
        <v>820</v>
      </c>
      <c r="R9" s="342"/>
      <c r="S9" s="342" t="s">
        <v>863</v>
      </c>
      <c r="T9" s="418"/>
      <c r="U9" s="418"/>
      <c r="V9" s="418" t="s">
        <v>864</v>
      </c>
      <c r="W9" s="419"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K16" activePane="bottomRight" state="frozen"/>
      <selection pane="bottomRight" activeCell="A2" sqref="A2"/>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6.125" customWidth="1"/>
    <col min="12" max="15" width="2.125" customWidth="1"/>
    <col min="16" max="16" width="2.375" customWidth="1"/>
    <col min="17" max="17" width="12.5" customWidth="1"/>
    <col min="18" max="18" width="2" customWidth="1"/>
    <col min="19" max="19" width="7.125" customWidth="1"/>
    <col min="20" max="21" width="2" customWidth="1"/>
    <col min="22" max="22" width="6.125" customWidth="1"/>
    <col min="23" max="23" width="6" customWidth="1"/>
    <col min="26" max="26" width="7.375" customWidth="1"/>
    <col min="27" max="27" width="11" bestFit="1" customWidth="1"/>
    <col min="30" max="36" width="0" hidden="1" customWidth="1"/>
  </cols>
  <sheetData>
    <row r="1" spans="1:1020" ht="14.25" customHeight="1">
      <c r="A1" s="272" t="s">
        <v>1877</v>
      </c>
      <c r="B1" s="272"/>
      <c r="C1" s="129" t="s">
        <v>813</v>
      </c>
      <c r="D1" s="128"/>
      <c r="E1" s="294" t="s">
        <v>814</v>
      </c>
      <c r="F1" s="128"/>
      <c r="G1" s="128"/>
      <c r="H1" s="697" t="s">
        <v>1694</v>
      </c>
      <c r="I1" s="697"/>
      <c r="J1" s="295"/>
      <c r="K1" s="96"/>
      <c r="L1" s="96"/>
      <c r="M1" s="96"/>
      <c r="N1" s="96"/>
      <c r="O1" s="709" t="s">
        <v>816</v>
      </c>
      <c r="P1" s="709"/>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c r="B2" s="128"/>
      <c r="C2" s="296" t="s">
        <v>818</v>
      </c>
      <c r="D2" s="128"/>
      <c r="E2" s="297" t="s">
        <v>819</v>
      </c>
      <c r="F2" s="128"/>
      <c r="G2" s="128"/>
      <c r="H2" s="697"/>
      <c r="I2" s="697"/>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300" t="s">
        <v>824</v>
      </c>
      <c r="D4" s="128"/>
      <c r="E4" s="301" t="s">
        <v>825</v>
      </c>
      <c r="F4" s="128"/>
      <c r="G4" s="137" t="s">
        <v>1694</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1694</v>
      </c>
      <c r="E5" s="408" t="s">
        <v>912</v>
      </c>
      <c r="F5" s="146" t="s">
        <v>1694</v>
      </c>
      <c r="G5" s="148"/>
      <c r="H5" s="148"/>
      <c r="I5" s="409"/>
      <c r="J5" s="409"/>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3" t="s">
        <v>827</v>
      </c>
      <c r="D6" s="138" t="s">
        <v>1694</v>
      </c>
      <c r="E6" s="128"/>
      <c r="F6" s="138" t="s">
        <v>1694</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1694</v>
      </c>
      <c r="D7" s="410" t="s">
        <v>1694</v>
      </c>
      <c r="E7" s="304" t="s">
        <v>1694</v>
      </c>
      <c r="F7" s="304" t="s">
        <v>1694</v>
      </c>
      <c r="G7" s="96"/>
      <c r="H7" s="96"/>
      <c r="I7" s="5"/>
      <c r="J7" s="5"/>
      <c r="K7" s="96"/>
      <c r="L7" s="698" t="s">
        <v>828</v>
      </c>
      <c r="M7" s="698"/>
      <c r="N7" s="698"/>
      <c r="O7" s="698"/>
      <c r="P7" s="96"/>
      <c r="Q7" s="96"/>
      <c r="R7" s="96"/>
      <c r="S7" s="96"/>
      <c r="T7" s="96"/>
      <c r="U7" s="96"/>
      <c r="V7" s="710" t="s">
        <v>829</v>
      </c>
      <c r="W7" s="710"/>
      <c r="Y7" s="96"/>
      <c r="Z7" s="96"/>
      <c r="AA7" s="96"/>
      <c r="AB7" s="96"/>
      <c r="AC7" s="698" t="s">
        <v>830</v>
      </c>
      <c r="AD7" s="69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6" customFormat="1" ht="27.75" customHeight="1">
      <c r="A8" s="426" t="s">
        <v>831</v>
      </c>
      <c r="B8" s="427" t="s">
        <v>832</v>
      </c>
      <c r="C8" s="427" t="s">
        <v>833</v>
      </c>
      <c r="D8" s="427" t="s">
        <v>834</v>
      </c>
      <c r="E8" s="427" t="s">
        <v>835</v>
      </c>
      <c r="F8" s="427" t="s">
        <v>836</v>
      </c>
      <c r="G8" s="427" t="s">
        <v>837</v>
      </c>
      <c r="H8" s="428" t="s">
        <v>9</v>
      </c>
      <c r="I8" s="428" t="s">
        <v>838</v>
      </c>
      <c r="J8" s="428" t="s">
        <v>841</v>
      </c>
      <c r="K8" s="428" t="s">
        <v>842</v>
      </c>
      <c r="L8" s="437" t="s">
        <v>843</v>
      </c>
      <c r="M8" s="437" t="s">
        <v>844</v>
      </c>
      <c r="N8" s="437" t="s">
        <v>845</v>
      </c>
      <c r="O8" s="437" t="s">
        <v>846</v>
      </c>
      <c r="P8" s="437" t="s">
        <v>847</v>
      </c>
      <c r="Q8" s="428" t="s">
        <v>677</v>
      </c>
      <c r="R8" s="428" t="s">
        <v>3</v>
      </c>
      <c r="S8" s="428" t="s">
        <v>2583</v>
      </c>
      <c r="T8" s="428" t="s">
        <v>914</v>
      </c>
      <c r="U8" s="428" t="s">
        <v>849</v>
      </c>
      <c r="V8" s="429" t="s">
        <v>850</v>
      </c>
      <c r="W8" s="429"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5"/>
      <c r="ALU8" s="445"/>
      <c r="ALV8" s="445"/>
      <c r="ALW8" s="445"/>
      <c r="ALX8" s="445"/>
      <c r="ALY8" s="445"/>
      <c r="ALZ8" s="445"/>
      <c r="AMA8" s="445"/>
      <c r="AMB8" s="445"/>
      <c r="AMC8" s="445"/>
      <c r="AMD8" s="445"/>
      <c r="AME8" s="445"/>
      <c r="AMF8" s="445"/>
    </row>
    <row r="9" spans="1:1020" ht="15" customHeight="1">
      <c r="A9" s="425">
        <v>1</v>
      </c>
      <c r="B9" s="322" t="s">
        <v>2607</v>
      </c>
      <c r="C9" s="451"/>
      <c r="D9" s="322"/>
      <c r="E9" s="415"/>
      <c r="F9" s="415"/>
      <c r="G9" s="415"/>
      <c r="H9" s="317" t="s">
        <v>2608</v>
      </c>
      <c r="I9" s="417"/>
      <c r="J9" s="399"/>
      <c r="K9" s="317" t="s">
        <v>2609</v>
      </c>
      <c r="L9" s="317"/>
      <c r="M9" s="317"/>
      <c r="N9" s="317"/>
      <c r="O9" s="317"/>
      <c r="P9" s="317"/>
      <c r="Q9" s="417" t="s">
        <v>820</v>
      </c>
      <c r="R9" s="342"/>
      <c r="S9" s="342" t="s">
        <v>863</v>
      </c>
      <c r="T9" s="418"/>
      <c r="U9" s="418"/>
      <c r="V9" s="418" t="s">
        <v>864</v>
      </c>
      <c r="W9" s="418" t="s">
        <v>864</v>
      </c>
    </row>
    <row r="10" spans="1:1020" ht="15" customHeight="1">
      <c r="A10" s="415">
        <v>2</v>
      </c>
      <c r="B10" s="322" t="s">
        <v>2610</v>
      </c>
      <c r="C10" s="451"/>
      <c r="D10" s="322"/>
      <c r="E10" s="415"/>
      <c r="F10" s="415"/>
      <c r="G10" s="415"/>
      <c r="H10" s="317" t="s">
        <v>2611</v>
      </c>
      <c r="I10" s="417"/>
      <c r="J10" s="399"/>
      <c r="K10" s="317" t="s">
        <v>2612</v>
      </c>
      <c r="L10" s="317"/>
      <c r="M10" s="317"/>
      <c r="N10" s="317"/>
      <c r="O10" s="317"/>
      <c r="P10" s="317"/>
      <c r="Q10" s="333" t="s">
        <v>817</v>
      </c>
      <c r="R10" s="345"/>
      <c r="S10" s="345" t="s">
        <v>2262</v>
      </c>
      <c r="T10" s="422"/>
      <c r="U10" s="422"/>
      <c r="V10" s="422" t="s">
        <v>864</v>
      </c>
      <c r="W10" s="422" t="s">
        <v>864</v>
      </c>
    </row>
    <row r="11" spans="1:1020" ht="15">
      <c r="A11" s="415">
        <v>3</v>
      </c>
      <c r="B11" s="322" t="s">
        <v>2613</v>
      </c>
      <c r="C11" s="339"/>
      <c r="D11" s="322"/>
      <c r="E11" s="415"/>
      <c r="F11" s="415"/>
      <c r="G11" s="415"/>
      <c r="H11" s="317" t="s">
        <v>2614</v>
      </c>
      <c r="I11" s="417"/>
      <c r="J11" s="399"/>
      <c r="K11" s="317" t="s">
        <v>2615</v>
      </c>
      <c r="L11" s="317"/>
      <c r="M11" s="317"/>
      <c r="N11" s="317"/>
      <c r="O11" s="317"/>
      <c r="P11" s="317"/>
      <c r="Q11" s="333" t="s">
        <v>817</v>
      </c>
      <c r="R11" s="342"/>
      <c r="S11" s="342" t="s">
        <v>863</v>
      </c>
      <c r="T11" s="418"/>
      <c r="U11" s="418"/>
      <c r="V11" s="418" t="s">
        <v>864</v>
      </c>
      <c r="W11" s="418"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5">
    <mergeCell ref="H1:I2"/>
    <mergeCell ref="V7:W7"/>
    <mergeCell ref="AC7:AD7"/>
    <mergeCell ref="O1:P1"/>
    <mergeCell ref="L7:O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bottomRight" activeCell="A2" sqref="A2"/>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3" bestFit="1" customWidth="1"/>
    <col min="12" max="12" width="2.1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2616</v>
      </c>
      <c r="B1" s="272"/>
      <c r="C1" s="129" t="s">
        <v>813</v>
      </c>
      <c r="D1" s="128"/>
      <c r="E1" s="294" t="s">
        <v>814</v>
      </c>
      <c r="F1" s="128"/>
      <c r="G1" s="128"/>
      <c r="H1" s="697" t="s">
        <v>1694</v>
      </c>
      <c r="I1" s="697"/>
      <c r="J1" s="295"/>
      <c r="K1" s="96"/>
      <c r="L1" s="96"/>
      <c r="M1" s="96"/>
      <c r="N1" s="96"/>
      <c r="O1" s="709" t="s">
        <v>816</v>
      </c>
      <c r="P1" s="709"/>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6" t="s">
        <v>818</v>
      </c>
      <c r="D2" s="128"/>
      <c r="E2" s="297" t="s">
        <v>819</v>
      </c>
      <c r="F2" s="128"/>
      <c r="G2" s="128"/>
      <c r="H2" s="697"/>
      <c r="I2" s="697"/>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300" t="s">
        <v>824</v>
      </c>
      <c r="D4" s="128"/>
      <c r="E4" s="301" t="s">
        <v>825</v>
      </c>
      <c r="F4" s="128"/>
      <c r="G4" s="137" t="s">
        <v>1694</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1694</v>
      </c>
      <c r="E5" s="408" t="s">
        <v>912</v>
      </c>
      <c r="F5" s="146" t="s">
        <v>1694</v>
      </c>
      <c r="G5" s="148"/>
      <c r="H5" s="148"/>
      <c r="I5" s="409"/>
      <c r="J5" s="409"/>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3" t="s">
        <v>827</v>
      </c>
      <c r="D6" s="138" t="s">
        <v>1694</v>
      </c>
      <c r="E6" s="128"/>
      <c r="F6" s="138" t="s">
        <v>1694</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1694</v>
      </c>
      <c r="D7" s="410" t="s">
        <v>1694</v>
      </c>
      <c r="E7" s="304" t="s">
        <v>1694</v>
      </c>
      <c r="F7" s="304" t="s">
        <v>1694</v>
      </c>
      <c r="G7" s="96"/>
      <c r="H7" s="96"/>
      <c r="I7" s="5"/>
      <c r="J7" s="5"/>
      <c r="K7" s="96"/>
      <c r="L7" s="698" t="s">
        <v>828</v>
      </c>
      <c r="M7" s="698"/>
      <c r="N7" s="698"/>
      <c r="O7" s="698"/>
      <c r="P7" s="96"/>
      <c r="Q7" s="96"/>
      <c r="R7" s="96"/>
      <c r="S7" s="96"/>
      <c r="T7" s="96"/>
      <c r="U7" s="96"/>
      <c r="V7" s="411" t="s">
        <v>829</v>
      </c>
      <c r="W7" s="411"/>
      <c r="Y7" s="96"/>
      <c r="Z7" s="96"/>
      <c r="AA7" s="96"/>
      <c r="AB7" s="96"/>
      <c r="AC7" s="698" t="s">
        <v>830</v>
      </c>
      <c r="AD7" s="69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6" customFormat="1" ht="27.75" customHeight="1">
      <c r="A8" s="458" t="s">
        <v>831</v>
      </c>
      <c r="B8" s="459" t="s">
        <v>832</v>
      </c>
      <c r="C8" s="459" t="s">
        <v>833</v>
      </c>
      <c r="D8" s="459" t="s">
        <v>834</v>
      </c>
      <c r="E8" s="459" t="s">
        <v>835</v>
      </c>
      <c r="F8" s="459" t="s">
        <v>836</v>
      </c>
      <c r="G8" s="459" t="s">
        <v>837</v>
      </c>
      <c r="H8" s="460" t="s">
        <v>9</v>
      </c>
      <c r="I8" s="460" t="s">
        <v>838</v>
      </c>
      <c r="J8" s="460" t="s">
        <v>841</v>
      </c>
      <c r="K8" s="460" t="s">
        <v>842</v>
      </c>
      <c r="L8" s="461" t="s">
        <v>843</v>
      </c>
      <c r="M8" s="461" t="s">
        <v>844</v>
      </c>
      <c r="N8" s="461" t="s">
        <v>845</v>
      </c>
      <c r="O8" s="461" t="s">
        <v>846</v>
      </c>
      <c r="P8" s="461" t="s">
        <v>847</v>
      </c>
      <c r="Q8" s="460" t="s">
        <v>677</v>
      </c>
      <c r="R8" s="462" t="s">
        <v>3</v>
      </c>
      <c r="S8" s="428" t="s">
        <v>2583</v>
      </c>
      <c r="T8" s="428" t="s">
        <v>914</v>
      </c>
      <c r="U8" s="428" t="s">
        <v>849</v>
      </c>
      <c r="V8" s="429" t="s">
        <v>850</v>
      </c>
      <c r="W8" s="429"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5"/>
      <c r="ALP8" s="445"/>
      <c r="ALQ8" s="445"/>
      <c r="ALR8" s="445"/>
      <c r="ALS8" s="445"/>
      <c r="ALT8" s="445"/>
      <c r="ALU8" s="445"/>
      <c r="ALV8" s="445"/>
      <c r="ALW8" s="445"/>
      <c r="ALX8" s="445"/>
      <c r="ALY8" s="445"/>
      <c r="ALZ8" s="445"/>
      <c r="AMA8" s="445"/>
    </row>
    <row r="9" spans="1:1015">
      <c r="A9" s="463">
        <v>0</v>
      </c>
      <c r="B9" s="463">
        <v>0</v>
      </c>
      <c r="C9" s="463">
        <v>0</v>
      </c>
      <c r="D9" s="463">
        <v>0</v>
      </c>
      <c r="E9" s="463">
        <v>0</v>
      </c>
      <c r="F9" s="463">
        <v>0</v>
      </c>
      <c r="G9" s="463">
        <v>0</v>
      </c>
      <c r="H9" s="463">
        <v>0</v>
      </c>
      <c r="I9" s="463">
        <v>0</v>
      </c>
      <c r="J9" s="463">
        <v>0</v>
      </c>
      <c r="K9" s="463">
        <v>0</v>
      </c>
      <c r="L9" s="463">
        <v>0</v>
      </c>
      <c r="M9" s="463">
        <v>0</v>
      </c>
      <c r="N9" s="463">
        <v>0</v>
      </c>
      <c r="O9" s="463">
        <v>0</v>
      </c>
      <c r="P9" s="463">
        <v>0</v>
      </c>
      <c r="Q9" s="463">
        <v>0</v>
      </c>
      <c r="R9" s="463">
        <v>0</v>
      </c>
      <c r="S9" s="463">
        <v>0</v>
      </c>
      <c r="T9" s="463">
        <v>0</v>
      </c>
      <c r="U9" s="463">
        <v>0</v>
      </c>
      <c r="V9" s="463">
        <v>0</v>
      </c>
      <c r="W9" s="463">
        <v>0</v>
      </c>
    </row>
  </sheetData>
  <mergeCells count="4">
    <mergeCell ref="O1:P1"/>
    <mergeCell ref="L7:O7"/>
    <mergeCell ref="AC7:AD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defaultColWidth="11" defaultRowHeight="14.25"/>
  <sheetData>
    <row r="22" spans="1:1">
      <c r="A22" s="465"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2617</v>
      </c>
    </row>
    <row r="2" spans="2:6" s="4" customFormat="1"/>
    <row r="3" spans="2:6" s="134" customFormat="1">
      <c r="B3" s="133" t="s">
        <v>2618</v>
      </c>
      <c r="C3" s="135"/>
      <c r="D3" s="135"/>
      <c r="E3" s="135"/>
      <c r="F3" s="135"/>
    </row>
    <row r="4" spans="2:6" ht="18" customHeight="1">
      <c r="B4" s="131" t="s">
        <v>2619</v>
      </c>
    </row>
    <row r="5" spans="2:6" ht="18" customHeight="1">
      <c r="B5" s="131" t="s">
        <v>2620</v>
      </c>
    </row>
    <row r="6" spans="2:6" ht="18" customHeight="1">
      <c r="B6" s="131" t="s">
        <v>2621</v>
      </c>
    </row>
    <row r="7" spans="2:6" ht="18" customHeight="1">
      <c r="B7" s="131" t="s">
        <v>2622</v>
      </c>
    </row>
    <row r="8" spans="2:6" ht="18" customHeight="1">
      <c r="B8" s="131" t="s">
        <v>2623</v>
      </c>
    </row>
    <row r="9" spans="2:6" ht="24" customHeight="1">
      <c r="B9" s="711" t="s">
        <v>2624</v>
      </c>
      <c r="C9" s="711"/>
      <c r="D9" s="711"/>
      <c r="E9" s="711"/>
      <c r="F9" s="711"/>
    </row>
    <row r="10" spans="2:6" ht="14.25" customHeight="1">
      <c r="B10" s="712" t="s">
        <v>2625</v>
      </c>
      <c r="C10" s="712"/>
      <c r="D10" s="712"/>
      <c r="E10" s="712"/>
      <c r="F10" s="712"/>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E4D95615-A5B7-4942-A09B-B853408305CB}"/>
</file>

<file path=customXml/itemProps2.xml><?xml version="1.0" encoding="utf-8"?>
<ds:datastoreItem xmlns:ds="http://schemas.openxmlformats.org/officeDocument/2006/customXml" ds:itemID="{080199A3-B817-4C63-A6AD-6E2BB0AB8780}"/>
</file>

<file path=customXml/itemProps3.xml><?xml version="1.0" encoding="utf-8"?>
<ds:datastoreItem xmlns:ds="http://schemas.openxmlformats.org/officeDocument/2006/customXml" ds:itemID="{9DD8DDFC-1922-451E-9066-852DD4B8D051}"/>
</file>

<file path=customXml/itemProps4.xml><?xml version="1.0" encoding="utf-8"?>
<ds:datastoreItem xmlns:ds="http://schemas.openxmlformats.org/officeDocument/2006/customXml" ds:itemID="{AB0337C0-7C30-4DE4-B94C-0687DC3BE604}"/>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
  <cp:revision>1</cp:revision>
  <dcterms:created xsi:type="dcterms:W3CDTF">2021-02-10T14:57:43Z</dcterms:created>
  <dcterms:modified xsi:type="dcterms:W3CDTF">2024-05-24T08:47:21Z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