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A378D85E-01E5-420B-A7F7-2170BBACA04B}" xr6:coauthVersionLast="47" xr6:coauthVersionMax="47" xr10:uidLastSave="{00000000-0000-0000-0000-000000000000}"/>
  <bookViews>
    <workbookView minimized="1" xWindow="390" yWindow="390" windowWidth="25650" windowHeight="11385" tabRatio="500" firstSheet="1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Conditional format rules" sheetId="29" r:id="rId16"/>
    <sheet name="Documents_sources" sheetId="18" state="hidden" r:id="rId17"/>
  </sheets>
  <definedNames>
    <definedName name="_xlnm._FilterDatabase" localSheetId="11" hidden="1">EMSI!$A$8:$AH$8</definedName>
    <definedName name="_xlnm.Print_Area" localSheetId="0">Données_attributaires!$A$1:$K$199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20" i="59" l="1"/>
  <c r="V20" i="59"/>
  <c r="U20" i="59"/>
  <c r="T20" i="59"/>
  <c r="S20" i="59"/>
  <c r="R20" i="59"/>
  <c r="Q20" i="59"/>
  <c r="P20" i="59"/>
  <c r="O20" i="59"/>
  <c r="N20" i="59"/>
  <c r="M20" i="59"/>
  <c r="L20" i="59"/>
  <c r="K20" i="59"/>
  <c r="J20" i="59"/>
  <c r="I20" i="59"/>
  <c r="H20" i="59"/>
  <c r="G20" i="59"/>
  <c r="F20" i="59"/>
  <c r="E20" i="59"/>
  <c r="D20" i="59"/>
  <c r="C20" i="59"/>
  <c r="B20" i="59"/>
  <c r="A20" i="59"/>
  <c r="B11" i="58"/>
  <c r="C11" i="58"/>
  <c r="D11" i="58"/>
  <c r="E11" i="58"/>
  <c r="F11" i="58"/>
  <c r="G11" i="58"/>
  <c r="H11" i="58"/>
  <c r="I11" i="58"/>
  <c r="J11" i="58"/>
  <c r="K11" i="58"/>
  <c r="L11" i="58"/>
  <c r="M11" i="58"/>
  <c r="N11" i="58"/>
  <c r="O11" i="58"/>
  <c r="P11" i="58"/>
  <c r="Q11" i="58"/>
  <c r="R11" i="58"/>
  <c r="S11" i="58"/>
  <c r="T11" i="58"/>
  <c r="U11" i="58"/>
  <c r="V11" i="58"/>
  <c r="W11" i="58"/>
  <c r="A11" i="58"/>
  <c r="B23" i="56"/>
  <c r="C23" i="56"/>
  <c r="D23" i="56"/>
  <c r="E23" i="56"/>
  <c r="F23" i="56"/>
  <c r="G23" i="56"/>
  <c r="H23" i="56"/>
  <c r="I23" i="56"/>
  <c r="J23" i="56"/>
  <c r="K23" i="56"/>
  <c r="L23" i="56"/>
  <c r="M23" i="56"/>
  <c r="N23" i="56"/>
  <c r="O23" i="56"/>
  <c r="P23" i="56"/>
  <c r="Q23" i="56"/>
  <c r="R23" i="56"/>
  <c r="S23" i="56"/>
  <c r="T23" i="56"/>
  <c r="U23" i="56"/>
  <c r="V23" i="56"/>
  <c r="W23" i="56"/>
  <c r="A15" i="55"/>
  <c r="AD15" i="55"/>
  <c r="AC15" i="55"/>
  <c r="AB15" i="55"/>
  <c r="Z15" i="55"/>
  <c r="Y15" i="55"/>
  <c r="S15" i="55"/>
  <c r="R15" i="55"/>
  <c r="P15" i="55"/>
  <c r="O15" i="55"/>
  <c r="N15" i="55"/>
  <c r="M15" i="55"/>
  <c r="L15" i="55"/>
  <c r="K15" i="55"/>
  <c r="J15" i="55"/>
  <c r="I15" i="55"/>
  <c r="H15" i="55"/>
  <c r="G15" i="55"/>
  <c r="F15" i="55"/>
  <c r="E15" i="55"/>
  <c r="D15" i="55"/>
  <c r="C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 r="A23" i="56"/>
  <c r="A15"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E26" authorId="0" shapeId="0" xr:uid="{4837C581-D8A4-445E-8E19-F04F5F5B4F67}">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7" authorId="1" shapeId="0" xr:uid="{7EAC250D-1FE5-4F24-BBB0-E2891EB70A76}">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8" authorId="2" shapeId="0" xr:uid="{CDF9D23E-AAAD-43B7-B7F6-69BBD0EF7A12}">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9" authorId="3" shapeId="0" xr:uid="{946BBEE1-78DA-417C-B419-C60A8174F022}">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35" authorId="4" shapeId="0" xr:uid="{8CEA5499-79A7-4D08-A625-483FCD7BE43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37" authorId="5" shapeId="0" xr:uid="{FFE8E67C-32CE-4FEE-ACB4-4A6A892B7DC1}">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39" authorId="6" shapeId="0" xr:uid="{6CA1FCB0-3B8D-4298-9995-E53EC6A7DF08}">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41" authorId="7" shapeId="0" xr:uid="{8670BC54-3E92-43D7-AFFF-35A2BA4EDC81}">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K45" authorId="8" shapeId="0" xr:uid="{1AE66642-E2F3-46E1-ADE6-FCCB30E639D9}">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46" authorId="9" shapeId="0" xr:uid="{9673509D-DD58-4AE0-87E8-102ECE283A2E}">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E48" authorId="10" shapeId="0" xr:uid="{A780525E-A887-4148-906C-F63B4E3333F8}">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tc={B81E7C9A-E09B-4F7C-BB54-323AE704CC26}</author>
    <author>tc={8EF2D3DC-4B1C-4B82-9096-95A1B9D01CEE}</author>
    <author>tc={1C952BC1-E63D-4B56-948E-F0E75D9C4E38}</author>
    <author>tc={32C9D8C4-1153-4C87-A7A2-F8CD26DF321A}</author>
    <author>tc={C557B0E9-A149-4C10-B37C-C0E2C5D0EA9A}</author>
    <author>tc={9575B3B8-C341-4C80-87F7-09034563A054}</author>
  </authors>
  <commentList>
    <comment ref="H1" authorId="0" shapeId="0" xr:uid="{B81E7C9A-E09B-4F7C-BB54-323AE704CC26}">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D16" authorId="2"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7" authorId="3"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9" authorId="4"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21" authorId="5"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<sst xmlns="http://schemas.openxmlformats.org/spreadsheetml/2006/main" count="6171" uniqueCount="2191">
  <si>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</si>
  <si>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</si>
  <si>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</si>
  <si>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</si>
  <si>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</si>
  <si>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</si>
  <si>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</si>
  <si>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</si>
  <si>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</si>
  <si>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</si>
  <si>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</si>
  <si>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</si>
  <si>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</si>
  <si>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</si>
  <si>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</si>
  <si>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</si>
  <si>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</si>
  <si>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</si>
  <si>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</si>
  <si>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</si>
  <si>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</si>
  <si>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</si>
  <si>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</si>
  <si>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</si>
  <si>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</si>
  <si>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</si>
  <si>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</si>
  <si>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</si>
  <si>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</si>
  <si>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</si>
  <si>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</si>
  <si>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</si>
  <si>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</si>
  <si>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</si>
  <si>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</si>
  <si>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</si>
  <si>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</si>
  <si>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</si>
  <si>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</si>
  <si>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</si>
  <si>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</si>
  <si>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</si>
  <si>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</si>
  <si>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</si>
  <si>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</si>
  <si>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</si>
  <si>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</si>
  <si>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</si>
  <si>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</si>
  <si>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</si>
  <si>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</si>
  <si>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</si>
  <si>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</si>
  <si>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</si>
  <si>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</si>
  <si>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</si>
  <si>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</si>
  <si>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</si>
  <si>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</si>
  <si>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</si>
  <si>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</si>
  <si>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</si>
  <si>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</si>
  <si>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</si>
  <si>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</si>
  <si>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</si>
  <si>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</si>
  <si>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</si>
  <si>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</si>
  <si>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</si>
  <si>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</si>
  <si>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</si>
  <si>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</si>
  <si>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</si>
  <si>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</si>
  <si>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</si>
  <si>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</si>
  <si>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</si>
  <si>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</si>
  <si>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</si>
  <si>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</si>
  <si>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</si>
  <si>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</si>
  <si>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</si>
  <si>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</si>
  <si>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</si>
  <si>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</si>
  <si>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</si>
  <si>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</si>
  <si>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</si>
  <si>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</si>
  <si>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</si>
  <si>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</si>
  <si>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</si>
  <si>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</si>
  <si>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</si>
  <si>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</si>
  <si>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</si>
  <si>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</si>
  <si>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</si>
  <si>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</si>
  <si>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</si>
  <si>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</si>
  <si>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</si>
  <si>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</si>
  <si>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</si>
  <si>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</si>
  <si>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</si>
  <si>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</si>
  <si>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</si>
  <si>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</si>
  <si>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</si>
  <si>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</si>
  <si>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</si>
  <si>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</si>
  <si>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</si>
  <si>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</si>
  <si>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</si>
  <si>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</si>
  <si>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</si>
  <si>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</si>
  <si>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</si>
  <si>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</si>
  <si>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</si>
  <si>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</si>
  <si>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</si>
  <si>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</si>
  <si>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</si>
  <si>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</si>
  <si>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</si>
  <si>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</si>
  <si>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</si>
  <si>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</si>
  <si>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</si>
  <si>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</si>
  <si>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</si>
  <si>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</si>
  <si>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</si>
  <si>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</si>
  <si>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</si>
  <si>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</si>
  <si>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</si>
  <si>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</si>
  <si>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</si>
  <si>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</si>
  <si>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</si>
  <si>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</si>
  <si>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</si>
  <si>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</si>
  <si>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</si>
  <si>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</si>
  <si>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</si>
  <si>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</si>
  <si>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</si>
  <si>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</si>
  <si>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</si>
  <si>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</si>
  <si>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</si>
  <si>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</si>
  <si>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</si>
  <si>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</si>
  <si>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</si>
  <si>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</si>
  <si>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</si>
  <si>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</si>
  <si>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</si>
  <si>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</si>
  <si>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</si>
  <si>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</si>
  <si>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</si>
  <si>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</si>
  <si>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</si>
  <si>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</si>
  <si>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</si>
  <si>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</si>
  <si>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</si>
  <si>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</si>
  <si>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</si>
  <si>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</si>
  <si>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</si>
  <si>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</si>
  <si>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</si>
  <si>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</si>
  <si>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</si>
  <si>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</si>
  <si>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</si>
  <si>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</si>
  <si>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</si>
  <si>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</si>
  <si>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</si>
  <si>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</si>
  <si>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</si>
  <si>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</si>
  <si>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</si>
  <si>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</si>
  <si>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</si>
  <si>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</si>
  <si>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</si>
  <si>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</si>
  <si>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</si>
  <si>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</si>
  <si>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</si>
  <si>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</si>
  <si>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</si>
  <si>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</si>
  <si>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</si>
  <si>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</si>
  <si>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</si>
  <si>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</si>
  <si>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</si>
  <si>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</si>
  <si>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</si>
  <si>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</si>
  <si>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</si>
  <si>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</si>
  <si>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</si>
  <si>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</si>
  <si>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</si>
  <si>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</si>
  <si>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</si>
  <si>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</si>
  <si>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</si>
  <si>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</si>
  <si>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</si>
  <si>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</si>
  <si>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</si>
  <si>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</si>
  <si>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</si>
  <si>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</si>
  <si>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</si>
  <si>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</si>
  <si>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</si>
  <si>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</si>
  <si>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</si>
  <si>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</si>
  <si>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</si>
  <si>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</si>
  <si>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</si>
  <si>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</si>
  <si>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</si>
  <si>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</si>
  <si>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</si>
  <si>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</si>
  <si>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</si>
  <si>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</si>
  <si>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</si>
  <si>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</si>
  <si>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</si>
  <si>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</si>
  <si>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</si>
  <si>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</si>
  <si>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</si>
  <si>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</si>
  <si>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</si>
  <si>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</si>
  <si>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</si>
  <si>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</si>
  <si>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</si>
  <si>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</si>
  <si>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</si>
  <si>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</si>
  <si>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</si>
  <si>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</si>
  <si>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</si>
  <si>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</si>
  <si>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</si>
  <si>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</si>
  <si>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</si>
  <si>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</si>
  <si>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</si>
  <si>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</si>
  <si>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</si>
  <si>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</si>
  <si>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</si>
  <si>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</si>
  <si>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</si>
  <si>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</si>
  <si>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</si>
  <si>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</si>
  <si>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</si>
  <si>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</si>
  <si>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</si>
  <si>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</si>
  <si>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</si>
  <si>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</si>
  <si>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</si>
  <si>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</si>
  <si>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</si>
  <si>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</si>
  <si>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</si>
  <si>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</si>
  <si>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</si>
  <si>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</si>
  <si>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</si>
  <si>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</si>
  <si>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</si>
  <si>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</si>
  <si>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</si>
  <si>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</si>
  <si>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</si>
  <si>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</si>
  <si>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</si>
  <si>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</si>
  <si>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</si>
  <si>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</si>
  <si>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</si>
  <si>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</si>
  <si>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</si>
  <si>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</si>
  <si>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</si>
  <si>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</si>
  <si>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</si>
  <si>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</si>
  <si>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</si>
  <si>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</si>
  <si>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</si>
  <si>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</si>
  <si>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</si>
  <si>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</si>
  <si>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</si>
  <si>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</si>
  <si>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</si>
  <si>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</si>
  <si>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</si>
  <si>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</si>
  <si>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</si>
  <si>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</si>
  <si>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</si>
  <si>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</si>
  <si>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</si>
  <si>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</si>
  <si>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</si>
  <si>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</si>
  <si>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</si>
  <si>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</si>
  <si>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</si>
  <si>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</si>
  <si>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</si>
  <si>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</si>
  <si>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</si>
  <si>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</si>
  <si>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</si>
  <si>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</si>
  <si>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</si>
  <si>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</si>
  <si>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</si>
  <si>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</si>
  <si>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</si>
  <si>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</si>
  <si>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</si>
  <si>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</si>
  <si>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</si>
  <si>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</si>
  <si>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</si>
  <si>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</si>
  <si>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</si>
  <si>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</si>
  <si>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</si>
  <si>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</si>
  <si>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</si>
  <si>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</si>
  <si>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</si>
  <si>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</si>
  <si>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</si>
  <si>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</si>
  <si>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</si>
  <si>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</si>
  <si>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</si>
  <si>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</si>
  <si>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</si>
  <si>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</si>
  <si>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</si>
  <si>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</si>
  <si>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</si>
  <si>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</si>
  <si>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</si>
  <si>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</si>
  <si>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</si>
  <si>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</si>
  <si>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</si>
  <si>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</si>
  <si>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</si>
  <si>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</si>
  <si>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</si>
  <si>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</si>
  <si>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</si>
  <si>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</si>
  <si>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</si>
  <si>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</si>
  <si>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</si>
  <si>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</si>
  <si>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</si>
  <si>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</si>
  <si>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</si>
  <si>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</si>
  <si>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</si>
  <si>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</si>
  <si>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</si>
  <si>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</si>
  <si>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</si>
  <si>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</si>
  <si>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</si>
  <si>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</si>
  <si>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</si>
  <si>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</si>
  <si>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</si>
  <si>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</si>
  <si>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</si>
  <si>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</si>
  <si>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</si>
  <si>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</si>
  <si>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</si>
  <si>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</si>
  <si>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</si>
  <si>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</si>
  <si>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</si>
  <si>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</si>
  <si>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</si>
  <si>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</si>
  <si>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</si>
  <si>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</si>
  <si>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</si>
  <si>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</si>
  <si>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</si>
  <si>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</si>
  <si>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</si>
  <si>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</si>
  <si>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</si>
  <si>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</si>
  <si>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</si>
  <si>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</si>
  <si>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</si>
  <si>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</si>
  <si>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</si>
  <si>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</si>
  <si>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</si>
  <si>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</si>
  <si>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</si>
  <si>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</si>
  <si>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</si>
  <si>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</si>
  <si>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</si>
  <si>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</si>
  <si>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</si>
  <si>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</si>
  <si>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</si>
  <si>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</si>
  <si>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</si>
  <si>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</si>
  <si>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</si>
  <si>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</si>
  <si>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</si>
  <si>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</si>
  <si>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</si>
  <si>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</si>
  <si>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</si>
  <si>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</si>
  <si>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</si>
  <si>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</si>
  <si>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</si>
  <si>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</si>
  <si>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</si>
  <si>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</si>
  <si>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</si>
  <si>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</si>
  <si>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</si>
  <si>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</si>
  <si>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</si>
  <si>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</si>
  <si>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</si>
  <si>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</si>
  <si>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</si>
  <si>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</si>
  <si>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</si>
  <si>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</si>
  <si>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</si>
  <si>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</si>
  <si>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</si>
  <si>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</si>
  <si>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</si>
  <si>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</si>
  <si>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</si>
  <si>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</si>
  <si>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</si>
  <si>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</si>
  <si>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</si>
  <si>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</si>
  <si>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</si>
  <si>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</si>
  <si>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</si>
  <si>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</si>
  <si>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</si>
  <si>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</si>
  <si>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</si>
  <si>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</si>
  <si>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</si>
  <si>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</si>
  <si>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</si>
  <si>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</si>
  <si>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</si>
  <si>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</si>
  <si>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</si>
  <si>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</si>
  <si>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</si>
  <si>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</si>
  <si>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</si>
  <si>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</si>
  <si>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</si>
  <si>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</si>
  <si>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</si>
  <si>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</si>
  <si>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</si>
  <si>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</si>
  <si>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</si>
  <si>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</si>
  <si>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</si>
  <si>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</si>
  <si>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</si>
  <si>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</si>
  <si>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</si>
  <si>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</si>
  <si>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</si>
  <si>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</si>
  <si>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</si>
  <si>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</si>
  <si>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</si>
  <si>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</si>
  <si>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</si>
  <si>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</si>
  <si>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</si>
  <si>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</si>
  <si>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</si>
  <si>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</si>
  <si>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</si>
  <si>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</si>
  <si>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</si>
  <si>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</si>
  <si>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</si>
  <si>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</si>
  <si>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</si>
  <si>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</si>
  <si>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</si>
  <si>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</si>
  <si>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</si>
  <si>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</si>
  <si>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</si>
  <si>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</si>
  <si>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</si>
  <si>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</si>
  <si>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</si>
  <si>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</si>
  <si>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</si>
  <si>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</si>
  <si>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</si>
  <si>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</si>
  <si>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</si>
  <si>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</si>
  <si>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</si>
  <si>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</si>
  <si>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</si>
  <si>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</si>
  <si>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</si>
  <si>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</si>
  <si>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</si>
  <si>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</si>
  <si>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</si>
  <si>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</si>
  <si>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</si>
  <si>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</si>
  <si>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</si>
  <si>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</si>
  <si>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</si>
  <si>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</si>
  <si>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</si>
  <si>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</si>
  <si>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</si>
  <si>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</si>
  <si>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</si>
  <si>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</si>
  <si>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</si>
  <si>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</si>
  <si>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</si>
  <si>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</si>
  <si>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</si>
  <si>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</si>
  <si>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</si>
  <si>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</si>
  <si>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</si>
  <si>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</si>
  <si>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</si>
  <si>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</si>
  <si>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</si>
  <si>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</si>
  <si>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</si>
  <si>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</si>
  <si>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</si>
  <si>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</si>
  <si>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</si>
  <si>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</si>
  <si>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</si>
  <si>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</si>
  <si>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</si>
  <si>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</si>
  <si>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</si>
  <si>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</si>
  <si>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</si>
  <si>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</si>
  <si>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</si>
  <si>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</si>
  <si>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</si>
  <si>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</si>
  <si>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</si>
  <si>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</si>
  <si>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</si>
  <si>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</si>
  <si>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</si>
  <si>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</si>
  <si>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</si>
  <si>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</si>
  <si>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</si>
  <si>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</si>
  <si>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</si>
  <si>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</si>
  <si>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</si>
  <si>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</si>
  <si>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</si>
  <si>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</si>
  <si>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</si>
  <si>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</si>
  <si>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</si>
  <si>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</si>
  <si>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</si>
  <si>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</si>
  <si>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</si>
  <si>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</si>
  <si>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</si>
  <si>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</si>
  <si>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</si>
  <si>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</si>
  <si>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</si>
  <si>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</si>
  <si>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</si>
  <si>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</si>
  <si>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</si>
  <si>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</si>
  <si>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</si>
  <si>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</si>
  <si>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</si>
  <si>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</si>
  <si>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</si>
  <si>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</si>
  <si>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</si>
  <si>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</si>
  <si>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</si>
  <si>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</si>
  <si>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</si>
  <si>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</si>
  <si>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</si>
  <si>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</si>
  <si>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</si>
  <si>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</si>
  <si>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</si>
  <si>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</si>
  <si>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</si>
  <si>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</si>
  <si>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</si>
  <si>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</si>
  <si>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</si>
  <si>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</si>
  <si>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</si>
  <si>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</si>
  <si>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</si>
  <si>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</si>
  <si>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</si>
  <si>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</si>
  <si>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</si>
  <si>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</si>
  <si>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</si>
  <si>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</si>
  <si>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</si>
  <si>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</si>
  <si>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</si>
  <si>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</si>
  <si>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</si>
  <si>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</si>
  <si>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</si>
  <si>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</si>
  <si>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</si>
  <si>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</si>
  <si>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</si>
  <si>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</si>
  <si>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</si>
  <si>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</si>
  <si>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</si>
  <si>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</si>
  <si>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</si>
  <si>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</si>
  <si>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</si>
  <si>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</si>
  <si>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</si>
  <si>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</si>
  <si>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</si>
  <si>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</si>
  <si>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</si>
  <si>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</si>
  <si>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</si>
  <si>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</si>
  <si>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</si>
  <si>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</si>
  <si>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</si>
  <si>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</si>
  <si>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</si>
  <si>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</si>
  <si>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</si>
  <si>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</si>
  <si>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</si>
  <si>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</si>
  <si>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</si>
  <si>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</si>
  <si>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</si>
  <si>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</si>
  <si>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</si>
  <si>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</si>
  <si>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</si>
  <si>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</si>
  <si>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</si>
  <si>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</si>
  <si>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</si>
  <si>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</si>
  <si>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</si>
  <si>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</si>
  <si>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</si>
  <si>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</si>
  <si>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</si>
  <si>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</si>
  <si>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</si>
  <si>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</si>
  <si>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</si>
  <si>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</si>
  <si>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</si>
  <si>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</si>
  <si>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</si>
  <si>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</si>
  <si>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</si>
  <si>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</si>
  <si>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</si>
  <si>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</si>
  <si>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</si>
  <si>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</si>
  <si>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</si>
  <si>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</si>
  <si>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</si>
  <si>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</si>
  <si>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</si>
  <si>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</si>
  <si>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</si>
  <si>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</si>
  <si>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</si>
  <si>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</si>
  <si>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</si>
  <si>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</si>
  <si>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</si>
  <si>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</si>
  <si>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</si>
  <si>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</si>
  <si>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</si>
  <si>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</si>
  <si>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</si>
  <si>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</si>
  <si>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</si>
  <si>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</si>
  <si>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</si>
  <si>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</si>
  <si>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</si>
  <si>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</si>
  <si>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</si>
  <si>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</si>
  <si>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</si>
  <si>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</si>
  <si>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</si>
  <si>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</si>
  <si>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</si>
  <si>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</si>
  <si>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</si>
  <si>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</si>
  <si>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</si>
  <si>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</si>
  <si>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</si>
  <si>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</si>
  <si>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</si>
  <si>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</si>
  <si>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</si>
  <si>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</si>
  <si>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</si>
  <si>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</si>
  <si>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</si>
  <si>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</si>
  <si>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</si>
  <si>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</si>
  <si>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</si>
  <si>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</si>
  <si>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</si>
  <si>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</si>
  <si>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</si>
  <si>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</si>
  <si>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</si>
  <si>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</si>
  <si>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</si>
  <si>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</si>
  <si>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</si>
  <si>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</si>
  <si>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</si>
  <si>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</si>
  <si>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</si>
  <si>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</si>
  <si>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</si>
  <si>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</si>
  <si>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</si>
  <si>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</si>
  <si>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</si>
  <si>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</si>
  <si>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</si>
  <si>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</si>
  <si>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</si>
  <si>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</si>
  <si>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</si>
  <si>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</si>
  <si>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</si>
  <si>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</si>
  <si>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</si>
  <si>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</si>
  <si>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</si>
  <si>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</si>
  <si>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</si>
  <si>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</si>
  <si>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</si>
  <si>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</si>
  <si>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</si>
  <si>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</si>
  <si>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</si>
  <si>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</si>
  <si>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</si>
  <si>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</si>
  <si>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</si>
  <si>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</si>
  <si>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</si>
  <si>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</si>
  <si>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</si>
  <si>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</si>
  <si>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</si>
  <si>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</si>
  <si>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</si>
  <si>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</si>
  <si>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</si>
  <si>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</si>
  <si>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</si>
  <si>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</si>
  <si>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</si>
  <si>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</si>
  <si>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</si>
  <si>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</si>
  <si>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</si>
  <si>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</si>
  <si>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</si>
  <si>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</si>
  <si>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</si>
  <si>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</si>
  <si>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</si>
  <si>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</si>
  <si>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</si>
  <si>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</si>
  <si>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</si>
  <si>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</si>
  <si>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</si>
  <si>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</si>
  <si>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</si>
  <si>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</si>
  <si>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</si>
  <si>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</si>
  <si>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</si>
  <si>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</si>
  <si>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</si>
  <si>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</si>
  <si>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</si>
  <si>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</si>
  <si>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</si>
  <si>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</si>
  <si>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</si>
  <si>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</si>
  <si>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</si>
  <si>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</si>
  <si>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</si>
  <si>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</si>
  <si>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</si>
  <si>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</si>
  <si>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</si>
  <si>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</si>
  <si>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</si>
  <si>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</si>
  <si>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</si>
  <si>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</si>
  <si>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</si>
  <si>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</si>
  <si>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</si>
  <si>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</si>
  <si>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</si>
  <si>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</si>
  <si>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</si>
  <si>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</si>
  <si>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</si>
  <si>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</si>
  <si>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</si>
  <si>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</si>
  <si>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</si>
  <si>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</si>
  <si>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</si>
  <si>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</si>
  <si>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</si>
  <si>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</si>
  <si>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</si>
  <si>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</si>
  <si>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</si>
  <si>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</si>
  <si>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</si>
  <si>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</si>
  <si>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</si>
  <si>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</si>
  <si>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</si>
  <si>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</si>
  <si>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</si>
  <si>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</si>
  <si>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</si>
  <si>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</si>
  <si>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</si>
  <si>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</si>
  <si>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</si>
  <si>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</si>
  <si>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</si>
  <si>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</si>
  <si>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</si>
  <si>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</si>
  <si>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</si>
  <si>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</si>
  <si>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</si>
  <si>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</si>
  <si>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</si>
  <si>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</si>
  <si>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</si>
  <si>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</si>
  <si>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</si>
  <si>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</si>
  <si>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</si>
  <si>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</si>
  <si>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</si>
  <si>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</si>
  <si>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</si>
  <si>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</si>
  <si>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</si>
  <si>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</si>
  <si>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</si>
  <si>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</si>
  <si>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</si>
  <si>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</si>
  <si>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</si>
  <si>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</si>
  <si>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</si>
  <si>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</si>
  <si>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</si>
  <si>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</si>
  <si>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</si>
  <si>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</si>
  <si>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</si>
  <si>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</si>
  <si>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</si>
  <si>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</si>
  <si>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</si>
  <si>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</si>
  <si>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</si>
  <si>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</si>
  <si>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</si>
  <si>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</si>
  <si>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</si>
  <si>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</si>
  <si>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</si>
  <si>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</si>
  <si>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</si>
  <si>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</si>
  <si>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</si>
  <si>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</si>
  <si>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</si>
  <si>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</si>
  <si>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</si>
  <si>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</si>
  <si>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</si>
  <si>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</si>
  <si>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</si>
  <si>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</si>
  <si>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</si>
  <si>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</si>
  <si>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</si>
  <si>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</si>
  <si>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</si>
  <si>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</si>
  <si>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</si>
  <si>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</si>
  <si>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</si>
  <si>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</si>
  <si>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</si>
  <si>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</si>
  <si>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</si>
  <si>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</si>
  <si>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</si>
  <si>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</si>
  <si>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</si>
  <si>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</si>
  <si>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</si>
  <si>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</si>
  <si>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</si>
  <si>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</si>
  <si>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</si>
  <si>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</si>
  <si>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</si>
  <si>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</si>
  <si>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</si>
  <si>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</si>
  <si>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</si>
  <si>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</si>
  <si>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</si>
  <si>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</si>
  <si>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</si>
  <si>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</si>
  <si>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</si>
  <si>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</si>
  <si>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</si>
  <si>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</si>
  <si>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</si>
  <si>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</si>
  <si>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</si>
  <si>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</si>
  <si>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</si>
  <si>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</si>
  <si>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</si>
  <si>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</si>
  <si>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</si>
  <si>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</si>
  <si>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</si>
  <si>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</si>
  <si>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</si>
  <si>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</si>
  <si>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</si>
  <si>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</si>
  <si>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</si>
  <si>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</si>
  <si>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</si>
  <si>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</si>
  <si>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</si>
  <si>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</si>
  <si>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</si>
  <si>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</si>
  <si>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</si>
  <si>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</si>
  <si>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</si>
  <si>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</si>
  <si>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</si>
  <si>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</si>
  <si>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</si>
  <si>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</si>
  <si>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</si>
  <si>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</si>
  <si>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</si>
  <si>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</si>
  <si>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</si>
  <si>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</si>
  <si>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</si>
  <si>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</si>
  <si>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</si>
  <si>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</si>
  <si>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</si>
  <si>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</si>
  <si>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</si>
  <si>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</si>
  <si>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</si>
  <si>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</si>
  <si>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</si>
  <si>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</si>
  <si>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</si>
  <si>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</si>
  <si>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</si>
  <si>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</si>
  <si>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</si>
  <si>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</si>
  <si>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</si>
  <si>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</si>
  <si>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</si>
  <si>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</si>
  <si>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</si>
  <si>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</si>
  <si>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</si>
  <si>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</si>
  <si>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</si>
  <si>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</si>
  <si>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</si>
  <si>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</si>
  <si>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</si>
  <si>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</si>
  <si>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</si>
  <si>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</si>
  <si>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</si>
  <si>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</si>
  <si>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</si>
  <si>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</si>
  <si>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</si>
  <si>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</si>
  <si>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</si>
  <si>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</si>
  <si>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</si>
  <si>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</si>
  <si>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</si>
  <si>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</si>
  <si>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</si>
  <si>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</si>
  <si>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</si>
  <si>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</si>
  <si>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</si>
  <si>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</si>
  <si>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</si>
  <si>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</si>
  <si>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</si>
  <si>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</si>
  <si>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</si>
  <si>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</si>
  <si>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</si>
  <si>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</si>
  <si>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</si>
  <si>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</si>
  <si>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</si>
  <si>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</si>
  <si>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</si>
  <si>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</si>
  <si>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</si>
  <si>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</si>
  <si>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</si>
  <si>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</si>
  <si>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</si>
  <si>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</si>
  <si>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</si>
  <si>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</si>
  <si>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</si>
  <si>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</si>
  <si>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</si>
  <si>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</si>
  <si>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</si>
  <si>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</si>
  <si>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</si>
  <si>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</si>
  <si>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</si>
  <si>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</si>
  <si>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</si>
  <si>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</si>
  <si>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</si>
  <si>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</si>
  <si>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</si>
  <si>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</si>
  <si>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</si>
  <si>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</si>
  <si>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</si>
  <si>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</si>
  <si>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</si>
  <si>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</si>
  <si>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</si>
  <si>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</si>
  <si>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</si>
  <si>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</si>
  <si>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</si>
  <si>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</si>
  <si>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</si>
  <si>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</si>
  <si>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</si>
  <si>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</si>
  <si>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</si>
  <si>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</si>
  <si>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</si>
  <si>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</si>
  <si>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</si>
  <si>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</si>
  <si>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</si>
  <si>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</si>
  <si>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</si>
  <si>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</si>
  <si>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</si>
  <si>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</si>
  <si>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</si>
  <si>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</si>
  <si>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</si>
  <si>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</si>
  <si>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</si>
  <si>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</si>
  <si>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</si>
  <si>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</si>
  <si>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</si>
  <si>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</si>
  <si>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</si>
  <si>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</si>
  <si>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</si>
  <si>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</si>
  <si>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</si>
  <si>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</si>
  <si>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</si>
  <si>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</si>
  <si>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</si>
  <si>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</si>
  <si>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</si>
  <si>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</si>
  <si>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</si>
  <si>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</si>
  <si>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</si>
  <si>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</si>
  <si>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</si>
  <si>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</si>
  <si>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</si>
  <si>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</si>
  <si>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</si>
  <si>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</si>
  <si>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</si>
  <si>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</si>
  <si>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</si>
  <si>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</si>
  <si>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</si>
  <si>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</si>
  <si>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</si>
  <si>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</si>
  <si>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</si>
  <si>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</si>
  <si>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</si>
  <si>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</si>
  <si>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</si>
  <si>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</si>
  <si>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</si>
  <si>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</si>
  <si>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</si>
  <si>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</si>
  <si>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</si>
  <si>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</si>
  <si>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</si>
  <si>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</si>
  <si>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</si>
  <si>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</si>
  <si>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</si>
  <si>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</si>
  <si>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</si>
  <si>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</si>
  <si>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</si>
  <si>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</si>
  <si>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</si>
  <si>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</si>
  <si>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</si>
  <si>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</si>
  <si>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</si>
  <si>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</si>
  <si>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</si>
  <si>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</si>
  <si>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</si>
  <si>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</si>
  <si>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</si>
  <si>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</si>
  <si>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</si>
  <si>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</si>
  <si>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</si>
  <si>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</si>
  <si>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</si>
  <si>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</si>
  <si>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</si>
  <si>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</si>
  <si>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</si>
  <si>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</si>
  <si>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</si>
  <si>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</si>
  <si>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</si>
  <si>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</si>
  <si>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</si>
  <si>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</si>
  <si>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</si>
  <si>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</si>
  <si>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</si>
  <si>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</si>
  <si>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</si>
  <si>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</si>
  <si>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</si>
  <si>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</si>
  <si>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</si>
  <si>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</si>
  <si>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</si>
  <si>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</si>
  <si>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</si>
  <si>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</si>
  <si>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</si>
  <si>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</si>
  <si>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</si>
  <si>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</si>
  <si>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</si>
  <si>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</si>
  <si>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</si>
  <si>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</si>
  <si>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</si>
  <si>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</si>
  <si>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</si>
  <si>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</si>
  <si>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</si>
  <si>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</si>
  <si>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</si>
  <si>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</si>
  <si>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</si>
  <si>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</si>
  <si>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</si>
  <si>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</si>
  <si>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</si>
  <si>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</si>
  <si>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</si>
  <si>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</si>
  <si>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</si>
  <si>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</si>
  <si>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</si>
  <si>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</si>
  <si>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</si>
  <si>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</si>
  <si>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</si>
  <si>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</si>
  <si>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</si>
  <si>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</si>
  <si>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</si>
  <si>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</si>
  <si>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</si>
  <si>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</si>
  <si>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</si>
  <si>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</si>
  <si>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</si>
  <si>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</si>
  <si>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</si>
  <si>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</si>
  <si>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</si>
  <si>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</si>
  <si>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</si>
  <si>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</si>
  <si>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</si>
  <si>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</si>
  <si>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</si>
  <si>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</si>
  <si>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</si>
  <si>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</si>
  <si>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</si>
  <si>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</si>
  <si>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</si>
  <si>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</si>
  <si>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</si>
  <si>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</si>
  <si>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</si>
  <si>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</si>
  <si>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</si>
  <si>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</si>
  <si>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</si>
  <si>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</si>
  <si>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</si>
  <si>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</si>
  <si>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</si>
  <si>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</si>
  <si>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</si>
  <si>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</si>
  <si>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</si>
  <si>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</si>
  <si>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</si>
  <si>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</si>
  <si>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</si>
  <si>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</si>
  <si>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</si>
  <si>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</si>
  <si>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</si>
  <si>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</si>
  <si>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</si>
  <si>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</si>
  <si>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</si>
  <si>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</si>
  <si>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</si>
  <si>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</si>
  <si>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</si>
  <si>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</si>
  <si>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</si>
  <si>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</si>
  <si>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</si>
  <si>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</si>
  <si>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</si>
  <si>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</si>
  <si>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</si>
  <si>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</si>
  <si>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</si>
  <si>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</si>
  <si>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</si>
  <si>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</si>
  <si>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</si>
  <si>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</si>
  <si>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</si>
  <si>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</si>
  <si>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</si>
  <si>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</si>
  <si>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</si>
  <si>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</si>
  <si>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</si>
  <si>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</si>
  <si>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</si>
  <si>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</si>
  <si>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</si>
  <si>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</si>
  <si>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</si>
  <si>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</si>
  <si>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</si>
  <si>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</si>
  <si>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</si>
  <si>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</si>
  <si>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</si>
  <si>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</si>
  <si>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</si>
  <si>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</si>
  <si>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</si>
  <si>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</si>
  <si>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</si>
  <si>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</si>
  <si>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</si>
  <si>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</si>
  <si>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</si>
  <si>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</si>
  <si>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</si>
  <si>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</si>
  <si>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</si>
  <si>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</si>
  <si>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</si>
  <si>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</si>
  <si>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</si>
  <si>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</si>
  <si>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</si>
  <si>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</si>
  <si>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</si>
  <si>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</si>
  <si>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</si>
  <si>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</si>
  <si>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</si>
  <si>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</si>
  <si>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</si>
  <si>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</si>
  <si>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</si>
  <si>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</si>
  <si>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</si>
  <si>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</si>
  <si>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</si>
  <si>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</si>
  <si>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</si>
  <si>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</si>
  <si>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</si>
  <si>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</si>
  <si>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</si>
  <si>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</si>
  <si>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</si>
  <si>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</si>
  <si>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</si>
  <si>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</si>
  <si>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</si>
  <si>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</si>
  <si>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</si>
  <si>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</si>
  <si>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</si>
  <si>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</si>
  <si>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</si>
  <si>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</si>
  <si>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</si>
  <si>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</si>
  <si>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</si>
  <si>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</si>
  <si>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</si>
  <si>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</si>
  <si>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</si>
  <si>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</si>
  <si>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</si>
  <si>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</si>
  <si>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</si>
  <si>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</si>
  <si>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</si>
  <si>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</si>
  <si>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</si>
  <si>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</si>
  <si>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</si>
  <si>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</si>
  <si>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</si>
  <si>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</si>
  <si>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</si>
  <si>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</si>
  <si>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</si>
  <si>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</si>
  <si>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</si>
  <si>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</si>
  <si>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</si>
  <si>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</si>
  <si>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</si>
  <si>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</si>
  <si>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</si>
  <si>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</si>
  <si>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</si>
  <si>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</si>
  <si>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</si>
  <si>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</si>
  <si>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</si>
  <si>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</si>
  <si>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</si>
  <si>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</si>
  <si>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</si>
  <si>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</si>
  <si>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</si>
  <si>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</si>
  <si>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</si>
  <si>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</si>
  <si>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</si>
  <si>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</si>
  <si>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</si>
  <si>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</si>
  <si>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</si>
  <si>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</si>
  <si>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</si>
  <si>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</si>
  <si>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</si>
  <si>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</si>
  <si>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</si>
  <si>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</si>
  <si>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</si>
  <si>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</si>
  <si>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</si>
  <si>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</si>
  <si>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</si>
  <si>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</si>
  <si>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</si>
  <si>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</si>
  <si>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</si>
  <si>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</si>
  <si>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</si>
  <si>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</si>
  <si>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</si>
  <si>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</si>
  <si>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</si>
  <si>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</si>
  <si>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</si>
  <si>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</si>
  <si>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</si>
  <si>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</si>
  <si>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</si>
  <si>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</si>
  <si>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</si>
  <si>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</si>
  <si>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</si>
  <si>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</si>
  <si>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</si>
  <si>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</si>
  <si>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</si>
  <si>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</si>
  <si>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</si>
  <si>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</si>
  <si>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</si>
  <si>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</si>
  <si>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</si>
  <si>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</si>
  <si>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</si>
  <si>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</si>
  <si>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</si>
  <si>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</si>
  <si>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</si>
  <si>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</si>
  <si>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</si>
  <si>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</si>
  <si>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</si>
  <si>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</si>
  <si>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</si>
  <si>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</si>
  <si>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</si>
  <si>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</si>
  <si>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</si>
  <si>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</si>
  <si>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</si>
  <si>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</si>
  <si>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</si>
  <si>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</si>
  <si>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</si>
  <si>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</si>
  <si>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</si>
  <si>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</si>
  <si>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</si>
  <si>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</si>
  <si>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</si>
  <si>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</si>
  <si>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</si>
  <si>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</si>
  <si>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</si>
  <si>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</si>
  <si>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</si>
  <si>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</si>
  <si>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</si>
  <si>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</si>
  <si>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</si>
  <si>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</si>
  <si>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</si>
  <si>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</si>
  <si>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</si>
  <si>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</si>
  <si>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</si>
  <si>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</si>
  <si>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</si>
  <si>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</si>
  <si>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</si>
  <si>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</si>
  <si>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</si>
  <si>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</si>
  <si>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</si>
  <si>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</si>
  <si>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</si>
  <si>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</si>
  <si>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</si>
  <si>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</si>
  <si>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</si>
  <si>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</si>
  <si>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</si>
  <si>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</si>
  <si>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</si>
  <si>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</si>
  <si>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</si>
  <si>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</si>
  <si>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</si>
  <si>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</si>
  <si>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</si>
  <si>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</si>
  <si>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</si>
  <si>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</si>
  <si>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</si>
  <si>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</si>
  <si>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</si>
  <si>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</si>
  <si>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</si>
  <si>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</si>
  <si>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</si>
  <si>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</si>
  <si>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</si>
  <si>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</si>
  <si>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</si>
  <si>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</si>
  <si>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</si>
  <si>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</si>
  <si>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</si>
  <si>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</si>
  <si>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</si>
  <si>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</si>
  <si>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</si>
  <si>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</si>
  <si>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</si>
  <si>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</si>
  <si>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</si>
  <si>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</si>
  <si>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</si>
  <si>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</si>
  <si>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</si>
  <si>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</si>
  <si>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</si>
  <si>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</si>
  <si>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</si>
  <si>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</si>
  <si>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</si>
  <si>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</si>
  <si>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</si>
  <si>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</si>
  <si>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</si>
  <si>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</si>
  <si>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</si>
  <si>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</si>
  <si>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</si>
  <si>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</si>
  <si>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</si>
  <si>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</si>
  <si>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</si>
  <si>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</si>
  <si>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</si>
  <si>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</si>
  <si>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</si>
  <si>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</si>
  <si>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</si>
  <si>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</si>
  <si>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</si>
  <si>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</si>
  <si>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</si>
  <si>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</si>
  <si>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</si>
  <si>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</si>
  <si>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</si>
  <si>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</si>
  <si>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</si>
  <si>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</si>
  <si>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</si>
  <si>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</si>
  <si>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</si>
  <si>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</si>
  <si>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</si>
  <si>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</si>
  <si>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</si>
  <si>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</si>
  <si>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</si>
  <si>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</si>
  <si>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</si>
  <si>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</si>
  <si>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</si>
  <si>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</si>
  <si>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</si>
  <si>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</si>
  <si>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</si>
  <si>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</si>
  <si>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</si>
  <si>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</si>
  <si>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</si>
  <si>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</si>
  <si>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</si>
  <si>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</si>
  <si>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</si>
  <si>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</si>
  <si>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</si>
  <si>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</si>
  <si>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</si>
  <si>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</si>
  <si>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</si>
  <si>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</si>
  <si>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</si>
  <si>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</si>
  <si>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</si>
  <si>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</si>
  <si>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</si>
  <si>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</si>
  <si>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</si>
  <si>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</si>
  <si>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</si>
  <si>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</si>
  <si>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</si>
  <si>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</si>
  <si>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</si>
  <si>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</si>
  <si>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</si>
  <si>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</si>
  <si>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</si>
  <si>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</si>
  <si>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</si>
  <si>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</si>
  <si>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</si>
  <si>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</si>
  <si>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</si>
  <si>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</si>
  <si>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</si>
  <si>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</si>
  <si>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</si>
  <si>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</si>
  <si>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</si>
  <si>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</si>
  <si>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</si>
  <si>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</si>
  <si>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</si>
  <si>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</si>
  <si>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</si>
  <si>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</si>
  <si>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</si>
  <si>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</si>
  <si>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</si>
  <si>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</si>
  <si>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</si>
  <si>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</si>
  <si>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</si>
  <si>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</si>
  <si>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</si>
  <si>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</si>
  <si>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</si>
  <si>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</si>
  <si>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</si>
  <si>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</si>
  <si>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</si>
  <si>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</si>
  <si>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</si>
  <si>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</si>
  <si>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</si>
  <si>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</si>
  <si>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</si>
  <si>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</si>
  <si>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</si>
  <si>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</si>
  <si>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</si>
  <si>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</si>
  <si>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</si>
  <si>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</si>
  <si>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</si>
  <si>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</si>
  <si>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</si>
  <si>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</si>
  <si>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</si>
  <si>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</si>
  <si>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</si>
  <si>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</si>
  <si>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</si>
  <si>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</si>
  <si>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</si>
  <si>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</si>
  <si>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</si>
  <si>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</si>
  <si>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</si>
  <si>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</si>
  <si>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</si>
  <si>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</si>
  <si>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</si>
  <si>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</si>
  <si>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</si>
  <si>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</si>
  <si>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</si>
  <si>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</si>
  <si>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</si>
  <si>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</si>
  <si>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</si>
  <si>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</si>
  <si>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</si>
  <si>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</si>
  <si>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</si>
  <si>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</si>
  <si>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</si>
  <si>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</si>
  <si>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</si>
  <si>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</si>
  <si>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</si>
  <si>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</si>
  <si>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</si>
  <si>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</si>
  <si>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</si>
  <si>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</si>
  <si>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</si>
  <si>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</si>
  <si>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</si>
  <si>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</si>
  <si>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</si>
  <si>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</si>
  <si>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</si>
  <si>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</si>
  <si>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</si>
  <si>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</si>
  <si>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</si>
  <si>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</si>
  <si>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</si>
  <si>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</si>
  <si>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</si>
  <si>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</si>
  <si>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</si>
  <si>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</si>
  <si>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</si>
  <si>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</si>
  <si>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</si>
  <si>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</si>
  <si>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</si>
  <si>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</si>
  <si>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</si>
  <si>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</si>
  <si>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</si>
  <si>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</si>
  <si>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</si>
  <si>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</si>
  <si>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</si>
  <si>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</si>
  <si>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</si>
  <si>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</si>
  <si>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</si>
  <si>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</si>
  <si>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</si>
  <si>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</si>
  <si>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</si>
  <si>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</si>
  <si>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</si>
  <si>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</si>
  <si>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</si>
  <si>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</si>
  <si>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</si>
  <si>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</si>
  <si>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</si>
  <si>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</si>
  <si>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</si>
  <si>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</si>
  <si>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</si>
  <si>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</si>
  <si>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</si>
  <si>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</si>
  <si>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</si>
  <si>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</si>
  <si>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</si>
  <si>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</si>
  <si>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</si>
  <si>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</si>
  <si>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</si>
  <si>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</si>
  <si>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</si>
  <si>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</si>
  <si>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</si>
  <si>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</si>
  <si>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</si>
  <si>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</si>
  <si>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</si>
  <si>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</si>
  <si>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</si>
  <si>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</si>
  <si>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</si>
  <si>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</si>
  <si>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</si>
  <si>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</si>
  <si>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</si>
  <si>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</si>
  <si>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</si>
  <si>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</si>
  <si>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</si>
  <si>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</si>
  <si>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</si>
  <si>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</si>
  <si>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</si>
  <si>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</si>
  <si>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</si>
  <si>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</si>
  <si>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</si>
  <si>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</si>
  <si>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</si>
  <si>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</si>
  <si>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</si>
  <si>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</si>
  <si>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</si>
  <si>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</si>
  <si>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</si>
  <si>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</si>
  <si>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</si>
  <si>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</si>
  <si>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</si>
  <si>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</si>
  <si>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</si>
  <si>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</si>
  <si>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</si>
  <si>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</si>
  <si>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</si>
  <si>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</si>
  <si>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</si>
  <si>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</si>
  <si>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</si>
  <si>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</si>
  <si>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</si>
  <si>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</si>
  <si>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</si>
  <si>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</si>
  <si>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</si>
  <si>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</si>
  <si>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</si>
  <si>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</si>
  <si>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</si>
  <si>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</si>
  <si>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</si>
  <si>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</si>
  <si>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</si>
  <si>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</si>
  <si>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</si>
  <si>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</si>
  <si>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</si>
  <si>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</si>
  <si>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</si>
  <si>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</si>
  <si>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</si>
  <si>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</si>
  <si>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</si>
  <si>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</si>
  <si>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</si>
  <si>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</si>
  <si>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</si>
  <si>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</si>
  <si>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</si>
  <si>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</si>
  <si>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</si>
  <si>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</si>
  <si>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</si>
  <si>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</si>
  <si>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</si>
  <si>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</si>
  <si>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</si>
  <si>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</si>
  <si>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</si>
  <si>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</si>
  <si>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</si>
  <si>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</si>
  <si>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</si>
  <si>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</si>
  <si>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</si>
  <si>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</si>
  <si>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</si>
  <si>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</si>
  <si>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</si>
  <si>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</si>
  <si>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</si>
  <si>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</si>
  <si>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</si>
  <si>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</si>
  <si>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</si>
  <si>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</si>
  <si>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</si>
  <si>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</si>
  <si>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</si>
  <si>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</si>
  <si>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</si>
  <si>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</si>
  <si>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</si>
  <si>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</si>
  <si>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</si>
  <si>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</si>
  <si>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</si>
  <si>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</si>
  <si>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</si>
  <si>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</si>
  <si>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</si>
  <si>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</si>
  <si>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</si>
  <si>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</si>
  <si>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</si>
  <si>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</si>
  <si>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</si>
  <si>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</si>
  <si>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</si>
  <si>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</si>
  <si>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</si>
  <si>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</si>
  <si>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</si>
  <si>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</si>
  <si>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</si>
  <si>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</si>
  <si>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</si>
  <si>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</si>
  <si>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</si>
  <si>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</si>
  <si>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</si>
  <si>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</si>
  <si>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</si>
  <si>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</si>
  <si>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</si>
  <si>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</si>
  <si>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</si>
  <si>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</si>
  <si>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</si>
  <si>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</si>
  <si>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</si>
  <si>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</si>
  <si>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</si>
  <si>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</si>
  <si>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</si>
  <si>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</si>
  <si>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</si>
  <si>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</si>
  <si>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</si>
  <si>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</si>
  <si>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</si>
  <si>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</si>
  <si>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</si>
  <si>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</si>
  <si>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</si>
  <si>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</si>
  <si>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</si>
  <si>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</si>
  <si>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</si>
  <si>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</si>
  <si>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</si>
  <si>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</si>
  <si>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</si>
  <si>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</si>
  <si>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</si>
  <si>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</si>
  <si>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</si>
  <si>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</si>
  <si>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</si>
  <si>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</si>
  <si>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</si>
  <si>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</si>
  <si>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</si>
  <si>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</si>
  <si>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</si>
  <si>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</si>
  <si>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</si>
  <si>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</si>
  <si>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</si>
  <si>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</si>
  <si>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</si>
  <si>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</si>
  <si>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</si>
  <si>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</si>
  <si>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</si>
  <si>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</si>
  <si>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</si>
  <si>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</si>
  <si>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</si>
  <si>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</si>
  <si>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</si>
  <si>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</si>
  <si>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</si>
  <si>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</si>
  <si>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</si>
  <si>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</si>
  <si>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</si>
  <si>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</si>
  <si>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</si>
  <si>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</si>
  <si>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</si>
  <si>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</si>
  <si>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</si>
  <si>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</si>
  <si>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</si>
  <si>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</si>
  <si>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</si>
  <si>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</si>
  <si>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</si>
  <si>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</si>
  <si>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</si>
  <si>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</si>
  <si>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</si>
  <si>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</si>
  <si>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</si>
  <si>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</si>
  <si>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</si>
  <si>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</si>
  <si>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</si>
  <si>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</si>
  <si>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</si>
  <si>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</si>
  <si>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</si>
  <si>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</si>
  <si>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</si>
  <si>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</si>
  <si>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</si>
  <si>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</si>
  <si>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</si>
  <si>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</si>
  <si>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</si>
  <si>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</si>
  <si>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Vitesse de la ressource enregistrée</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</si>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</sst>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sz val="11"/>
      <color rgb="FF000000"/>
      <name val="Calibri"/>
      <family val="2"/>
      <charset val="1"/>
    </font>
    <font>
      <b/>
      <sz val="11"/>
      <color theme="0"/>
      <name val="Calibri Light"/>
      <scheme val="major"/>
    </font>
    <font>
      <sz val="11"/>
      <color rgb="FF808080"/>
      <name val="Calibri"/>
      <scheme val="minor"/>
    </font>
    <font>
      <sz val="11"/>
      <color rgb="FF000000"/>
      <name val="Calibri"/>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64">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5" fillId="0" borderId="0" xfId="0" applyFont="1"/>
    <xf numFmtId="0" fontId="105" fillId="48" borderId="0" xfId="0" applyFont="1" applyFill="1" applyAlignment="1">
      <alignment vertical="center"/>
    </xf>
    <xf numFmtId="0" fontId="60" fillId="55" borderId="16" xfId="0" applyFont="1" applyFill="1" applyBorder="1" applyAlignment="1">
      <alignment horizontal="left"/>
    </xf>
    <xf numFmtId="0" fontId="1" fillId="54" borderId="16" xfId="0" applyFont="1" applyFill="1" applyBorder="1" applyAlignment="1">
      <alignment horizontal="left" wrapText="1"/>
    </xf>
    <xf numFmtId="0" fontId="117" fillId="0" borderId="0" xfId="0" applyFont="1"/>
    <xf numFmtId="0" fontId="118" fillId="0" borderId="0" xfId="0" applyFo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6" fillId="23" borderId="0" xfId="0" applyFont="1" applyFill="1" applyAlignment="1">
      <alignment horizont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24" borderId="0" xfId="0" applyFont="1" applyFill="1" applyAlignment="1">
      <alignment vertical="center"/>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68">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547" dataDxfId="546">
  <autoFilter ref="A8:AD20" xr:uid="{EF99425A-BF7C-494D-843B-A436A28F1D50}"/>
  <tableColumns count="30">
    <tableColumn id="26" xr3:uid="{F6E0102F-6A62-4676-8743-12C78DFD5AAE}" name="ID" totalsRowFunction="count" dataDxfId="544" totalsRowDxfId="545"/>
    <tableColumn id="34" xr3:uid="{C5C184C6-181D-45CF-A63D-7AEDCADFA43B}" name="Donnée (Niveau 1)" dataDxfId="542" totalsRowDxfId="543"/>
    <tableColumn id="1" xr3:uid="{48BA0677-2A51-4516-901D-245A32C9EF11}" name="Donnée (Niveau 2)" totalsRowFunction="count" dataDxfId="540" totalsRowDxfId="541"/>
    <tableColumn id="2" xr3:uid="{22B866D0-1B5E-4581-93E5-86229BC69C02}" name="Donnée (Niveau 3)" totalsRowFunction="count" dataDxfId="538" totalsRowDxfId="539"/>
    <tableColumn id="3" xr3:uid="{888BC815-3A76-4EEA-B68B-9A9CFFA21AC6}" name="Donnée (Niveau 4)" totalsRowFunction="count" dataDxfId="536" totalsRowDxfId="537"/>
    <tableColumn id="4" xr3:uid="{A1D31B95-E51B-44D1-A7C2-8E42F9D33E13}" name="Donnée (Niveau 5)" totalsRowFunction="count" dataDxfId="534" totalsRowDxfId="535"/>
    <tableColumn id="5" xr3:uid="{EA6D57DD-52EF-4D70-B539-0505DC6517EC}" name="Donnée (Niveau 6)" totalsRowFunction="count" dataDxfId="532" totalsRowDxfId="533"/>
    <tableColumn id="6" xr3:uid="{3FE552E2-2FEF-4E1A-B5DE-F4C21C13A296}" name="Description" totalsRowFunction="count" dataDxfId="530" totalsRowDxfId="531"/>
    <tableColumn id="14" xr3:uid="{BE5AEDCA-1CC5-4938-964E-9C68E6A07DC7}" name="Exemples" totalsRowFunction="count" dataDxfId="528" totalsRowDxfId="529"/>
    <tableColumn id="13" xr3:uid="{ED5FE47C-9997-4511-9856-83AF83A90171}" name="Fichier XSD" totalsRowFunction="count" dataDxfId="526" totalsRowDxfId="527"/>
    <tableColumn id="32" xr3:uid="{5C8C2495-D269-4E47-88B5-00584EF6B484}" name="Balise EMSI" dataDxfId="524" totalsRowDxfId="525"/>
    <tableColumn id="7" xr3:uid="{5C4F4C1E-17D3-4C4E-9650-A41F0BBB82B0}" name="Balise NexSIS" totalsRowFunction="count" dataDxfId="522" totalsRowDxfId="523"/>
    <tableColumn id="21" xr3:uid="{D8470834-C8F8-4F70-9302-7A4C602B72E6}" name="Nouvelle balise" totalsRowFunction="count" dataDxfId="520" totalsRowDxfId="521"/>
    <tableColumn id="8" xr3:uid="{D4E41060-B282-4AE5-8C87-3716CFB70625}" name="Nantes - balise" totalsRowFunction="count" dataDxfId="518" totalsRowDxfId="519"/>
    <tableColumn id="15" xr3:uid="{BB0E9A10-45CE-44DE-802C-D3A58D081A2F}" name="Nantes - description" totalsRowFunction="count" dataDxfId="516" totalsRowDxfId="517"/>
    <tableColumn id="18" xr3:uid="{8FE17C2A-E229-4B7F-B204-F356EEB4AE45}" name="GT399" totalsRowFunction="count" dataDxfId="514" totalsRowDxfId="515"/>
    <tableColumn id="9" xr3:uid="{4C9E2B92-3A78-454F-B9FF-8B97A2EAE3ED}" name="GT399 description" totalsRowFunction="count" dataDxfId="512" totalsRowDxfId="513"/>
    <tableColumn id="10" xr3:uid="{CCF33634-CF25-46BD-8DE3-12B24D24D5F8}" name="Priorisation" totalsRowFunction="count" dataDxfId="510" totalsRowDxfId="511"/>
    <tableColumn id="11" xr3:uid="{85B3828E-8687-4AA3-88CE-D610FCBDCFDE}" name="Cardinalité" dataDxfId="508" totalsRowDxfId="509"/>
    <tableColumn id="27" xr3:uid="{CF8F2F83-80E1-4F34-8CA4-101022C31379}" name="Objet" totalsRowFunction="count" dataDxfId="506" totalsRowDxfId="507"/>
    <tableColumn id="12" xr3:uid="{9491E93A-73C3-4214-8227-2A99EABCA3C1}" name="Format (ou type)" totalsRowFunction="count" dataDxfId="504" totalsRowDxfId="505"/>
    <tableColumn id="31" xr3:uid="{97801A1D-505C-4F61-ACF5-6EE844F5E23A}" name="Détails de format" dataDxfId="502" totalsRowDxfId="503"/>
    <tableColumn id="36" xr3:uid="{62248724-3AC6-48C6-B62F-D3C050A5A08F}" name="15-18" dataDxfId="500" totalsRowDxfId="501"/>
    <tableColumn id="35" xr3:uid="{2A6F94A4-B86B-4A8C-8862-6337DBF190B2}" name="15-15" dataDxfId="498" totalsRowDxfId="499"/>
    <tableColumn id="37" xr3:uid="{01782744-2942-D140-994A-3D343B0E0342}" name="CUT" dataDxfId="496" totalsRowDxfId="497"/>
    <tableColumn id="19" xr3:uid="{B112D546-E236-4723-880E-6D39731D2093}" name="Commentaire Hub Santé" totalsRowFunction="count" dataDxfId="494" totalsRowDxfId="495"/>
    <tableColumn id="16" xr3:uid="{E6CB6828-8B65-4F12-95B0-B9304BA135D8}" name="Commentaire Philippe Dreyfus" totalsRowFunction="count" dataDxfId="492" totalsRowDxfId="493"/>
    <tableColumn id="33" xr3:uid="{9AEA7D2D-C467-4E16-9414-C9877028EA11}" name="Commentaire FBE" dataDxfId="490" totalsRowDxfId="491"/>
    <tableColumn id="17" xr3:uid="{ACE48C56-220E-4341-8BEC-04B45FF1F728}" name="Commentaire Yann Penverne" totalsRowFunction="count" dataDxfId="488" totalsRowDxfId="489"/>
    <tableColumn id="20" xr3:uid="{A0AF1313-269D-4060-8F91-417D2F081DEB}" name="NexSIS" totalsRowFunction="custom" dataDxfId="486" totalsRowDxfId="487">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66" dataDxfId="465" totalsRowDxfId="464">
  <autoFilter ref="A8:AD14" xr:uid="{EF99425A-BF7C-494D-843B-A436A28F1D50}"/>
  <tableColumns count="30">
    <tableColumn id="26" xr3:uid="{D5B2518C-6D8E-6147-8C4F-B866728B3834}" name="ID" totalsRowFunction="count" dataDxfId="462" totalsRowDxfId="463"/>
    <tableColumn id="34" xr3:uid="{87148819-B7A5-7947-82EE-7CD825960AED}" name="Donnée (Niveau 1)" dataDxfId="460" totalsRowDxfId="461"/>
    <tableColumn id="1" xr3:uid="{D13C8DA4-A6E7-6647-83BF-735A36445504}" name="Donnée (Niveau 2)" totalsRowFunction="count" dataDxfId="458" totalsRowDxfId="459"/>
    <tableColumn id="2" xr3:uid="{9844E3D8-484C-674F-A6FE-C5E74C0BECD7}" name="Donnée (Niveau 3)" totalsRowFunction="count" dataDxfId="456" totalsRowDxfId="457"/>
    <tableColumn id="3" xr3:uid="{EDEAC3BB-E6E5-6D4A-81D4-0D53BDE32BE7}" name="Donnée (Niveau 4)" totalsRowFunction="count" dataDxfId="454" totalsRowDxfId="455"/>
    <tableColumn id="4" xr3:uid="{02D62420-0C0A-4A42-BF62-D538EE277DA2}" name="Donnée (Niveau 5)" totalsRowFunction="count" dataDxfId="452" totalsRowDxfId="453"/>
    <tableColumn id="5" xr3:uid="{AEDF2332-EB8E-3F47-A30F-62F4B295DC6E}" name="Donnée (Niveau 6)" totalsRowFunction="count" dataDxfId="450" totalsRowDxfId="451"/>
    <tableColumn id="6" xr3:uid="{6B82679A-C79E-B942-87C2-2A9AC62DFE61}" name="Description" totalsRowFunction="count" dataDxfId="448" totalsRowDxfId="449"/>
    <tableColumn id="14" xr3:uid="{64EB0DE7-7110-B649-B47F-39D14AB54769}" name="Exemples" totalsRowFunction="count" dataDxfId="446" totalsRowDxfId="447"/>
    <tableColumn id="7" xr3:uid="{30859462-25E2-6C4B-8D3C-5F2310CF2710}" name="Balise NexSIS" totalsRowFunction="count" dataDxfId="444" totalsRowDxfId="445"/>
    <tableColumn id="21" xr3:uid="{C7789C87-5B0F-9240-95BB-36A6DBBF16F7}" name="Nouvelle balise" totalsRowFunction="count" dataDxfId="442" totalsRowDxfId="443"/>
    <tableColumn id="8" xr3:uid="{56A311D2-6944-B44A-BA90-1B44FB783B25}" name="Nantes - balise" totalsRowFunction="count" dataDxfId="440" totalsRowDxfId="441"/>
    <tableColumn id="15" xr3:uid="{CC481BC4-1ACF-7849-B03D-7121652EE416}" name="Nantes - description" totalsRowFunction="count" dataDxfId="438" totalsRowDxfId="439"/>
    <tableColumn id="18" xr3:uid="{DA3EC825-B94E-6142-B1D1-58F763F6812E}" name="GT399" totalsRowFunction="count" dataDxfId="436" totalsRowDxfId="437"/>
    <tableColumn id="9" xr3:uid="{A60F6B9F-CF7A-6F48-A3FD-7FC591506696}" name="GT399 description" totalsRowFunction="count" dataDxfId="434" totalsRowDxfId="435"/>
    <tableColumn id="10" xr3:uid="{F183E99A-8936-D242-9E2F-7DF202579449}" name="Priorisation" totalsRowFunction="count" dataDxfId="432" totalsRowDxfId="433"/>
    <tableColumn id="11" xr3:uid="{0C55DBEB-B030-EB40-8778-44C43E402B7D}" name="Cardinalité" dataDxfId="430" totalsRowDxfId="431"/>
    <tableColumn id="27" xr3:uid="{3EA0014F-1F9E-3346-86AA-D19E79E32F71}" name="Objet" totalsRowFunction="count" dataDxfId="428" totalsRowDxfId="429"/>
    <tableColumn id="12" xr3:uid="{A3CD3B4C-97D3-9741-9A73-087C7A9F8936}" name="Format (ou type)" totalsRowFunction="count" dataDxfId="426" totalsRowDxfId="427"/>
    <tableColumn id="37" xr3:uid="{3FE45E5F-AD1E-7B48-BE25-BC7327DD16EC}" name="Nomenclature/ énumération" dataDxfId="424" totalsRowDxfId="425"/>
    <tableColumn id="31" xr3:uid="{9CB46CA4-597C-5148-8480-F8796E3C5AFD}" name="Détails de format" dataDxfId="422" totalsRowDxfId="423"/>
    <tableColumn id="36" xr3:uid="{97A47004-218F-7749-B82B-5B2AEE40A23C}" name="15-18" dataDxfId="420" totalsRowDxfId="421"/>
    <tableColumn id="35" xr3:uid="{544CEA0F-DCB5-C64C-9CDE-A40F1906888F}" name="15-15" dataDxfId="418" totalsRowDxfId="419"/>
    <tableColumn id="39" xr3:uid="{6DB8C4C4-E592-DA4D-B502-CA1F3A98FF18}" name="CUT" dataDxfId="416" totalsRowDxfId="417"/>
    <tableColumn id="19" xr3:uid="{F48E57B7-0080-CD4F-8CC0-D9866BEEABEE}" name="Commentaire Hub Santé" totalsRowFunction="count" dataDxfId="414" totalsRowDxfId="415"/>
    <tableColumn id="16" xr3:uid="{93611743-80E2-3A49-9F47-6E81E63C36BC}" name="Commentaire Philippe Dreyfus" totalsRowFunction="count" dataDxfId="412" totalsRowDxfId="413"/>
    <tableColumn id="33" xr3:uid="{E8582012-E1AA-5C48-84F3-81E85831EA3D}" name="Commentaire FBE" dataDxfId="410" totalsRowDxfId="411"/>
    <tableColumn id="17" xr3:uid="{10CD9342-79AA-B840-BD59-F6A02345EC01}" name="Commentaire Yann Penverne" totalsRowFunction="count" dataDxfId="408" totalsRowDxfId="409"/>
    <tableColumn id="20" xr3:uid="{36DD8A92-EC42-2849-A047-5EE0AABF1132}" name="NexSIS" totalsRowFunction="custom" dataDxfId="406" totalsRowDxfId="407">
      <totalsRowFormula>SUBTOTAL(103,createCase3[NexSIS])-COUNTIFS(createCase3[NexSIS],"=X")</totalsRowFormula>
    </tableColumn>
    <tableColumn id="22" xr3:uid="{055A2D99-D525-3349-A349-779652E6F495}" name="Métier" totalsRowFunction="custom" dataDxfId="404" totalsRowDxfId="40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60" dataDxfId="259" totalsRowDxfId="258">
  <autoFilter ref="A8:AD183" xr:uid="{EF99425A-BF7C-494D-843B-A436A28F1D50}"/>
  <tableColumns count="30">
    <tableColumn id="26" xr3:uid="{F89F79B0-EC13-4626-8B8B-E72803CF8D7F}" name="ID" totalsRowFunction="count" dataDxfId="256" totalsRowDxfId="257"/>
    <tableColumn id="34" xr3:uid="{82D9E408-6E89-6548-8064-32C2C1C49796}" name="Donnée (Niveau 1)" dataDxfId="254" totalsRowDxfId="255"/>
    <tableColumn id="1" xr3:uid="{A4D81CB2-5DBF-46A1-831A-3B0CB8713987}" name="Donnée (Niveau 2)" totalsRowFunction="count" dataDxfId="252" totalsRowDxfId="253"/>
    <tableColumn id="2" xr3:uid="{70FEA672-42A5-4D50-83E3-20F1DC99F826}" name="Donnée (Niveau 3)" totalsRowFunction="count" dataDxfId="250" totalsRowDxfId="251"/>
    <tableColumn id="3" xr3:uid="{E5F546D4-3F7C-49D3-ACAD-5C0AA86EEA72}" name="Donnée (Niveau 4)" totalsRowFunction="count" dataDxfId="248" totalsRowDxfId="249"/>
    <tableColumn id="4" xr3:uid="{C36F63D5-6F86-4068-8553-7E11F2FF2E34}" name="Donnée (Niveau 5)" totalsRowFunction="count" dataDxfId="246" totalsRowDxfId="247"/>
    <tableColumn id="5" xr3:uid="{BCD32C8B-1BF5-4152-A4E3-856EB454D41F}" name="Donnée (Niveau 6)" totalsRowFunction="count" dataDxfId="244" totalsRowDxfId="245"/>
    <tableColumn id="6" xr3:uid="{31AB271A-A79E-4AD6-A425-139013E5C0ED}" name="Description" totalsRowFunction="count" dataDxfId="242" totalsRowDxfId="243"/>
    <tableColumn id="14" xr3:uid="{42356E16-5C2C-47EF-96D9-1439EB52D654}" name="Exemples" totalsRowFunction="count" dataDxfId="240" totalsRowDxfId="241"/>
    <tableColumn id="7" xr3:uid="{05B3DFF6-BC4E-40A1-862A-0EBD5F2686D8}" name="Balise NexSIS" totalsRowFunction="count" dataDxfId="238" totalsRowDxfId="239"/>
    <tableColumn id="21" xr3:uid="{A67EAB5D-C889-4A87-AEDD-CB5D507B5224}" name="Nouvelle balise" totalsRowFunction="count" dataDxfId="236" totalsRowDxfId="237"/>
    <tableColumn id="8" xr3:uid="{142E6E6B-2EEA-41C0-969F-103EB7FEE77B}" name="Nantes - balise" totalsRowFunction="count" dataDxfId="234" totalsRowDxfId="235"/>
    <tableColumn id="15" xr3:uid="{4B3C95EC-2C41-42CE-9528-75F02E532B07}" name="Nantes - description" totalsRowFunction="count" dataDxfId="232" totalsRowDxfId="233"/>
    <tableColumn id="18" xr3:uid="{DD4C49C8-6EEB-4810-B6DF-F5EA0958E68F}" name="GT399" totalsRowFunction="count" dataDxfId="230" totalsRowDxfId="231"/>
    <tableColumn id="9" xr3:uid="{1EF347D1-5F3C-455F-B7CC-0411A0A13BA5}" name="GT399 description" totalsRowFunction="count" dataDxfId="228" totalsRowDxfId="229"/>
    <tableColumn id="10" xr3:uid="{A688C13F-43B2-4D38-AB61-5A8FA70F8877}" name="Priorisation" totalsRowFunction="count" dataDxfId="226" totalsRowDxfId="227"/>
    <tableColumn id="11" xr3:uid="{740E98DF-4145-4688-96B5-1DB2B4C65860}" name="Cardinalité" dataDxfId="224" totalsRowDxfId="225"/>
    <tableColumn id="27" xr3:uid="{5362BDCB-F398-463F-807C-5642BE8139A3}" name="Objet" totalsRowFunction="count" dataDxfId="222" totalsRowDxfId="223"/>
    <tableColumn id="12" xr3:uid="{F99D40B9-B75A-4B6D-AD14-A9CC94A67A94}" name="Format (ou type)" totalsRowFunction="count" dataDxfId="220" totalsRowDxfId="221"/>
    <tableColumn id="37" xr3:uid="{C4249FC6-D549-4A35-98D7-D98FEFD604C7}" name="Nomenclature/ énumération" dataDxfId="218" totalsRowDxfId="219"/>
    <tableColumn id="31" xr3:uid="{165DCEEB-09D9-4414-9EB1-071322B65527}" name="Détails de format" dataDxfId="216" totalsRowDxfId="217"/>
    <tableColumn id="36" xr3:uid="{DFE77849-E589-4C00-A974-5EA32CAC9950}" name="15-18" dataDxfId="214" totalsRowDxfId="215"/>
    <tableColumn id="35" xr3:uid="{6F7422E5-A9F0-4CB5-94CC-23CADED3A1EA}" name="15-15" dataDxfId="212" totalsRowDxfId="213"/>
    <tableColumn id="39" xr3:uid="{D123E456-B227-404D-9075-2C12B6D79281}" name="CUT" dataDxfId="210" totalsRowDxfId="211"/>
    <tableColumn id="19" xr3:uid="{0E27CA97-E0CC-4707-8A95-C2EB8B822A50}" name="Commentaire Hub Santé" totalsRowFunction="count" dataDxfId="208" totalsRowDxfId="209"/>
    <tableColumn id="16" xr3:uid="{85C90A89-19FA-4640-8DE9-5BC81E29801A}" name="Commentaire Philippe Dreyfus" totalsRowFunction="count" dataDxfId="206" totalsRowDxfId="207"/>
    <tableColumn id="33" xr3:uid="{F9B7E469-F267-4217-89F6-2332B9BE9F00}" name="Commentaire FBE" dataDxfId="204" totalsRowDxfId="205"/>
    <tableColumn id="17" xr3:uid="{AF1719C0-5CFC-4F9F-8447-1E16DD154E8D}" name="Commentaire Yann Penverne" totalsRowFunction="count" dataDxfId="202" totalsRowDxfId="203"/>
    <tableColumn id="20" xr3:uid="{A1AC7405-8CAD-4797-ACD3-A6DB9BD4973A}" name="NexSIS" totalsRowFunction="custom" dataDxfId="200" totalsRowDxfId="201">
      <totalsRowFormula>SUBTOTAL(103,createCase[NexSIS])-COUNTIFS(createCase[NexSIS],"=X")</totalsRowFormula>
    </tableColumn>
    <tableColumn id="22" xr3:uid="{BFD15786-BC47-434A-8C58-1A07EC8D4305}" name="Métier" totalsRowFunction="custom" dataDxfId="198" totalsRowDxfId="19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155" dataDxfId="154" totalsRowDxfId="153">
  <autoFilter ref="A8:AD47" xr:uid="{E779C242-2956-4825-8D18-6295157DB7AF}"/>
  <tableColumns count="30">
    <tableColumn id="26" xr3:uid="{F3F553A6-7E4F-417C-A6A2-5E83B9824E15}" name="ID" totalsRowFunction="count" dataDxfId="151" totalsRowDxfId="152"/>
    <tableColumn id="34" xr3:uid="{56C0E78B-8CCA-45B2-B9B3-D346DD1F381E}" name="Donnée (Niveau 1)" dataDxfId="149" totalsRowDxfId="150"/>
    <tableColumn id="1" xr3:uid="{0F9B8258-350B-41D3-B5C2-EDDB599F6829}" name="Donnée (Niveau 2)" totalsRowFunction="count" dataDxfId="147" totalsRowDxfId="148"/>
    <tableColumn id="2" xr3:uid="{C07E167B-C93D-4810-8FD9-23F810240395}" name="Donnée (Niveau 3)" totalsRowFunction="count" dataDxfId="145" totalsRowDxfId="146"/>
    <tableColumn id="3" xr3:uid="{961D5039-51EF-400C-8103-78DF48B44559}" name="Donnée (Niveau 4)" totalsRowFunction="count" dataDxfId="143" totalsRowDxfId="144"/>
    <tableColumn id="4" xr3:uid="{734DE849-165F-486A-BB22-D8648A6F451E}" name="Donnée (Niveau 5)" totalsRowFunction="count" dataDxfId="141" totalsRowDxfId="142"/>
    <tableColumn id="5" xr3:uid="{861A7B1D-2BA3-4EA5-A0D5-F48C7C7569D0}" name="Donnée (Niveau 6)" totalsRowFunction="count" dataDxfId="139" totalsRowDxfId="140"/>
    <tableColumn id="6" xr3:uid="{EC32FDC0-8437-4F1C-9452-137D998A63E8}" name="Description" totalsRowFunction="count" dataDxfId="137" totalsRowDxfId="138"/>
    <tableColumn id="14" xr3:uid="{99437B48-420C-4085-A9D8-010486E61C6E}" name="Exemples" totalsRowFunction="count" dataDxfId="135" totalsRowDxfId="136"/>
    <tableColumn id="7" xr3:uid="{D301DE85-E1D2-4C32-99EA-028426BF1FF2}" name="Balise NexSIS" totalsRowFunction="count" dataDxfId="133" totalsRowDxfId="134"/>
    <tableColumn id="21" xr3:uid="{650290E8-1B8E-4C8D-8B82-A054275D82AB}" name="Nouvelle balise" totalsRowFunction="count" dataDxfId="131" totalsRowDxfId="132"/>
    <tableColumn id="8" xr3:uid="{A30CAE9F-03C9-4826-A0E3-3E6D141AF785}" name="Nantes - balise" totalsRowFunction="count" dataDxfId="129" totalsRowDxfId="130"/>
    <tableColumn id="15" xr3:uid="{8C12D6A1-469E-40F2-AEAE-7BCEB632C915}" name="Nantes - description" totalsRowFunction="count" dataDxfId="127" totalsRowDxfId="128"/>
    <tableColumn id="18" xr3:uid="{594B797F-376A-4032-9EDF-261A77A11C28}" name="GT399" totalsRowFunction="count" dataDxfId="125" totalsRowDxfId="126"/>
    <tableColumn id="9" xr3:uid="{163D5EA9-1F3D-41A0-B0A9-24213EA3C6D6}" name="GT399 description" totalsRowFunction="count" dataDxfId="123" totalsRowDxfId="124"/>
    <tableColumn id="10" xr3:uid="{96C113DB-4A16-4B10-A333-DF8DF7AC3D97}" name="Priorisation" totalsRowFunction="count" dataDxfId="121" totalsRowDxfId="122"/>
    <tableColumn id="11" xr3:uid="{169519F8-3CBC-4AD6-83C4-EF4FA9FF88E8}" name="Cardinalité" dataDxfId="119" totalsRowDxfId="120"/>
    <tableColumn id="27" xr3:uid="{C7AAB4F3-0AD0-45AB-8A66-2033513E664E}" name="Objet" totalsRowFunction="count" dataDxfId="117" totalsRowDxfId="118"/>
    <tableColumn id="12" xr3:uid="{4DAEBE6E-9755-4DE1-BFA5-14CAFC1AEE51}" name="Format (ou type)" totalsRowFunction="count" dataDxfId="115" totalsRowDxfId="116"/>
    <tableColumn id="37" xr3:uid="{B9E88E6C-457D-46D7-A387-DEE3D5037D7B}" name="Nomenclature/ énumération" dataDxfId="113" totalsRowDxfId="114"/>
    <tableColumn id="31" xr3:uid="{00E573C8-FCEB-40CE-8901-987CBDB5EE70}" name="Détails de format" dataDxfId="111" totalsRowDxfId="112"/>
    <tableColumn id="36" xr3:uid="{C6466CEE-552F-4A61-9B58-F029008C35E4}" name="15-18" dataDxfId="109" totalsRowDxfId="110"/>
    <tableColumn id="35" xr3:uid="{93DB073A-A412-43D2-85F5-A1E49ED5A7FE}" name="15-15" dataDxfId="107" totalsRowDxfId="108"/>
    <tableColumn id="39" xr3:uid="{EAB62C4B-1725-4AF7-BE09-2C64A4E52308}" name="CUT" dataDxfId="105" totalsRowDxfId="106"/>
    <tableColumn id="19" xr3:uid="{FA079252-E747-4586-A8C9-27BEC20124F4}" name="Commentaire Hub Santé" totalsRowFunction="count" dataDxfId="103" totalsRowDxfId="104"/>
    <tableColumn id="16" xr3:uid="{E7205CA0-5C9A-4AB5-A0A6-3A444E53344A}" name="Commentaire Philippe Dreyfus" totalsRowFunction="count" dataDxfId="101" totalsRowDxfId="102"/>
    <tableColumn id="33" xr3:uid="{5D7052F5-0B33-4763-B2C7-B673868EB4B3}" name="Commentaire FBE" dataDxfId="99" totalsRowDxfId="100"/>
    <tableColumn id="17" xr3:uid="{1408682C-F606-4DC9-89DE-5F967219E174}" name="Commentaire Yann Penverne" totalsRowFunction="count" dataDxfId="97" totalsRowDxfId="98"/>
    <tableColumn id="20" xr3:uid="{EB5ADC6E-51A9-42AC-B099-578F4B0BFBCD}" name="NexSIS" totalsRowFunction="custom" dataDxfId="95" totalsRowDxfId="96">
      <totalsRowFormula>SUBTOTAL(103,createCase2[NexSIS])-COUNTIFS(createCase2[NexSIS],"=X")</totalsRowFormula>
    </tableColumn>
    <tableColumn id="22" xr3:uid="{C0499452-7EB8-4787-8FF2-5A8B2BB22EAE}" name="Métier" totalsRowFunction="custom" dataDxfId="93" totalsRowDxfId="94">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3" totalsRowCount="1" totalsRowDxfId="92">
  <autoFilter ref="A8:W22" xr:uid="{EEF68223-2157-47F6-9133-264D671F0942}"/>
  <tableColumns count="23">
    <tableColumn id="1" xr3:uid="{0308532B-296F-49D7-B76E-23948A2F1FAE}" name="ID" totalsRowFunction="count" totalsRowDxfId="91"/>
    <tableColumn id="2" xr3:uid="{4E5CA3CD-74C0-41D7-A064-93B29A44F6EA}" name="Donnée (Niveau 1)" totalsRowFunction="custom" totalsRowDxfId="90">
      <totalsRowFormula>SUBTOTAL(103,Tableau3[Donnée (Niveau 1)])</totalsRowFormula>
    </tableColumn>
    <tableColumn id="3" xr3:uid="{099F4D11-28E8-482A-B443-FA0B35F69A5A}" name="Donnée (Niveau 2)" totalsRowFunction="custom" totalsRowDxfId="89">
      <totalsRowFormula>SUBTOTAL(103,Tableau3[Donnée (Niveau 2)])</totalsRowFormula>
    </tableColumn>
    <tableColumn id="4" xr3:uid="{894FFF8F-C344-436B-8995-6D977D9EE845}" name="Donnée (Niveau 3)" totalsRowFunction="custom" totalsRowDxfId="88">
      <totalsRowFormula>SUBTOTAL(103,Tableau3[Donnée (Niveau 3)])</totalsRowFormula>
    </tableColumn>
    <tableColumn id="5" xr3:uid="{AB815DDF-5ECF-4083-A621-45835C8FE42C}" name="Donnée (Niveau 4)" totalsRowFunction="custom" totalsRowDxfId="87">
      <totalsRowFormula>SUBTOTAL(103,Tableau3[Donnée (Niveau 4)])</totalsRowFormula>
    </tableColumn>
    <tableColumn id="6" xr3:uid="{20F05C10-E73C-4ECE-95CB-368439F635A4}" name="Donnée (Niveau 5)" totalsRowFunction="custom" totalsRowDxfId="86">
      <totalsRowFormula>SUBTOTAL(103,Tableau3[Donnée (Niveau 5)])</totalsRowFormula>
    </tableColumn>
    <tableColumn id="7" xr3:uid="{CD2D80B3-AFB4-4A43-A25F-9936020F0A33}" name="Donnée (Niveau 6)" totalsRowFunction="custom" totalsRowDxfId="85">
      <totalsRowFormula>SUBTOTAL(103,Tableau3[Donnée (Niveau 6)])</totalsRowFormula>
    </tableColumn>
    <tableColumn id="8" xr3:uid="{6D534A97-72D3-4D26-ACDA-1E36EFF5A5D1}" name="Description" totalsRowFunction="custom" totalsRowDxfId="84">
      <totalsRowFormula>SUBTOTAL(103,Tableau3[Description])</totalsRowFormula>
    </tableColumn>
    <tableColumn id="9" xr3:uid="{1C7F0F41-E26E-4A31-99F7-36DA6F587FD4}" name="Exemples" totalsRowFunction="custom" totalsRowDxfId="83">
      <totalsRowFormula>SUBTOTAL(103,Tableau3[Exemples])</totalsRowFormula>
    </tableColumn>
    <tableColumn id="10" xr3:uid="{16E03419-7018-452F-85C4-FD235A5FD831}" name="Balise NexSIS" totalsRowFunction="custom" totalsRowDxfId="82">
      <totalsRowFormula>SUBTOTAL(103,Tableau3[Balise NexSIS])</totalsRowFormula>
    </tableColumn>
    <tableColumn id="11" xr3:uid="{B07E8B63-480E-4E4D-B3C9-5480DBD4EBFD}" name="Nouvelle balise" totalsRowFunction="custom" totalsRowDxfId="81">
      <totalsRowFormula>SUBTOTAL(103,Tableau3[Nouvelle balise])</totalsRowFormula>
    </tableColumn>
    <tableColumn id="12" xr3:uid="{580E514F-043D-4789-9329-386B22D4622D}" name="Nantes - balise" totalsRowFunction="custom" totalsRowDxfId="80">
      <totalsRowFormula>SUBTOTAL(103,Tableau3[Nantes - balise])</totalsRowFormula>
    </tableColumn>
    <tableColumn id="13" xr3:uid="{0C60FD75-9B70-4899-B643-430300539392}" name="Nantes - description" totalsRowFunction="custom" totalsRowDxfId="79">
      <totalsRowFormula>SUBTOTAL(103,Tableau3[Nantes - description])</totalsRowFormula>
    </tableColumn>
    <tableColumn id="14" xr3:uid="{A80B0132-E4A5-41BF-9151-A57B2C45E16D}" name="GT399" totalsRowFunction="custom" totalsRowDxfId="78">
      <totalsRowFormula>SUBTOTAL(103,Tableau3[GT399])</totalsRowFormula>
    </tableColumn>
    <tableColumn id="15" xr3:uid="{8E187925-974B-4A24-81D7-AB82144912F1}" name="GT399 description" totalsRowFunction="custom" totalsRowDxfId="77">
      <totalsRowFormula>SUBTOTAL(103,Tableau3[GT399 description])</totalsRowFormula>
    </tableColumn>
    <tableColumn id="16" xr3:uid="{42F38D08-76CB-4B3A-A731-4207FB6FBE23}" name="Priorisation" totalsRowFunction="custom" totalsRowDxfId="76">
      <totalsRowFormula>SUBTOTAL(103,Tableau3[Priorisation])</totalsRowFormula>
    </tableColumn>
    <tableColumn id="17" xr3:uid="{9F68F1ED-1480-436C-8BC5-AA551A9025A4}" name="Cardinalité" totalsRowFunction="custom" totalsRowDxfId="75">
      <totalsRowFormula>SUBTOTAL(103,Tableau3[Cardinalité])</totalsRowFormula>
    </tableColumn>
    <tableColumn id="18" xr3:uid="{8D71687D-B67F-4FBE-A91C-E3D7AF1CF7CE}" name="Objet" totalsRowFunction="custom" totalsRowDxfId="74">
      <totalsRowFormula>SUBTOTAL(103,Tableau3[Objet])</totalsRowFormula>
    </tableColumn>
    <tableColumn id="19" xr3:uid="{3997D7F5-733D-4A1D-97E2-3BDAED2B9FE3}" name="Format (ou type)" totalsRowFunction="custom" totalsRowDxfId="73">
      <totalsRowFormula>SUBTOTAL(103,Tableau3[Format (ou type)])</totalsRowFormula>
    </tableColumn>
    <tableColumn id="20" xr3:uid="{33562809-70DE-436A-940D-49F45D5F14A8}" name="Nomenclature/ énumération" totalsRowFunction="custom" totalsRowDxfId="72">
      <totalsRowFormula>SUBTOTAL(103,Tableau3[Nomenclature/ énumération])</totalsRowFormula>
    </tableColumn>
    <tableColumn id="21" xr3:uid="{0FBF9953-AE08-41BF-9CDE-EA27950F10D4}" name="Détails de format" totalsRowFunction="custom" totalsRowDxfId="71">
      <totalsRowFormula>SUBTOTAL(103,Tableau3[Détails de format])</totalsRowFormula>
    </tableColumn>
    <tableColumn id="22" xr3:uid="{9F868D8D-588A-4128-8291-ABF86AE38F9A}" name="15-18" totalsRowFunction="custom" totalsRowDxfId="70">
      <totalsRowFormula>SUBTOTAL(103,Tableau3[15-18])</totalsRowFormula>
    </tableColumn>
    <tableColumn id="23" xr3:uid="{87B18F95-525A-4A9B-860F-C7A99278233D}" name="15-15" totalsRowFunction="custom" totalsRowDxfId="69">
      <totalsRowFormula>SUBTOTAL(103,Tableau3[15-15])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68">
  <autoFilter ref="A8:W10" xr:uid="{75253F3A-254C-4618-A5FE-BEE9E9C3C612}"/>
  <tableColumns count="23">
    <tableColumn id="1" xr3:uid="{B9312955-B2A3-439B-98E2-35497FC3B9CD}" name="ID" totalsRowFunction="count" dataDxfId="66" totalsRowDxfId="67"/>
    <tableColumn id="2" xr3:uid="{A41A30AA-1973-446D-97F1-BB8048C22A4F}" name="Donnée (Niveau 1)" totalsRowFunction="custom" dataDxfId="64" totalsRowDxfId="65">
      <totalsRowFormula>SUBTOTAL(103,Tableau35[Donnée (Niveau 1)])</totalsRowFormula>
    </tableColumn>
    <tableColumn id="3" xr3:uid="{DFE7CE8D-9D20-4AEF-A0BD-66C619A3B39A}" name="Donnée (Niveau 2)" totalsRowFunction="custom" dataDxfId="62" totalsRowDxfId="63">
      <totalsRowFormula>SUBTOTAL(103,Tableau35[Donnée (Niveau 2)])</totalsRowFormula>
    </tableColumn>
    <tableColumn id="4" xr3:uid="{D4BCA6FB-BEEB-4675-B373-97CA3247D3B3}" name="Donnée (Niveau 3)" totalsRowFunction="custom" dataDxfId="60" totalsRowDxfId="61">
      <totalsRowFormula>SUBTOTAL(103,Tableau35[Donnée (Niveau 3)])</totalsRowFormula>
    </tableColumn>
    <tableColumn id="5" xr3:uid="{98330C77-3D56-4BE0-94A2-82DDC5827C96}" name="Donnée (Niveau 4)" totalsRowFunction="custom" dataDxfId="58" totalsRowDxfId="59">
      <totalsRowFormula>SUBTOTAL(103,Tableau35[Donnée (Niveau 4)])</totalsRowFormula>
    </tableColumn>
    <tableColumn id="6" xr3:uid="{3D011196-6587-48FF-87E2-AE1D56773EE7}" name="Donnée (Niveau 5)" totalsRowFunction="custom" dataDxfId="56" totalsRowDxfId="57">
      <totalsRowFormula>SUBTOTAL(103,Tableau35[Donnée (Niveau 5)])</totalsRowFormula>
    </tableColumn>
    <tableColumn id="7" xr3:uid="{9EBCC79E-BB78-43E2-8390-99AED4817490}" name="Donnée (Niveau 6)" totalsRowFunction="custom" dataDxfId="54" totalsRowDxfId="55">
      <totalsRowFormula>SUBTOTAL(103,Tableau35[Donnée (Niveau 6)])</totalsRowFormula>
    </tableColumn>
    <tableColumn id="8" xr3:uid="{E26B9737-D2F7-4253-9691-0FAB27540899}" name="Description" totalsRowFunction="custom" totalsRowDxfId="53">
      <totalsRowFormula>SUBTOTAL(103,Tableau35[Description])</totalsRowFormula>
    </tableColumn>
    <tableColumn id="9" xr3:uid="{CD269DAD-CD7B-426A-8623-52708A75A9F3}" name="Exemples" totalsRowFunction="custom" totalsRowDxfId="52">
      <totalsRowFormula>SUBTOTAL(103,Tableau35[Exemples])</totalsRowFormula>
    </tableColumn>
    <tableColumn id="10" xr3:uid="{20924355-7D5C-49E1-BBA9-453A972E5FD5}" name="Balise NexSIS" totalsRowFunction="custom" totalsRowDxfId="51">
      <totalsRowFormula>SUBTOTAL(103,Tableau35[Balise NexSIS])</totalsRowFormula>
    </tableColumn>
    <tableColumn id="11" xr3:uid="{E6886C03-3B0D-46D0-99EE-5173E67D42D5}" name="Nouvelle balise" totalsRowFunction="custom" totalsRowDxfId="50">
      <totalsRowFormula>SUBTOTAL(103,Tableau35[Nouvelle balise])</totalsRowFormula>
    </tableColumn>
    <tableColumn id="12" xr3:uid="{FC0A1304-6D18-4479-8A8D-40E1640CC417}" name="Nantes - balise" totalsRowFunction="custom" totalsRowDxfId="49">
      <totalsRowFormula>SUBTOTAL(103,Tableau35[Nantes - balise])</totalsRowFormula>
    </tableColumn>
    <tableColumn id="13" xr3:uid="{F13FED84-5993-4B0F-9596-BB54F03D8CD2}" name="Nantes - description" totalsRowFunction="custom" totalsRowDxfId="48">
      <totalsRowFormula>SUBTOTAL(103,Tableau35[Nantes - description])</totalsRowFormula>
    </tableColumn>
    <tableColumn id="14" xr3:uid="{D10C28EC-5A2B-4C5A-9DF5-FA610DC16AB7}" name="GT399" totalsRowFunction="custom" totalsRowDxfId="47">
      <totalsRowFormula>SUBTOTAL(103,Tableau35[GT399])</totalsRowFormula>
    </tableColumn>
    <tableColumn id="15" xr3:uid="{BEB12139-7DD8-42F5-B1E1-2ECBC4C5542E}" name="GT399 description" totalsRowFunction="custom" totalsRowDxfId="46">
      <totalsRowFormula>SUBTOTAL(103,Tableau35[GT399 description])</totalsRowFormula>
    </tableColumn>
    <tableColumn id="16" xr3:uid="{188B779B-92B8-4FEF-8EED-51C2A38708D0}" name="Priorisation" totalsRowFunction="custom" totalsRowDxfId="45">
      <totalsRowFormula>SUBTOTAL(103,Tableau35[Priorisation])</totalsRowFormula>
    </tableColumn>
    <tableColumn id="17" xr3:uid="{F4CC96EB-6D1D-4960-BCD8-CD461F381ED8}" name="Cardinalité" totalsRowFunction="custom" dataDxfId="43" totalsRowDxfId="44">
      <totalsRowFormula>SUBTOTAL(103,Tableau35[Cardinalité])</totalsRowFormula>
    </tableColumn>
    <tableColumn id="18" xr3:uid="{B0090839-6783-4E0E-8106-4E6A56CCAFD2}" name="Objet" totalsRowFunction="custom" dataDxfId="41" totalsRowDxfId="42">
      <totalsRowFormula>SUBTOTAL(103,Tableau35[Objet])</totalsRowFormula>
    </tableColumn>
    <tableColumn id="19" xr3:uid="{A81D9ACE-1BA2-42E2-A7BF-AD6A21D051B7}" name="Format (ou type)" totalsRowFunction="custom" dataDxfId="39" totalsRowDxfId="40">
      <totalsRowFormula>SUBTOTAL(103,Tableau35[Format (ou type)])</totalsRowFormula>
    </tableColumn>
    <tableColumn id="20" xr3:uid="{395551A0-AF3E-4BCA-A2D1-B5B3AFE7BB0F}" name="Nomenclature/ énumération" totalsRowFunction="custom" totalsRowDxfId="38">
      <totalsRowFormula>SUBTOTAL(103,Tableau35[Nomenclature/ énumération])</totalsRowFormula>
    </tableColumn>
    <tableColumn id="21" xr3:uid="{CA6C9852-2D54-43AF-A983-D0F4CF56B2B4}" name="Détails de format" totalsRowFunction="custom" totalsRowDxfId="37">
      <totalsRowFormula>SUBTOTAL(103,Tableau35[Détails de format])</totalsRowFormula>
    </tableColumn>
    <tableColumn id="22" xr3:uid="{15560D52-4B8E-408C-878A-EEE9AFD8D183}" name="15-18" totalsRowFunction="custom" totalsRowDxfId="36">
      <totalsRowFormula>SUBTOTAL(103,Tableau35[15-18])</totalsRowFormula>
    </tableColumn>
    <tableColumn id="23" xr3:uid="{F8085B3C-2A10-48F6-B2F1-428BF4D2A4F6}" name="15-15" totalsRowFunction="custom" totalsRowDxfId="35">
      <totalsRowFormula>SUBTOTAL(103,Tableau35[15-15])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4">
  <autoFilter ref="A8:W19" xr:uid="{1FE8A3AF-4E94-4B60-8D0F-BDD2D3ECE80A}"/>
  <tableColumns count="23">
    <tableColumn id="1" xr3:uid="{2194A6A9-978B-49BF-92EC-24BA1F982865}" name="ID" totalsRowFunction="count" dataDxfId="32" totalsRowDxfId="33"/>
    <tableColumn id="2" xr3:uid="{7639722A-2F33-4FF5-974B-AF23A0A6AFB1}" name="Donnée (Niveau 1)" totalsRowFunction="custom" dataDxfId="30" totalsRowDxfId="31">
      <totalsRowFormula>SUBTOTAL(103,Tableau357[Donnée (Niveau 1)])</totalsRowFormula>
    </tableColumn>
    <tableColumn id="3" xr3:uid="{9BD64E43-D2AF-489F-A571-5D02F069CB5A}" name="Donnée (Niveau 2)" totalsRowFunction="custom" dataDxfId="28" totalsRowDxfId="29">
      <totalsRowFormula>SUBTOTAL(103,Tableau357[Donnée (Niveau 2)])</totalsRowFormula>
    </tableColumn>
    <tableColumn id="4" xr3:uid="{3A15C35A-E24A-431E-9B0F-5AA03F1DEC65}" name="Donnée (Niveau 3)" totalsRowFunction="custom" dataDxfId="26" totalsRowDxfId="27">
      <totalsRowFormula>SUBTOTAL(103,Tableau357[Donnée (Niveau 3)])</totalsRowFormula>
    </tableColumn>
    <tableColumn id="5" xr3:uid="{30450838-7269-4B21-AED9-DE744E6D7BE7}" name="Donnée (Niveau 4)" totalsRowFunction="custom" dataDxfId="24" totalsRowDxfId="25">
      <totalsRowFormula>SUBTOTAL(103,Tableau357[Donnée (Niveau 4)])</totalsRowFormula>
    </tableColumn>
    <tableColumn id="6" xr3:uid="{3660E566-E514-413D-B57E-5899D7E2C97A}" name="Donnée (Niveau 5)" totalsRowFunction="custom" dataDxfId="22" totalsRowDxfId="23">
      <totalsRowFormula>SUBTOTAL(103,Tableau357[Donnée (Niveau 5)])</totalsRowFormula>
    </tableColumn>
    <tableColumn id="7" xr3:uid="{9C7BB915-267A-4C5A-AA02-029048F4DC4E}" name="Donnée (Niveau 6)" totalsRowFunction="custom" dataDxfId="20" totalsRowDxfId="21">
      <totalsRowFormula>SUBTOTAL(103,Tableau357[Donnée (Niveau 6)])</totalsRowFormula>
    </tableColumn>
    <tableColumn id="8" xr3:uid="{E5B15786-B76A-4BEA-9067-9613FD29334F}" name="Description" totalsRowFunction="custom" totalsRowDxfId="19">
      <totalsRowFormula>SUBTOTAL(103,Tableau357[Description])</totalsRowFormula>
    </tableColumn>
    <tableColumn id="9" xr3:uid="{8DB05C06-6CE9-4263-BA6F-48CE0AE9983C}" name="Exemples" totalsRowFunction="custom" totalsRowDxfId="18">
      <totalsRowFormula>SUBTOTAL(103,Tableau357[Exemples])</totalsRowFormula>
    </tableColumn>
    <tableColumn id="10" xr3:uid="{1837705E-85D2-43D6-9CDA-E6F77570DBBD}" name="Balise NexSIS" totalsRowFunction="custom" totalsRowDxfId="17">
      <totalsRowFormula>SUBTOTAL(103,Tableau357[Balise NexSIS])</totalsRowFormula>
    </tableColumn>
    <tableColumn id="11" xr3:uid="{957F756D-730B-4641-8748-30510E6525C0}" name="Nouvelle balise" totalsRowFunction="custom" dataDxfId="15" totalsRowDxfId="16">
      <totalsRowFormula>SUBTOTAL(103,Tableau357[Nouvelle balise])</totalsRowFormula>
    </tableColumn>
    <tableColumn id="12" xr3:uid="{3169EF9C-BB85-4FFA-B5E7-A3B8B73FC3A2}" name="Nantes - balise" totalsRowFunction="custom" totalsRowDxfId="14">
      <totalsRowFormula>SUBTOTAL(103,Tableau357[Nantes - balise])</totalsRowFormula>
    </tableColumn>
    <tableColumn id="13" xr3:uid="{E548F095-B313-42ED-B82E-D4F99D2C0A04}" name="Nantes - description" totalsRowFunction="custom" totalsRowDxfId="13">
      <totalsRowFormula>SUBTOTAL(103,Tableau357[Nantes - description])</totalsRowFormula>
    </tableColumn>
    <tableColumn id="14" xr3:uid="{CC704391-8DDA-45F3-B8AB-AE5DEBD43C11}" name="GT399" totalsRowFunction="custom" totalsRowDxfId="12">
      <totalsRowFormula>SUBTOTAL(103,Tableau357[GT399])</totalsRowFormula>
    </tableColumn>
    <tableColumn id="15" xr3:uid="{A5BB6FA3-0492-4977-AD3E-CEAAE8366B7A}" name="GT399 description" totalsRowFunction="custom" totalsRowDxfId="11">
      <totalsRowFormula>SUBTOTAL(103,Tableau357[GT399 description])</totalsRowFormula>
    </tableColumn>
    <tableColumn id="16" xr3:uid="{6BC9EA61-5862-4D25-B98C-EA9E88DF081C}" name="Priorisation" totalsRowFunction="custom" totalsRowDxfId="10">
      <totalsRowFormula>SUBTOTAL(103,Tableau357[Priorisation])</totalsRowFormula>
    </tableColumn>
    <tableColumn id="17" xr3:uid="{F8CC7813-2529-4AB6-8673-B22D55F47970}" name="Cardinalité" totalsRowFunction="custom" dataDxfId="8" totalsRowDxfId="9">
      <totalsRowFormula>SUBTOTAL(103,Tableau357[Cardinalité])</totalsRowFormula>
    </tableColumn>
    <tableColumn id="18" xr3:uid="{F8AA89E9-3720-467E-92C2-F847AE5D62EB}" name="Objet" totalsRowFunction="custom" dataDxfId="6" totalsRowDxfId="7">
      <totalsRowFormula>SUBTOTAL(103,Tableau357[Objet])</totalsRowFormula>
    </tableColumn>
    <tableColumn id="19" xr3:uid="{044C8000-1042-455B-8904-0733131290E6}" name="Format (ou type)" totalsRowFunction="custom" dataDxfId="4" totalsRowDxfId="5">
      <totalsRowFormula>SUBTOTAL(103,Tableau357[Format (ou type)])</totalsRowFormula>
    </tableColumn>
    <tableColumn id="20" xr3:uid="{4C43F220-1FFF-4D6A-B274-6AC8F1923DC0}" name="Nomenclature/ énumération" totalsRowFunction="custom" totalsRowDxfId="3">
      <totalsRowFormula>SUBTOTAL(103,Tableau357[Nomenclature/ énumération])</totalsRowFormula>
    </tableColumn>
    <tableColumn id="21" xr3:uid="{F3647E69-0E89-450A-AF38-B5627E006D73}" name="Détails de format" totalsRowFunction="custom" totalsRowDxfId="2">
      <totalsRowFormula>SUBTOTAL(103,Tableau357[Détails de format])</totalsRowFormula>
    </tableColumn>
    <tableColumn id="22" xr3:uid="{BDA6CEC4-51B8-4CFB-B6B6-B7AF21F84DE9}" name="15-18" totalsRowFunction="custom" totalsRowDxfId="1">
      <totalsRowFormula>SUBTOTAL(103,Tableau357[15-18])</totalsRowFormula>
    </tableColumn>
    <tableColumn id="23" xr3:uid="{A7D9FC89-3D3C-442A-BF60-2B5E8CAB8757}" name="15-15" totalsRowFunction="custom" totalsRowDxfId="0">
      <totalsRowFormula>SUBTOTAL(103,Tableau357[15-15])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E26"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7"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8"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9"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9"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5"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37"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39"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1"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1"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5" dT="2023-06-15T08:43:45.62" personId="{C9A89B3A-A5FD-6849-8E65-1CD4E6C7CFF2}" id="{1AE66642-E2F3-46E1-ADE6-FCCB30E639D9}" done="1">
    <text>Vraiment 0..n ??? Plutôt 0..1 !</text>
  </threadedComment>
  <threadedComment ref="K45" dT="2023-06-15T08:44:13.57" personId="{C9A89B3A-A5FD-6849-8E65-1CD4E6C7CFF2}" id="{2847D248-3988-47F3-8AE5-DE8A763C745F}" parentId="{1AE66642-E2F3-46E1-ADE6-FCCB30E639D9}">
    <text>Quid des autres alertes ultérieures ? -&gt; pas ici ! Pas 0..n</text>
  </threadedComment>
  <threadedComment ref="K45" dT="2023-06-15T08:47:32.60" personId="{C9A89B3A-A5FD-6849-8E65-1CD4E6C7CFF2}" id="{17B79E9E-1D24-463C-8044-CC691EF406FD}" parentId="{1AE66642-E2F3-46E1-ADE6-FCCB30E639D9}">
    <text>Pourquoi faire initiale et nouvelle alerte ??? Juste partager une liste de n alertes non ?</text>
  </threadedComment>
  <threadedComment ref="K45"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46" dT="2023-11-28T10:26:59.01" personId="{E9A6DF60-F9B3-4BD0-BB8A-DE1D37E26830}" id="{9673509D-DD58-4AE0-87E8-102ECE283A2E}">
    <text xml:space="preserve">Quelle nomenclature  + est-ce un objet code + libellé ? </text>
  </threadedComment>
  <threadedComment ref="E48"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B81E7C9A-E09B-4F7C-BB54-323AE704CC26}" done="1">
    <text>Valider avec NexSIS les noms des balises racines !! (message, createCase, emsi)</text>
  </threadedComment>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D16" dT="2024-02-08T08:41:03.94" personId="{D6952652-30E5-479A-9FFE-AD0BC8CBB562}" id="{1C952BC1-E63D-4B56-948E-F0E75D9C4E38}">
    <text>À garder facultatif</text>
  </threadedComment>
  <threadedComment ref="C17" dT="2024-02-08T08:42:13.02" personId="{D6952652-30E5-479A-9FFE-AD0BC8CBB562}" id="{32C9D8C4-1153-4C87-A7A2-F8CD26DF321A}">
    <text>facultatif</text>
  </threadedComment>
  <threadedComment ref="C19" dT="2024-02-08T08:45:03.58" personId="{D6952652-30E5-479A-9FFE-AD0BC8CBB562}" id="{C557B0E9-A149-4C10-B37C-C0E2C5D0EA9A}">
    <text>Pour avoir la possibilité de ne pas transmettre la vitesse à certains organismes</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63"/>
      <c r="K1" s="46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5"/>
  <sheetViews>
    <sheetView workbookViewId="0">
      <pane xSplit="5" ySplit="3" topLeftCell="F7" activePane="bottomRight" state="frozen"/>
      <selection pane="bottomRight" activeCell="C7" sqref="C7"/>
      <selection pane="bottomLeft"/>
      <selection pane="topRight"/>
    </sheetView>
  </sheetViews>
  <sheetFormatPr defaultColWidth="9" defaultRowHeight="14.25" customHeight="1"/>
  <cols>
    <col min="1" max="1" width="4.125" customWidth="1"/>
    <col min="2" max="2" width="21.875" customWidth="1"/>
    <col min="3" max="3" width="40" customWidth="1"/>
    <col min="4" max="4" width="30.375" customWidth="1"/>
    <col min="5"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t="s">
        <v>1596</v>
      </c>
      <c r="B1" s="96"/>
      <c r="C1" s="275"/>
      <c r="D1" s="128"/>
      <c r="E1" s="128"/>
      <c r="F1" s="128"/>
      <c r="G1" s="96"/>
      <c r="H1" s="96"/>
      <c r="I1" s="96"/>
      <c r="J1" s="275"/>
      <c r="K1" s="96"/>
      <c r="L1" s="275"/>
    </row>
    <row r="2" spans="1:12" ht="14.25" customHeight="1">
      <c r="A2" s="96"/>
      <c r="B2" s="96" t="s">
        <v>1597</v>
      </c>
      <c r="C2" s="96" t="s">
        <v>1597</v>
      </c>
      <c r="D2" s="96" t="s">
        <v>1597</v>
      </c>
      <c r="E2" s="96"/>
      <c r="F2" s="96"/>
      <c r="G2" s="96"/>
      <c r="H2" s="96"/>
      <c r="I2" s="96"/>
      <c r="J2" s="96"/>
      <c r="K2" s="96"/>
      <c r="L2" s="96"/>
    </row>
    <row r="3" spans="1:12" ht="14.25" customHeight="1">
      <c r="A3" s="309" t="s">
        <v>831</v>
      </c>
      <c r="B3" s="310" t="s">
        <v>832</v>
      </c>
      <c r="C3" s="310" t="s">
        <v>833</v>
      </c>
      <c r="D3" s="310" t="s">
        <v>834</v>
      </c>
      <c r="E3" s="310"/>
      <c r="F3" s="310"/>
      <c r="G3" s="311" t="s">
        <v>9</v>
      </c>
      <c r="H3" s="311" t="s">
        <v>1598</v>
      </c>
      <c r="I3" s="311" t="s">
        <v>1599</v>
      </c>
      <c r="J3" s="311" t="s">
        <v>838</v>
      </c>
      <c r="K3" s="311" t="s">
        <v>1600</v>
      </c>
      <c r="L3" s="312" t="s">
        <v>1601</v>
      </c>
    </row>
    <row r="4" spans="1:12" ht="14.25" customHeight="1">
      <c r="A4" s="404">
        <v>1</v>
      </c>
      <c r="B4" s="405" t="s">
        <v>1602</v>
      </c>
      <c r="C4" s="405"/>
      <c r="D4" s="405"/>
      <c r="E4" s="405"/>
      <c r="F4" s="405"/>
      <c r="G4" s="320"/>
      <c r="H4" s="320" t="s">
        <v>864</v>
      </c>
      <c r="I4" s="320" t="s">
        <v>864</v>
      </c>
      <c r="J4" s="402"/>
      <c r="K4" s="402"/>
      <c r="L4" s="320"/>
    </row>
    <row r="5" spans="1:12" ht="14.25" customHeight="1">
      <c r="A5" s="404">
        <v>2</v>
      </c>
      <c r="B5" s="405"/>
      <c r="C5" s="405" t="s">
        <v>1603</v>
      </c>
      <c r="D5" s="405"/>
      <c r="E5" s="405"/>
      <c r="F5" s="405"/>
      <c r="G5" s="320"/>
      <c r="H5" s="320" t="s">
        <v>864</v>
      </c>
      <c r="I5" s="320" t="s">
        <v>864</v>
      </c>
      <c r="J5" s="402"/>
      <c r="K5" s="426" t="s">
        <v>817</v>
      </c>
      <c r="L5" s="320"/>
    </row>
    <row r="6" spans="1:12" ht="14.25" customHeight="1">
      <c r="A6" s="404">
        <v>3</v>
      </c>
      <c r="B6" s="405"/>
      <c r="C6" s="405" t="s">
        <v>1604</v>
      </c>
      <c r="D6" s="405"/>
      <c r="E6" s="405"/>
      <c r="F6" s="405"/>
      <c r="G6" s="320"/>
      <c r="H6" s="320" t="s">
        <v>864</v>
      </c>
      <c r="I6" s="320" t="s">
        <v>864</v>
      </c>
      <c r="J6" s="402"/>
      <c r="K6" s="426" t="s">
        <v>820</v>
      </c>
      <c r="L6" s="320"/>
    </row>
    <row r="7" spans="1:12" ht="14.25" customHeight="1">
      <c r="A7" s="404">
        <v>4</v>
      </c>
      <c r="B7" s="405"/>
      <c r="C7" s="405" t="s">
        <v>1605</v>
      </c>
      <c r="D7" s="405"/>
      <c r="E7" s="405"/>
      <c r="F7" s="405"/>
      <c r="G7" s="326" t="s">
        <v>1606</v>
      </c>
      <c r="H7" s="320" t="s">
        <v>864</v>
      </c>
      <c r="I7" s="320" t="s">
        <v>864</v>
      </c>
      <c r="J7" s="326"/>
      <c r="K7" s="426" t="s">
        <v>820</v>
      </c>
      <c r="L7" s="326"/>
    </row>
    <row r="8" spans="1:12" ht="14.25" customHeight="1">
      <c r="A8" s="404">
        <v>5</v>
      </c>
      <c r="B8" s="405"/>
      <c r="C8" s="405" t="s">
        <v>1607</v>
      </c>
      <c r="D8" s="405"/>
      <c r="E8" s="405"/>
      <c r="F8" s="405"/>
      <c r="G8" s="320"/>
      <c r="H8" s="320" t="s">
        <v>864</v>
      </c>
      <c r="I8" s="320" t="s">
        <v>864</v>
      </c>
      <c r="J8" s="320"/>
      <c r="K8" s="426" t="s">
        <v>817</v>
      </c>
      <c r="L8" s="320" t="s">
        <v>1608</v>
      </c>
    </row>
    <row r="9" spans="1:12" ht="14.25" customHeight="1">
      <c r="A9" s="404">
        <v>6</v>
      </c>
      <c r="B9" s="405"/>
      <c r="C9" s="405"/>
      <c r="D9" s="405" t="s">
        <v>1609</v>
      </c>
      <c r="E9" s="405"/>
      <c r="F9" s="405"/>
      <c r="G9" s="408"/>
      <c r="H9" s="320" t="s">
        <v>864</v>
      </c>
      <c r="I9" s="320" t="s">
        <v>864</v>
      </c>
      <c r="J9" s="408"/>
      <c r="K9" s="427" t="s">
        <v>820</v>
      </c>
      <c r="L9" s="408" t="s">
        <v>999</v>
      </c>
    </row>
    <row r="10" spans="1:12" ht="14.25" customHeight="1">
      <c r="A10" s="404">
        <v>7</v>
      </c>
      <c r="B10" s="405"/>
      <c r="C10" s="405"/>
      <c r="D10" s="405" t="s">
        <v>1610</v>
      </c>
      <c r="E10" s="405"/>
      <c r="F10" s="405"/>
      <c r="G10" s="407"/>
      <c r="H10" s="320" t="s">
        <v>864</v>
      </c>
      <c r="I10" s="320" t="s">
        <v>864</v>
      </c>
      <c r="J10" s="401"/>
      <c r="K10" s="426" t="s">
        <v>820</v>
      </c>
      <c r="L10" s="407" t="s">
        <v>1088</v>
      </c>
    </row>
    <row r="11" spans="1:12" ht="14.25" customHeight="1">
      <c r="A11" s="404">
        <v>8</v>
      </c>
      <c r="B11" s="405"/>
      <c r="C11" s="405"/>
      <c r="D11" s="405" t="s">
        <v>1395</v>
      </c>
      <c r="E11" s="405"/>
      <c r="F11" s="405"/>
      <c r="G11" s="407"/>
      <c r="H11" s="320"/>
      <c r="I11" s="320" t="s">
        <v>864</v>
      </c>
      <c r="J11" s="401"/>
      <c r="K11" s="426" t="s">
        <v>817</v>
      </c>
      <c r="L11" s="417" t="s">
        <v>1397</v>
      </c>
    </row>
    <row r="12" spans="1:12" ht="14.25" customHeight="1">
      <c r="A12" s="404">
        <v>9</v>
      </c>
      <c r="B12" s="405"/>
      <c r="C12" s="405"/>
      <c r="D12" s="405"/>
      <c r="E12" s="405" t="s">
        <v>1049</v>
      </c>
      <c r="F12" s="434" t="s">
        <v>1398</v>
      </c>
      <c r="G12" s="407"/>
      <c r="H12" s="320"/>
      <c r="I12" s="320" t="s">
        <v>864</v>
      </c>
      <c r="J12" s="401"/>
      <c r="K12" s="426" t="s">
        <v>817</v>
      </c>
      <c r="L12" s="435" t="s">
        <v>1050</v>
      </c>
    </row>
    <row r="13" spans="1:12" ht="14.25" customHeight="1">
      <c r="A13" s="404">
        <v>10</v>
      </c>
      <c r="B13" s="405"/>
      <c r="C13" s="405"/>
      <c r="D13" s="405"/>
      <c r="E13" s="405" t="s">
        <v>1074</v>
      </c>
      <c r="F13" s="434" t="s">
        <v>1399</v>
      </c>
      <c r="G13" s="407"/>
      <c r="H13" s="320"/>
      <c r="I13" s="320" t="s">
        <v>864</v>
      </c>
      <c r="J13" s="401"/>
      <c r="K13" s="427" t="s">
        <v>817</v>
      </c>
      <c r="L13" s="417" t="s">
        <v>1075</v>
      </c>
    </row>
    <row r="14" spans="1:12" ht="14.25" customHeight="1">
      <c r="A14" s="404">
        <v>11</v>
      </c>
      <c r="B14" s="405"/>
      <c r="C14" s="405" t="s">
        <v>1249</v>
      </c>
      <c r="D14" s="405"/>
      <c r="E14" s="405"/>
      <c r="F14" s="405"/>
      <c r="G14" s="407"/>
      <c r="H14" s="320" t="s">
        <v>864</v>
      </c>
      <c r="I14" s="320" t="s">
        <v>864</v>
      </c>
      <c r="J14" s="409"/>
      <c r="K14" s="426" t="s">
        <v>817</v>
      </c>
      <c r="L14" s="435" t="s">
        <v>1253</v>
      </c>
    </row>
    <row r="15" spans="1:12" ht="14.25" customHeight="1">
      <c r="A15" s="404">
        <v>12</v>
      </c>
      <c r="B15" s="405"/>
      <c r="C15" s="405" t="s">
        <v>1611</v>
      </c>
      <c r="D15" s="405"/>
      <c r="E15" s="405"/>
      <c r="F15" s="405"/>
      <c r="G15" s="407" t="s">
        <v>1612</v>
      </c>
      <c r="H15" s="320" t="s">
        <v>864</v>
      </c>
      <c r="I15" s="320" t="s">
        <v>864</v>
      </c>
      <c r="J15" s="409"/>
      <c r="K15" s="426" t="s">
        <v>817</v>
      </c>
      <c r="L15" s="407"/>
    </row>
    <row r="16" spans="1:12" ht="14.25" customHeight="1">
      <c r="A16" s="404">
        <v>13</v>
      </c>
      <c r="B16" s="405"/>
      <c r="C16" s="405" t="s">
        <v>1261</v>
      </c>
      <c r="D16" s="405"/>
      <c r="E16" s="405"/>
      <c r="F16" s="433"/>
      <c r="G16" s="432" t="s">
        <v>1613</v>
      </c>
      <c r="H16" s="320" t="s">
        <v>864</v>
      </c>
      <c r="I16" s="320" t="s">
        <v>864</v>
      </c>
      <c r="J16" s="435" t="s">
        <v>1263</v>
      </c>
      <c r="K16" s="426" t="s">
        <v>817</v>
      </c>
      <c r="L16" s="407" t="s">
        <v>910</v>
      </c>
    </row>
    <row r="17" spans="1:12" ht="14.25" customHeight="1">
      <c r="A17" s="404">
        <v>14</v>
      </c>
      <c r="B17" s="405"/>
      <c r="C17" s="405" t="s">
        <v>1614</v>
      </c>
      <c r="D17" s="405"/>
      <c r="E17" s="405"/>
      <c r="F17" s="405"/>
      <c r="G17" s="408"/>
      <c r="H17" s="320" t="s">
        <v>864</v>
      </c>
      <c r="I17" s="320" t="s">
        <v>864</v>
      </c>
      <c r="J17" s="410"/>
      <c r="K17" s="426" t="s">
        <v>817</v>
      </c>
      <c r="L17" s="408" t="s">
        <v>939</v>
      </c>
    </row>
    <row r="18" spans="1:12" ht="15" customHeight="1">
      <c r="A18" s="404">
        <v>15</v>
      </c>
      <c r="B18" s="405"/>
      <c r="C18" s="405" t="s">
        <v>1380</v>
      </c>
      <c r="D18" s="405"/>
      <c r="E18" s="405"/>
      <c r="F18" s="405"/>
      <c r="G18" s="326"/>
      <c r="H18" s="326"/>
      <c r="I18" s="320" t="s">
        <v>864</v>
      </c>
      <c r="J18" s="326"/>
      <c r="K18" s="426" t="s">
        <v>817</v>
      </c>
      <c r="L18" s="326"/>
    </row>
    <row r="19" spans="1:12" ht="15" customHeight="1">
      <c r="A19" s="404">
        <v>16</v>
      </c>
      <c r="B19" s="405"/>
      <c r="C19" s="405"/>
      <c r="D19" s="405" t="s">
        <v>1382</v>
      </c>
      <c r="E19" s="405"/>
      <c r="F19" s="405"/>
      <c r="G19" s="408"/>
      <c r="H19" s="408"/>
      <c r="I19" s="320" t="s">
        <v>864</v>
      </c>
      <c r="J19" s="410"/>
      <c r="K19" s="427" t="s">
        <v>823</v>
      </c>
      <c r="L19" s="408"/>
    </row>
    <row r="20" spans="1:12" ht="15" customHeight="1">
      <c r="A20" s="404">
        <v>17</v>
      </c>
      <c r="B20" s="405"/>
      <c r="C20" s="405"/>
      <c r="D20" s="405"/>
      <c r="E20" s="405" t="s">
        <v>1385</v>
      </c>
      <c r="F20" s="405"/>
      <c r="G20" s="407"/>
      <c r="H20" s="407"/>
      <c r="I20" s="320" t="s">
        <v>864</v>
      </c>
      <c r="J20" s="407"/>
      <c r="K20" s="426" t="s">
        <v>820</v>
      </c>
      <c r="L20" s="407"/>
    </row>
    <row r="21" spans="1:12" ht="15" customHeight="1">
      <c r="A21" s="404">
        <v>18</v>
      </c>
      <c r="B21" s="405"/>
      <c r="C21" s="405"/>
      <c r="D21" s="405"/>
      <c r="E21" s="405" t="s">
        <v>1184</v>
      </c>
      <c r="F21" s="405"/>
      <c r="G21" s="326"/>
      <c r="H21" s="326"/>
      <c r="I21" s="320" t="s">
        <v>864</v>
      </c>
      <c r="J21" s="381"/>
      <c r="K21" s="427" t="s">
        <v>820</v>
      </c>
      <c r="L21" s="326"/>
    </row>
    <row r="22" spans="1:12" ht="15" customHeight="1">
      <c r="A22" s="404">
        <v>19</v>
      </c>
      <c r="B22" s="405"/>
      <c r="C22" s="405" t="s">
        <v>1410</v>
      </c>
      <c r="D22" s="405"/>
      <c r="E22" s="405"/>
      <c r="F22" s="405"/>
      <c r="G22" s="408"/>
      <c r="H22" s="408" t="s">
        <v>864</v>
      </c>
      <c r="I22" s="320" t="s">
        <v>864</v>
      </c>
      <c r="J22" s="410"/>
      <c r="K22" s="427" t="s">
        <v>817</v>
      </c>
      <c r="L22" s="408"/>
    </row>
    <row r="23" spans="1:12" ht="15" customHeight="1">
      <c r="A23" s="404">
        <v>20</v>
      </c>
      <c r="B23" s="405"/>
      <c r="C23" s="405"/>
      <c r="D23" s="405" t="s">
        <v>1414</v>
      </c>
      <c r="E23" s="405"/>
      <c r="F23" s="405"/>
      <c r="G23" s="407"/>
      <c r="H23" s="407"/>
      <c r="I23" s="320" t="s">
        <v>864</v>
      </c>
      <c r="J23" s="407"/>
      <c r="K23" s="426" t="s">
        <v>817</v>
      </c>
      <c r="L23" s="407"/>
    </row>
    <row r="24" spans="1:12" ht="15" customHeight="1">
      <c r="A24" s="404">
        <v>21</v>
      </c>
      <c r="B24" s="405"/>
      <c r="C24" s="405"/>
      <c r="D24" s="405"/>
      <c r="E24" s="405" t="s">
        <v>1418</v>
      </c>
      <c r="F24" s="405"/>
      <c r="G24" s="326"/>
      <c r="H24" s="326"/>
      <c r="I24" s="320" t="s">
        <v>864</v>
      </c>
      <c r="J24" s="381"/>
      <c r="K24" s="427" t="s">
        <v>817</v>
      </c>
      <c r="L24" s="326"/>
    </row>
    <row r="25" spans="1:12" ht="15" customHeight="1">
      <c r="A25" s="404">
        <v>22</v>
      </c>
      <c r="B25" s="405"/>
      <c r="C25" s="405"/>
      <c r="D25" s="405"/>
      <c r="E25" s="405" t="s">
        <v>1422</v>
      </c>
      <c r="F25" s="405"/>
      <c r="G25" s="326"/>
      <c r="H25" s="326"/>
      <c r="I25" s="320" t="s">
        <v>864</v>
      </c>
      <c r="J25" s="326"/>
      <c r="K25" s="426" t="s">
        <v>817</v>
      </c>
      <c r="L25" s="326"/>
    </row>
    <row r="26" spans="1:12" ht="15" customHeight="1">
      <c r="A26" s="404">
        <v>23</v>
      </c>
      <c r="B26" s="405"/>
      <c r="C26" s="405"/>
      <c r="D26" s="405" t="s">
        <v>1427</v>
      </c>
      <c r="E26" s="405"/>
      <c r="F26" s="405"/>
      <c r="G26" s="408"/>
      <c r="H26" s="408"/>
      <c r="I26" s="320" t="s">
        <v>864</v>
      </c>
      <c r="J26" s="410"/>
      <c r="K26" s="427" t="s">
        <v>817</v>
      </c>
      <c r="L26" s="408"/>
    </row>
    <row r="27" spans="1:12" ht="15" customHeight="1">
      <c r="A27" s="404">
        <v>24</v>
      </c>
      <c r="B27" s="405"/>
      <c r="C27" s="405"/>
      <c r="D27" s="405"/>
      <c r="E27" s="405" t="s">
        <v>1430</v>
      </c>
      <c r="F27" s="405"/>
      <c r="G27" s="407"/>
      <c r="H27" s="407"/>
      <c r="I27" s="320" t="s">
        <v>864</v>
      </c>
      <c r="J27" s="407"/>
      <c r="K27" s="426" t="s">
        <v>817</v>
      </c>
      <c r="L27" s="407"/>
    </row>
    <row r="28" spans="1:12" ht="15" customHeight="1">
      <c r="A28" s="404">
        <v>25</v>
      </c>
      <c r="B28" s="405"/>
      <c r="C28" s="405"/>
      <c r="D28" s="405"/>
      <c r="E28" s="405" t="s">
        <v>1433</v>
      </c>
      <c r="F28" s="405"/>
      <c r="G28" s="326"/>
      <c r="H28" s="326"/>
      <c r="I28" s="320" t="s">
        <v>864</v>
      </c>
      <c r="J28" s="381"/>
      <c r="K28" s="427" t="s">
        <v>817</v>
      </c>
      <c r="L28" s="326"/>
    </row>
    <row r="29" spans="1:12" ht="15" customHeight="1">
      <c r="A29" s="404">
        <v>26</v>
      </c>
      <c r="B29" s="405"/>
      <c r="C29" s="405"/>
      <c r="D29" s="405" t="s">
        <v>1438</v>
      </c>
      <c r="E29" s="405"/>
      <c r="F29" s="405"/>
      <c r="G29" s="326"/>
      <c r="H29" s="326" t="s">
        <v>864</v>
      </c>
      <c r="I29" s="320" t="s">
        <v>864</v>
      </c>
      <c r="J29" s="326"/>
      <c r="K29" s="426" t="s">
        <v>817</v>
      </c>
      <c r="L29" s="326"/>
    </row>
    <row r="30" spans="1:12" ht="15" customHeight="1">
      <c r="A30" s="404">
        <v>27</v>
      </c>
      <c r="B30" s="405"/>
      <c r="C30" s="405"/>
      <c r="D30" s="405"/>
      <c r="E30" s="405" t="s">
        <v>1442</v>
      </c>
      <c r="F30" s="405"/>
      <c r="G30" s="408"/>
      <c r="H30" s="408"/>
      <c r="I30" s="320" t="s">
        <v>864</v>
      </c>
      <c r="J30" s="410"/>
      <c r="K30" s="427" t="s">
        <v>817</v>
      </c>
      <c r="L30" s="408"/>
    </row>
    <row r="31" spans="1:12" ht="15" customHeight="1">
      <c r="A31" s="404">
        <v>28</v>
      </c>
      <c r="B31" s="405"/>
      <c r="C31" s="405"/>
      <c r="D31" s="405"/>
      <c r="E31" s="405" t="s">
        <v>1445</v>
      </c>
      <c r="F31" s="405"/>
      <c r="G31" s="407"/>
      <c r="H31" s="407"/>
      <c r="I31" s="320" t="s">
        <v>864</v>
      </c>
      <c r="J31" s="407"/>
      <c r="K31" s="426" t="s">
        <v>817</v>
      </c>
      <c r="L31" s="407"/>
    </row>
    <row r="32" spans="1:12" ht="15" customHeight="1">
      <c r="A32" s="404">
        <v>29</v>
      </c>
      <c r="B32" s="405"/>
      <c r="C32" s="405"/>
      <c r="D32" s="405"/>
      <c r="E32" s="405" t="s">
        <v>1448</v>
      </c>
      <c r="F32" s="405"/>
      <c r="G32" s="326"/>
      <c r="H32" s="326"/>
      <c r="I32" s="320" t="s">
        <v>864</v>
      </c>
      <c r="J32" s="381"/>
      <c r="K32" s="427" t="s">
        <v>817</v>
      </c>
      <c r="L32" s="326"/>
    </row>
    <row r="33" spans="1:12" ht="15" customHeight="1">
      <c r="A33" s="404">
        <v>30</v>
      </c>
      <c r="B33" s="405"/>
      <c r="C33" s="405"/>
      <c r="D33" s="405"/>
      <c r="E33" s="405" t="s">
        <v>1451</v>
      </c>
      <c r="F33" s="405"/>
      <c r="G33" s="326"/>
      <c r="H33" s="326" t="s">
        <v>864</v>
      </c>
      <c r="I33" s="320" t="s">
        <v>864</v>
      </c>
      <c r="J33" s="326"/>
      <c r="K33" s="426" t="s">
        <v>817</v>
      </c>
      <c r="L33" s="326"/>
    </row>
    <row r="34" spans="1:12" ht="15" customHeight="1">
      <c r="A34" s="404">
        <v>31</v>
      </c>
      <c r="B34" s="405"/>
      <c r="C34" s="405"/>
      <c r="D34" s="405"/>
      <c r="E34" s="405" t="s">
        <v>1455</v>
      </c>
      <c r="F34" s="405"/>
      <c r="G34" s="408"/>
      <c r="H34" s="408" t="s">
        <v>864</v>
      </c>
      <c r="I34" s="320" t="s">
        <v>864</v>
      </c>
      <c r="J34" s="410"/>
      <c r="K34" s="427" t="s">
        <v>817</v>
      </c>
      <c r="L34" s="408"/>
    </row>
    <row r="35" spans="1:12" ht="15" customHeight="1">
      <c r="A35" s="404">
        <v>32</v>
      </c>
      <c r="B35" s="405"/>
      <c r="C35" s="405"/>
      <c r="D35" s="405"/>
      <c r="E35" s="405" t="s">
        <v>1460</v>
      </c>
      <c r="F35" s="405"/>
      <c r="G35" s="407"/>
      <c r="H35" s="407"/>
      <c r="I35" s="320" t="s">
        <v>864</v>
      </c>
      <c r="J35" s="407"/>
      <c r="K35" s="426" t="s">
        <v>817</v>
      </c>
      <c r="L35" s="407"/>
    </row>
    <row r="36" spans="1:12" ht="15" customHeight="1">
      <c r="A36" s="404">
        <v>33</v>
      </c>
      <c r="B36" s="405"/>
      <c r="C36" s="405"/>
      <c r="D36" s="405" t="s">
        <v>1465</v>
      </c>
      <c r="E36" s="405" t="s">
        <v>1466</v>
      </c>
      <c r="F36" s="405"/>
      <c r="G36" s="326"/>
      <c r="H36" s="326" t="s">
        <v>864</v>
      </c>
      <c r="I36" s="320" t="s">
        <v>864</v>
      </c>
      <c r="J36" s="381"/>
      <c r="K36" s="427" t="s">
        <v>817</v>
      </c>
      <c r="L36" s="326"/>
    </row>
    <row r="37" spans="1:12" ht="15" customHeight="1">
      <c r="A37" s="404">
        <v>34</v>
      </c>
      <c r="B37" s="405"/>
      <c r="C37" s="405" t="s">
        <v>986</v>
      </c>
      <c r="D37" s="405" t="s">
        <v>978</v>
      </c>
      <c r="E37" s="405"/>
      <c r="F37" s="405"/>
      <c r="G37" s="326"/>
      <c r="H37" s="326"/>
      <c r="I37" s="320" t="s">
        <v>864</v>
      </c>
      <c r="J37" s="326"/>
      <c r="K37" s="426" t="s">
        <v>817</v>
      </c>
      <c r="L37" s="326"/>
    </row>
    <row r="38" spans="1:12" ht="15" customHeight="1">
      <c r="A38" s="404">
        <v>35</v>
      </c>
      <c r="B38" s="405"/>
      <c r="C38" s="405" t="s">
        <v>1471</v>
      </c>
      <c r="D38" s="405"/>
      <c r="E38" s="405"/>
      <c r="F38" s="405"/>
      <c r="G38" s="408"/>
      <c r="H38" s="408" t="s">
        <v>864</v>
      </c>
      <c r="I38" s="320" t="s">
        <v>864</v>
      </c>
      <c r="J38" s="410"/>
      <c r="K38" s="427" t="s">
        <v>817</v>
      </c>
      <c r="L38" s="408"/>
    </row>
    <row r="39" spans="1:12" ht="15" customHeight="1">
      <c r="A39" s="404">
        <v>36</v>
      </c>
      <c r="B39" s="405"/>
      <c r="C39" s="405"/>
      <c r="D39" s="405" t="s">
        <v>1475</v>
      </c>
      <c r="E39" s="405"/>
      <c r="F39" s="405"/>
      <c r="G39" s="407"/>
      <c r="H39" s="407"/>
      <c r="I39" s="320" t="s">
        <v>864</v>
      </c>
      <c r="J39" s="407"/>
      <c r="K39" s="426" t="s">
        <v>817</v>
      </c>
      <c r="L39" s="407"/>
    </row>
    <row r="40" spans="1:12" ht="15" customHeight="1">
      <c r="A40" s="404">
        <v>37</v>
      </c>
      <c r="B40" s="405"/>
      <c r="C40" s="405"/>
      <c r="D40" s="405" t="s">
        <v>1478</v>
      </c>
      <c r="E40" s="405"/>
      <c r="F40" s="405"/>
      <c r="G40" s="326"/>
      <c r="H40" s="326"/>
      <c r="I40" s="320" t="s">
        <v>864</v>
      </c>
      <c r="J40" s="381"/>
      <c r="K40" s="427" t="s">
        <v>817</v>
      </c>
      <c r="L40" s="326"/>
    </row>
    <row r="41" spans="1:12" ht="15" customHeight="1">
      <c r="A41" s="404">
        <v>38</v>
      </c>
      <c r="B41" s="405"/>
      <c r="C41" s="405"/>
      <c r="D41" s="405" t="s">
        <v>1480</v>
      </c>
      <c r="E41" s="405"/>
      <c r="F41" s="405"/>
      <c r="G41" s="326"/>
      <c r="H41" s="326" t="s">
        <v>864</v>
      </c>
      <c r="I41" s="320" t="s">
        <v>864</v>
      </c>
      <c r="J41" s="326"/>
      <c r="K41" s="426" t="s">
        <v>817</v>
      </c>
      <c r="L41" s="326"/>
    </row>
    <row r="42" spans="1:12" ht="15" customHeight="1">
      <c r="A42" s="404">
        <v>39</v>
      </c>
      <c r="B42" s="405"/>
      <c r="C42" s="405"/>
      <c r="D42" s="405" t="s">
        <v>1486</v>
      </c>
      <c r="E42" s="405"/>
      <c r="F42" s="405"/>
      <c r="G42" s="408"/>
      <c r="H42" s="408"/>
      <c r="I42" s="320" t="s">
        <v>864</v>
      </c>
      <c r="J42" s="410"/>
      <c r="K42" s="427" t="s">
        <v>817</v>
      </c>
      <c r="L42" s="408"/>
    </row>
    <row r="43" spans="1:12" ht="15" customHeight="1">
      <c r="A43" s="404">
        <v>40</v>
      </c>
      <c r="B43" s="405"/>
      <c r="C43" s="405" t="s">
        <v>1490</v>
      </c>
      <c r="D43" s="405"/>
      <c r="E43" s="405"/>
      <c r="F43" s="405"/>
      <c r="G43" s="407"/>
      <c r="H43" s="407"/>
      <c r="I43" s="320" t="s">
        <v>864</v>
      </c>
      <c r="J43" s="407"/>
      <c r="K43" s="426" t="s">
        <v>817</v>
      </c>
      <c r="L43" s="407"/>
    </row>
    <row r="44" spans="1:12" ht="15" customHeight="1">
      <c r="A44" s="404">
        <v>41</v>
      </c>
      <c r="B44" s="405"/>
      <c r="C44" s="405"/>
      <c r="D44" s="405" t="s">
        <v>1492</v>
      </c>
      <c r="E44" s="405" t="s">
        <v>978</v>
      </c>
      <c r="F44" s="405"/>
      <c r="G44" s="326"/>
      <c r="H44" s="326"/>
      <c r="I44" s="320" t="s">
        <v>864</v>
      </c>
      <c r="J44" s="381"/>
      <c r="K44" s="427" t="s">
        <v>817</v>
      </c>
      <c r="L44" s="326"/>
    </row>
    <row r="45" spans="1:12" ht="15" customHeight="1">
      <c r="A45" s="404">
        <v>42</v>
      </c>
      <c r="B45" s="405"/>
      <c r="C45" s="405"/>
      <c r="D45" s="405" t="s">
        <v>1496</v>
      </c>
      <c r="E45" s="405" t="s">
        <v>978</v>
      </c>
      <c r="F45" s="405"/>
      <c r="G45" s="326"/>
      <c r="H45" s="326"/>
      <c r="I45" s="320" t="s">
        <v>864</v>
      </c>
      <c r="J45" s="326"/>
      <c r="K45" s="426" t="s">
        <v>823</v>
      </c>
      <c r="L45" s="326"/>
    </row>
    <row r="46" spans="1:12" ht="15" customHeight="1">
      <c r="A46" s="404">
        <v>43</v>
      </c>
      <c r="B46" s="405"/>
      <c r="C46" s="405" t="s">
        <v>1499</v>
      </c>
      <c r="D46" s="405" t="s">
        <v>978</v>
      </c>
      <c r="E46" s="405"/>
      <c r="F46" s="405"/>
      <c r="G46" s="408"/>
      <c r="H46" s="408"/>
      <c r="I46" s="320" t="s">
        <v>864</v>
      </c>
      <c r="J46" s="410"/>
      <c r="K46" s="427" t="s">
        <v>817</v>
      </c>
      <c r="L46" s="408"/>
    </row>
    <row r="47" spans="1:12" ht="15" customHeight="1">
      <c r="A47" s="404">
        <v>44</v>
      </c>
      <c r="B47" s="405"/>
      <c r="C47" s="405" t="s">
        <v>1502</v>
      </c>
      <c r="D47" s="405"/>
      <c r="E47" s="405"/>
      <c r="F47" s="405"/>
      <c r="G47" s="407"/>
      <c r="H47" s="407"/>
      <c r="I47" s="320" t="s">
        <v>864</v>
      </c>
      <c r="J47" s="407"/>
      <c r="K47" s="428" t="s">
        <v>823</v>
      </c>
      <c r="L47" s="407"/>
    </row>
    <row r="48" spans="1:12" ht="15" customHeight="1">
      <c r="A48" s="404">
        <v>45</v>
      </c>
      <c r="B48" s="405"/>
      <c r="C48" s="405"/>
      <c r="D48" s="405" t="s">
        <v>1506</v>
      </c>
      <c r="E48" s="405" t="s">
        <v>1507</v>
      </c>
      <c r="F48" s="405"/>
      <c r="G48" s="326"/>
      <c r="H48" s="326"/>
      <c r="I48" s="320" t="s">
        <v>864</v>
      </c>
      <c r="J48" s="381"/>
      <c r="K48" s="427" t="s">
        <v>817</v>
      </c>
      <c r="L48" s="326"/>
    </row>
    <row r="49" spans="1:12" ht="15" customHeight="1">
      <c r="A49" s="404">
        <v>46</v>
      </c>
      <c r="B49" s="405"/>
      <c r="C49" s="405"/>
      <c r="D49" s="405" t="s">
        <v>1509</v>
      </c>
      <c r="E49" s="405"/>
      <c r="F49" s="405"/>
      <c r="G49" s="326"/>
      <c r="H49" s="326"/>
      <c r="I49" s="320" t="s">
        <v>864</v>
      </c>
      <c r="J49" s="326"/>
      <c r="K49" s="426" t="s">
        <v>820</v>
      </c>
      <c r="L49" s="326"/>
    </row>
    <row r="50" spans="1:12" ht="15" customHeight="1">
      <c r="A50" s="404">
        <v>47</v>
      </c>
      <c r="B50" s="405"/>
      <c r="C50" s="405"/>
      <c r="D50" s="405" t="s">
        <v>1511</v>
      </c>
      <c r="E50" s="405"/>
      <c r="F50" s="405"/>
      <c r="G50" s="408"/>
      <c r="H50" s="408"/>
      <c r="I50" s="320" t="s">
        <v>864</v>
      </c>
      <c r="J50" s="410"/>
      <c r="K50" s="427" t="s">
        <v>820</v>
      </c>
      <c r="L50" s="408"/>
    </row>
    <row r="51" spans="1:12" ht="15" customHeight="1">
      <c r="A51" s="404">
        <v>48</v>
      </c>
      <c r="B51" s="405"/>
      <c r="C51" s="405"/>
      <c r="D51" s="405" t="s">
        <v>1513</v>
      </c>
      <c r="E51" s="405"/>
      <c r="F51" s="405"/>
      <c r="G51" s="407"/>
      <c r="H51" s="407"/>
      <c r="I51" s="320" t="s">
        <v>864</v>
      </c>
      <c r="J51" s="407"/>
      <c r="K51" s="426" t="s">
        <v>817</v>
      </c>
      <c r="L51" s="407"/>
    </row>
    <row r="52" spans="1:12" ht="15" customHeight="1">
      <c r="A52" s="404">
        <v>49</v>
      </c>
      <c r="B52" s="405"/>
      <c r="C52" s="405"/>
      <c r="D52" s="405" t="s">
        <v>1516</v>
      </c>
      <c r="E52" s="405"/>
      <c r="F52" s="405"/>
      <c r="G52" s="326"/>
      <c r="H52" s="326"/>
      <c r="I52" s="320" t="s">
        <v>864</v>
      </c>
      <c r="J52" s="381"/>
      <c r="K52" s="427" t="s">
        <v>817</v>
      </c>
      <c r="L52" s="326"/>
    </row>
    <row r="53" spans="1:12" ht="15" customHeight="1">
      <c r="A53" s="404">
        <v>50</v>
      </c>
      <c r="B53" s="405"/>
      <c r="C53" s="405"/>
      <c r="D53" s="405" t="s">
        <v>1519</v>
      </c>
      <c r="E53" s="405"/>
      <c r="F53" s="405"/>
      <c r="G53" s="326"/>
      <c r="H53" s="326"/>
      <c r="I53" s="320" t="s">
        <v>864</v>
      </c>
      <c r="J53" s="326"/>
      <c r="K53" s="426" t="s">
        <v>817</v>
      </c>
      <c r="L53" s="326"/>
    </row>
    <row r="54" spans="1:12"/>
    <row r="55" spans="1:12"/>
  </sheetData>
  <conditionalFormatting sqref="F12:F13">
    <cfRule type="expression" dxfId="197" priority="8">
      <formula>AND($R12="X",OR($B12&lt;&gt;"",$C12&lt;&gt;"",$D12&lt;&gt;""))</formula>
    </cfRule>
    <cfRule type="expression" dxfId="196" priority="9">
      <formula>AND($R12="X",OR($B12&lt;&gt;"",$C12&lt;&gt;"",$D12&lt;&gt;"",$E12&lt;&gt;""))</formula>
    </cfRule>
    <cfRule type="expression" dxfId="195" priority="10">
      <formula>OR($AD12="X",$AC12="X")</formula>
    </cfRule>
    <cfRule type="expression" dxfId="194" priority="11">
      <formula>AND($AD12=1,$AC12=1)</formula>
    </cfRule>
    <cfRule type="expression" dxfId="193" priority="12">
      <formula>$AD12=1</formula>
    </cfRule>
    <cfRule type="expression" dxfId="192" priority="13">
      <formula>$AC12=1</formula>
    </cfRule>
    <cfRule type="expression" dxfId="191" priority="14">
      <formula>AND(NOT(ISBLANK($W12)),ISBLANK($AC12),ISBLANK($AD12))</formula>
    </cfRule>
  </conditionalFormatting>
  <conditionalFormatting sqref="J16">
    <cfRule type="expression" dxfId="190" priority="1">
      <formula>$R16="X"</formula>
    </cfRule>
  </conditionalFormatting>
  <conditionalFormatting sqref="K5:K53">
    <cfRule type="cellIs" dxfId="189" priority="2" operator="equal">
      <formula>"1..1"</formula>
    </cfRule>
    <cfRule type="cellIs" dxfId="188" priority="3" operator="equal">
      <formula>"0..n"</formula>
    </cfRule>
    <cfRule type="cellIs" dxfId="187" priority="4" operator="equal">
      <formula>"0..1"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S31" activePane="bottomRight" state="frozen"/>
      <selection pane="bottomRight" activeCell="A48" sqref="A48"/>
      <selection pane="bottomLeft"/>
      <selection pane="topRight"/>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1615</v>
      </c>
      <c r="C1" s="129" t="s">
        <v>813</v>
      </c>
      <c r="E1" s="150" t="s">
        <v>814</v>
      </c>
      <c r="F1" s="157">
        <f>createCase2[[#Totals],[Métier]] / createCase2[[#Totals],[ID]]</f>
        <v>0</v>
      </c>
      <c r="G1" s="128"/>
      <c r="H1" s="451" t="s">
        <v>911</v>
      </c>
      <c r="I1" s="451"/>
      <c r="J1" s="451"/>
      <c r="O1" s="452" t="s">
        <v>816</v>
      </c>
      <c r="P1" s="452"/>
      <c r="AC1" s="96"/>
      <c r="AE1"/>
      <c r="AF1" s="128"/>
      <c r="ALZ1"/>
    </row>
    <row r="2" spans="1:1014" ht="13.5" customHeight="1">
      <c r="C2" s="141" t="s">
        <v>818</v>
      </c>
      <c r="D2" s="288"/>
      <c r="E2" s="152" t="s">
        <v>819</v>
      </c>
      <c r="F2" s="157">
        <f>createCase2[[#Totals],[NexSIS]] / createCase2[[#Totals],[ID]]</f>
        <v>0</v>
      </c>
      <c r="G2" s="128"/>
      <c r="H2" s="451"/>
      <c r="I2" s="451"/>
      <c r="J2" s="45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53" t="s">
        <v>828</v>
      </c>
      <c r="M7" s="453"/>
      <c r="N7" s="453"/>
      <c r="O7" s="453"/>
      <c r="V7" s="454" t="s">
        <v>829</v>
      </c>
      <c r="W7" s="454"/>
      <c r="AC7" s="453" t="s">
        <v>830</v>
      </c>
      <c r="AD7" s="45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1615</v>
      </c>
      <c r="L9" s="411"/>
      <c r="M9" s="411"/>
      <c r="N9" s="411"/>
      <c r="O9" s="411"/>
      <c r="P9" s="414"/>
      <c r="Q9" s="411" t="s">
        <v>823</v>
      </c>
      <c r="R9" s="411" t="s">
        <v>864</v>
      </c>
      <c r="S9" s="262" t="s">
        <v>1615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1616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1617</v>
      </c>
      <c r="L11" s="411"/>
      <c r="M11" s="411"/>
      <c r="N11" s="411"/>
      <c r="O11" s="411"/>
      <c r="P11" s="414"/>
      <c r="Q11" s="411" t="s">
        <v>823</v>
      </c>
      <c r="R11" s="411" t="s">
        <v>864</v>
      </c>
      <c r="S11" s="379" t="s">
        <v>1617</v>
      </c>
      <c r="T11" s="415"/>
      <c r="U11" s="260"/>
      <c r="V11" s="261"/>
      <c r="W11" s="261" t="s">
        <v>864</v>
      </c>
      <c r="X11" s="232"/>
      <c r="Y11" s="416"/>
      <c r="Z11" s="411" t="s">
        <v>1618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1619</v>
      </c>
      <c r="L12" s="411"/>
      <c r="M12" s="411"/>
      <c r="N12" s="411"/>
      <c r="O12" s="411"/>
      <c r="P12" s="414"/>
      <c r="Q12" s="411" t="s">
        <v>823</v>
      </c>
      <c r="R12" s="411" t="s">
        <v>864</v>
      </c>
      <c r="S12" s="378" t="s">
        <v>1619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1620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1621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1622</v>
      </c>
      <c r="L15" s="411"/>
      <c r="M15" s="411"/>
      <c r="N15" s="411"/>
      <c r="O15" s="411"/>
      <c r="P15" s="414"/>
      <c r="Q15" s="411" t="s">
        <v>817</v>
      </c>
      <c r="R15" s="411" t="s">
        <v>864</v>
      </c>
      <c r="S15" s="379" t="s">
        <v>1622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1623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1624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1625</v>
      </c>
      <c r="L18" s="411"/>
      <c r="M18" s="411"/>
      <c r="N18" s="411"/>
      <c r="O18" s="411"/>
      <c r="P18" s="414"/>
      <c r="Q18" s="411" t="s">
        <v>817</v>
      </c>
      <c r="R18" s="411" t="s">
        <v>864</v>
      </c>
      <c r="S18" s="378" t="s">
        <v>1626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1627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1628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1629</v>
      </c>
      <c r="L21" s="411"/>
      <c r="M21" s="411"/>
      <c r="N21" s="411"/>
      <c r="O21" s="411"/>
      <c r="P21" s="414"/>
      <c r="Q21" s="411" t="s">
        <v>817</v>
      </c>
      <c r="R21" s="411" t="s">
        <v>864</v>
      </c>
      <c r="S21" s="379" t="s">
        <v>1630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1631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1632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1633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1634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1635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1636</v>
      </c>
      <c r="L28" s="411"/>
      <c r="M28" s="411"/>
      <c r="N28" s="411"/>
      <c r="O28" s="411"/>
      <c r="P28" s="414"/>
      <c r="Q28" s="411" t="s">
        <v>817</v>
      </c>
      <c r="R28" s="411" t="s">
        <v>864</v>
      </c>
      <c r="S28" s="379" t="s">
        <v>1636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1637</v>
      </c>
      <c r="F29" s="241"/>
      <c r="G29" s="241"/>
      <c r="H29" s="411" t="s">
        <v>1638</v>
      </c>
      <c r="I29" s="421" t="s">
        <v>1102</v>
      </c>
      <c r="J29" s="411"/>
      <c r="K29" s="262" t="s">
        <v>1639</v>
      </c>
      <c r="L29" s="411" t="s">
        <v>1640</v>
      </c>
      <c r="M29" s="411" t="s">
        <v>1641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1642</v>
      </c>
      <c r="F30" s="241"/>
      <c r="G30" s="241"/>
      <c r="H30" s="411" t="s">
        <v>1643</v>
      </c>
      <c r="I30" s="421" t="s">
        <v>1644</v>
      </c>
      <c r="J30" s="411"/>
      <c r="K30" s="262" t="s">
        <v>1645</v>
      </c>
      <c r="L30" s="411" t="s">
        <v>1646</v>
      </c>
      <c r="M30" s="411" t="s">
        <v>1647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1648</v>
      </c>
      <c r="E31" s="241"/>
      <c r="F31" s="241"/>
      <c r="G31" s="241"/>
      <c r="H31" s="411" t="s">
        <v>1392</v>
      </c>
      <c r="I31" s="421" t="s">
        <v>1649</v>
      </c>
      <c r="J31" s="411"/>
      <c r="K31" s="262" t="s">
        <v>1650</v>
      </c>
      <c r="L31" s="411"/>
      <c r="M31" s="411"/>
      <c r="N31" s="411"/>
      <c r="O31" s="411"/>
      <c r="P31" s="414"/>
      <c r="Q31" s="411" t="s">
        <v>823</v>
      </c>
      <c r="R31" s="411" t="s">
        <v>864</v>
      </c>
      <c r="S31" s="411" t="s">
        <v>863</v>
      </c>
      <c r="T31" s="415"/>
      <c r="U31" s="260" t="s">
        <v>1651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1652</v>
      </c>
      <c r="E34" s="241"/>
      <c r="F34" s="241"/>
      <c r="G34" s="241"/>
      <c r="H34" s="411" t="s">
        <v>1396</v>
      </c>
      <c r="I34" s="421"/>
      <c r="J34" s="411"/>
      <c r="K34" s="262" t="s">
        <v>1653</v>
      </c>
      <c r="L34" s="411"/>
      <c r="M34" s="411"/>
      <c r="N34" s="411"/>
      <c r="O34" s="411"/>
      <c r="P34" s="414"/>
      <c r="Q34" s="411" t="s">
        <v>817</v>
      </c>
      <c r="R34" s="411" t="s">
        <v>864</v>
      </c>
      <c r="S34" s="262" t="s">
        <v>1653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1654</v>
      </c>
      <c r="F35" s="241"/>
      <c r="G35" s="241"/>
      <c r="H35" s="411"/>
      <c r="I35" s="421"/>
      <c r="J35" s="411"/>
      <c r="K35" s="262" t="s">
        <v>1655</v>
      </c>
      <c r="L35" s="411"/>
      <c r="M35" s="411"/>
      <c r="N35" s="411"/>
      <c r="O35" s="411"/>
      <c r="P35" s="414"/>
      <c r="Q35" s="411" t="s">
        <v>817</v>
      </c>
      <c r="R35" s="411" t="s">
        <v>864</v>
      </c>
      <c r="S35" s="411" t="s">
        <v>1655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1656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1657</v>
      </c>
      <c r="L37" s="411"/>
      <c r="M37" s="411"/>
      <c r="N37" s="411"/>
      <c r="O37" s="411"/>
      <c r="P37" s="414"/>
      <c r="Q37" s="411" t="s">
        <v>817</v>
      </c>
      <c r="R37" s="411" t="s">
        <v>864</v>
      </c>
      <c r="S37" s="379" t="s">
        <v>1658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1659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1660</v>
      </c>
      <c r="I39" s="421"/>
      <c r="J39" s="411"/>
      <c r="K39" s="262" t="s">
        <v>1661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1662</v>
      </c>
      <c r="I40" s="421"/>
      <c r="J40" s="411"/>
      <c r="K40" s="262" t="s">
        <v>1663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1664</v>
      </c>
      <c r="F41" s="241"/>
      <c r="G41" s="241"/>
      <c r="H41" s="411" t="s">
        <v>1665</v>
      </c>
      <c r="I41" s="421"/>
      <c r="J41" s="411"/>
      <c r="K41" s="262" t="s">
        <v>1666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1667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1668</v>
      </c>
      <c r="L45" s="265"/>
      <c r="M45" s="265"/>
      <c r="N45" s="265"/>
      <c r="O45" s="265"/>
      <c r="P45" s="267"/>
      <c r="Q45" s="265" t="s">
        <v>817</v>
      </c>
      <c r="R45" s="265" t="s">
        <v>864</v>
      </c>
      <c r="S45" s="268" t="s">
        <v>1669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86" priority="50">
      <formula>OR($AD49="X",$AB49="X")</formula>
    </cfRule>
    <cfRule type="expression" dxfId="185" priority="51">
      <formula>AND($AD49=1,$AB49=1)</formula>
    </cfRule>
    <cfRule type="expression" dxfId="184" priority="52">
      <formula>$AD49=1</formula>
    </cfRule>
    <cfRule type="expression" dxfId="183" priority="53">
      <formula>$AB49=1</formula>
    </cfRule>
  </conditionalFormatting>
  <conditionalFormatting sqref="A9:G47">
    <cfRule type="expression" dxfId="182" priority="58">
      <formula>AND(NOT(ISBLANK($W9)),ISBLANK($AC9),ISBLANK($AD9))</formula>
    </cfRule>
  </conditionalFormatting>
  <conditionalFormatting sqref="B13:C41 E13:G41">
    <cfRule type="expression" dxfId="181" priority="34">
      <formula>AND($AD13=1,$AC13=1)</formula>
    </cfRule>
    <cfRule type="expression" dxfId="180" priority="35">
      <formula>$AD13=1</formula>
    </cfRule>
  </conditionalFormatting>
  <conditionalFormatting sqref="B15:C41 E15:G41">
    <cfRule type="expression" dxfId="179" priority="13">
      <formula>$AC15=1</formula>
    </cfRule>
  </conditionalFormatting>
  <conditionalFormatting sqref="B9:G12 A9:A47 B42:G47 E13:G14 B13:C14">
    <cfRule type="expression" dxfId="178" priority="57">
      <formula>$AC9=1</formula>
    </cfRule>
  </conditionalFormatting>
  <conditionalFormatting sqref="B9:G12 A9:A47 B42:G47">
    <cfRule type="expression" dxfId="177" priority="56">
      <formula>$AD9=1</formula>
    </cfRule>
  </conditionalFormatting>
  <conditionalFormatting sqref="B9:G12 B13:C41 E13:G41 A9:A47">
    <cfRule type="expression" dxfId="176" priority="33">
      <formula>OR($AD9="X",$AC9="X")</formula>
    </cfRule>
  </conditionalFormatting>
  <conditionalFormatting sqref="B42:G47 B9:G12 A9:A47">
    <cfRule type="expression" dxfId="175" priority="55">
      <formula>AND($AD9=1,$AC9=1)</formula>
    </cfRule>
  </conditionalFormatting>
  <conditionalFormatting sqref="B42:G47">
    <cfRule type="expression" dxfId="174" priority="54">
      <formula>OR($AD42="X",$AC42="X")</formula>
    </cfRule>
  </conditionalFormatting>
  <conditionalFormatting sqref="C9:C47">
    <cfRule type="expression" dxfId="173" priority="32">
      <formula>AND($R9="X",$B9&lt;&gt;"")</formula>
    </cfRule>
  </conditionalFormatting>
  <conditionalFormatting sqref="D13:D41">
    <cfRule type="expression" dxfId="172" priority="14">
      <formula>OR($AD13="X",$AC13="X")</formula>
    </cfRule>
    <cfRule type="expression" dxfId="171" priority="15">
      <formula>AND($AD13=1,$AC13=1)</formula>
    </cfRule>
    <cfRule type="expression" dxfId="170" priority="16">
      <formula>$AD13=1</formula>
    </cfRule>
    <cfRule type="expression" dxfId="169" priority="17">
      <formula>$AC13=1</formula>
    </cfRule>
  </conditionalFormatting>
  <conditionalFormatting sqref="D15:D41">
    <cfRule type="expression" dxfId="168" priority="24">
      <formula>AND($R15="X",$B15&lt;&gt;"")</formula>
    </cfRule>
  </conditionalFormatting>
  <conditionalFormatting sqref="E12:E14 D9:D12 D42:D47">
    <cfRule type="expression" dxfId="167" priority="44">
      <formula>AND($R9="X",OR($B9&lt;&gt;"",$C9&lt;&gt;""))</formula>
    </cfRule>
  </conditionalFormatting>
  <conditionalFormatting sqref="E15:E47 E9:E12">
    <cfRule type="expression" dxfId="166"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65" priority="46">
      <formula>AND($R9="X",OR($B9&lt;&gt;"",$C9&lt;&gt;"",$D9&lt;&gt;"",$E9&lt;&gt;""))</formula>
    </cfRule>
  </conditionalFormatting>
  <conditionalFormatting sqref="G15:G47 G9:G12">
    <cfRule type="expression" dxfId="164" priority="47">
      <formula>AND($R9="X",OR($B9&lt;&gt;"",$C9&lt;&gt;"",$D9&lt;&gt;"",$E9&lt;&gt;"",$F9&lt;&gt;""))</formula>
    </cfRule>
  </conditionalFormatting>
  <conditionalFormatting sqref="H49:H50 H70:H910">
    <cfRule type="expression" dxfId="163" priority="49">
      <formula>$Q49="X"</formula>
    </cfRule>
  </conditionalFormatting>
  <conditionalFormatting sqref="I9:I11 I13:I47">
    <cfRule type="expression" dxfId="162" priority="23">
      <formula>$R9="X"</formula>
    </cfRule>
  </conditionalFormatting>
  <conditionalFormatting sqref="Q9:Q47">
    <cfRule type="cellIs" dxfId="161" priority="20" operator="equal">
      <formula>"1..1"</formula>
    </cfRule>
    <cfRule type="cellIs" dxfId="160" priority="21" operator="equal">
      <formula>"0..n"</formula>
    </cfRule>
    <cfRule type="cellIs" dxfId="159"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110" activePane="bottomRight" state="frozen"/>
      <selection pane="bottomRight" activeCell="A117" sqref="A117"/>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1670</v>
      </c>
      <c r="B1" s="290"/>
      <c r="C1" s="129" t="s">
        <v>813</v>
      </c>
      <c r="D1" s="128"/>
      <c r="E1" s="297" t="s">
        <v>814</v>
      </c>
      <c r="F1" s="157">
        <v>0.7</v>
      </c>
      <c r="G1" s="128"/>
      <c r="H1" s="455" t="s">
        <v>1597</v>
      </c>
      <c r="I1" s="455"/>
      <c r="J1" s="455"/>
      <c r="K1" s="455"/>
      <c r="L1" s="455"/>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455"/>
      <c r="I2" s="455"/>
      <c r="J2" s="455"/>
      <c r="K2" s="455"/>
      <c r="L2" s="455"/>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56" t="s">
        <v>1671</v>
      </c>
      <c r="P7" s="456"/>
      <c r="Q7" s="456"/>
      <c r="R7" s="456"/>
      <c r="S7" s="308"/>
      <c r="T7" s="96"/>
      <c r="U7" s="96"/>
      <c r="V7" s="96"/>
      <c r="W7" s="96"/>
      <c r="X7" s="96"/>
      <c r="Y7" s="96"/>
      <c r="Z7" s="96"/>
      <c r="AA7" s="457" t="s">
        <v>829</v>
      </c>
      <c r="AB7" s="457"/>
      <c r="AD7" s="96"/>
      <c r="AE7" s="96"/>
      <c r="AF7" s="96"/>
      <c r="AG7" s="458" t="s">
        <v>830</v>
      </c>
      <c r="AH7" s="45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1672</v>
      </c>
      <c r="J8" s="311" t="s">
        <v>838</v>
      </c>
      <c r="K8" s="311" t="s">
        <v>1673</v>
      </c>
      <c r="L8" s="312" t="s">
        <v>840</v>
      </c>
      <c r="M8" s="312" t="s">
        <v>841</v>
      </c>
      <c r="N8" s="313" t="s">
        <v>842</v>
      </c>
      <c r="O8" s="312" t="s">
        <v>843</v>
      </c>
      <c r="P8" s="312" t="s">
        <v>844</v>
      </c>
      <c r="Q8" s="312" t="s">
        <v>845</v>
      </c>
      <c r="R8" s="312" t="s">
        <v>846</v>
      </c>
      <c r="S8" s="313" t="s">
        <v>677</v>
      </c>
      <c r="T8" s="376" t="s">
        <v>1674</v>
      </c>
      <c r="U8" s="376" t="s">
        <v>1675</v>
      </c>
      <c r="V8" s="376" t="s">
        <v>1676</v>
      </c>
      <c r="W8" s="311" t="s">
        <v>3</v>
      </c>
      <c r="X8" s="311" t="s">
        <v>1677</v>
      </c>
      <c r="Y8" s="311" t="s">
        <v>1678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1679</v>
      </c>
      <c r="C9" s="319"/>
      <c r="D9" s="319"/>
      <c r="E9" s="319"/>
      <c r="F9" s="319"/>
      <c r="G9" s="319"/>
      <c r="H9" s="320" t="s">
        <v>1680</v>
      </c>
      <c r="I9" s="320" t="s">
        <v>1681</v>
      </c>
      <c r="J9" s="322"/>
      <c r="K9" s="320" t="s">
        <v>864</v>
      </c>
      <c r="L9" s="320" t="s">
        <v>1682</v>
      </c>
      <c r="M9" s="320"/>
      <c r="N9" s="320" t="s">
        <v>1682</v>
      </c>
      <c r="O9" s="320"/>
      <c r="P9" s="320"/>
      <c r="Q9" s="320"/>
      <c r="R9" s="320"/>
      <c r="S9" s="323" t="s">
        <v>820</v>
      </c>
      <c r="T9" s="323" t="s">
        <v>820</v>
      </c>
      <c r="U9" s="323" t="s">
        <v>820</v>
      </c>
      <c r="V9" s="320"/>
      <c r="W9" s="320" t="s">
        <v>864</v>
      </c>
      <c r="X9" s="320" t="s">
        <v>1683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1684</v>
      </c>
      <c r="I10" s="326" t="s">
        <v>1685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1687</v>
      </c>
      <c r="D11" s="329"/>
      <c r="E11" s="329"/>
      <c r="F11" s="329"/>
      <c r="G11" s="329"/>
      <c r="H11" s="320" t="s">
        <v>1688</v>
      </c>
      <c r="I11" s="320" t="s">
        <v>1689</v>
      </c>
      <c r="J11" s="320" t="s">
        <v>887</v>
      </c>
      <c r="K11" s="320" t="s">
        <v>864</v>
      </c>
      <c r="L11" s="320" t="s">
        <v>1690</v>
      </c>
      <c r="M11" s="320"/>
      <c r="N11" s="320" t="s">
        <v>1690</v>
      </c>
      <c r="O11" s="320"/>
      <c r="P11" s="320"/>
      <c r="Q11" s="320"/>
      <c r="R11" s="320"/>
      <c r="S11" s="323" t="s">
        <v>820</v>
      </c>
      <c r="T11" s="323" t="s">
        <v>820</v>
      </c>
      <c r="U11" s="323" t="s">
        <v>820</v>
      </c>
      <c r="V11" s="320"/>
      <c r="W11" s="320"/>
      <c r="X11" s="320" t="s">
        <v>863</v>
      </c>
      <c r="Y11" s="320"/>
      <c r="Z11" s="320" t="s">
        <v>1691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1692</v>
      </c>
      <c r="I12" s="326" t="s">
        <v>1693</v>
      </c>
      <c r="J12" s="326" t="s">
        <v>1694</v>
      </c>
      <c r="K12" s="326" t="s">
        <v>864</v>
      </c>
      <c r="L12" s="326" t="s">
        <v>1695</v>
      </c>
      <c r="M12" s="326"/>
      <c r="N12" s="326" t="s">
        <v>1695</v>
      </c>
      <c r="O12" s="326"/>
      <c r="P12" s="326"/>
      <c r="Q12" s="326"/>
      <c r="R12" s="326"/>
      <c r="S12" s="328" t="s">
        <v>820</v>
      </c>
      <c r="T12" s="328" t="s">
        <v>820</v>
      </c>
      <c r="U12" s="328" t="s">
        <v>820</v>
      </c>
      <c r="V12" s="326"/>
      <c r="W12" s="326"/>
      <c r="X12" s="326" t="s">
        <v>863</v>
      </c>
      <c r="Y12" s="326"/>
      <c r="Z12" s="326" t="s">
        <v>1696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1697</v>
      </c>
      <c r="D13" s="329"/>
      <c r="E13" s="329"/>
      <c r="F13" s="329"/>
      <c r="G13" s="329"/>
      <c r="H13" s="320" t="s">
        <v>1698</v>
      </c>
      <c r="I13" s="320" t="s">
        <v>1699</v>
      </c>
      <c r="J13" s="320" t="s">
        <v>1700</v>
      </c>
      <c r="K13" s="320" t="s">
        <v>864</v>
      </c>
      <c r="L13" s="320" t="s">
        <v>1701</v>
      </c>
      <c r="M13" s="320"/>
      <c r="N13" s="320" t="s">
        <v>1701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1702</v>
      </c>
      <c r="D14" s="325"/>
      <c r="E14" s="325"/>
      <c r="F14" s="325"/>
      <c r="G14" s="325"/>
      <c r="H14" s="326" t="s">
        <v>1703</v>
      </c>
      <c r="I14" s="326" t="s">
        <v>1704</v>
      </c>
      <c r="J14" s="333"/>
      <c r="K14" s="326" t="s">
        <v>864</v>
      </c>
      <c r="L14" s="326" t="s">
        <v>1705</v>
      </c>
      <c r="M14" s="326"/>
      <c r="N14" s="326" t="s">
        <v>1705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1707</v>
      </c>
      <c r="E16" s="325"/>
      <c r="F16" s="325"/>
      <c r="G16" s="325"/>
      <c r="H16" s="326" t="s">
        <v>1708</v>
      </c>
      <c r="I16" s="326" t="s">
        <v>1709</v>
      </c>
      <c r="J16" s="326" t="s">
        <v>1710</v>
      </c>
      <c r="K16" s="326" t="s">
        <v>864</v>
      </c>
      <c r="L16" s="326" t="s">
        <v>1711</v>
      </c>
      <c r="M16" s="326"/>
      <c r="N16" s="326" t="s">
        <v>1711</v>
      </c>
      <c r="O16" s="326"/>
      <c r="P16" s="326"/>
      <c r="Q16" s="326"/>
      <c r="R16" s="326"/>
      <c r="S16" s="336" t="s">
        <v>817</v>
      </c>
      <c r="T16" s="337" t="s">
        <v>817</v>
      </c>
      <c r="U16" s="338" t="s">
        <v>820</v>
      </c>
      <c r="V16" s="326" t="s">
        <v>864</v>
      </c>
      <c r="W16" s="326"/>
      <c r="X16" s="326" t="s">
        <v>863</v>
      </c>
      <c r="Y16" s="326"/>
      <c r="Z16" s="326" t="s">
        <v>1712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1713</v>
      </c>
      <c r="D17" s="329"/>
      <c r="E17" s="329"/>
      <c r="F17" s="329"/>
      <c r="G17" s="329"/>
      <c r="H17" s="321" t="s">
        <v>1714</v>
      </c>
      <c r="I17" s="320" t="s">
        <v>1715</v>
      </c>
      <c r="J17" s="320" t="s">
        <v>1716</v>
      </c>
      <c r="K17" s="320" t="s">
        <v>864</v>
      </c>
      <c r="L17" s="320" t="s">
        <v>1717</v>
      </c>
      <c r="M17" s="320"/>
      <c r="N17" s="320" t="s">
        <v>1717</v>
      </c>
      <c r="O17" s="320"/>
      <c r="P17" s="320"/>
      <c r="Q17" s="320"/>
      <c r="R17" s="320"/>
      <c r="S17" s="330" t="s">
        <v>817</v>
      </c>
      <c r="T17" s="332" t="s">
        <v>817</v>
      </c>
      <c r="U17" s="331" t="s">
        <v>820</v>
      </c>
      <c r="V17" s="320" t="s">
        <v>864</v>
      </c>
      <c r="W17" s="320"/>
      <c r="X17" s="320" t="s">
        <v>863</v>
      </c>
      <c r="Y17" s="320"/>
      <c r="Z17" s="320" t="s">
        <v>1718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1719</v>
      </c>
      <c r="D18" s="325"/>
      <c r="E18" s="325"/>
      <c r="F18" s="325"/>
      <c r="G18" s="325"/>
      <c r="H18" s="326" t="s">
        <v>1720</v>
      </c>
      <c r="I18" s="326" t="s">
        <v>1721</v>
      </c>
      <c r="J18" s="326" t="s">
        <v>1722</v>
      </c>
      <c r="K18" s="326" t="s">
        <v>864</v>
      </c>
      <c r="L18" s="326" t="s">
        <v>1723</v>
      </c>
      <c r="M18" s="326"/>
      <c r="N18" s="326" t="s">
        <v>1723</v>
      </c>
      <c r="O18" s="326"/>
      <c r="P18" s="326"/>
      <c r="Q18" s="326"/>
      <c r="R18" s="326"/>
      <c r="S18" s="336" t="s">
        <v>817</v>
      </c>
      <c r="T18" s="337" t="s">
        <v>817</v>
      </c>
      <c r="U18" s="337" t="s">
        <v>817</v>
      </c>
      <c r="V18" s="326"/>
      <c r="W18" s="326"/>
      <c r="X18" s="326" t="s">
        <v>863</v>
      </c>
      <c r="Y18" s="326"/>
      <c r="Z18" s="326" t="s">
        <v>1724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1725</v>
      </c>
      <c r="D19" s="329"/>
      <c r="E19" s="329"/>
      <c r="F19" s="329"/>
      <c r="G19" s="329"/>
      <c r="H19" s="320" t="s">
        <v>1726</v>
      </c>
      <c r="I19" s="320" t="s">
        <v>1727</v>
      </c>
      <c r="J19" s="320" t="s">
        <v>1728</v>
      </c>
      <c r="K19" s="320" t="s">
        <v>864</v>
      </c>
      <c r="L19" s="320" t="s">
        <v>1729</v>
      </c>
      <c r="M19" s="320"/>
      <c r="N19" s="320" t="s">
        <v>1729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1730</v>
      </c>
      <c r="D20" s="339"/>
      <c r="E20" s="339"/>
      <c r="F20" s="339"/>
      <c r="G20" s="339"/>
      <c r="H20" s="326" t="s">
        <v>1703</v>
      </c>
      <c r="I20" s="326" t="s">
        <v>1731</v>
      </c>
      <c r="J20" s="333"/>
      <c r="K20" s="326"/>
      <c r="L20" s="326" t="s">
        <v>1732</v>
      </c>
      <c r="M20" s="326"/>
      <c r="N20" s="326" t="s">
        <v>1732</v>
      </c>
      <c r="O20" s="326"/>
      <c r="P20" s="326"/>
      <c r="Q20" s="326"/>
      <c r="R20" s="326"/>
      <c r="S20" s="336" t="s">
        <v>817</v>
      </c>
      <c r="T20" s="336" t="s">
        <v>817</v>
      </c>
      <c r="U20" s="336" t="s">
        <v>817</v>
      </c>
      <c r="V20" s="326"/>
      <c r="W20" s="326" t="s">
        <v>864</v>
      </c>
      <c r="X20" s="326" t="s">
        <v>1733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1734</v>
      </c>
      <c r="E21" s="319"/>
      <c r="F21" s="319"/>
      <c r="G21" s="319"/>
      <c r="H21" s="320" t="s">
        <v>1735</v>
      </c>
      <c r="I21" s="320" t="s">
        <v>1736</v>
      </c>
      <c r="J21" s="320" t="s">
        <v>1312</v>
      </c>
      <c r="K21" s="320" t="s">
        <v>864</v>
      </c>
      <c r="L21" s="320" t="s">
        <v>1737</v>
      </c>
      <c r="M21" s="320"/>
      <c r="N21" s="320" t="s">
        <v>1737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1738</v>
      </c>
      <c r="E22" s="340"/>
      <c r="F22" s="339"/>
      <c r="G22" s="339"/>
      <c r="H22" s="326" t="s">
        <v>1739</v>
      </c>
      <c r="I22" s="326" t="s">
        <v>1740</v>
      </c>
      <c r="J22" s="326" t="s">
        <v>1330</v>
      </c>
      <c r="K22" s="326"/>
      <c r="L22" s="326" t="s">
        <v>1741</v>
      </c>
      <c r="M22" s="326"/>
      <c r="N22" s="326" t="s">
        <v>1741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1742</v>
      </c>
      <c r="E23" s="319"/>
      <c r="F23" s="319"/>
      <c r="G23" s="319"/>
      <c r="H23" s="320" t="s">
        <v>1743</v>
      </c>
      <c r="I23" s="320" t="s">
        <v>1744</v>
      </c>
      <c r="J23" s="320" t="s">
        <v>1745</v>
      </c>
      <c r="K23" s="320" t="s">
        <v>864</v>
      </c>
      <c r="L23" s="320" t="s">
        <v>1746</v>
      </c>
      <c r="M23" s="320"/>
      <c r="N23" s="320" t="s">
        <v>1746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1747</v>
      </c>
      <c r="D24" s="339"/>
      <c r="E24" s="339"/>
      <c r="F24" s="339"/>
      <c r="G24" s="339"/>
      <c r="H24" s="326" t="s">
        <v>1748</v>
      </c>
      <c r="I24" s="326" t="s">
        <v>1749</v>
      </c>
      <c r="J24" s="333"/>
      <c r="K24" s="326" t="s">
        <v>864</v>
      </c>
      <c r="L24" s="326" t="s">
        <v>1750</v>
      </c>
      <c r="M24" s="326"/>
      <c r="N24" s="326" t="s">
        <v>1750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1751</v>
      </c>
      <c r="E25" s="319"/>
      <c r="F25" s="319"/>
      <c r="G25" s="319"/>
      <c r="H25" s="320" t="s">
        <v>1703</v>
      </c>
      <c r="I25" s="320" t="s">
        <v>1752</v>
      </c>
      <c r="J25" s="320"/>
      <c r="K25" s="320"/>
      <c r="L25" s="320" t="s">
        <v>1729</v>
      </c>
      <c r="M25" s="320"/>
      <c r="N25" s="320" t="s">
        <v>1729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1753</v>
      </c>
      <c r="E26" s="340"/>
      <c r="F26" s="339"/>
      <c r="G26" s="339"/>
      <c r="H26" s="326" t="s">
        <v>1703</v>
      </c>
      <c r="I26" s="326" t="s">
        <v>1754</v>
      </c>
      <c r="J26" s="326" t="s">
        <v>1755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1703</v>
      </c>
      <c r="I27" s="320" t="s">
        <v>1756</v>
      </c>
      <c r="J27" s="320" t="s">
        <v>1757</v>
      </c>
      <c r="K27" s="320"/>
      <c r="L27" s="320" t="s">
        <v>1758</v>
      </c>
      <c r="M27" s="320"/>
      <c r="N27" s="320" t="s">
        <v>1758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1759</v>
      </c>
      <c r="D28" s="340"/>
      <c r="E28" s="339"/>
      <c r="F28" s="339"/>
      <c r="G28" s="339"/>
      <c r="H28" s="326" t="s">
        <v>1760</v>
      </c>
      <c r="I28" s="326" t="s">
        <v>1761</v>
      </c>
      <c r="J28" s="326" t="s">
        <v>1762</v>
      </c>
      <c r="K28" s="326"/>
      <c r="L28" s="326" t="s">
        <v>1763</v>
      </c>
      <c r="M28" s="326"/>
      <c r="N28" s="326" t="s">
        <v>1763</v>
      </c>
      <c r="O28" s="326"/>
      <c r="P28" s="326"/>
      <c r="Q28" s="326"/>
      <c r="R28" s="326"/>
      <c r="S28" s="336" t="s">
        <v>817</v>
      </c>
      <c r="T28" s="337" t="s">
        <v>817</v>
      </c>
      <c r="U28" s="337" t="s">
        <v>817</v>
      </c>
      <c r="V28" s="326"/>
      <c r="W28" s="326"/>
      <c r="X28" s="326" t="s">
        <v>863</v>
      </c>
      <c r="Y28" s="326"/>
      <c r="Z28" s="326" t="s">
        <v>1764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1765</v>
      </c>
      <c r="C29" s="329"/>
      <c r="D29" s="329"/>
      <c r="E29" s="329"/>
      <c r="F29" s="329"/>
      <c r="G29" s="329"/>
      <c r="H29" s="320" t="s">
        <v>1766</v>
      </c>
      <c r="I29" s="320" t="s">
        <v>1767</v>
      </c>
      <c r="J29" s="341"/>
      <c r="K29" s="320"/>
      <c r="L29" s="320" t="s">
        <v>1768</v>
      </c>
      <c r="M29" s="320"/>
      <c r="N29" s="320" t="s">
        <v>1768</v>
      </c>
      <c r="O29" s="320"/>
      <c r="P29" s="320"/>
      <c r="Q29" s="320"/>
      <c r="R29" s="320"/>
      <c r="S29" s="323" t="s">
        <v>820</v>
      </c>
      <c r="T29" s="323" t="s">
        <v>820</v>
      </c>
      <c r="U29" s="323" t="s">
        <v>820</v>
      </c>
      <c r="V29" s="320"/>
      <c r="W29" s="320" t="s">
        <v>864</v>
      </c>
      <c r="X29" s="320" t="s">
        <v>1769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1770</v>
      </c>
      <c r="D30" s="325"/>
      <c r="E30" s="325"/>
      <c r="F30" s="325"/>
      <c r="G30" s="325"/>
      <c r="H30" s="326" t="s">
        <v>1771</v>
      </c>
      <c r="I30" s="326" t="s">
        <v>1772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1773</v>
      </c>
      <c r="D31" s="329"/>
      <c r="E31" s="329"/>
      <c r="F31" s="329"/>
      <c r="G31" s="329"/>
      <c r="H31" s="320" t="s">
        <v>1774</v>
      </c>
      <c r="I31" s="320" t="s">
        <v>1775</v>
      </c>
      <c r="J31" s="320" t="s">
        <v>1776</v>
      </c>
      <c r="K31" s="320"/>
      <c r="L31" s="320" t="s">
        <v>1746</v>
      </c>
      <c r="M31" s="320"/>
      <c r="N31" s="320" t="s">
        <v>1746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1777</v>
      </c>
      <c r="D32" s="325"/>
      <c r="E32" s="325"/>
      <c r="F32" s="325"/>
      <c r="G32" s="325"/>
      <c r="H32" s="326" t="s">
        <v>1778</v>
      </c>
      <c r="I32" s="326" t="s">
        <v>1779</v>
      </c>
      <c r="J32" s="326" t="s">
        <v>944</v>
      </c>
      <c r="K32" s="326"/>
      <c r="L32" s="326" t="s">
        <v>1780</v>
      </c>
      <c r="M32" s="326"/>
      <c r="N32" s="326" t="s">
        <v>1780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1781</v>
      </c>
      <c r="D33" s="329"/>
      <c r="E33" s="329"/>
      <c r="F33" s="329"/>
      <c r="G33" s="329"/>
      <c r="H33" s="320" t="s">
        <v>1703</v>
      </c>
      <c r="I33" s="320" t="s">
        <v>1782</v>
      </c>
      <c r="J33" s="341"/>
      <c r="K33" s="320" t="s">
        <v>864</v>
      </c>
      <c r="L33" s="320" t="s">
        <v>1783</v>
      </c>
      <c r="M33" s="320"/>
      <c r="N33" s="320" t="s">
        <v>1783</v>
      </c>
      <c r="O33" s="320"/>
      <c r="P33" s="320"/>
      <c r="Q33" s="320"/>
      <c r="R33" s="320"/>
      <c r="S33" s="330" t="s">
        <v>817</v>
      </c>
      <c r="T33" s="332" t="s">
        <v>817</v>
      </c>
      <c r="U33" s="332" t="s">
        <v>817</v>
      </c>
      <c r="V33" s="320"/>
      <c r="W33" s="320" t="s">
        <v>864</v>
      </c>
      <c r="X33" s="320" t="s">
        <v>1784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1785</v>
      </c>
      <c r="E34" s="342"/>
      <c r="F34" s="325"/>
      <c r="G34" s="325"/>
      <c r="H34" s="326" t="s">
        <v>1786</v>
      </c>
      <c r="I34" s="326" t="s">
        <v>1787</v>
      </c>
      <c r="J34" s="326" t="s">
        <v>1788</v>
      </c>
      <c r="K34" s="326" t="s">
        <v>864</v>
      </c>
      <c r="L34" s="326" t="s">
        <v>1789</v>
      </c>
      <c r="M34" s="326"/>
      <c r="N34" s="326" t="s">
        <v>1789</v>
      </c>
      <c r="O34" s="326"/>
      <c r="P34" s="326"/>
      <c r="Q34" s="326"/>
      <c r="R34" s="326"/>
      <c r="S34" s="326" t="s">
        <v>893</v>
      </c>
      <c r="T34" s="326" t="s">
        <v>893</v>
      </c>
      <c r="U34" s="326" t="s">
        <v>893</v>
      </c>
      <c r="V34" s="326"/>
      <c r="W34" s="326"/>
      <c r="X34" s="326" t="s">
        <v>863</v>
      </c>
      <c r="Y34" s="326"/>
      <c r="Z34" s="326" t="s">
        <v>1790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1791</v>
      </c>
      <c r="E35" s="329"/>
      <c r="F35" s="329"/>
      <c r="G35" s="329"/>
      <c r="H35" s="320" t="s">
        <v>1792</v>
      </c>
      <c r="I35" s="320" t="s">
        <v>1793</v>
      </c>
      <c r="J35" s="320" t="s">
        <v>1794</v>
      </c>
      <c r="K35" s="320" t="s">
        <v>864</v>
      </c>
      <c r="L35" s="320" t="s">
        <v>1795</v>
      </c>
      <c r="M35" s="320"/>
      <c r="N35" s="320" t="s">
        <v>1795</v>
      </c>
      <c r="O35" s="320"/>
      <c r="P35" s="320"/>
      <c r="Q35" s="320"/>
      <c r="R35" s="320"/>
      <c r="S35" s="320" t="s">
        <v>893</v>
      </c>
      <c r="T35" s="320" t="s">
        <v>893</v>
      </c>
      <c r="U35" s="320" t="s">
        <v>893</v>
      </c>
      <c r="V35" s="320"/>
      <c r="W35" s="320"/>
      <c r="X35" s="320" t="s">
        <v>863</v>
      </c>
      <c r="Y35" s="320"/>
      <c r="Z35" s="320" t="s">
        <v>1796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1797</v>
      </c>
      <c r="E36" s="325"/>
      <c r="F36" s="325"/>
      <c r="G36" s="325"/>
      <c r="H36" s="326" t="s">
        <v>1798</v>
      </c>
      <c r="I36" s="326" t="s">
        <v>1799</v>
      </c>
      <c r="J36" s="326" t="s">
        <v>1800</v>
      </c>
      <c r="K36" s="326" t="s">
        <v>864</v>
      </c>
      <c r="L36" s="326" t="s">
        <v>1801</v>
      </c>
      <c r="M36" s="326"/>
      <c r="N36" s="326" t="s">
        <v>1801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1802</v>
      </c>
      <c r="E37" s="329"/>
      <c r="F37" s="329"/>
      <c r="G37" s="329"/>
      <c r="H37" s="320" t="s">
        <v>1703</v>
      </c>
      <c r="I37" s="320" t="s">
        <v>1803</v>
      </c>
      <c r="J37" s="320" t="s">
        <v>1804</v>
      </c>
      <c r="K37" s="320"/>
      <c r="L37" s="320" t="s">
        <v>1805</v>
      </c>
      <c r="M37" s="320"/>
      <c r="N37" s="320" t="s">
        <v>1805</v>
      </c>
      <c r="O37" s="320"/>
      <c r="P37" s="320"/>
      <c r="Q37" s="320"/>
      <c r="R37" s="320"/>
      <c r="S37" s="330" t="s">
        <v>817</v>
      </c>
      <c r="T37" s="330" t="s">
        <v>817</v>
      </c>
      <c r="U37" s="330" t="s">
        <v>817</v>
      </c>
      <c r="V37" s="320"/>
      <c r="W37" s="320"/>
      <c r="X37" s="320" t="s">
        <v>863</v>
      </c>
      <c r="Y37" s="320"/>
      <c r="Z37" s="320" t="s">
        <v>1806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1807</v>
      </c>
      <c r="D38" s="325"/>
      <c r="E38" s="325"/>
      <c r="F38" s="325"/>
      <c r="G38" s="325"/>
      <c r="H38" s="326" t="s">
        <v>1703</v>
      </c>
      <c r="I38" s="326" t="s">
        <v>1808</v>
      </c>
      <c r="J38" s="326" t="s">
        <v>1809</v>
      </c>
      <c r="K38" s="326"/>
      <c r="L38" s="326" t="s">
        <v>1810</v>
      </c>
      <c r="M38" s="326"/>
      <c r="N38" s="326" t="s">
        <v>1810</v>
      </c>
      <c r="O38" s="326"/>
      <c r="P38" s="326"/>
      <c r="Q38" s="326"/>
      <c r="R38" s="326"/>
      <c r="S38" s="336" t="s">
        <v>817</v>
      </c>
      <c r="T38" s="337" t="s">
        <v>817</v>
      </c>
      <c r="U38" s="337" t="s">
        <v>817</v>
      </c>
      <c r="V38" s="326"/>
      <c r="W38" s="326"/>
      <c r="X38" s="326" t="s">
        <v>863</v>
      </c>
      <c r="Y38" s="326"/>
      <c r="Z38" s="326" t="s">
        <v>1811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1812</v>
      </c>
      <c r="D39" s="343"/>
      <c r="E39" s="329"/>
      <c r="F39" s="329"/>
      <c r="G39" s="329"/>
      <c r="H39" s="320" t="s">
        <v>1813</v>
      </c>
      <c r="I39" s="320" t="s">
        <v>1814</v>
      </c>
      <c r="J39" s="320">
        <v>2</v>
      </c>
      <c r="K39" s="320" t="s">
        <v>864</v>
      </c>
      <c r="L39" s="320" t="s">
        <v>1815</v>
      </c>
      <c r="M39" s="320"/>
      <c r="N39" s="320" t="s">
        <v>1815</v>
      </c>
      <c r="O39" s="320"/>
      <c r="P39" s="320"/>
      <c r="Q39" s="320"/>
      <c r="R39" s="320"/>
      <c r="S39" s="330" t="s">
        <v>817</v>
      </c>
      <c r="T39" s="330" t="s">
        <v>817</v>
      </c>
      <c r="U39" s="330" t="s">
        <v>817</v>
      </c>
      <c r="V39" s="320"/>
      <c r="W39" s="320"/>
      <c r="X39" s="320" t="s">
        <v>863</v>
      </c>
      <c r="Y39" s="320"/>
      <c r="Z39" s="320" t="s">
        <v>1816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1817</v>
      </c>
      <c r="D40" s="325"/>
      <c r="E40" s="325"/>
      <c r="F40" s="325"/>
      <c r="G40" s="325"/>
      <c r="H40" s="326" t="s">
        <v>1818</v>
      </c>
      <c r="I40" s="326" t="s">
        <v>1819</v>
      </c>
      <c r="J40" s="326">
        <v>100</v>
      </c>
      <c r="K40" s="326"/>
      <c r="L40" s="326" t="s">
        <v>1820</v>
      </c>
      <c r="M40" s="326"/>
      <c r="N40" s="326" t="s">
        <v>1820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1821</v>
      </c>
      <c r="D41" s="343"/>
      <c r="E41" s="329"/>
      <c r="F41" s="329"/>
      <c r="G41" s="329"/>
      <c r="H41" s="320" t="s">
        <v>1822</v>
      </c>
      <c r="I41" s="320" t="s">
        <v>1823</v>
      </c>
      <c r="J41" s="320" t="s">
        <v>1824</v>
      </c>
      <c r="K41" s="320" t="s">
        <v>864</v>
      </c>
      <c r="L41" s="320" t="s">
        <v>1825</v>
      </c>
      <c r="M41" s="320"/>
      <c r="N41" s="320" t="s">
        <v>1825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1826</v>
      </c>
      <c r="D42" s="342"/>
      <c r="E42" s="325"/>
      <c r="F42" s="325"/>
      <c r="G42" s="325"/>
      <c r="H42" s="326" t="s">
        <v>1827</v>
      </c>
      <c r="I42" s="326" t="s">
        <v>1828</v>
      </c>
      <c r="J42" s="326" t="s">
        <v>1829</v>
      </c>
      <c r="K42" s="326" t="s">
        <v>864</v>
      </c>
      <c r="L42" s="326" t="s">
        <v>1830</v>
      </c>
      <c r="M42" s="326"/>
      <c r="N42" s="326" t="s">
        <v>1830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1831</v>
      </c>
      <c r="D43" s="343"/>
      <c r="E43" s="343"/>
      <c r="F43" s="329"/>
      <c r="G43" s="329"/>
      <c r="H43" s="320" t="s">
        <v>1832</v>
      </c>
      <c r="I43" s="320" t="s">
        <v>1833</v>
      </c>
      <c r="J43" s="320" t="s">
        <v>1834</v>
      </c>
      <c r="K43" s="320" t="s">
        <v>864</v>
      </c>
      <c r="L43" s="320" t="s">
        <v>1835</v>
      </c>
      <c r="M43" s="320"/>
      <c r="N43" s="320" t="s">
        <v>1835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1836</v>
      </c>
      <c r="D44" s="325"/>
      <c r="E44" s="325"/>
      <c r="F44" s="325"/>
      <c r="G44" s="325"/>
      <c r="H44" s="326" t="s">
        <v>1837</v>
      </c>
      <c r="I44" s="326" t="s">
        <v>1838</v>
      </c>
      <c r="J44" s="326" t="s">
        <v>1839</v>
      </c>
      <c r="K44" s="326" t="s">
        <v>864</v>
      </c>
      <c r="L44" s="326" t="s">
        <v>1840</v>
      </c>
      <c r="M44" s="326"/>
      <c r="N44" s="326" t="s">
        <v>1840</v>
      </c>
      <c r="O44" s="326"/>
      <c r="P44" s="326"/>
      <c r="Q44" s="326"/>
      <c r="R44" s="326"/>
      <c r="S44" s="336" t="s">
        <v>817</v>
      </c>
      <c r="T44" s="336" t="s">
        <v>817</v>
      </c>
      <c r="U44" s="336" t="s">
        <v>817</v>
      </c>
      <c r="V44" s="326"/>
      <c r="W44" s="326"/>
      <c r="X44" s="326" t="s">
        <v>863</v>
      </c>
      <c r="Y44" s="326"/>
      <c r="Z44" s="326" t="s">
        <v>1841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1842</v>
      </c>
      <c r="D45" s="343"/>
      <c r="E45" s="329"/>
      <c r="F45" s="329"/>
      <c r="G45" s="329"/>
      <c r="H45" s="320" t="s">
        <v>1703</v>
      </c>
      <c r="I45" s="320" t="s">
        <v>1843</v>
      </c>
      <c r="J45" s="320" t="s">
        <v>1844</v>
      </c>
      <c r="K45" s="320"/>
      <c r="L45" s="320" t="s">
        <v>1845</v>
      </c>
      <c r="M45" s="320"/>
      <c r="N45" s="320" t="s">
        <v>1845</v>
      </c>
      <c r="O45" s="320"/>
      <c r="P45" s="320"/>
      <c r="Q45" s="320"/>
      <c r="R45" s="320"/>
      <c r="S45" s="330" t="s">
        <v>817</v>
      </c>
      <c r="T45" s="330" t="s">
        <v>817</v>
      </c>
      <c r="U45" s="330" t="s">
        <v>817</v>
      </c>
      <c r="V45" s="320"/>
      <c r="W45" s="320"/>
      <c r="X45" s="320" t="s">
        <v>863</v>
      </c>
      <c r="Y45" s="320"/>
      <c r="Z45" s="320" t="s">
        <v>1846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1847</v>
      </c>
      <c r="D46" s="342"/>
      <c r="E46" s="325"/>
      <c r="F46" s="325"/>
      <c r="G46" s="325"/>
      <c r="H46" s="326" t="s">
        <v>1848</v>
      </c>
      <c r="I46" s="326" t="s">
        <v>1849</v>
      </c>
      <c r="J46" s="333"/>
      <c r="K46" s="326"/>
      <c r="L46" s="326" t="s">
        <v>1850</v>
      </c>
      <c r="M46" s="326"/>
      <c r="N46" s="326" t="s">
        <v>1850</v>
      </c>
      <c r="O46" s="326"/>
      <c r="P46" s="326"/>
      <c r="Q46" s="326"/>
      <c r="R46" s="326"/>
      <c r="S46" s="334" t="s">
        <v>823</v>
      </c>
      <c r="T46" s="334" t="s">
        <v>823</v>
      </c>
      <c r="U46" s="334" t="s">
        <v>823</v>
      </c>
      <c r="V46" s="326"/>
      <c r="W46" s="326" t="s">
        <v>864</v>
      </c>
      <c r="X46" s="326" t="s">
        <v>1851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1852</v>
      </c>
      <c r="E47" s="329"/>
      <c r="F47" s="329"/>
      <c r="G47" s="329"/>
      <c r="H47" s="320" t="s">
        <v>1853</v>
      </c>
      <c r="I47" s="320" t="s">
        <v>1854</v>
      </c>
      <c r="J47" s="320" t="s">
        <v>1855</v>
      </c>
      <c r="K47" s="320"/>
      <c r="L47" s="320" t="s">
        <v>1737</v>
      </c>
      <c r="M47" s="320"/>
      <c r="N47" s="320" t="s">
        <v>1737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1856</v>
      </c>
      <c r="E48" s="325"/>
      <c r="F48" s="325"/>
      <c r="G48" s="325"/>
      <c r="H48" s="326" t="s">
        <v>1857</v>
      </c>
      <c r="I48" s="326" t="s">
        <v>1858</v>
      </c>
      <c r="J48" s="326"/>
      <c r="K48" s="326"/>
      <c r="L48" s="326" t="s">
        <v>1859</v>
      </c>
      <c r="M48" s="326"/>
      <c r="N48" s="326" t="s">
        <v>1859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1860</v>
      </c>
      <c r="D49" s="346"/>
      <c r="E49" s="346"/>
      <c r="F49" s="346"/>
      <c r="G49" s="346"/>
      <c r="H49" s="320" t="s">
        <v>1861</v>
      </c>
      <c r="I49" s="320" t="s">
        <v>1862</v>
      </c>
      <c r="J49" s="341"/>
      <c r="K49" s="320"/>
      <c r="L49" s="320" t="s">
        <v>1863</v>
      </c>
      <c r="M49" s="320"/>
      <c r="N49" s="320" t="s">
        <v>1863</v>
      </c>
      <c r="O49" s="320"/>
      <c r="P49" s="320"/>
      <c r="Q49" s="320"/>
      <c r="R49" s="320"/>
      <c r="S49" s="347" t="s">
        <v>823</v>
      </c>
      <c r="T49" s="347" t="s">
        <v>823</v>
      </c>
      <c r="U49" s="347" t="s">
        <v>823</v>
      </c>
      <c r="V49" s="320"/>
      <c r="W49" s="320" t="s">
        <v>864</v>
      </c>
      <c r="X49" s="320" t="s">
        <v>1864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1679</v>
      </c>
      <c r="E50" s="348"/>
      <c r="F50" s="348"/>
      <c r="G50" s="348"/>
      <c r="H50" s="326" t="s">
        <v>1865</v>
      </c>
      <c r="I50" s="326" t="s">
        <v>1866</v>
      </c>
      <c r="J50" s="326" t="s">
        <v>1867</v>
      </c>
      <c r="K50" s="326"/>
      <c r="L50" s="326" t="s">
        <v>1682</v>
      </c>
      <c r="M50" s="326"/>
      <c r="N50" s="326" t="s">
        <v>1682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1868</v>
      </c>
      <c r="E51" s="349"/>
      <c r="F51" s="345"/>
      <c r="G51" s="345"/>
      <c r="H51" s="320" t="s">
        <v>1703</v>
      </c>
      <c r="I51" s="320" t="s">
        <v>1869</v>
      </c>
      <c r="J51" s="320" t="s">
        <v>1870</v>
      </c>
      <c r="K51" s="320"/>
      <c r="L51" s="320" t="s">
        <v>1871</v>
      </c>
      <c r="M51" s="320"/>
      <c r="N51" s="320" t="s">
        <v>1871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1872</v>
      </c>
      <c r="E52" s="348"/>
      <c r="F52" s="348"/>
      <c r="G52" s="348"/>
      <c r="H52" s="326" t="s">
        <v>1703</v>
      </c>
      <c r="I52" s="326" t="s">
        <v>1873</v>
      </c>
      <c r="J52" s="326">
        <v>0</v>
      </c>
      <c r="K52" s="326"/>
      <c r="L52" s="326" t="s">
        <v>1874</v>
      </c>
      <c r="M52" s="326"/>
      <c r="N52" s="326" t="s">
        <v>1874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1875</v>
      </c>
      <c r="E53" s="345"/>
      <c r="F53" s="345"/>
      <c r="G53" s="345"/>
      <c r="H53" s="320" t="s">
        <v>1876</v>
      </c>
      <c r="I53" s="320" t="s">
        <v>1877</v>
      </c>
      <c r="J53" s="320">
        <v>0</v>
      </c>
      <c r="K53" s="320"/>
      <c r="L53" s="320" t="s">
        <v>1878</v>
      </c>
      <c r="M53" s="320"/>
      <c r="N53" s="320" t="s">
        <v>1878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1879</v>
      </c>
      <c r="E54" s="348"/>
      <c r="F54" s="348"/>
      <c r="G54" s="348"/>
      <c r="H54" s="326" t="s">
        <v>1703</v>
      </c>
      <c r="I54" s="326" t="s">
        <v>1880</v>
      </c>
      <c r="J54" s="326">
        <v>1</v>
      </c>
      <c r="K54" s="326"/>
      <c r="L54" s="326" t="s">
        <v>1881</v>
      </c>
      <c r="M54" s="326"/>
      <c r="N54" s="326" t="s">
        <v>1881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1882</v>
      </c>
      <c r="E55" s="345"/>
      <c r="F55" s="345"/>
      <c r="G55" s="345"/>
      <c r="H55" s="320" t="s">
        <v>1703</v>
      </c>
      <c r="I55" s="320" t="s">
        <v>1883</v>
      </c>
      <c r="J55" s="320">
        <v>0</v>
      </c>
      <c r="K55" s="320"/>
      <c r="L55" s="320" t="s">
        <v>1884</v>
      </c>
      <c r="M55" s="320"/>
      <c r="N55" s="320" t="s">
        <v>1884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1885</v>
      </c>
      <c r="E56" s="348"/>
      <c r="F56" s="348"/>
      <c r="G56" s="348"/>
      <c r="H56" s="326" t="s">
        <v>1703</v>
      </c>
      <c r="I56" s="326" t="s">
        <v>1886</v>
      </c>
      <c r="J56" s="326">
        <v>0</v>
      </c>
      <c r="K56" s="326"/>
      <c r="L56" s="326" t="s">
        <v>1887</v>
      </c>
      <c r="M56" s="326"/>
      <c r="N56" s="326" t="s">
        <v>1887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1888</v>
      </c>
      <c r="E57" s="345"/>
      <c r="F57" s="345"/>
      <c r="G57" s="345"/>
      <c r="H57" s="320" t="s">
        <v>1703</v>
      </c>
      <c r="I57" s="320" t="s">
        <v>1889</v>
      </c>
      <c r="J57" s="320">
        <v>0</v>
      </c>
      <c r="K57" s="320"/>
      <c r="L57" s="320" t="s">
        <v>1890</v>
      </c>
      <c r="M57" s="320"/>
      <c r="N57" s="320" t="s">
        <v>1890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1891</v>
      </c>
      <c r="D58" s="350"/>
      <c r="E58" s="350"/>
      <c r="F58" s="350"/>
      <c r="G58" s="350"/>
      <c r="H58" s="326" t="s">
        <v>1703</v>
      </c>
      <c r="I58" s="326" t="s">
        <v>1892</v>
      </c>
      <c r="J58" s="333"/>
      <c r="K58" s="326"/>
      <c r="L58" s="326" t="s">
        <v>1893</v>
      </c>
      <c r="M58" s="326"/>
      <c r="N58" s="326" t="s">
        <v>1893</v>
      </c>
      <c r="O58" s="326"/>
      <c r="P58" s="326"/>
      <c r="Q58" s="326"/>
      <c r="R58" s="326"/>
      <c r="S58" s="334" t="s">
        <v>823</v>
      </c>
      <c r="T58" s="351" t="s">
        <v>823</v>
      </c>
      <c r="U58" s="351" t="s">
        <v>823</v>
      </c>
      <c r="V58" s="326"/>
      <c r="W58" s="326" t="s">
        <v>864</v>
      </c>
      <c r="X58" s="326" t="s">
        <v>1894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1895</v>
      </c>
      <c r="E59" s="345"/>
      <c r="F59" s="345"/>
      <c r="G59" s="345"/>
      <c r="H59" s="320" t="s">
        <v>1703</v>
      </c>
      <c r="I59" s="320" t="s">
        <v>1896</v>
      </c>
      <c r="J59" s="320" t="s">
        <v>1897</v>
      </c>
      <c r="K59" s="320"/>
      <c r="L59" s="320" t="s">
        <v>1871</v>
      </c>
      <c r="M59" s="320"/>
      <c r="N59" s="320" t="s">
        <v>1871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1898</v>
      </c>
      <c r="E60" s="348"/>
      <c r="F60" s="348"/>
      <c r="G60" s="348"/>
      <c r="H60" s="326" t="s">
        <v>1703</v>
      </c>
      <c r="I60" s="326" t="s">
        <v>1899</v>
      </c>
      <c r="J60" s="326">
        <v>0</v>
      </c>
      <c r="K60" s="326"/>
      <c r="L60" s="326" t="s">
        <v>1900</v>
      </c>
      <c r="M60" s="326"/>
      <c r="N60" s="326" t="s">
        <v>1900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1901</v>
      </c>
      <c r="E61" s="345"/>
      <c r="F61" s="345"/>
      <c r="G61" s="345"/>
      <c r="H61" s="320" t="s">
        <v>1703</v>
      </c>
      <c r="I61" s="320" t="s">
        <v>1902</v>
      </c>
      <c r="J61" s="320">
        <v>1</v>
      </c>
      <c r="K61" s="320"/>
      <c r="L61" s="320" t="s">
        <v>1903</v>
      </c>
      <c r="M61" s="320"/>
      <c r="N61" s="320" t="s">
        <v>1903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1904</v>
      </c>
      <c r="D62" s="325"/>
      <c r="E62" s="325"/>
      <c r="F62" s="325"/>
      <c r="G62" s="325"/>
      <c r="H62" s="326" t="s">
        <v>1905</v>
      </c>
      <c r="I62" s="326" t="s">
        <v>1906</v>
      </c>
      <c r="J62" s="333"/>
      <c r="K62" s="326" t="s">
        <v>864</v>
      </c>
      <c r="L62" s="326" t="s">
        <v>1907</v>
      </c>
      <c r="M62" s="326"/>
      <c r="N62" s="326" t="s">
        <v>1907</v>
      </c>
      <c r="O62" s="326"/>
      <c r="P62" s="326"/>
      <c r="Q62" s="326"/>
      <c r="R62" s="326"/>
      <c r="S62" s="334" t="s">
        <v>823</v>
      </c>
      <c r="T62" s="334" t="s">
        <v>823</v>
      </c>
      <c r="U62" s="334" t="s">
        <v>823</v>
      </c>
      <c r="V62" s="326"/>
      <c r="W62" s="326" t="s">
        <v>864</v>
      </c>
      <c r="X62" s="326" t="s">
        <v>1908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1909</v>
      </c>
      <c r="E63" s="343"/>
      <c r="F63" s="329"/>
      <c r="G63" s="329"/>
      <c r="H63" s="320" t="s">
        <v>1910</v>
      </c>
      <c r="I63" s="320" t="s">
        <v>1911</v>
      </c>
      <c r="J63" s="320" t="s">
        <v>1834</v>
      </c>
      <c r="K63" s="320" t="s">
        <v>864</v>
      </c>
      <c r="L63" s="320" t="s">
        <v>1871</v>
      </c>
      <c r="M63" s="320"/>
      <c r="N63" s="320" t="s">
        <v>1871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1797</v>
      </c>
      <c r="E64" s="339"/>
      <c r="F64" s="339"/>
      <c r="G64" s="339"/>
      <c r="H64" s="326" t="s">
        <v>1912</v>
      </c>
      <c r="I64" s="326" t="s">
        <v>1913</v>
      </c>
      <c r="J64" s="326" t="s">
        <v>1914</v>
      </c>
      <c r="K64" s="326" t="s">
        <v>864</v>
      </c>
      <c r="L64" s="326" t="s">
        <v>1758</v>
      </c>
      <c r="M64" s="326"/>
      <c r="N64" s="326" t="s">
        <v>1758</v>
      </c>
      <c r="O64" s="326"/>
      <c r="P64" s="326"/>
      <c r="Q64" s="326"/>
      <c r="R64" s="326"/>
      <c r="S64" s="328" t="s">
        <v>820</v>
      </c>
      <c r="T64" s="328" t="s">
        <v>820</v>
      </c>
      <c r="U64" s="328" t="s">
        <v>820</v>
      </c>
      <c r="V64" s="326"/>
      <c r="W64" s="326"/>
      <c r="X64" s="326" t="s">
        <v>863</v>
      </c>
      <c r="Y64" s="326"/>
      <c r="Z64" s="326" t="s">
        <v>1915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1916</v>
      </c>
      <c r="E65" s="319"/>
      <c r="F65" s="319"/>
      <c r="G65" s="319"/>
      <c r="H65" s="320" t="s">
        <v>1910</v>
      </c>
      <c r="I65" s="320" t="s">
        <v>1917</v>
      </c>
      <c r="J65" s="320" t="s">
        <v>1918</v>
      </c>
      <c r="K65" s="320"/>
      <c r="L65" s="320" t="s">
        <v>1919</v>
      </c>
      <c r="M65" s="320"/>
      <c r="N65" s="320" t="s">
        <v>1919</v>
      </c>
      <c r="O65" s="320"/>
      <c r="P65" s="320"/>
      <c r="Q65" s="320"/>
      <c r="R65" s="320"/>
      <c r="S65" s="347" t="s">
        <v>823</v>
      </c>
      <c r="T65" s="347" t="s">
        <v>823</v>
      </c>
      <c r="U65" s="347" t="s">
        <v>823</v>
      </c>
      <c r="V65" s="320"/>
      <c r="W65" s="320"/>
      <c r="X65" s="320" t="s">
        <v>863</v>
      </c>
      <c r="Y65" s="320"/>
      <c r="Z65" s="320" t="s">
        <v>1920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1921</v>
      </c>
      <c r="E66" s="342"/>
      <c r="F66" s="325"/>
      <c r="G66" s="325"/>
      <c r="H66" s="326" t="s">
        <v>1910</v>
      </c>
      <c r="I66" s="326" t="s">
        <v>1922</v>
      </c>
      <c r="J66" s="326" t="s">
        <v>1923</v>
      </c>
      <c r="K66" s="326"/>
      <c r="L66" s="326" t="s">
        <v>1729</v>
      </c>
      <c r="M66" s="326"/>
      <c r="N66" s="326" t="s">
        <v>1729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1924</v>
      </c>
      <c r="E67" s="342"/>
      <c r="F67" s="325"/>
      <c r="G67" s="325"/>
      <c r="H67" s="320" t="s">
        <v>1910</v>
      </c>
      <c r="I67" s="320" t="s">
        <v>1925</v>
      </c>
      <c r="J67" s="341"/>
      <c r="K67" s="320"/>
      <c r="L67" s="320" t="s">
        <v>1926</v>
      </c>
      <c r="M67" s="320"/>
      <c r="N67" s="320" t="s">
        <v>1926</v>
      </c>
      <c r="O67" s="320"/>
      <c r="P67" s="320"/>
      <c r="Q67" s="320"/>
      <c r="R67" s="320"/>
      <c r="S67" s="323" t="s">
        <v>820</v>
      </c>
      <c r="T67" s="323" t="s">
        <v>820</v>
      </c>
      <c r="U67" s="323" t="s">
        <v>820</v>
      </c>
      <c r="V67" s="320"/>
      <c r="W67" s="320" t="s">
        <v>864</v>
      </c>
      <c r="X67" s="320" t="s">
        <v>1927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1928</v>
      </c>
      <c r="F68" s="325"/>
      <c r="G68" s="325"/>
      <c r="H68" s="326" t="s">
        <v>1929</v>
      </c>
      <c r="I68" s="326" t="s">
        <v>1930</v>
      </c>
      <c r="J68" s="326" t="s">
        <v>1038</v>
      </c>
      <c r="K68" s="326" t="s">
        <v>864</v>
      </c>
      <c r="L68" s="326" t="s">
        <v>1931</v>
      </c>
      <c r="M68" s="326"/>
      <c r="N68" s="326" t="s">
        <v>1931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1932</v>
      </c>
      <c r="F69" s="345"/>
      <c r="G69" s="345"/>
      <c r="H69" s="320" t="s">
        <v>1933</v>
      </c>
      <c r="I69" s="320" t="s">
        <v>1934</v>
      </c>
      <c r="J69" s="320" t="s">
        <v>1046</v>
      </c>
      <c r="K69" s="320"/>
      <c r="L69" s="320" t="s">
        <v>1746</v>
      </c>
      <c r="M69" s="320"/>
      <c r="N69" s="320" t="s">
        <v>1746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1935</v>
      </c>
      <c r="I70" s="326" t="s">
        <v>1936</v>
      </c>
      <c r="J70" s="326" t="s">
        <v>1937</v>
      </c>
      <c r="K70" s="326" t="s">
        <v>864</v>
      </c>
      <c r="L70" s="326" t="s">
        <v>1758</v>
      </c>
      <c r="M70" s="326"/>
      <c r="N70" s="326" t="s">
        <v>1758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1938</v>
      </c>
      <c r="F71" s="343"/>
      <c r="G71" s="329"/>
      <c r="H71" s="320" t="s">
        <v>1703</v>
      </c>
      <c r="I71" s="320" t="s">
        <v>1939</v>
      </c>
      <c r="J71" s="320" t="s">
        <v>1940</v>
      </c>
      <c r="K71" s="320"/>
      <c r="L71" s="320" t="s">
        <v>1941</v>
      </c>
      <c r="M71" s="320"/>
      <c r="N71" s="320" t="s">
        <v>1941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1703</v>
      </c>
      <c r="I72" s="326" t="s">
        <v>1942</v>
      </c>
      <c r="J72" s="326" t="s">
        <v>1167</v>
      </c>
      <c r="K72" s="326"/>
      <c r="L72" s="326" t="s">
        <v>1943</v>
      </c>
      <c r="M72" s="326"/>
      <c r="N72" s="326" t="s">
        <v>1943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1944</v>
      </c>
      <c r="M73" s="320"/>
      <c r="N73" s="320" t="s">
        <v>1944</v>
      </c>
      <c r="O73" s="320"/>
      <c r="P73" s="320"/>
      <c r="Q73" s="320"/>
      <c r="R73" s="320"/>
      <c r="S73" s="347" t="s">
        <v>823</v>
      </c>
      <c r="T73" s="352" t="s">
        <v>1945</v>
      </c>
      <c r="U73" s="352" t="s">
        <v>1945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1946</v>
      </c>
      <c r="G74" s="325"/>
      <c r="H74" s="326" t="s">
        <v>1947</v>
      </c>
      <c r="I74" s="326" t="s">
        <v>1948</v>
      </c>
      <c r="J74" s="326" t="s">
        <v>1949</v>
      </c>
      <c r="K74" s="326" t="s">
        <v>864</v>
      </c>
      <c r="L74" s="326" t="s">
        <v>1950</v>
      </c>
      <c r="M74" s="326"/>
      <c r="N74" s="326" t="s">
        <v>1950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1951</v>
      </c>
      <c r="I75" s="320" t="s">
        <v>1952</v>
      </c>
      <c r="J75" s="321" t="s">
        <v>1953</v>
      </c>
      <c r="K75" s="320" t="s">
        <v>864</v>
      </c>
      <c r="L75" s="320" t="s">
        <v>1954</v>
      </c>
      <c r="M75" s="320"/>
      <c r="N75" s="320" t="s">
        <v>1954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1955</v>
      </c>
      <c r="G76" s="325"/>
      <c r="H76" s="326" t="s">
        <v>1956</v>
      </c>
      <c r="I76" s="326" t="s">
        <v>1957</v>
      </c>
      <c r="J76" s="326">
        <v>1</v>
      </c>
      <c r="K76" s="326" t="s">
        <v>864</v>
      </c>
      <c r="L76" s="326" t="s">
        <v>1958</v>
      </c>
      <c r="M76" s="326"/>
      <c r="N76" s="326" t="s">
        <v>1958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1959</v>
      </c>
      <c r="I77" s="320" t="s">
        <v>1960</v>
      </c>
      <c r="J77" s="320" t="s">
        <v>1961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1962</v>
      </c>
      <c r="D78" s="325"/>
      <c r="E78" s="325"/>
      <c r="F78" s="325"/>
      <c r="G78" s="325"/>
      <c r="H78" s="326" t="s">
        <v>1703</v>
      </c>
      <c r="I78" s="326" t="s">
        <v>1963</v>
      </c>
      <c r="J78" s="326" t="s">
        <v>1964</v>
      </c>
      <c r="K78" s="326"/>
      <c r="L78" s="326" t="s">
        <v>1965</v>
      </c>
      <c r="M78" s="326"/>
      <c r="N78" s="326" t="s">
        <v>1965</v>
      </c>
      <c r="O78" s="326"/>
      <c r="P78" s="326"/>
      <c r="Q78" s="326"/>
      <c r="R78" s="326"/>
      <c r="S78" s="336" t="s">
        <v>817</v>
      </c>
      <c r="T78" s="337" t="s">
        <v>817</v>
      </c>
      <c r="U78" s="337" t="s">
        <v>817</v>
      </c>
      <c r="V78" s="326"/>
      <c r="W78" s="326"/>
      <c r="X78" s="326" t="s">
        <v>863</v>
      </c>
      <c r="Y78" s="326"/>
      <c r="Z78" s="326" t="s">
        <v>1966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1725</v>
      </c>
      <c r="D79" s="329"/>
      <c r="E79" s="329"/>
      <c r="F79" s="329"/>
      <c r="G79" s="329"/>
      <c r="H79" s="320" t="s">
        <v>1703</v>
      </c>
      <c r="I79" s="320" t="s">
        <v>1967</v>
      </c>
      <c r="J79" s="320" t="s">
        <v>1968</v>
      </c>
      <c r="K79" s="320" t="s">
        <v>864</v>
      </c>
      <c r="L79" s="320" t="s">
        <v>1729</v>
      </c>
      <c r="M79" s="320"/>
      <c r="N79" s="320" t="s">
        <v>1729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1969</v>
      </c>
      <c r="C80" s="325"/>
      <c r="D80" s="325"/>
      <c r="E80" s="325"/>
      <c r="F80" s="325"/>
      <c r="G80" s="325"/>
      <c r="H80" s="326" t="s">
        <v>1970</v>
      </c>
      <c r="I80" s="326" t="s">
        <v>1971</v>
      </c>
      <c r="J80" s="333"/>
      <c r="K80" s="326"/>
      <c r="L80" s="326" t="s">
        <v>1972</v>
      </c>
      <c r="M80" s="326"/>
      <c r="N80" s="326" t="s">
        <v>1972</v>
      </c>
      <c r="O80" s="326"/>
      <c r="P80" s="326"/>
      <c r="Q80" s="326"/>
      <c r="R80" s="326"/>
      <c r="S80" s="334" t="s">
        <v>823</v>
      </c>
      <c r="T80" s="334" t="s">
        <v>823</v>
      </c>
      <c r="U80" s="334" t="s">
        <v>823</v>
      </c>
      <c r="V80" s="326"/>
      <c r="W80" s="326" t="s">
        <v>864</v>
      </c>
      <c r="X80" s="326" t="s">
        <v>1973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1974</v>
      </c>
      <c r="I81" s="320" t="s">
        <v>1975</v>
      </c>
      <c r="J81" s="320" t="s">
        <v>1976</v>
      </c>
      <c r="K81" s="320" t="s">
        <v>864</v>
      </c>
      <c r="L81" s="320" t="s">
        <v>1758</v>
      </c>
      <c r="M81" s="320"/>
      <c r="N81" s="320" t="s">
        <v>1758</v>
      </c>
      <c r="O81" s="320"/>
      <c r="P81" s="320"/>
      <c r="Q81" s="320"/>
      <c r="R81" s="320"/>
      <c r="S81" s="323" t="s">
        <v>820</v>
      </c>
      <c r="T81" s="323" t="s">
        <v>820</v>
      </c>
      <c r="U81" s="323" t="s">
        <v>820</v>
      </c>
      <c r="V81" s="320"/>
      <c r="W81" s="320"/>
      <c r="X81" s="320" t="s">
        <v>863</v>
      </c>
      <c r="Y81" s="320"/>
      <c r="Z81" s="320" t="s">
        <v>1977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1725</v>
      </c>
      <c r="D82" s="325"/>
      <c r="E82" s="325"/>
      <c r="F82" s="325"/>
      <c r="G82" s="325"/>
      <c r="H82" s="326" t="s">
        <v>1978</v>
      </c>
      <c r="I82" s="326" t="s">
        <v>1979</v>
      </c>
      <c r="J82" s="326" t="s">
        <v>1980</v>
      </c>
      <c r="K82" s="326" t="s">
        <v>864</v>
      </c>
      <c r="L82" s="326" t="s">
        <v>1729</v>
      </c>
      <c r="M82" s="326"/>
      <c r="N82" s="326" t="s">
        <v>1729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1981</v>
      </c>
      <c r="D83" s="329"/>
      <c r="E83" s="329"/>
      <c r="F83" s="329"/>
      <c r="G83" s="329"/>
      <c r="H83" s="320" t="s">
        <v>1982</v>
      </c>
      <c r="I83" s="320" t="s">
        <v>1983</v>
      </c>
      <c r="J83" s="320" t="s">
        <v>1984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1985</v>
      </c>
      <c r="D84" s="342"/>
      <c r="E84" s="325"/>
      <c r="F84" s="325"/>
      <c r="G84" s="325"/>
      <c r="H84" s="326" t="s">
        <v>1986</v>
      </c>
      <c r="I84" s="326" t="s">
        <v>1987</v>
      </c>
      <c r="J84" s="326" t="s">
        <v>1855</v>
      </c>
      <c r="K84" s="326" t="s">
        <v>864</v>
      </c>
      <c r="L84" s="326" t="s">
        <v>1737</v>
      </c>
      <c r="M84" s="326"/>
      <c r="N84" s="326" t="s">
        <v>1737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1746</v>
      </c>
      <c r="M85" s="320"/>
      <c r="N85" s="320" t="s">
        <v>1746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1839</v>
      </c>
      <c r="K86" s="326" t="s">
        <v>864</v>
      </c>
      <c r="L86" s="326" t="s">
        <v>1840</v>
      </c>
      <c r="M86" s="326"/>
      <c r="N86" s="326" t="s">
        <v>1840</v>
      </c>
      <c r="O86" s="326"/>
      <c r="P86" s="326"/>
      <c r="Q86" s="326"/>
      <c r="R86" s="326"/>
      <c r="S86" s="336" t="s">
        <v>817</v>
      </c>
      <c r="T86" s="336" t="s">
        <v>817</v>
      </c>
      <c r="U86" s="336" t="s">
        <v>817</v>
      </c>
      <c r="V86" s="326"/>
      <c r="W86" s="326"/>
      <c r="X86" s="326" t="s">
        <v>863</v>
      </c>
      <c r="Y86" s="326"/>
      <c r="Z86" s="326" t="s">
        <v>1995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1925</v>
      </c>
      <c r="J93" s="341"/>
      <c r="K93" s="320" t="s">
        <v>864</v>
      </c>
      <c r="L93" s="320" t="s">
        <v>1926</v>
      </c>
      <c r="M93" s="320"/>
      <c r="N93" s="320" t="s">
        <v>1926</v>
      </c>
      <c r="O93" s="320"/>
      <c r="P93" s="320"/>
      <c r="Q93" s="320"/>
      <c r="R93" s="320"/>
      <c r="S93" s="330" t="s">
        <v>817</v>
      </c>
      <c r="T93" s="332" t="s">
        <v>817</v>
      </c>
      <c r="U93" s="332" t="s">
        <v>817</v>
      </c>
      <c r="V93" s="320"/>
      <c r="W93" s="320" t="s">
        <v>864</v>
      </c>
      <c r="X93" s="320" t="s">
        <v>1927</v>
      </c>
      <c r="Y93" s="320"/>
      <c r="Z93" s="320"/>
      <c r="AA93" s="320" t="s">
        <v>864</v>
      </c>
      <c r="AB93" s="320" t="s">
        <v>864</v>
      </c>
      <c r="AC93" s="324" t="s">
        <v>1597</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1985</v>
      </c>
      <c r="D101" s="357"/>
      <c r="E101" s="356"/>
      <c r="F101" s="356"/>
      <c r="G101" s="356"/>
      <c r="H101" s="320" t="s">
        <v>2061</v>
      </c>
      <c r="I101" s="320" t="s">
        <v>2062</v>
      </c>
      <c r="J101" s="320" t="s">
        <v>1855</v>
      </c>
      <c r="K101" s="320" t="s">
        <v>864</v>
      </c>
      <c r="L101" s="320" t="s">
        <v>1737</v>
      </c>
      <c r="M101" s="320"/>
      <c r="N101" s="320" t="s">
        <v>1737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1746</v>
      </c>
      <c r="M102" s="326"/>
      <c r="N102" s="326" t="s">
        <v>1746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1729</v>
      </c>
      <c r="M103" s="320"/>
      <c r="N103" s="320" t="s">
        <v>1729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1871</v>
      </c>
      <c r="M105" s="320"/>
      <c r="N105" s="320" t="s">
        <v>1871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1797</v>
      </c>
      <c r="E106" s="354"/>
      <c r="F106" s="354"/>
      <c r="G106" s="354"/>
      <c r="H106" s="326" t="s">
        <v>2078</v>
      </c>
      <c r="I106" s="326" t="s">
        <v>2079</v>
      </c>
      <c r="J106" s="326" t="s">
        <v>2080</v>
      </c>
      <c r="K106" s="326" t="s">
        <v>864</v>
      </c>
      <c r="L106" s="326" t="s">
        <v>1758</v>
      </c>
      <c r="M106" s="326"/>
      <c r="N106" s="326" t="s">
        <v>1758</v>
      </c>
      <c r="O106" s="326"/>
      <c r="P106" s="326"/>
      <c r="Q106" s="326"/>
      <c r="R106" s="326"/>
      <c r="S106" s="328" t="s">
        <v>820</v>
      </c>
      <c r="T106" s="326"/>
      <c r="U106" s="355" t="s">
        <v>820</v>
      </c>
      <c r="V106" s="326"/>
      <c r="W106" s="326"/>
      <c r="X106" s="326" t="s">
        <v>863</v>
      </c>
      <c r="Y106" s="326"/>
      <c r="Z106" s="326" t="s">
        <v>2081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1751</v>
      </c>
      <c r="E107" s="356"/>
      <c r="F107" s="356"/>
      <c r="G107" s="356"/>
      <c r="H107" s="320" t="s">
        <v>2082</v>
      </c>
      <c r="I107" s="320"/>
      <c r="J107" s="320" t="s">
        <v>2083</v>
      </c>
      <c r="K107" s="320" t="s">
        <v>864</v>
      </c>
      <c r="L107" s="320" t="s">
        <v>1729</v>
      </c>
      <c r="M107" s="320"/>
      <c r="N107" s="320" t="s">
        <v>1729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1926</v>
      </c>
      <c r="M109" s="320"/>
      <c r="N109" s="320" t="s">
        <v>1926</v>
      </c>
      <c r="O109" s="320"/>
      <c r="P109" s="320"/>
      <c r="Q109" s="320"/>
      <c r="R109" s="320"/>
      <c r="S109" s="347" t="s">
        <v>823</v>
      </c>
      <c r="T109" s="320"/>
      <c r="U109" s="353" t="s">
        <v>823</v>
      </c>
      <c r="V109" s="320"/>
      <c r="W109" s="320" t="s">
        <v>864</v>
      </c>
      <c r="X109" s="320" t="s">
        <v>1927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1840</v>
      </c>
      <c r="M112" s="326"/>
      <c r="N112" s="326" t="s">
        <v>1840</v>
      </c>
      <c r="O112" s="326"/>
      <c r="P112" s="326"/>
      <c r="Q112" s="326"/>
      <c r="R112" s="326"/>
      <c r="S112" s="336" t="s">
        <v>817</v>
      </c>
      <c r="T112" s="326"/>
      <c r="U112" s="360" t="s">
        <v>817</v>
      </c>
      <c r="V112" s="326"/>
      <c r="W112" s="326"/>
      <c r="X112" s="326" t="s">
        <v>863</v>
      </c>
      <c r="Y112" s="326"/>
      <c r="Z112" s="326" t="s">
        <v>2103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1758</v>
      </c>
      <c r="M115" s="320"/>
      <c r="N115" s="320" t="s">
        <v>1758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29"/>
  <sheetViews>
    <sheetView zoomScaleNormal="100" workbookViewId="0">
      <pane xSplit="7" ySplit="8" topLeftCell="H9" activePane="bottomRight" state="frozen"/>
      <selection pane="bottomRight" activeCell="F28" sqref="F28"/>
      <selection pane="bottomLeft"/>
      <selection pane="topRight"/>
    </sheetView>
  </sheetViews>
  <sheetFormatPr defaultColWidth="9" defaultRowHeight="14.25" customHeight="1"/>
  <cols>
    <col min="1" max="1" width="3.5" customWidth="1"/>
    <col min="2" max="2" width="10" customWidth="1"/>
    <col min="3" max="3" width="53.375" customWidth="1"/>
    <col min="4" max="4" width="9.375" customWidth="1"/>
    <col min="5" max="5" width="10.5" customWidth="1"/>
    <col min="6" max="6" width="10" customWidth="1"/>
    <col min="7" max="7" width="9.375" customWidth="1"/>
    <col min="8" max="8" width="52" style="57" customWidth="1"/>
    <col min="9" max="9" width="24.375" customWidth="1"/>
    <col min="10" max="10" width="14.125" hidden="1" customWidth="1"/>
    <col min="11" max="11" width="25.87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20" max="20" width="17.625" customWidth="1"/>
    <col min="21" max="21" width="11" bestFit="1" customWidth="1"/>
    <col min="24" max="30" width="0" hidden="1" customWidth="1"/>
  </cols>
  <sheetData>
    <row r="1" spans="1:1014" ht="14.25" customHeight="1">
      <c r="A1" s="228" t="s">
        <v>2119</v>
      </c>
      <c r="B1" s="128"/>
      <c r="C1" s="129" t="s">
        <v>813</v>
      </c>
      <c r="D1" s="128"/>
      <c r="E1" s="150" t="s">
        <v>814</v>
      </c>
      <c r="F1" s="157"/>
      <c r="G1" s="128"/>
      <c r="H1" s="451"/>
      <c r="I1" s="451"/>
      <c r="J1" s="451"/>
      <c r="K1" s="159"/>
      <c r="L1" s="96"/>
      <c r="M1" s="96"/>
      <c r="N1" s="96"/>
      <c r="O1" s="452" t="s">
        <v>816</v>
      </c>
      <c r="P1" s="452"/>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1"/>
      <c r="I2" s="451"/>
      <c r="J2" s="451"/>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3" t="s">
        <v>828</v>
      </c>
      <c r="M7" s="453"/>
      <c r="N7" s="453"/>
      <c r="O7" s="453"/>
      <c r="P7" s="173"/>
      <c r="Q7" s="96"/>
      <c r="R7" s="96"/>
      <c r="S7" s="96"/>
      <c r="T7" s="281"/>
      <c r="U7" s="96"/>
      <c r="V7" s="459" t="s">
        <v>829</v>
      </c>
      <c r="W7" s="459"/>
      <c r="Y7" s="179"/>
      <c r="Z7" s="96"/>
      <c r="AA7" s="159"/>
      <c r="AB7" s="96"/>
      <c r="AC7" s="453" t="s">
        <v>830</v>
      </c>
      <c r="AD7" s="4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405" t="s">
        <v>2121</v>
      </c>
      <c r="C9" s="405"/>
      <c r="D9" s="405"/>
      <c r="E9" s="405"/>
      <c r="F9" s="405"/>
      <c r="G9" s="405"/>
      <c r="H9" s="320" t="s">
        <v>2122</v>
      </c>
      <c r="I9" s="402"/>
      <c r="K9" s="320" t="s">
        <v>2123</v>
      </c>
      <c r="Q9" s="402" t="s">
        <v>823</v>
      </c>
      <c r="R9" s="436" t="s">
        <v>864</v>
      </c>
      <c r="S9" s="436" t="s">
        <v>1927</v>
      </c>
      <c r="V9" t="s">
        <v>864</v>
      </c>
      <c r="W9" t="s">
        <v>864</v>
      </c>
    </row>
    <row r="10" spans="1:1014" ht="14.25" customHeight="1">
      <c r="A10" s="404">
        <v>2</v>
      </c>
      <c r="B10" s="405"/>
      <c r="C10" s="405" t="s">
        <v>2124</v>
      </c>
      <c r="D10" s="405"/>
      <c r="E10" s="405"/>
      <c r="F10" s="405"/>
      <c r="G10" s="405"/>
      <c r="H10" s="326" t="s">
        <v>2125</v>
      </c>
      <c r="I10" s="326" t="s">
        <v>2126</v>
      </c>
      <c r="K10" s="326" t="s">
        <v>1187</v>
      </c>
      <c r="Q10" s="328" t="s">
        <v>820</v>
      </c>
      <c r="R10" s="436"/>
      <c r="S10" s="436" t="s">
        <v>863</v>
      </c>
      <c r="V10" t="s">
        <v>864</v>
      </c>
      <c r="W10" t="s">
        <v>864</v>
      </c>
    </row>
    <row r="11" spans="1:1014" ht="14.25" customHeight="1">
      <c r="A11" s="406">
        <v>3</v>
      </c>
      <c r="B11" s="405"/>
      <c r="C11" s="405" t="s">
        <v>2127</v>
      </c>
      <c r="D11" s="405"/>
      <c r="E11" s="405"/>
      <c r="F11" s="405"/>
      <c r="G11" s="405"/>
      <c r="H11" s="320" t="s">
        <v>2128</v>
      </c>
      <c r="I11" s="320" t="s">
        <v>2129</v>
      </c>
      <c r="K11" s="320" t="s">
        <v>2130</v>
      </c>
      <c r="Q11" s="323" t="s">
        <v>820</v>
      </c>
      <c r="R11" s="436"/>
      <c r="S11" s="436" t="s">
        <v>879</v>
      </c>
      <c r="V11" t="s">
        <v>864</v>
      </c>
      <c r="W11" t="s">
        <v>864</v>
      </c>
    </row>
    <row r="12" spans="1:1014" ht="14.25" customHeight="1">
      <c r="A12" s="404">
        <v>4</v>
      </c>
      <c r="B12" s="405"/>
      <c r="C12" s="405" t="s">
        <v>2131</v>
      </c>
      <c r="D12" s="405"/>
      <c r="E12" s="405"/>
      <c r="F12" s="405"/>
      <c r="G12" s="405"/>
      <c r="H12" s="408"/>
      <c r="I12" s="408" t="s">
        <v>2132</v>
      </c>
      <c r="K12" s="408" t="s">
        <v>2133</v>
      </c>
      <c r="Q12" s="336" t="s">
        <v>817</v>
      </c>
      <c r="R12" s="436"/>
      <c r="S12" s="436" t="s">
        <v>879</v>
      </c>
      <c r="V12" t="s">
        <v>864</v>
      </c>
      <c r="W12" t="s">
        <v>864</v>
      </c>
    </row>
    <row r="13" spans="1:1014" ht="14.25" customHeight="1">
      <c r="A13" s="404">
        <v>5</v>
      </c>
      <c r="B13" s="405"/>
      <c r="C13" s="405" t="s">
        <v>1135</v>
      </c>
      <c r="D13" s="405"/>
      <c r="E13" s="405"/>
      <c r="F13" s="405"/>
      <c r="G13" s="405"/>
      <c r="H13" s="407" t="s">
        <v>2134</v>
      </c>
      <c r="I13" s="401"/>
      <c r="K13" s="407" t="s">
        <v>1137</v>
      </c>
      <c r="Q13" s="402" t="s">
        <v>823</v>
      </c>
      <c r="R13" s="436" t="s">
        <v>864</v>
      </c>
      <c r="S13" s="320" t="s">
        <v>1137</v>
      </c>
      <c r="V13" t="s">
        <v>864</v>
      </c>
      <c r="W13" t="s">
        <v>864</v>
      </c>
    </row>
    <row r="14" spans="1:1014" ht="14.25" customHeight="1">
      <c r="A14" s="406">
        <v>6</v>
      </c>
      <c r="B14" s="405"/>
      <c r="C14" s="405"/>
      <c r="D14" s="405" t="s">
        <v>1946</v>
      </c>
      <c r="E14" s="405"/>
      <c r="F14" s="405"/>
      <c r="G14" s="405"/>
      <c r="H14" s="408" t="s">
        <v>2135</v>
      </c>
      <c r="I14" s="408" t="s">
        <v>1949</v>
      </c>
      <c r="K14" s="408" t="s">
        <v>1141</v>
      </c>
      <c r="Q14" s="328" t="s">
        <v>820</v>
      </c>
      <c r="R14" s="436"/>
      <c r="S14" s="326" t="s">
        <v>1060</v>
      </c>
      <c r="V14" t="s">
        <v>864</v>
      </c>
      <c r="W14" t="s">
        <v>864</v>
      </c>
    </row>
    <row r="15" spans="1:1014" ht="14.25" customHeight="1">
      <c r="A15" s="404">
        <f ca="1">SUBTOTAL(103,Tableau3[ID])</f>
        <v>0</v>
      </c>
      <c r="B15" s="405"/>
      <c r="C15" s="405"/>
      <c r="D15" s="405" t="s">
        <v>1144</v>
      </c>
      <c r="E15" s="405"/>
      <c r="F15" s="405"/>
      <c r="G15" s="405"/>
      <c r="H15" s="407" t="s">
        <v>2136</v>
      </c>
      <c r="I15" s="409" t="s">
        <v>1953</v>
      </c>
      <c r="K15" s="407" t="s">
        <v>1147</v>
      </c>
      <c r="Q15" s="323" t="s">
        <v>820</v>
      </c>
      <c r="R15" s="436"/>
      <c r="S15" s="320" t="s">
        <v>1060</v>
      </c>
      <c r="V15" t="s">
        <v>864</v>
      </c>
      <c r="W15" t="s">
        <v>864</v>
      </c>
    </row>
    <row r="16" spans="1:1014" ht="14.25" customHeight="1">
      <c r="A16" s="404">
        <v>8</v>
      </c>
      <c r="B16" s="405"/>
      <c r="C16" s="405"/>
      <c r="D16" s="405" t="s">
        <v>1955</v>
      </c>
      <c r="E16" s="405"/>
      <c r="F16" s="405"/>
      <c r="G16" s="405"/>
      <c r="H16" s="408" t="s">
        <v>2137</v>
      </c>
      <c r="I16" s="410">
        <v>1</v>
      </c>
      <c r="K16" s="408" t="s">
        <v>1150</v>
      </c>
      <c r="Q16" s="336" t="s">
        <v>817</v>
      </c>
      <c r="R16" s="436"/>
      <c r="S16" s="326" t="s">
        <v>1060</v>
      </c>
      <c r="V16" t="s">
        <v>864</v>
      </c>
      <c r="W16" t="s">
        <v>864</v>
      </c>
    </row>
    <row r="17" spans="1:23" ht="14.25" customHeight="1">
      <c r="A17" s="406">
        <v>9</v>
      </c>
      <c r="B17" s="405"/>
      <c r="C17" s="405" t="s">
        <v>2138</v>
      </c>
      <c r="D17" s="405"/>
      <c r="E17" s="405"/>
      <c r="F17" s="405"/>
      <c r="G17" s="405"/>
      <c r="H17" s="407" t="s">
        <v>2139</v>
      </c>
      <c r="I17" s="407"/>
      <c r="K17" s="407" t="s">
        <v>1158</v>
      </c>
      <c r="Q17" s="336" t="s">
        <v>817</v>
      </c>
      <c r="R17" s="436"/>
      <c r="S17" s="326" t="s">
        <v>1060</v>
      </c>
      <c r="V17" t="s">
        <v>864</v>
      </c>
      <c r="W17" t="s">
        <v>864</v>
      </c>
    </row>
    <row r="18" spans="1:23" ht="14.25" customHeight="1">
      <c r="A18" s="404">
        <v>10</v>
      </c>
      <c r="B18" s="405"/>
      <c r="C18" s="405" t="s">
        <v>2140</v>
      </c>
      <c r="D18" s="405"/>
      <c r="E18" s="405"/>
      <c r="F18" s="405"/>
      <c r="G18" s="405"/>
      <c r="H18" s="408" t="s">
        <v>2141</v>
      </c>
      <c r="I18" s="410"/>
      <c r="K18" s="408" t="s">
        <v>2142</v>
      </c>
      <c r="Q18" s="336" t="s">
        <v>817</v>
      </c>
      <c r="R18" s="436"/>
      <c r="S18" s="436" t="s">
        <v>863</v>
      </c>
      <c r="V18" t="s">
        <v>864</v>
      </c>
      <c r="W18" t="s">
        <v>864</v>
      </c>
    </row>
    <row r="19" spans="1:23" ht="14.25" customHeight="1">
      <c r="A19" s="404">
        <v>11</v>
      </c>
      <c r="B19" s="405"/>
      <c r="C19" s="405" t="s">
        <v>2143</v>
      </c>
      <c r="D19" s="405"/>
      <c r="E19" s="405"/>
      <c r="F19" s="405"/>
      <c r="G19" s="405"/>
      <c r="H19" s="407" t="s">
        <v>2144</v>
      </c>
      <c r="I19" s="407"/>
      <c r="K19" s="407" t="s">
        <v>2145</v>
      </c>
      <c r="Q19" s="336" t="s">
        <v>817</v>
      </c>
      <c r="R19" s="436"/>
      <c r="S19" s="436" t="s">
        <v>863</v>
      </c>
      <c r="V19" t="s">
        <v>864</v>
      </c>
      <c r="W19" t="s">
        <v>864</v>
      </c>
    </row>
    <row r="20" spans="1:23" ht="14.25" customHeight="1">
      <c r="A20" s="406">
        <v>12</v>
      </c>
      <c r="B20" s="405"/>
      <c r="C20" s="405" t="s">
        <v>2146</v>
      </c>
      <c r="D20" s="405"/>
      <c r="E20" s="405"/>
      <c r="F20" s="405"/>
      <c r="G20" s="405"/>
      <c r="H20" s="326" t="s">
        <v>2147</v>
      </c>
      <c r="I20" s="381">
        <v>0</v>
      </c>
      <c r="K20" s="326" t="s">
        <v>2148</v>
      </c>
      <c r="Q20" s="336" t="s">
        <v>817</v>
      </c>
      <c r="R20" s="436"/>
      <c r="S20" s="326" t="s">
        <v>1060</v>
      </c>
      <c r="V20" t="s">
        <v>864</v>
      </c>
      <c r="W20" t="s">
        <v>864</v>
      </c>
    </row>
    <row r="21" spans="1:23" ht="14.25" customHeight="1">
      <c r="A21" s="404">
        <v>13</v>
      </c>
      <c r="B21" s="405"/>
      <c r="C21" s="405" t="s">
        <v>2149</v>
      </c>
      <c r="D21" s="405"/>
      <c r="E21" s="405"/>
      <c r="F21" s="405"/>
      <c r="G21" s="405"/>
      <c r="H21" s="407" t="s">
        <v>2150</v>
      </c>
      <c r="I21" s="407"/>
      <c r="K21" s="407" t="s">
        <v>2151</v>
      </c>
      <c r="Q21" s="336" t="s">
        <v>817</v>
      </c>
      <c r="R21" s="436"/>
      <c r="S21" s="326" t="s">
        <v>1060</v>
      </c>
      <c r="V21" t="s">
        <v>864</v>
      </c>
      <c r="W21" t="s">
        <v>864</v>
      </c>
    </row>
    <row r="22" spans="1:23" ht="14.25" customHeight="1">
      <c r="A22" s="404">
        <v>14</v>
      </c>
      <c r="B22" s="405"/>
      <c r="C22" s="405" t="s">
        <v>2099</v>
      </c>
      <c r="D22" s="405"/>
      <c r="E22" s="405"/>
      <c r="F22" s="405"/>
      <c r="G22" s="405"/>
      <c r="H22" s="326" t="s">
        <v>2152</v>
      </c>
      <c r="I22" s="326" t="s">
        <v>2153</v>
      </c>
      <c r="K22" s="326" t="s">
        <v>888</v>
      </c>
      <c r="Q22" s="336" t="s">
        <v>817</v>
      </c>
      <c r="R22" s="436"/>
      <c r="S22" s="436" t="s">
        <v>863</v>
      </c>
      <c r="V22" t="s">
        <v>864</v>
      </c>
      <c r="W22" t="s">
        <v>864</v>
      </c>
    </row>
    <row r="23" spans="1:23" ht="15">
      <c r="A23" s="462">
        <f ca="1">SUBTOTAL(103,Tableau3[ID])</f>
        <v>0</v>
      </c>
      <c r="B23" s="462">
        <f>SUBTOTAL(103,Tableau3[Donnée (Niveau 1)])</f>
        <v>1</v>
      </c>
      <c r="C23" s="462">
        <f>SUBTOTAL(103,Tableau3[Donnée (Niveau 2)])</f>
        <v>10</v>
      </c>
      <c r="D23" s="462">
        <f>SUBTOTAL(103,Tableau3[Donnée (Niveau 3)])</f>
        <v>3</v>
      </c>
      <c r="E23" s="462">
        <f>SUBTOTAL(103,Tableau3[Donnée (Niveau 4)])</f>
        <v>0</v>
      </c>
      <c r="F23" s="462">
        <f>SUBTOTAL(103,Tableau3[Donnée (Niveau 5)])</f>
        <v>0</v>
      </c>
      <c r="G23" s="462">
        <f>SUBTOTAL(103,Tableau3[Donnée (Niveau 6)])</f>
        <v>0</v>
      </c>
      <c r="H23" s="462">
        <f>SUBTOTAL(103,Tableau3[Description])</f>
        <v>13</v>
      </c>
      <c r="I23" s="462">
        <f>SUBTOTAL(103,Tableau3[Exemples])</f>
        <v>8</v>
      </c>
      <c r="J23" s="462">
        <f>SUBTOTAL(103,Tableau3[Balise NexSIS])</f>
        <v>0</v>
      </c>
      <c r="K23" s="462">
        <f>SUBTOTAL(103,Tableau3[Nouvelle balise])</f>
        <v>14</v>
      </c>
      <c r="L23" s="462">
        <f>SUBTOTAL(103,Tableau3[Nantes - balise])</f>
        <v>0</v>
      </c>
      <c r="M23" s="462">
        <f>SUBTOTAL(103,Tableau3[Nantes - description])</f>
        <v>0</v>
      </c>
      <c r="N23" s="462">
        <f>SUBTOTAL(103,Tableau3[GT399])</f>
        <v>0</v>
      </c>
      <c r="O23" s="462">
        <f>SUBTOTAL(103,Tableau3[GT399 description])</f>
        <v>0</v>
      </c>
      <c r="P23" s="462">
        <f>SUBTOTAL(103,Tableau3[Priorisation])</f>
        <v>0</v>
      </c>
      <c r="Q23" s="462">
        <f>SUBTOTAL(103,Tableau3[Cardinalité])</f>
        <v>14</v>
      </c>
      <c r="R23" s="462">
        <f>SUBTOTAL(103,Tableau3[Objet])</f>
        <v>2</v>
      </c>
      <c r="S23" s="462">
        <f>SUBTOTAL(103,Tableau3[Format (ou type)])</f>
        <v>14</v>
      </c>
      <c r="T23" s="462">
        <f>SUBTOTAL(103,Tableau3[Nomenclature/ énumération])</f>
        <v>0</v>
      </c>
      <c r="U23" s="462">
        <f>SUBTOTAL(103,Tableau3[Détails de format])</f>
        <v>0</v>
      </c>
      <c r="V23" s="462">
        <f>SUBTOTAL(103,Tableau3[15-18])</f>
        <v>14</v>
      </c>
      <c r="W23" s="462">
        <f>SUBTOTAL(103,Tableau3[15-15])</f>
        <v>14</v>
      </c>
    </row>
    <row r="24" spans="1:23"/>
    <row r="25" spans="1:23"/>
    <row r="26" spans="1:23"/>
    <row r="27" spans="1:23"/>
    <row r="28" spans="1:23"/>
    <row r="29"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bottomRight" activeCell="H14" sqref="H14"/>
      <selection pane="bottomLeft"/>
      <selection pane="topRight"/>
    </sheetView>
  </sheetViews>
  <sheetFormatPr defaultColWidth="9" defaultRowHeight="14.25"/>
  <cols>
    <col min="1" max="1" width="4.125" customWidth="1"/>
    <col min="2" max="2" width="21.875" customWidth="1"/>
    <col min="3" max="3" width="26.5" customWidth="1"/>
    <col min="4" max="4" width="12.125" customWidth="1"/>
    <col min="5" max="5" width="12.125" style="57" customWidth="1"/>
    <col min="6" max="7" width="12.125" customWidth="1"/>
    <col min="8" max="8" width="44.25" customWidth="1"/>
    <col min="9" max="9" width="16.125" customWidth="1"/>
    <col min="10" max="10" width="0" hidden="1" customWidth="1"/>
    <col min="12" max="16" width="0" hidden="1" customWidth="1"/>
    <col min="17" max="17" width="10.125" customWidth="1"/>
    <col min="24" max="30" width="0" hidden="1" customWidth="1"/>
  </cols>
  <sheetData>
    <row r="1" spans="1:1014" ht="14.25" customHeight="1">
      <c r="A1" s="228" t="s">
        <v>2119</v>
      </c>
      <c r="B1" s="128"/>
      <c r="C1" s="129" t="s">
        <v>813</v>
      </c>
      <c r="D1" s="128"/>
      <c r="E1" s="150" t="s">
        <v>814</v>
      </c>
      <c r="F1" s="157"/>
      <c r="G1" s="128"/>
      <c r="H1" s="451"/>
      <c r="I1" s="451"/>
      <c r="J1" s="451"/>
      <c r="K1" s="159"/>
      <c r="L1" s="96"/>
      <c r="M1" s="96"/>
      <c r="N1" s="96"/>
      <c r="O1" s="452" t="s">
        <v>816</v>
      </c>
      <c r="P1" s="452"/>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1"/>
      <c r="I2" s="451"/>
      <c r="J2" s="451"/>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3" t="s">
        <v>828</v>
      </c>
      <c r="M7" s="453"/>
      <c r="N7" s="453"/>
      <c r="O7" s="453"/>
      <c r="P7" s="173"/>
      <c r="Q7" s="96"/>
      <c r="R7" s="96"/>
      <c r="S7" s="96"/>
      <c r="T7" s="281"/>
      <c r="U7" s="96"/>
      <c r="V7" s="459" t="s">
        <v>829</v>
      </c>
      <c r="W7" s="459"/>
      <c r="Y7" s="179"/>
      <c r="Z7" s="96"/>
      <c r="AA7" s="159"/>
      <c r="AB7" s="96"/>
      <c r="AC7" s="453" t="s">
        <v>830</v>
      </c>
      <c r="AD7" s="4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4">
        <v>1</v>
      </c>
      <c r="B9" s="399" t="s">
        <v>2154</v>
      </c>
      <c r="C9" s="399"/>
      <c r="D9" s="399"/>
      <c r="E9" s="405"/>
      <c r="F9" s="405"/>
      <c r="G9" s="405"/>
      <c r="H9" s="320" t="s">
        <v>771</v>
      </c>
      <c r="I9" s="402"/>
      <c r="K9" s="320" t="s">
        <v>2155</v>
      </c>
      <c r="Q9" s="402" t="s">
        <v>817</v>
      </c>
      <c r="R9" s="436" t="s">
        <v>864</v>
      </c>
      <c r="S9" s="436" t="s">
        <v>1336</v>
      </c>
      <c r="V9" t="s">
        <v>864</v>
      </c>
      <c r="W9" t="s">
        <v>864</v>
      </c>
    </row>
    <row r="10" spans="1:1014" ht="14.25" customHeight="1">
      <c r="A10" s="404">
        <v>2</v>
      </c>
      <c r="B10" s="399"/>
      <c r="C10" s="399" t="s">
        <v>2156</v>
      </c>
      <c r="D10" s="399"/>
      <c r="E10" s="405"/>
      <c r="F10" s="405"/>
      <c r="G10" s="405"/>
      <c r="H10" s="408" t="s">
        <v>2157</v>
      </c>
      <c r="I10" s="408" t="s">
        <v>2158</v>
      </c>
      <c r="K10" s="408" t="s">
        <v>2159</v>
      </c>
      <c r="Q10" s="336" t="s">
        <v>893</v>
      </c>
      <c r="R10" s="436"/>
      <c r="S10" s="436" t="s">
        <v>863</v>
      </c>
      <c r="V10" t="s">
        <v>864</v>
      </c>
      <c r="W10" t="s">
        <v>864</v>
      </c>
    </row>
    <row r="11" spans="1:1014" ht="15">
      <c r="A11" s="462">
        <f>SUBTOTAL(103,Tableau35[ID])</f>
        <v>2</v>
      </c>
      <c r="B11" s="462">
        <f>SUBTOTAL(103,Tableau35[Donnée (Niveau 1)])</f>
        <v>1</v>
      </c>
      <c r="C11" s="462">
        <f>SUBTOTAL(103,Tableau35[Donnée (Niveau 2)])</f>
        <v>1</v>
      </c>
      <c r="D11" s="462">
        <f>SUBTOTAL(103,Tableau35[Donnée (Niveau 3)])</f>
        <v>0</v>
      </c>
      <c r="E11" s="462">
        <f>SUBTOTAL(103,Tableau35[Donnée (Niveau 4)])</f>
        <v>0</v>
      </c>
      <c r="F11" s="462">
        <f>SUBTOTAL(103,Tableau35[Donnée (Niveau 5)])</f>
        <v>0</v>
      </c>
      <c r="G11" s="462">
        <f>SUBTOTAL(103,Tableau35[Donnée (Niveau 6)])</f>
        <v>0</v>
      </c>
      <c r="H11" s="462">
        <f>SUBTOTAL(103,Tableau35[Description])</f>
        <v>2</v>
      </c>
      <c r="I11" s="462">
        <f>SUBTOTAL(103,Tableau35[Exemples])</f>
        <v>1</v>
      </c>
      <c r="J11" s="462">
        <f>SUBTOTAL(103,Tableau35[Balise NexSIS])</f>
        <v>0</v>
      </c>
      <c r="K11" s="462">
        <f>SUBTOTAL(103,Tableau35[Nouvelle balise])</f>
        <v>2</v>
      </c>
      <c r="L11" s="462">
        <f>SUBTOTAL(103,Tableau35[Nantes - balise])</f>
        <v>0</v>
      </c>
      <c r="M11" s="462">
        <f>SUBTOTAL(103,Tableau35[Nantes - description])</f>
        <v>0</v>
      </c>
      <c r="N11" s="462">
        <f>SUBTOTAL(103,Tableau35[GT399])</f>
        <v>0</v>
      </c>
      <c r="O11" s="462">
        <f>SUBTOTAL(103,Tableau35[GT399 description])</f>
        <v>0</v>
      </c>
      <c r="P11" s="462">
        <f>SUBTOTAL(103,Tableau35[Priorisation])</f>
        <v>0</v>
      </c>
      <c r="Q11" s="462">
        <f>SUBTOTAL(103,Tableau35[Cardinalité])</f>
        <v>2</v>
      </c>
      <c r="R11" s="462">
        <f>SUBTOTAL(103,Tableau35[Objet])</f>
        <v>1</v>
      </c>
      <c r="S11" s="462">
        <f>SUBTOTAL(103,Tableau35[Format (ou type)])</f>
        <v>2</v>
      </c>
      <c r="T11" s="462">
        <f>SUBTOTAL(103,Tableau35[Nomenclature/ énumération])</f>
        <v>0</v>
      </c>
      <c r="U11" s="462">
        <f>SUBTOTAL(103,Tableau35[Détails de format])</f>
        <v>0</v>
      </c>
      <c r="V11" s="462">
        <f>SUBTOTAL(103,Tableau35[15-18])</f>
        <v>2</v>
      </c>
      <c r="W11" s="462">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tabSelected="1" workbookViewId="0">
      <pane xSplit="7" ySplit="8" topLeftCell="H9" activePane="bottomRight" state="frozen"/>
      <selection pane="bottomRight" activeCell="H9" sqref="H9"/>
      <selection pane="bottomLeft"/>
      <selection pane="topRight"/>
    </sheetView>
  </sheetViews>
  <sheetFormatPr defaultColWidth="9" defaultRowHeight="14.25"/>
  <cols>
    <col min="1" max="1" width="4.125" customWidth="1"/>
    <col min="2" max="2" width="21.875" customWidth="1"/>
    <col min="3" max="3" width="44.625" bestFit="1" customWidth="1"/>
    <col min="4" max="4" width="21.375" bestFit="1" customWidth="1"/>
    <col min="5" max="5" width="12.5" style="57" customWidth="1"/>
    <col min="6" max="7" width="12.5" customWidth="1"/>
    <col min="8" max="8" width="46.5" customWidth="1"/>
    <col min="9" max="9" width="17.75" customWidth="1"/>
    <col min="10" max="10" width="6.25" hidden="1" customWidth="1"/>
    <col min="11" max="11" width="18.625" customWidth="1"/>
    <col min="12" max="16" width="0" hidden="1" customWidth="1"/>
    <col min="17" max="17" width="11.875" customWidth="1"/>
    <col min="24" max="30" width="0" hidden="1" customWidth="1"/>
  </cols>
  <sheetData>
    <row r="1" spans="1:1014" ht="14.25" customHeight="1">
      <c r="A1" s="228" t="s">
        <v>2119</v>
      </c>
      <c r="B1" s="128"/>
      <c r="C1" s="129" t="s">
        <v>813</v>
      </c>
      <c r="D1" s="128"/>
      <c r="E1" s="150" t="s">
        <v>814</v>
      </c>
      <c r="F1" s="157"/>
      <c r="G1" s="128"/>
      <c r="H1" s="451"/>
      <c r="I1" s="451"/>
      <c r="J1" s="451"/>
      <c r="K1" s="159"/>
      <c r="L1" s="96"/>
      <c r="M1" s="96"/>
      <c r="N1" s="96"/>
      <c r="O1" s="452" t="s">
        <v>816</v>
      </c>
      <c r="P1" s="452"/>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451"/>
      <c r="I2" s="451"/>
      <c r="J2" s="451"/>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453" t="s">
        <v>828</v>
      </c>
      <c r="M7" s="453"/>
      <c r="N7" s="453"/>
      <c r="O7" s="453"/>
      <c r="P7" s="173"/>
      <c r="Q7" s="96"/>
      <c r="R7" s="96"/>
      <c r="S7" s="96"/>
      <c r="T7" s="281"/>
      <c r="U7" s="96"/>
      <c r="V7" s="459" t="s">
        <v>829</v>
      </c>
      <c r="W7" s="459"/>
      <c r="Y7" s="179"/>
      <c r="Z7" s="96"/>
      <c r="AA7" s="159"/>
      <c r="AB7" s="96"/>
      <c r="AC7" s="453" t="s">
        <v>830</v>
      </c>
      <c r="AD7" s="45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29" t="s">
        <v>831</v>
      </c>
      <c r="B8" s="282" t="s">
        <v>832</v>
      </c>
      <c r="C8" s="282" t="s">
        <v>833</v>
      </c>
      <c r="D8" s="282" t="s">
        <v>834</v>
      </c>
      <c r="E8" s="282" t="s">
        <v>835</v>
      </c>
      <c r="F8" s="282" t="s">
        <v>836</v>
      </c>
      <c r="G8" s="282" t="s">
        <v>837</v>
      </c>
      <c r="H8" s="430" t="s">
        <v>9</v>
      </c>
      <c r="I8" s="430" t="s">
        <v>838</v>
      </c>
      <c r="J8" s="430" t="s">
        <v>841</v>
      </c>
      <c r="K8" s="430" t="s">
        <v>842</v>
      </c>
      <c r="L8" s="430" t="s">
        <v>843</v>
      </c>
      <c r="M8" s="430" t="s">
        <v>844</v>
      </c>
      <c r="N8" s="430" t="s">
        <v>845</v>
      </c>
      <c r="O8" s="430" t="s">
        <v>846</v>
      </c>
      <c r="P8" s="430" t="s">
        <v>847</v>
      </c>
      <c r="Q8" s="430" t="s">
        <v>677</v>
      </c>
      <c r="R8" s="430" t="s">
        <v>3</v>
      </c>
      <c r="S8" s="430" t="s">
        <v>2120</v>
      </c>
      <c r="T8" s="431" t="s">
        <v>914</v>
      </c>
      <c r="U8" s="430"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6">
        <v>18</v>
      </c>
      <c r="B9" s="399" t="s">
        <v>2033</v>
      </c>
      <c r="C9" s="399"/>
      <c r="D9" s="399"/>
      <c r="E9" s="405"/>
      <c r="F9" s="405"/>
      <c r="G9" s="405"/>
      <c r="H9" s="320" t="s">
        <v>2160</v>
      </c>
      <c r="I9" s="402"/>
      <c r="K9" s="320" t="s">
        <v>2161</v>
      </c>
      <c r="Q9" s="402" t="s">
        <v>823</v>
      </c>
      <c r="R9" s="436" t="s">
        <v>864</v>
      </c>
      <c r="S9" s="436" t="s">
        <v>1336</v>
      </c>
      <c r="V9" t="s">
        <v>864</v>
      </c>
      <c r="W9" t="s">
        <v>864</v>
      </c>
    </row>
    <row r="10" spans="1:1014" ht="13.5" customHeight="1">
      <c r="A10" s="404">
        <v>19</v>
      </c>
      <c r="B10" s="399"/>
      <c r="C10" s="399" t="s">
        <v>2124</v>
      </c>
      <c r="D10" s="399"/>
      <c r="E10" s="405"/>
      <c r="F10" s="405"/>
      <c r="G10" s="405"/>
      <c r="H10" s="326" t="s">
        <v>2125</v>
      </c>
      <c r="I10" s="326" t="s">
        <v>2126</v>
      </c>
      <c r="K10" s="326" t="s">
        <v>1187</v>
      </c>
      <c r="Q10" s="323" t="s">
        <v>820</v>
      </c>
      <c r="R10" s="436"/>
      <c r="S10" s="436" t="s">
        <v>863</v>
      </c>
      <c r="V10" t="s">
        <v>864</v>
      </c>
      <c r="W10" t="s">
        <v>864</v>
      </c>
    </row>
    <row r="11" spans="1:1014" ht="13.5" customHeight="1">
      <c r="A11" s="404">
        <v>20</v>
      </c>
      <c r="B11" s="399"/>
      <c r="C11" s="399" t="s">
        <v>1985</v>
      </c>
      <c r="D11" s="399"/>
      <c r="E11" s="405"/>
      <c r="F11" s="405"/>
      <c r="G11" s="405"/>
      <c r="H11" s="320" t="s">
        <v>2162</v>
      </c>
      <c r="I11" s="320" t="s">
        <v>2163</v>
      </c>
      <c r="K11" s="320" t="s">
        <v>2164</v>
      </c>
      <c r="Q11" s="323" t="s">
        <v>820</v>
      </c>
      <c r="R11" s="436"/>
      <c r="S11" s="436" t="s">
        <v>863</v>
      </c>
      <c r="V11" t="s">
        <v>864</v>
      </c>
      <c r="W11" t="s">
        <v>864</v>
      </c>
    </row>
    <row r="12" spans="1:1014" ht="13.5" customHeight="1">
      <c r="A12" s="406">
        <v>21</v>
      </c>
      <c r="B12" s="399"/>
      <c r="C12" s="399" t="s">
        <v>2063</v>
      </c>
      <c r="D12" s="399"/>
      <c r="E12" s="405"/>
      <c r="F12" s="405"/>
      <c r="G12" s="405"/>
      <c r="H12" s="326" t="s">
        <v>2063</v>
      </c>
      <c r="I12" s="326" t="s">
        <v>2165</v>
      </c>
      <c r="K12" s="326" t="s">
        <v>871</v>
      </c>
      <c r="Q12" s="336" t="s">
        <v>817</v>
      </c>
      <c r="R12" s="436"/>
      <c r="S12" s="436" t="s">
        <v>863</v>
      </c>
      <c r="V12" t="s">
        <v>864</v>
      </c>
      <c r="W12" t="s">
        <v>864</v>
      </c>
    </row>
    <row r="13" spans="1:1014" ht="13.5" customHeight="1">
      <c r="A13" s="404">
        <v>22</v>
      </c>
      <c r="B13" s="399"/>
      <c r="C13" s="399" t="s">
        <v>2166</v>
      </c>
      <c r="D13" s="399"/>
      <c r="E13" s="405"/>
      <c r="F13" s="405"/>
      <c r="G13" s="405"/>
      <c r="H13" s="320" t="s">
        <v>2167</v>
      </c>
      <c r="I13" s="320" t="s">
        <v>2168</v>
      </c>
      <c r="K13" s="320" t="s">
        <v>999</v>
      </c>
      <c r="Q13" s="328" t="s">
        <v>820</v>
      </c>
      <c r="R13" s="436"/>
      <c r="S13" s="436" t="s">
        <v>863</v>
      </c>
      <c r="V13" t="s">
        <v>864</v>
      </c>
      <c r="W13" t="s">
        <v>864</v>
      </c>
    </row>
    <row r="14" spans="1:1014" ht="13.5" customHeight="1">
      <c r="A14" s="404">
        <v>23</v>
      </c>
      <c r="B14" s="399"/>
      <c r="C14" s="400" t="s">
        <v>2169</v>
      </c>
      <c r="D14" s="399"/>
      <c r="E14" s="405"/>
      <c r="F14" s="405"/>
      <c r="G14" s="405"/>
      <c r="H14" s="326" t="s">
        <v>2170</v>
      </c>
      <c r="I14" s="326"/>
      <c r="K14" s="326" t="s">
        <v>2171</v>
      </c>
      <c r="Q14" s="336" t="s">
        <v>817</v>
      </c>
      <c r="R14" s="436"/>
      <c r="S14" s="436" t="s">
        <v>863</v>
      </c>
      <c r="V14" t="s">
        <v>864</v>
      </c>
      <c r="W14" t="s">
        <v>864</v>
      </c>
    </row>
    <row r="15" spans="1:1014" ht="13.5" customHeight="1">
      <c r="A15" s="406">
        <v>24</v>
      </c>
      <c r="B15" s="399"/>
      <c r="C15" s="399" t="s">
        <v>2172</v>
      </c>
      <c r="D15" s="399"/>
      <c r="E15" s="405"/>
      <c r="F15" s="405"/>
      <c r="G15" s="405"/>
      <c r="H15" s="320" t="s">
        <v>2173</v>
      </c>
      <c r="I15" s="320" t="s">
        <v>2174</v>
      </c>
      <c r="K15" s="320" t="s">
        <v>2175</v>
      </c>
      <c r="Q15" s="336" t="s">
        <v>817</v>
      </c>
      <c r="R15" s="436"/>
      <c r="S15" s="436" t="s">
        <v>863</v>
      </c>
      <c r="V15" t="s">
        <v>864</v>
      </c>
      <c r="W15" t="s">
        <v>864</v>
      </c>
    </row>
    <row r="16" spans="1:1014" ht="13.5" customHeight="1">
      <c r="A16" s="404">
        <v>25</v>
      </c>
      <c r="B16" s="399"/>
      <c r="C16" s="399" t="s">
        <v>2048</v>
      </c>
      <c r="D16" s="399"/>
      <c r="E16" s="405"/>
      <c r="F16" s="405"/>
      <c r="G16" s="405"/>
      <c r="H16" s="326" t="s">
        <v>2176</v>
      </c>
      <c r="I16" s="326"/>
      <c r="K16" s="326" t="s">
        <v>2177</v>
      </c>
      <c r="Q16" s="336" t="s">
        <v>817</v>
      </c>
      <c r="R16" s="436"/>
      <c r="S16" s="436" t="s">
        <v>863</v>
      </c>
      <c r="V16" t="s">
        <v>864</v>
      </c>
      <c r="W16" t="s">
        <v>864</v>
      </c>
    </row>
    <row r="17" spans="1:23" ht="13.5" customHeight="1">
      <c r="A17" s="404">
        <v>26</v>
      </c>
      <c r="B17" s="399"/>
      <c r="C17" s="399" t="s">
        <v>2108</v>
      </c>
      <c r="D17" s="399"/>
      <c r="E17" s="405"/>
      <c r="F17" s="405"/>
      <c r="G17" s="405"/>
      <c r="H17" s="407" t="s">
        <v>2109</v>
      </c>
      <c r="I17" s="401"/>
      <c r="K17" s="320" t="s">
        <v>2178</v>
      </c>
      <c r="Q17" s="402" t="s">
        <v>823</v>
      </c>
      <c r="R17" s="436" t="s">
        <v>864</v>
      </c>
      <c r="S17" s="436" t="s">
        <v>1233</v>
      </c>
      <c r="V17" t="s">
        <v>864</v>
      </c>
      <c r="W17" t="s">
        <v>864</v>
      </c>
    </row>
    <row r="18" spans="1:23" ht="13.5" customHeight="1">
      <c r="A18" s="406">
        <v>27</v>
      </c>
      <c r="B18" s="399"/>
      <c r="C18" s="399"/>
      <c r="D18" s="399" t="s">
        <v>2112</v>
      </c>
      <c r="E18" s="405"/>
      <c r="F18" s="405"/>
      <c r="G18" s="405"/>
      <c r="H18" s="326" t="s">
        <v>2179</v>
      </c>
      <c r="I18" s="326" t="s">
        <v>1237</v>
      </c>
      <c r="K18" s="326" t="s">
        <v>999</v>
      </c>
      <c r="Q18" s="336" t="s">
        <v>817</v>
      </c>
      <c r="R18" s="436"/>
      <c r="S18" s="437" t="s">
        <v>863</v>
      </c>
      <c r="V18" t="s">
        <v>864</v>
      </c>
      <c r="W18" t="s">
        <v>864</v>
      </c>
    </row>
    <row r="19" spans="1:23" ht="13.5" customHeight="1">
      <c r="A19" s="404">
        <v>28</v>
      </c>
      <c r="B19" s="399"/>
      <c r="C19" s="399"/>
      <c r="D19" s="399" t="s">
        <v>2115</v>
      </c>
      <c r="E19" s="405"/>
      <c r="F19" s="405"/>
      <c r="G19" s="405"/>
      <c r="H19" s="320" t="s">
        <v>2180</v>
      </c>
      <c r="I19" s="321" t="s">
        <v>2181</v>
      </c>
      <c r="K19" s="320" t="s">
        <v>990</v>
      </c>
      <c r="Q19" s="336" t="s">
        <v>817</v>
      </c>
      <c r="R19" s="436"/>
      <c r="S19" s="437" t="s">
        <v>863</v>
      </c>
      <c r="V19" t="s">
        <v>864</v>
      </c>
      <c r="W19" t="s">
        <v>864</v>
      </c>
    </row>
    <row r="20" spans="1:23" ht="15">
      <c r="A20" s="462">
        <f>SUBTOTAL(103,Tableau357[ID])</f>
        <v>11</v>
      </c>
      <c r="B20" s="462">
        <f>SUBTOTAL(103,Tableau357[Donnée (Niveau 1)])</f>
        <v>1</v>
      </c>
      <c r="C20" s="462">
        <f>SUBTOTAL(103,Tableau357[Donnée (Niveau 2)])</f>
        <v>8</v>
      </c>
      <c r="D20" s="462">
        <f>SUBTOTAL(103,Tableau357[Donnée (Niveau 3)])</f>
        <v>2</v>
      </c>
      <c r="E20" s="462">
        <f>SUBTOTAL(103,Tableau357[Donnée (Niveau 4)])</f>
        <v>0</v>
      </c>
      <c r="F20" s="462">
        <f>SUBTOTAL(103,Tableau357[Donnée (Niveau 5)])</f>
        <v>0</v>
      </c>
      <c r="G20" s="462">
        <f>SUBTOTAL(103,Tableau357[Donnée (Niveau 6)])</f>
        <v>0</v>
      </c>
      <c r="H20" s="462">
        <f>SUBTOTAL(103,Tableau357[Description])</f>
        <v>11</v>
      </c>
      <c r="I20" s="462">
        <f>SUBTOTAL(103,Tableau357[Exemples])</f>
        <v>7</v>
      </c>
      <c r="J20" s="462">
        <f>SUBTOTAL(103,Tableau357[Balise NexSIS])</f>
        <v>0</v>
      </c>
      <c r="K20" s="462">
        <f>SUBTOTAL(103,Tableau357[Nouvelle balise])</f>
        <v>11</v>
      </c>
      <c r="L20" s="462">
        <f>SUBTOTAL(103,Tableau357[Nantes - balise])</f>
        <v>0</v>
      </c>
      <c r="M20" s="462">
        <f>SUBTOTAL(103,Tableau357[Nantes - description])</f>
        <v>0</v>
      </c>
      <c r="N20" s="462">
        <f>SUBTOTAL(103,Tableau357[GT399])</f>
        <v>0</v>
      </c>
      <c r="O20" s="462">
        <f>SUBTOTAL(103,Tableau357[GT399 description])</f>
        <v>0</v>
      </c>
      <c r="P20" s="462">
        <f>SUBTOTAL(103,Tableau357[Priorisation])</f>
        <v>0</v>
      </c>
      <c r="Q20" s="462">
        <f>SUBTOTAL(103,Tableau357[Cardinalité])</f>
        <v>11</v>
      </c>
      <c r="R20" s="462">
        <f>SUBTOTAL(103,Tableau357[Objet])</f>
        <v>2</v>
      </c>
      <c r="S20" s="462">
        <f>SUBTOTAL(103,Tableau357[Format (ou type)])</f>
        <v>11</v>
      </c>
      <c r="T20" s="462">
        <f>SUBTOTAL(103,Tableau357[Nomenclature/ énumération])</f>
        <v>0</v>
      </c>
      <c r="U20" s="462">
        <f>SUBTOTAL(103,Tableau357[Détails de format])</f>
        <v>0</v>
      </c>
      <c r="V20" s="462">
        <f>SUBTOTAL(103,Tableau357[15-18])</f>
        <v>11</v>
      </c>
      <c r="W20" s="462">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2182</v>
      </c>
    </row>
    <row r="2" spans="2:6" s="4" customFormat="1"/>
    <row r="3" spans="2:6" s="134" customFormat="1">
      <c r="B3" s="133" t="s">
        <v>2183</v>
      </c>
      <c r="C3" s="135"/>
      <c r="D3" s="135"/>
      <c r="E3" s="135"/>
      <c r="F3" s="135"/>
    </row>
    <row r="4" spans="2:6" ht="18" customHeight="1">
      <c r="B4" s="131" t="s">
        <v>2184</v>
      </c>
    </row>
    <row r="5" spans="2:6" ht="18" customHeight="1">
      <c r="B5" s="131" t="s">
        <v>2185</v>
      </c>
    </row>
    <row r="6" spans="2:6" ht="18" customHeight="1">
      <c r="B6" s="131" t="s">
        <v>2186</v>
      </c>
    </row>
    <row r="7" spans="2:6" ht="18" customHeight="1">
      <c r="B7" s="131" t="s">
        <v>2187</v>
      </c>
    </row>
    <row r="8" spans="2:6" ht="18" customHeight="1">
      <c r="B8" s="131" t="s">
        <v>2188</v>
      </c>
    </row>
    <row r="9" spans="2:6" ht="24" customHeight="1">
      <c r="B9" s="460" t="s">
        <v>2189</v>
      </c>
      <c r="C9" s="460"/>
      <c r="D9" s="460"/>
      <c r="E9" s="460"/>
      <c r="F9" s="460"/>
    </row>
    <row r="10" spans="2:6" ht="14.25" customHeight="1">
      <c r="B10" s="461" t="s">
        <v>2190</v>
      </c>
      <c r="C10" s="461"/>
      <c r="D10" s="461"/>
      <c r="E10" s="461"/>
      <c r="F10" s="46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63"/>
      <c r="L1" s="463"/>
      <c r="M1" s="463"/>
      <c r="N1" s="46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63"/>
      <c r="L1" s="463"/>
      <c r="M1" s="463"/>
      <c r="N1" s="46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63"/>
      <c r="L1" s="46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38" t="s">
        <v>726</v>
      </c>
      <c r="C2" s="43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25"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43" t="s">
        <v>742</v>
      </c>
      <c r="B1" s="444"/>
      <c r="C1" s="444"/>
      <c r="D1" s="444"/>
      <c r="E1" s="444"/>
      <c r="F1" s="444"/>
      <c r="G1" s="444"/>
      <c r="H1" s="44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41" t="s">
        <v>753</v>
      </c>
      <c r="G12" s="441"/>
      <c r="H12" s="441"/>
      <c r="I12" s="203"/>
      <c r="J12" s="203"/>
      <c r="R12" s="196"/>
      <c r="S12" s="196"/>
      <c r="T12" s="196"/>
    </row>
    <row r="13" spans="1:20" ht="14.25" customHeight="1">
      <c r="B13" s="204" t="s">
        <v>754</v>
      </c>
      <c r="C13" s="204"/>
      <c r="D13" s="204"/>
      <c r="E13" s="204"/>
      <c r="F13" s="441" t="s">
        <v>755</v>
      </c>
      <c r="G13" s="441"/>
      <c r="H13" s="441"/>
      <c r="I13" s="204"/>
      <c r="J13" s="204"/>
      <c r="K13" s="204"/>
      <c r="L13" s="204"/>
      <c r="M13" s="204"/>
      <c r="N13" s="204"/>
      <c r="R13" s="196"/>
      <c r="S13" s="196"/>
      <c r="T13" s="196"/>
    </row>
    <row r="14" spans="1:20" ht="14.25" customHeight="1">
      <c r="B14" s="204" t="s">
        <v>756</v>
      </c>
      <c r="C14" s="204"/>
      <c r="D14" s="204"/>
      <c r="E14" s="204"/>
      <c r="F14" s="441" t="s">
        <v>755</v>
      </c>
      <c r="G14" s="441"/>
      <c r="H14" s="441"/>
      <c r="I14" s="204"/>
      <c r="J14" s="204"/>
      <c r="R14" s="196"/>
      <c r="S14" s="196"/>
      <c r="T14" s="196"/>
    </row>
    <row r="15" spans="1:20">
      <c r="B15" s="203" t="s">
        <v>757</v>
      </c>
      <c r="C15" s="203"/>
      <c r="D15" s="203"/>
      <c r="E15" s="203"/>
      <c r="F15" s="441" t="s">
        <v>755</v>
      </c>
      <c r="G15" s="441"/>
      <c r="H15" s="441"/>
      <c r="I15" s="203"/>
      <c r="J15" s="203"/>
      <c r="R15" s="196"/>
      <c r="S15" s="196"/>
      <c r="T15" s="196"/>
    </row>
    <row r="16" spans="1:20">
      <c r="B16" s="440"/>
      <c r="C16" s="440"/>
      <c r="D16" s="440"/>
      <c r="E16" s="440"/>
      <c r="F16" s="440"/>
      <c r="G16" s="440"/>
      <c r="H16" s="440"/>
      <c r="I16" s="440"/>
      <c r="J16" s="440"/>
      <c r="K16" s="440"/>
      <c r="L16" s="440"/>
      <c r="M16" s="440"/>
      <c r="N16" s="440"/>
      <c r="O16" s="440"/>
      <c r="P16" s="440"/>
      <c r="Q16" s="440"/>
    </row>
    <row r="17" spans="1:17" ht="15" thickBot="1">
      <c r="B17" s="440"/>
      <c r="C17" s="440"/>
      <c r="D17" s="440"/>
      <c r="E17" s="440"/>
      <c r="F17" s="440"/>
      <c r="G17" s="440"/>
      <c r="H17" s="440"/>
      <c r="I17" s="440"/>
      <c r="J17" s="440"/>
      <c r="K17" s="440"/>
      <c r="L17" s="440"/>
      <c r="M17" s="440"/>
      <c r="N17" s="440"/>
      <c r="O17" s="440"/>
      <c r="P17" s="440"/>
      <c r="Q17" s="440"/>
    </row>
    <row r="18" spans="1:17" ht="102.75" customHeight="1" thickBot="1">
      <c r="A18" s="446" t="s">
        <v>758</v>
      </c>
      <c r="B18" s="447"/>
      <c r="C18" s="447"/>
      <c r="D18" s="447"/>
      <c r="E18" s="447"/>
      <c r="F18" s="447"/>
      <c r="G18" s="447"/>
      <c r="H18" s="44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0"/>
      <c r="C20" s="440"/>
      <c r="D20" s="440"/>
      <c r="E20" s="440"/>
      <c r="F20" s="440"/>
      <c r="G20" s="440"/>
      <c r="H20" s="440"/>
      <c r="I20" s="440"/>
      <c r="J20" s="440"/>
      <c r="K20" s="440"/>
      <c r="L20" s="440"/>
      <c r="M20" s="440"/>
      <c r="N20" s="440"/>
      <c r="O20" s="440"/>
      <c r="P20" s="440"/>
      <c r="Q20" s="44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50" t="s">
        <v>791</v>
      </c>
      <c r="B30" s="449" t="s">
        <v>792</v>
      </c>
      <c r="C30" s="449" t="s">
        <v>774</v>
      </c>
      <c r="D30" s="449" t="s">
        <v>774</v>
      </c>
      <c r="E30" s="449" t="s">
        <v>770</v>
      </c>
      <c r="F30" s="206" t="s">
        <v>793</v>
      </c>
      <c r="G30" s="442" t="s">
        <v>794</v>
      </c>
      <c r="H30" s="206" t="s">
        <v>795</v>
      </c>
    </row>
    <row r="31" spans="1:17" ht="114.75">
      <c r="A31" s="450"/>
      <c r="B31" s="449"/>
      <c r="C31" s="449"/>
      <c r="D31" s="449"/>
      <c r="E31" s="449"/>
      <c r="F31" s="209" t="s">
        <v>796</v>
      </c>
      <c r="G31" s="442"/>
      <c r="H31" s="206"/>
    </row>
    <row r="32" spans="1:17" ht="85.5">
      <c r="A32" s="208" t="s">
        <v>797</v>
      </c>
      <c r="B32" s="207" t="s">
        <v>798</v>
      </c>
      <c r="C32" s="207" t="s">
        <v>774</v>
      </c>
      <c r="D32" s="207" t="s">
        <v>774</v>
      </c>
      <c r="E32" s="207" t="s">
        <v>770</v>
      </c>
      <c r="F32" s="209" t="s">
        <v>799</v>
      </c>
      <c r="G32" s="209" t="s">
        <v>783</v>
      </c>
      <c r="H32" s="206" t="s">
        <v>800</v>
      </c>
    </row>
    <row r="33" spans="1:8" ht="29.25">
      <c r="A33" s="450" t="s">
        <v>801</v>
      </c>
      <c r="B33" s="449" t="s">
        <v>802</v>
      </c>
      <c r="C33" s="449" t="s">
        <v>774</v>
      </c>
      <c r="D33" s="449" t="s">
        <v>774</v>
      </c>
      <c r="E33" s="449" t="s">
        <v>770</v>
      </c>
      <c r="F33" s="209" t="s">
        <v>803</v>
      </c>
      <c r="G33" s="442" t="s">
        <v>783</v>
      </c>
      <c r="H33" s="206" t="s">
        <v>804</v>
      </c>
    </row>
    <row r="34" spans="1:8" ht="228.75">
      <c r="A34" s="450"/>
      <c r="B34" s="449"/>
      <c r="C34" s="449"/>
      <c r="D34" s="449"/>
      <c r="E34" s="449"/>
      <c r="F34" s="209" t="s">
        <v>805</v>
      </c>
      <c r="G34" s="442"/>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51" t="s">
        <v>815</v>
      </c>
      <c r="J1" s="451"/>
      <c r="K1" s="451"/>
      <c r="L1" s="451"/>
      <c r="Q1" s="452" t="s">
        <v>816</v>
      </c>
      <c r="R1" s="452"/>
      <c r="S1" s="96" t="s">
        <v>817</v>
      </c>
      <c r="AC1" s="96"/>
      <c r="AE1" s="128"/>
      <c r="ALY1"/>
    </row>
    <row r="2" spans="1:1016" ht="15.95" customHeight="1">
      <c r="C2" s="141" t="s">
        <v>818</v>
      </c>
      <c r="D2" s="152" t="s">
        <v>819</v>
      </c>
      <c r="E2" s="157">
        <f>createCase8[[#Totals],[NexSIS]] / createCase8[[#Totals],[ID]]</f>
        <v>0.83333333333333337</v>
      </c>
      <c r="G2" s="128"/>
      <c r="H2" s="227"/>
      <c r="I2" s="451"/>
      <c r="J2" s="451"/>
      <c r="K2" s="451"/>
      <c r="L2" s="45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53" t="s">
        <v>828</v>
      </c>
      <c r="O7" s="453"/>
      <c r="P7" s="453"/>
      <c r="Q7" s="453"/>
      <c r="W7" s="454" t="s">
        <v>829</v>
      </c>
      <c r="X7" s="454"/>
      <c r="AC7" s="453" t="s">
        <v>830</v>
      </c>
      <c r="AD7" s="45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567" priority="37">
      <formula>OR($AD22="X",$AB22="X")</formula>
    </cfRule>
    <cfRule type="expression" dxfId="566" priority="38">
      <formula>AND($AD22=1,$AB22=1)</formula>
    </cfRule>
    <cfRule type="expression" dxfId="565" priority="39">
      <formula>$AD22=1</formula>
    </cfRule>
    <cfRule type="expression" dxfId="564" priority="40">
      <formula>$AB22=1</formula>
    </cfRule>
  </conditionalFormatting>
  <conditionalFormatting sqref="A9:G20">
    <cfRule type="expression" dxfId="563" priority="641">
      <formula>OR(#REF!="X",$AD9="X")</formula>
    </cfRule>
    <cfRule type="expression" dxfId="562" priority="642">
      <formula>AND(#REF!=1,$AD9=1)</formula>
    </cfRule>
    <cfRule type="expression" dxfId="561" priority="643">
      <formula>#REF!=1</formula>
    </cfRule>
    <cfRule type="expression" dxfId="560" priority="644">
      <formula>$AD9=1</formula>
    </cfRule>
  </conditionalFormatting>
  <conditionalFormatting sqref="C9:C20">
    <cfRule type="expression" dxfId="559" priority="1">
      <formula>AND($T9="X",$B9&lt;&gt;"")</formula>
    </cfRule>
  </conditionalFormatting>
  <conditionalFormatting sqref="C17:C19">
    <cfRule type="expression" dxfId="558" priority="2">
      <formula>AND($T17="X",OR($B17&lt;&gt;"",$C17&lt;&gt;""))</formula>
    </cfRule>
  </conditionalFormatting>
  <conditionalFormatting sqref="D9:D20">
    <cfRule type="expression" dxfId="557" priority="11">
      <formula>AND($T9="X",OR($B9&lt;&gt;"",$C9&lt;&gt;""))</formula>
    </cfRule>
  </conditionalFormatting>
  <conditionalFormatting sqref="D18:D19">
    <cfRule type="expression" dxfId="55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55" priority="12">
      <formula>AND($T9="X",OR($B9&lt;&gt;"",$C9&lt;&gt;"",$D9&lt;&gt;""))</formula>
    </cfRule>
  </conditionalFormatting>
  <conditionalFormatting sqref="F9:F20">
    <cfRule type="expression" dxfId="554" priority="13">
      <formula>AND($T9="X",OR($B9&lt;&gt;"",$C9&lt;&gt;"",$D9&lt;&gt;"",$E9&lt;&gt;""))</formula>
    </cfRule>
  </conditionalFormatting>
  <conditionalFormatting sqref="G9:G20">
    <cfRule type="expression" dxfId="553" priority="14">
      <formula>AND($T9="X",OR($B9&lt;&gt;"",$C9&lt;&gt;"",$D9&lt;&gt;"",$E9&lt;&gt;"",$F9&lt;&gt;""))</formula>
    </cfRule>
  </conditionalFormatting>
  <conditionalFormatting sqref="H22:H23 H43:H883">
    <cfRule type="expression" dxfId="552" priority="36">
      <formula>$S22="X"</formula>
    </cfRule>
  </conditionalFormatting>
  <conditionalFormatting sqref="I9:I20">
    <cfRule type="expression" dxfId="551" priority="16">
      <formula>$T9="X"</formula>
    </cfRule>
  </conditionalFormatting>
  <conditionalFormatting sqref="S9:S20">
    <cfRule type="cellIs" dxfId="550" priority="7" operator="equal">
      <formula>"1..1"</formula>
    </cfRule>
    <cfRule type="cellIs" dxfId="549" priority="8" operator="equal">
      <formula>"0..n"</formula>
    </cfRule>
    <cfRule type="cellIs" dxfId="54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B16" sqref="B16"/>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51" t="s">
        <v>911</v>
      </c>
      <c r="I1" s="451"/>
      <c r="J1" s="451"/>
      <c r="O1" s="452" t="s">
        <v>816</v>
      </c>
      <c r="P1" s="452"/>
      <c r="AC1" s="96"/>
      <c r="AE1"/>
      <c r="AF1" s="128"/>
      <c r="ALZ1"/>
    </row>
    <row r="2" spans="1:1017" ht="13.5" customHeight="1">
      <c r="C2" s="141" t="s">
        <v>818</v>
      </c>
      <c r="D2" s="288"/>
      <c r="E2" s="152" t="s">
        <v>819</v>
      </c>
      <c r="F2" s="157">
        <f>createCase3[[#Totals],[NexSIS]] / createCase3[[#Totals],[ID]]</f>
        <v>0.83333333333333337</v>
      </c>
      <c r="G2" s="128"/>
      <c r="H2" s="451"/>
      <c r="I2" s="451"/>
      <c r="J2" s="45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53" t="s">
        <v>828</v>
      </c>
      <c r="M7" s="453"/>
      <c r="N7" s="453"/>
      <c r="O7" s="453"/>
      <c r="V7" s="454" t="s">
        <v>829</v>
      </c>
      <c r="W7" s="454"/>
      <c r="AC7" s="453" t="s">
        <v>830</v>
      </c>
      <c r="AD7" s="453"/>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485" priority="78">
      <formula>OR($AD16="X",$AB16="X")</formula>
    </cfRule>
    <cfRule type="expression" dxfId="484" priority="79">
      <formula>AND($AD16=1,$AB16=1)</formula>
    </cfRule>
    <cfRule type="expression" dxfId="483" priority="80">
      <formula>$AD16=1</formula>
    </cfRule>
    <cfRule type="expression" dxfId="482" priority="81">
      <formula>$AB16=1</formula>
    </cfRule>
  </conditionalFormatting>
  <conditionalFormatting sqref="A9:G14">
    <cfRule type="expression" dxfId="481" priority="23">
      <formula>OR($AD9="X",$AC9="X")</formula>
    </cfRule>
    <cfRule type="expression" dxfId="480" priority="25">
      <formula>AND($AD9=1,$AC9=1)</formula>
    </cfRule>
    <cfRule type="expression" dxfId="479" priority="26">
      <formula>$AD9=1</formula>
    </cfRule>
    <cfRule type="expression" dxfId="478" priority="27">
      <formula>$AC9=1</formula>
    </cfRule>
    <cfRule type="expression" dxfId="477" priority="28">
      <formula>AND(NOT(ISBLANK($W9)),ISBLANK($AC9),ISBLANK($AD9))</formula>
    </cfRule>
  </conditionalFormatting>
  <conditionalFormatting sqref="C9:C14">
    <cfRule type="expression" dxfId="476" priority="22">
      <formula>AND($R9="X",$B9&lt;&gt;"")</formula>
    </cfRule>
  </conditionalFormatting>
  <conditionalFormatting sqref="D9:D14">
    <cfRule type="expression" dxfId="475" priority="24">
      <formula>AND($R9="X",OR($B9&lt;&gt;"",$C9&lt;&gt;""))</formula>
    </cfRule>
  </conditionalFormatting>
  <conditionalFormatting sqref="E9:E14">
    <cfRule type="expression" dxfId="47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73" priority="20">
      <formula>AND($R9="X",OR($B9&lt;&gt;"",$C9&lt;&gt;"",$D9&lt;&gt;"",$E9&lt;&gt;""))</formula>
    </cfRule>
  </conditionalFormatting>
  <conditionalFormatting sqref="G9:G14">
    <cfRule type="expression" dxfId="472" priority="21">
      <formula>AND($R9="X",OR($B9&lt;&gt;"",$C9&lt;&gt;"",$D9&lt;&gt;"",$E9&lt;&gt;"",$F9&lt;&gt;""))</formula>
    </cfRule>
  </conditionalFormatting>
  <conditionalFormatting sqref="H16:H17 H37:H877">
    <cfRule type="expression" dxfId="471" priority="77">
      <formula>$Q16="X"</formula>
    </cfRule>
  </conditionalFormatting>
  <conditionalFormatting sqref="I9:I14">
    <cfRule type="expression" dxfId="470" priority="18">
      <formula>$R9="X"</formula>
    </cfRule>
  </conditionalFormatting>
  <conditionalFormatting sqref="Q9:Q14">
    <cfRule type="cellIs" dxfId="469" priority="2" operator="equal">
      <formula>"1..1"</formula>
    </cfRule>
    <cfRule type="cellIs" dxfId="468" priority="3" operator="equal">
      <formula>"0..n"</formula>
    </cfRule>
    <cfRule type="cellIs" dxfId="46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178" activePane="bottomRight" state="frozen"/>
      <selection pane="bottomRight" activeCell="E191" sqref="E191"/>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51" t="s">
        <v>911</v>
      </c>
      <c r="I1" s="451"/>
      <c r="J1" s="451"/>
      <c r="O1" s="452" t="s">
        <v>816</v>
      </c>
      <c r="P1" s="452"/>
      <c r="AC1" s="96"/>
      <c r="AE1"/>
      <c r="AF1" s="128"/>
      <c r="ALZ1"/>
    </row>
    <row r="2" spans="1:1014" ht="13.5" customHeight="1">
      <c r="C2" s="141" t="s">
        <v>818</v>
      </c>
      <c r="D2" s="288"/>
      <c r="E2" s="152" t="s">
        <v>819</v>
      </c>
      <c r="F2" s="157">
        <f>createCase[[#Totals],[NexSIS]] / createCase[[#Totals],[ID]]</f>
        <v>0.48</v>
      </c>
      <c r="G2" s="128"/>
      <c r="H2" s="451"/>
      <c r="I2" s="451"/>
      <c r="J2" s="45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53" t="s">
        <v>828</v>
      </c>
      <c r="M7" s="453"/>
      <c r="N7" s="453"/>
      <c r="O7" s="453"/>
      <c r="V7" s="454" t="s">
        <v>829</v>
      </c>
      <c r="W7" s="454"/>
      <c r="AC7" s="453" t="s">
        <v>830</v>
      </c>
      <c r="AD7" s="45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25"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03" priority="320">
      <formula>OR($AD185="X",$AB185="X")</formula>
    </cfRule>
    <cfRule type="expression" dxfId="402" priority="321">
      <formula>AND($AD185=1,$AB185=1)</formula>
    </cfRule>
    <cfRule type="expression" dxfId="401" priority="322">
      <formula>$AD185=1</formula>
    </cfRule>
    <cfRule type="expression" dxfId="400" priority="323">
      <formula>$AB185=1</formula>
    </cfRule>
  </conditionalFormatting>
  <conditionalFormatting sqref="A9:G9 A10:A183 B95:G118 E118:G122 B119:C129 F123:G124 E125:G129 E131:G144 B145:G171 B172:C173 E172:G173 B174:G183 B26:G80 B82:G93">
    <cfRule type="expression" dxfId="399" priority="704">
      <formula>$AC9=1</formula>
    </cfRule>
  </conditionalFormatting>
  <conditionalFormatting sqref="A9:G9 A10:A183 E118:G122 B119:C129 F123:G124 E125:G129 E131:G144 B145:G171 B172:C173 E172:G173 B174:G183">
    <cfRule type="expression" dxfId="398" priority="703">
      <formula>$AD9=1</formula>
    </cfRule>
  </conditionalFormatting>
  <conditionalFormatting sqref="A9:G9 A10:A183 E118:G122 B119:C129 F123:G124 E125:G129 E131:G144 B145:G171 B174:G183 B172:C173 E172:G173">
    <cfRule type="expression" dxfId="397" priority="702">
      <formula>AND($AD9=1,$AC9=1)</formula>
    </cfRule>
  </conditionalFormatting>
  <conditionalFormatting sqref="A9:G9 B10:G122 A10:A183 B123:D124 F123:G124 B125:G129 B131:G171 B172:C173 E172:G173 B174:G183">
    <cfRule type="expression" dxfId="396" priority="705">
      <formula>AND(NOT(ISBLANK($W9)),ISBLANK($AC9),ISBLANK($AD9))</formula>
    </cfRule>
  </conditionalFormatting>
  <conditionalFormatting sqref="B111:B114">
    <cfRule type="expression" dxfId="395" priority="182">
      <formula>AND($R111="X",#REF!&lt;&gt;"")</formula>
    </cfRule>
  </conditionalFormatting>
  <conditionalFormatting sqref="B130:C144 B145:G171 B174:G183 E130:G130 B172:C173 E172:G173">
    <cfRule type="expression" dxfId="394" priority="49">
      <formula>OR($AD130="X",$AC130="X")</formula>
    </cfRule>
  </conditionalFormatting>
  <conditionalFormatting sqref="B10:G25 D119:D128 E129">
    <cfRule type="expression" dxfId="393" priority="161">
      <formula>OR($AD10="X",$AC10="X")</formula>
    </cfRule>
    <cfRule type="expression" dxfId="392" priority="162">
      <formula>AND($AD10=1,$AC10=1)</formula>
    </cfRule>
    <cfRule type="expression" dxfId="391" priority="163">
      <formula>$AD10=1</formula>
    </cfRule>
    <cfRule type="expression" dxfId="390" priority="164">
      <formula>$AC10=1</formula>
    </cfRule>
  </conditionalFormatting>
  <conditionalFormatting sqref="B26:G118 E118:G122 E125:G129 A9:G9 F123:G124 E131:G144 B119:C129 A10:A183">
    <cfRule type="expression" dxfId="389" priority="701">
      <formula>OR($AD9="X",$AC9="X")</formula>
    </cfRule>
  </conditionalFormatting>
  <conditionalFormatting sqref="B26:G118">
    <cfRule type="expression" dxfId="388" priority="179">
      <formula>AND($AD26=1,$AC26=1)</formula>
    </cfRule>
    <cfRule type="expression" dxfId="387" priority="180">
      <formula>$AD26=1</formula>
    </cfRule>
  </conditionalFormatting>
  <conditionalFormatting sqref="B130:G130">
    <cfRule type="expression" dxfId="386" priority="57">
      <formula>AND(NOT(ISBLANK($W130)),ISBLANK($AC130),ISBLANK($AD130))</formula>
    </cfRule>
  </conditionalFormatting>
  <conditionalFormatting sqref="C130">
    <cfRule type="expression" dxfId="385" priority="36">
      <formula>OR($AD130="X",$AC130="X")</formula>
    </cfRule>
    <cfRule type="expression" dxfId="384" priority="37">
      <formula>AND($AD130=1,$AC130=1)</formula>
    </cfRule>
    <cfRule type="expression" dxfId="383" priority="38">
      <formula>$AD130=1</formula>
    </cfRule>
    <cfRule type="expression" dxfId="382" priority="39">
      <formula>$AC130=1</formula>
    </cfRule>
  </conditionalFormatting>
  <conditionalFormatting sqref="C145:C183 D129:E129 C9:C110 C115:C129 D121:D128">
    <cfRule type="expression" dxfId="381" priority="157">
      <formula>AND($R9="X",$B9&lt;&gt;"")</formula>
    </cfRule>
  </conditionalFormatting>
  <conditionalFormatting sqref="C163">
    <cfRule type="expression" dxfId="380" priority="103">
      <formula>OR($AD163="X",$AC163="X")</formula>
    </cfRule>
    <cfRule type="expression" dxfId="379" priority="104">
      <formula>AND($AD163=1,$AC163=1)</formula>
    </cfRule>
    <cfRule type="expression" dxfId="378" priority="105">
      <formula>$AD163=1</formula>
    </cfRule>
  </conditionalFormatting>
  <conditionalFormatting sqref="C112:D114">
    <cfRule type="expression" dxfId="377" priority="183">
      <formula>AND($R112="X",OR(#REF!&lt;&gt;"",$B112&lt;&gt;""))</formula>
    </cfRule>
  </conditionalFormatting>
  <conditionalFormatting sqref="C130:D144">
    <cfRule type="expression" dxfId="376" priority="44">
      <formula>AND($R130="X",$B130&lt;&gt;"")</formula>
    </cfRule>
  </conditionalFormatting>
  <conditionalFormatting sqref="C111:G111">
    <cfRule type="expression" dxfId="375" priority="167">
      <formula>AND($R111="X",$B111&lt;&gt;"")</formula>
    </cfRule>
  </conditionalFormatting>
  <conditionalFormatting sqref="D24:D25">
    <cfRule type="expression" dxfId="374" priority="58">
      <formula>AND($R24="X",$B24&lt;&gt;"")</formula>
    </cfRule>
  </conditionalFormatting>
  <conditionalFormatting sqref="D112">
    <cfRule type="expression" dxfId="373" priority="27">
      <formula>AND($R112="X",OR($B112&lt;&gt;"",$C112&lt;&gt;""))</formula>
    </cfRule>
  </conditionalFormatting>
  <conditionalFormatting sqref="D115:D118 D151:D171 D174:D183 C176">
    <cfRule type="expression" dxfId="372" priority="190">
      <formula>AND($R115="X",OR($B115&lt;&gt;"",$C115&lt;&gt;""))</formula>
    </cfRule>
  </conditionalFormatting>
  <conditionalFormatting sqref="D119:D120">
    <cfRule type="expression" dxfId="371" priority="134">
      <formula>AND($R119="X",OR(#REF!&lt;&gt;"",$B119&lt;&gt;""))</formula>
    </cfRule>
  </conditionalFormatting>
  <conditionalFormatting sqref="D129">
    <cfRule type="expression" dxfId="370" priority="95">
      <formula>OR($AD129="X",$AC129="X")</formula>
    </cfRule>
    <cfRule type="expression" dxfId="369" priority="96">
      <formula>AND($AD129=1,$AC129=1)</formula>
    </cfRule>
    <cfRule type="expression" dxfId="368" priority="97">
      <formula>$AD129=1</formula>
    </cfRule>
  </conditionalFormatting>
  <conditionalFormatting sqref="D129:D144">
    <cfRule type="expression" dxfId="367" priority="48">
      <formula>$AC129=1</formula>
    </cfRule>
  </conditionalFormatting>
  <conditionalFormatting sqref="D130">
    <cfRule type="expression" dxfId="366" priority="31">
      <formula>OR($AD130="X",$AC130="X")</formula>
    </cfRule>
    <cfRule type="expression" dxfId="365" priority="32">
      <formula>AND($R130="X",OR($B130&lt;&gt;"",$C130&lt;&gt;"",$D130&lt;&gt;""))</formula>
    </cfRule>
    <cfRule type="expression" dxfId="364" priority="33">
      <formula>AND($AD130=1,$AC130=1)</formula>
    </cfRule>
    <cfRule type="expression" dxfId="363" priority="34">
      <formula>$AD130=1</formula>
    </cfRule>
    <cfRule type="expression" dxfId="362" priority="35">
      <formula>$AC130=1</formula>
    </cfRule>
  </conditionalFormatting>
  <conditionalFormatting sqref="D130:D144">
    <cfRule type="expression" dxfId="361" priority="45">
      <formula>OR($AD130="X",$AC130="X")</formula>
    </cfRule>
    <cfRule type="expression" dxfId="360" priority="46">
      <formula>AND($AD130=1,$AC130=1)</formula>
    </cfRule>
    <cfRule type="expression" dxfId="359" priority="47">
      <formula>$AD130=1</formula>
    </cfRule>
  </conditionalFormatting>
  <conditionalFormatting sqref="D145:D149 D9:D110 E118:E120">
    <cfRule type="expression" dxfId="358" priority="152">
      <formula>AND($R9="X",OR($B9&lt;&gt;"",$C9&lt;&gt;""))</formula>
    </cfRule>
  </conditionalFormatting>
  <conditionalFormatting sqref="D150">
    <cfRule type="expression" dxfId="357" priority="718">
      <formula>AND($R150="X",OR($B150&lt;&gt;"",#REF!&lt;&gt;""))</formula>
    </cfRule>
  </conditionalFormatting>
  <conditionalFormatting sqref="D154">
    <cfRule type="expression" dxfId="356" priority="79">
      <formula>$AC154=1</formula>
    </cfRule>
    <cfRule type="expression" dxfId="355" priority="80">
      <formula>AND($R154="X",OR($B154&lt;&gt;"",$C154&lt;&gt;"",$D154&lt;&gt;"",$E154&lt;&gt;""))</formula>
    </cfRule>
    <cfRule type="expression" dxfId="354" priority="81">
      <formula>AND($AD154=1,$AC154=1)</formula>
    </cfRule>
    <cfRule type="expression" dxfId="353" priority="82">
      <formula>$AD154=1</formula>
    </cfRule>
    <cfRule type="expression" dxfId="352" priority="83">
      <formula>AND($R154="X",OR($B154&lt;&gt;"",$C154&lt;&gt;"",$D154&lt;&gt;""))</formula>
    </cfRule>
    <cfRule type="expression" dxfId="351" priority="85">
      <formula>$AC154=1</formula>
    </cfRule>
    <cfRule type="expression" dxfId="350" priority="86">
      <formula>AND($R154="X",OR($B154&lt;&gt;"",$C154&lt;&gt;"",$D154&lt;&gt;"",$E154&lt;&gt;""))</formula>
    </cfRule>
    <cfRule type="expression" dxfId="349" priority="87">
      <formula>AND($AD154=1,$AC154=1)</formula>
    </cfRule>
    <cfRule type="expression" dxfId="348" priority="88">
      <formula>$AD154=1</formula>
    </cfRule>
    <cfRule type="expression" dxfId="347" priority="89">
      <formula>AND($R154="X",OR($B154&lt;&gt;"",$C154&lt;&gt;"",$D154&lt;&gt;""))</formula>
    </cfRule>
  </conditionalFormatting>
  <conditionalFormatting sqref="D157">
    <cfRule type="expression" dxfId="346" priority="25">
      <formula>OR($AD157="X",$AC157="X")</formula>
    </cfRule>
  </conditionalFormatting>
  <conditionalFormatting sqref="D163">
    <cfRule type="expression" dxfId="345" priority="99">
      <formula>AND($R163="X",$B163&lt;&gt;"")</formula>
    </cfRule>
    <cfRule type="expression" dxfId="344" priority="100">
      <formula>OR($AD163="X",$AC163="X")</formula>
    </cfRule>
    <cfRule type="expression" dxfId="343" priority="101">
      <formula>AND($AD163=1,$AC163=1)</formula>
    </cfRule>
    <cfRule type="expression" dxfId="342" priority="102">
      <formula>$AD163=1</formula>
    </cfRule>
  </conditionalFormatting>
  <conditionalFormatting sqref="D172">
    <cfRule type="expression" dxfId="341" priority="762">
      <formula>$AC173=1</formula>
    </cfRule>
    <cfRule type="expression" dxfId="340" priority="765">
      <formula>AND($AD173=1,$AC173=1)</formula>
    </cfRule>
    <cfRule type="expression" dxfId="339" priority="766">
      <formula>$AD173=1</formula>
    </cfRule>
    <cfRule type="expression" dxfId="338" priority="768">
      <formula>AND(NOT(ISBLANK($W173)),ISBLANK($AC173),ISBLANK($AD173))</formula>
    </cfRule>
    <cfRule type="expression" dxfId="337" priority="770">
      <formula>OR($AD173="X",$AC173="X")</formula>
    </cfRule>
    <cfRule type="expression" dxfId="336" priority="773">
      <formula>AND($R173="X",OR($B173&lt;&gt;"",$C173&lt;&gt;""))</formula>
    </cfRule>
  </conditionalFormatting>
  <conditionalFormatting sqref="D173">
    <cfRule type="expression" dxfId="335" priority="1">
      <formula>OR($AD173="X",$AC173="X")</formula>
    </cfRule>
    <cfRule type="expression" dxfId="334" priority="2">
      <formula>AND($R173="X",$B173&lt;&gt;"")</formula>
    </cfRule>
    <cfRule type="expression" dxfId="333" priority="3">
      <formula>AND($AD173=1,$AC173=1)</formula>
    </cfRule>
    <cfRule type="expression" dxfId="332" priority="4">
      <formula>$AD173=1</formula>
    </cfRule>
    <cfRule type="expression" dxfId="331" priority="5">
      <formula>$AC173=1</formula>
    </cfRule>
    <cfRule type="expression" dxfId="330" priority="6">
      <formula>AND(NOT(ISBLANK($W173)),ISBLANK($AC173),ISBLANK($AD173))</formula>
    </cfRule>
  </conditionalFormatting>
  <conditionalFormatting sqref="E79">
    <cfRule type="expression" dxfId="329" priority="67">
      <formula>AND($R79="X",OR($B79&lt;&gt;"",$C79&lt;&gt;"",$D79&lt;&gt;"",$E79&lt;&gt;""))</formula>
    </cfRule>
    <cfRule type="expression" dxfId="328" priority="68">
      <formula>AND($AD79=1,$AC79=1)</formula>
    </cfRule>
    <cfRule type="expression" dxfId="327" priority="69">
      <formula>$AD79=1</formula>
    </cfRule>
    <cfRule type="expression" dxfId="326" priority="70">
      <formula>AND($R79="X",OR($B79&lt;&gt;"",$C79&lt;&gt;"",$E79&lt;&gt;"",#REF!&lt;&gt;""))</formula>
    </cfRule>
  </conditionalFormatting>
  <conditionalFormatting sqref="E82">
    <cfRule type="expression" dxfId="325" priority="61">
      <formula>AND($R82="X",OR($B82&lt;&gt;"",$C82&lt;&gt;"",$D82&lt;&gt;"",$E82&lt;&gt;""))</formula>
    </cfRule>
    <cfRule type="expression" dxfId="324" priority="62">
      <formula>AND($AD82=1,$AC82=1)</formula>
    </cfRule>
    <cfRule type="expression" dxfId="323" priority="63">
      <formula>$AD82=1</formula>
    </cfRule>
    <cfRule type="expression" dxfId="322" priority="64">
      <formula>$AC82=1</formula>
    </cfRule>
    <cfRule type="expression" dxfId="321" priority="65">
      <formula>AND($R82="X",OR($B82&lt;&gt;"",$C82&lt;&gt;"",$E82&lt;&gt;"",#REF!&lt;&gt;""))</formula>
    </cfRule>
    <cfRule type="expression" dxfId="320" priority="66">
      <formula>$AC82=1</formula>
    </cfRule>
  </conditionalFormatting>
  <conditionalFormatting sqref="E101">
    <cfRule type="expression" dxfId="319" priority="71">
      <formula>AND($R101="X",OR($B101&lt;&gt;"",$C101&lt;&gt;"",$D101&lt;&gt;"",$E101&lt;&gt;""))</formula>
    </cfRule>
    <cfRule type="expression" dxfId="318" priority="72">
      <formula>AND($AD101=1,$AC101=1)</formula>
    </cfRule>
    <cfRule type="expression" dxfId="317" priority="73">
      <formula>$AD101=1</formula>
    </cfRule>
    <cfRule type="expression" dxfId="316" priority="74">
      <formula>$AC101=1</formula>
    </cfRule>
    <cfRule type="expression" dxfId="315" priority="75">
      <formula>AND($R101="X",OR($B101&lt;&gt;"",$C101&lt;&gt;"",$E101&lt;&gt;"",#REF!&lt;&gt;""))</formula>
    </cfRule>
  </conditionalFormatting>
  <conditionalFormatting sqref="E112 E145:E149 E151:E171 E174:E183">
    <cfRule type="expression" dxfId="314" priority="28">
      <formula>AND($R112="X",OR($B112&lt;&gt;"",$C112&lt;&gt;"",$D112&lt;&gt;""))</formula>
    </cfRule>
  </conditionalFormatting>
  <conditionalFormatting sqref="E112:E114">
    <cfRule type="expression" dxfId="313" priority="184">
      <formula>AND($R112="X",OR(#REF!&lt;&gt;"",$B112&lt;&gt;"",$C112&lt;&gt;""))</formula>
    </cfRule>
  </conditionalFormatting>
  <conditionalFormatting sqref="E115:E118">
    <cfRule type="expression" dxfId="312" priority="202">
      <formula>AND($R115="X",OR($B115&lt;&gt;"",$C115&lt;&gt;"",$D115&lt;&gt;""))</formula>
    </cfRule>
  </conditionalFormatting>
  <conditionalFormatting sqref="E121">
    <cfRule type="expression" dxfId="311" priority="76">
      <formula>AND($R121="X",OR($B121&lt;&gt;"",$C121&lt;&gt;"",$D121&lt;&gt;"",$E121&lt;&gt;""))</formula>
    </cfRule>
    <cfRule type="expression" dxfId="310" priority="77">
      <formula>AND($R121="X",OR($B121&lt;&gt;"",$C121&lt;&gt;"",$E121&lt;&gt;"",#REF!&lt;&gt;""))</formula>
    </cfRule>
    <cfRule type="expression" dxfId="309" priority="78">
      <formula>$AC121=1</formula>
    </cfRule>
  </conditionalFormatting>
  <conditionalFormatting sqref="E121:E122 E9:E110 F123:F124 E125:E128">
    <cfRule type="expression" dxfId="308" priority="158">
      <formula>AND($R9="X",OR($B9&lt;&gt;"",$C9&lt;&gt;"",$D9&lt;&gt;""))</formula>
    </cfRule>
  </conditionalFormatting>
  <conditionalFormatting sqref="E123:E124">
    <cfRule type="expression" dxfId="307" priority="7">
      <formula>AND($R123="X",$B123&lt;&gt;"")</formula>
    </cfRule>
    <cfRule type="expression" dxfId="306" priority="8">
      <formula>AND($AD123=1,$AC123=1)</formula>
    </cfRule>
    <cfRule type="expression" dxfId="305" priority="9">
      <formula>$AD123=1</formula>
    </cfRule>
    <cfRule type="expression" dxfId="304" priority="10">
      <formula>OR($AD123="X",$AC123="X")</formula>
    </cfRule>
    <cfRule type="expression" dxfId="303" priority="11">
      <formula>$AC123=1</formula>
    </cfRule>
    <cfRule type="expression" dxfId="302" priority="12">
      <formula>AND(NOT(ISBLANK($W123)),ISBLANK($AC123),ISBLANK($AD123))</formula>
    </cfRule>
  </conditionalFormatting>
  <conditionalFormatting sqref="E130:E144">
    <cfRule type="expression" dxfId="301" priority="50">
      <formula>AND($R130="X",OR($B130&lt;&gt;"",$C130&lt;&gt;"",$D130&lt;&gt;""))</formula>
    </cfRule>
  </conditionalFormatting>
  <conditionalFormatting sqref="E150">
    <cfRule type="expression" dxfId="300" priority="736">
      <formula>AND($R150="X",OR($B150&lt;&gt;"",#REF!&lt;&gt;"",$D150&lt;&gt;""))</formula>
    </cfRule>
  </conditionalFormatting>
  <conditionalFormatting sqref="E153">
    <cfRule type="expression" dxfId="299" priority="90">
      <formula>$AC153=1</formula>
    </cfRule>
    <cfRule type="expression" dxfId="298" priority="91">
      <formula>AND($R153="X",OR($B153&lt;&gt;"",$C153&lt;&gt;"",$D153&lt;&gt;"",$E153&lt;&gt;""))</formula>
    </cfRule>
    <cfRule type="expression" dxfId="297" priority="92">
      <formula>AND($AD153=1,$AC153=1)</formula>
    </cfRule>
    <cfRule type="expression" dxfId="296" priority="93">
      <formula>$AD153=1</formula>
    </cfRule>
  </conditionalFormatting>
  <conditionalFormatting sqref="E156:E157">
    <cfRule type="expression" dxfId="295" priority="106">
      <formula>OR($AD156="X",$AC156="X")</formula>
    </cfRule>
    <cfRule type="expression" dxfId="294" priority="107">
      <formula>AND($AD156=1,$AC156=1)</formula>
    </cfRule>
    <cfRule type="expression" dxfId="293" priority="108">
      <formula>$AD156=1</formula>
    </cfRule>
    <cfRule type="expression" dxfId="292" priority="109">
      <formula>$AC156=1</formula>
    </cfRule>
    <cfRule type="expression" dxfId="291" priority="110">
      <formula>AND($R156="X",#REF!&lt;&gt;"")</formula>
    </cfRule>
  </conditionalFormatting>
  <conditionalFormatting sqref="E172">
    <cfRule type="expression" dxfId="290" priority="776">
      <formula>AND($R172="X",OR($B172&lt;&gt;"",$C172&lt;&gt;"",#REF!&lt;&gt;""))</formula>
    </cfRule>
  </conditionalFormatting>
  <conditionalFormatting sqref="E173">
    <cfRule type="expression" dxfId="289" priority="775">
      <formula>AND($R173="X",OR($B173&lt;&gt;"",$C173&lt;&gt;"",$D172&lt;&gt;""))</formula>
    </cfRule>
  </conditionalFormatting>
  <conditionalFormatting sqref="E130:G130 B130:C144">
    <cfRule type="expression" dxfId="288" priority="54">
      <formula>AND($AD130=1,$AC130=1)</formula>
    </cfRule>
    <cfRule type="expression" dxfId="287" priority="55">
      <formula>$AD130=1</formula>
    </cfRule>
    <cfRule type="expression" dxfId="286"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285" priority="29">
      <formula>AND($R112="X",OR($B112&lt;&gt;"",$C112&lt;&gt;"",$D112&lt;&gt;"",$E112&lt;&gt;""))</formula>
    </cfRule>
  </conditionalFormatting>
  <conditionalFormatting sqref="F112:F114">
    <cfRule type="expression" dxfId="284" priority="185">
      <formula>AND($R112="X",OR(#REF!&lt;&gt;"",$B112&lt;&gt;"",$C112&lt;&gt;"",$E112&lt;&gt;""))</formula>
    </cfRule>
  </conditionalFormatting>
  <conditionalFormatting sqref="F115:F118">
    <cfRule type="expression" dxfId="283" priority="203">
      <formula>AND($R115="X",OR($B115&lt;&gt;"",$C115&lt;&gt;"",$D115&lt;&gt;"",$E115&lt;&gt;""))</formula>
    </cfRule>
  </conditionalFormatting>
  <conditionalFormatting sqref="F118:F120 F129:G129">
    <cfRule type="expression" dxfId="282" priority="188">
      <formula>AND($R118="X",OR($B118&lt;&gt;"",$C118&lt;&gt;"",$E118&lt;&gt;"",#REF!&lt;&gt;""))</formula>
    </cfRule>
  </conditionalFormatting>
  <conditionalFormatting sqref="F121:F149 F9:F110">
    <cfRule type="expression" dxfId="281" priority="159">
      <formula>AND($R9="X",OR($B9&lt;&gt;"",$C9&lt;&gt;"",$D9&lt;&gt;"",$E9&lt;&gt;""))</formula>
    </cfRule>
  </conditionalFormatting>
  <conditionalFormatting sqref="F128">
    <cfRule type="expression" dxfId="280" priority="60">
      <formula>AND($R128="X",OR($B128&lt;&gt;"",$C128&lt;&gt;"",$E128&lt;&gt;"",#REF!&lt;&gt;""))</formula>
    </cfRule>
  </conditionalFormatting>
  <conditionalFormatting sqref="F150">
    <cfRule type="expression" dxfId="279" priority="737">
      <formula>AND($R150="X",OR($B150&lt;&gt;"",#REF!&lt;&gt;"",$D150&lt;&gt;"",$E150&lt;&gt;""))</formula>
    </cfRule>
  </conditionalFormatting>
  <conditionalFormatting sqref="F172">
    <cfRule type="expression" dxfId="278" priority="779">
      <formula>AND($R172="X",OR($B172&lt;&gt;"",$C172&lt;&gt;"",#REF!&lt;&gt;"",$E172&lt;&gt;""))</formula>
    </cfRule>
  </conditionalFormatting>
  <conditionalFormatting sqref="F173">
    <cfRule type="expression" dxfId="277" priority="778">
      <formula>AND($R173="X",OR($B173&lt;&gt;"",$C173&lt;&gt;"",$D172&lt;&gt;"",$E173&lt;&gt;""))</formula>
    </cfRule>
  </conditionalFormatting>
  <conditionalFormatting sqref="G9:G110 G121:G128">
    <cfRule type="expression" dxfId="276" priority="160">
      <formula>AND($R9="X",OR($B9&lt;&gt;"",$C9&lt;&gt;"",$D9&lt;&gt;"",$E9&lt;&gt;"",$F9&lt;&gt;""))</formula>
    </cfRule>
  </conditionalFormatting>
  <conditionalFormatting sqref="G112 G151:G171 G174:G183">
    <cfRule type="expression" dxfId="275" priority="30">
      <formula>AND($R112="X",OR($B112&lt;&gt;"",$C112&lt;&gt;"",$D112&lt;&gt;"",$E112&lt;&gt;"",$F112&lt;&gt;""))</formula>
    </cfRule>
  </conditionalFormatting>
  <conditionalFormatting sqref="G112:G114">
    <cfRule type="expression" dxfId="274" priority="186">
      <formula>AND($R112="X",OR(#REF!&lt;&gt;"",$B112&lt;&gt;"",$C112&lt;&gt;"",$E112&lt;&gt;"",$F112&lt;&gt;""))</formula>
    </cfRule>
  </conditionalFormatting>
  <conditionalFormatting sqref="G115:G118">
    <cfRule type="expression" dxfId="273" priority="204">
      <formula>AND($R115="X",OR($B115&lt;&gt;"",$C115&lt;&gt;"",$D115&lt;&gt;"",$E115&lt;&gt;"",$F115&lt;&gt;""))</formula>
    </cfRule>
  </conditionalFormatting>
  <conditionalFormatting sqref="G118:G120">
    <cfRule type="expression" dxfId="272" priority="189">
      <formula>AND($R118="X",OR($B118&lt;&gt;"",$C118&lt;&gt;"",$E118&lt;&gt;"",#REF!&lt;&gt;"",$F118&lt;&gt;""))</formula>
    </cfRule>
  </conditionalFormatting>
  <conditionalFormatting sqref="G129">
    <cfRule type="expression" dxfId="271" priority="98">
      <formula>AND($R129="X",OR($B129&lt;&gt;"",$C129&lt;&gt;"",$D129&lt;&gt;"",$E129&lt;&gt;""))</formula>
    </cfRule>
    <cfRule type="expression" dxfId="270" priority="760">
      <formula>AND($R129="X",OR($B129&lt;&gt;"",$C129&lt;&gt;"",$E129&lt;&gt;"",#REF!&lt;&gt;"",$F129&lt;&gt;""))</formula>
    </cfRule>
  </conditionalFormatting>
  <conditionalFormatting sqref="G130:G149">
    <cfRule type="expression" dxfId="269" priority="52">
      <formula>AND($R130="X",OR($B130&lt;&gt;"",$C130&lt;&gt;"",$D130&lt;&gt;"",$E130&lt;&gt;"",$F130&lt;&gt;""))</formula>
    </cfRule>
  </conditionalFormatting>
  <conditionalFormatting sqref="G150">
    <cfRule type="expression" dxfId="268" priority="738">
      <formula>AND($R150="X",OR($B150&lt;&gt;"",#REF!&lt;&gt;"",$D150&lt;&gt;"",$E150&lt;&gt;"",$F150&lt;&gt;""))</formula>
    </cfRule>
  </conditionalFormatting>
  <conditionalFormatting sqref="G172">
    <cfRule type="expression" dxfId="267" priority="782">
      <formula>AND($R172="X",OR($B172&lt;&gt;"",$C172&lt;&gt;"",#REF!&lt;&gt;"",$E172&lt;&gt;"",$F172&lt;&gt;""))</formula>
    </cfRule>
  </conditionalFormatting>
  <conditionalFormatting sqref="G173">
    <cfRule type="expression" dxfId="266" priority="781">
      <formula>AND($R173="X",OR($B173&lt;&gt;"",$C173&lt;&gt;"",$D172&lt;&gt;"",$E173&lt;&gt;"",$F173&lt;&gt;""))</formula>
    </cfRule>
  </conditionalFormatting>
  <conditionalFormatting sqref="H185:H186 H206:H1046">
    <cfRule type="expression" dxfId="265" priority="319">
      <formula>$Q185="X"</formula>
    </cfRule>
  </conditionalFormatting>
  <conditionalFormatting sqref="I11:I183">
    <cfRule type="expression" dxfId="264" priority="156">
      <formula>$R11="X"</formula>
    </cfRule>
  </conditionalFormatting>
  <conditionalFormatting sqref="Q9:Q183">
    <cfRule type="cellIs" dxfId="263" priority="40" operator="equal">
      <formula>"1..1"</formula>
    </cfRule>
    <cfRule type="cellIs" dxfId="262" priority="41" operator="equal">
      <formula>"0..n"</formula>
    </cfRule>
    <cfRule type="cellIs" dxfId="261"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2024-02-22T10:12:30Z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