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2.xml" ContentType="application/vnd.openxmlformats-officedocument.spreadsheetml.table+xml"/>
  <Override PartName="/xl/tables/table13.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4.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5.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3593" documentId="13_ncr:1_{25E1360D-3F9F-4661-933F-5159F3386708}" xr6:coauthVersionLast="47" xr6:coauthVersionMax="47" xr10:uidLastSave="{6AF7D97D-B2C5-6840-8ADE-02A9F81A3A3C}"/>
  <bookViews>
    <workbookView xWindow="0" yWindow="740" windowWidth="34560" windowHeight="21600" tabRatio="914" firstSheet="4" activeTab="9"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Modèle ExosRRAMU" sheetId="71" r:id="rId9"/>
    <sheet name="RC-EDA" sheetId="33" r:id="rId10"/>
    <sheet name="EMSI" sheetId="53" r:id="rId11"/>
    <sheet name="RS-RI" sheetId="73" r:id="rId12"/>
    <sheet name="RS-DR" sheetId="74" r:id="rId13"/>
    <sheet name="RS-RR" sheetId="75" r:id="rId14"/>
    <sheet name="RS-BPV" sheetId="66" r:id="rId15"/>
    <sheet name="RS-BPV-WIP" sheetId="68" r:id="rId16"/>
    <sheet name="RC-DEC" sheetId="69" r:id="rId17"/>
    <sheet name="RS-SR" sheetId="70" r:id="rId18"/>
    <sheet name="MAINT" sheetId="65" r:id="rId19"/>
    <sheet name="GEO-POS" sheetId="56" r:id="rId20"/>
    <sheet name="GEO-REQ" sheetId="58" r:id="rId21"/>
    <sheet name="GEO-RES" sheetId="59" r:id="rId22"/>
    <sheet name="RS-ERROR" sheetId="60" r:id="rId23"/>
    <sheet name="RS-INFO" sheetId="61" r:id="rId24"/>
    <sheet name="RC-REF" sheetId="62" r:id="rId25"/>
    <sheet name="customContent" sheetId="63" r:id="rId26"/>
    <sheet name="Conditional format rules" sheetId="29" r:id="rId27"/>
    <sheet name="Documents_sources" sheetId="18" state="hidden" r:id="rId28"/>
  </sheets>
  <externalReferences>
    <externalReference r:id="rId29"/>
  </externalReferences>
  <definedNames>
    <definedName name="_xlnm._FilterDatabase" localSheetId="10" hidden="1">EMSI!$A$8:$AH$117</definedName>
    <definedName name="_xlnm._FilterDatabase" localSheetId="12" hidden="1">'RS-DR'!$A$8:$N$61</definedName>
    <definedName name="_xlnm._FilterDatabase" localSheetId="11" hidden="1">'RS-RI'!$A$8:$N$90</definedName>
    <definedName name="_xlnm._FilterDatabase" localSheetId="13" hidden="1">'RS-RR'!$A$8:$N$42</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S206" i="33" l="1"/>
  <c r="K206" i="33"/>
  <c r="J206" i="33"/>
  <c r="A75" i="33" l="1"/>
  <c r="A28" i="33"/>
  <c r="A172" i="33"/>
  <c r="A44" i="33"/>
  <c r="A43" i="33"/>
  <c r="A41" i="33"/>
  <c r="A42" i="33"/>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63" i="66"/>
  <c r="A64" i="66"/>
  <c r="A65" i="66"/>
  <c r="A66" i="66"/>
  <c r="A67" i="66"/>
  <c r="A68" i="66"/>
  <c r="A69" i="66"/>
  <c r="A70" i="66"/>
  <c r="A71" i="66"/>
  <c r="A72" i="66"/>
  <c r="A16" i="33"/>
  <c r="A183" i="33"/>
  <c r="A184" i="33"/>
  <c r="A182" i="33"/>
  <c r="A10" i="66"/>
  <c r="A11" i="66"/>
  <c r="A12" i="66"/>
  <c r="A9" i="66"/>
  <c r="A9" i="33"/>
  <c r="A18" i="74"/>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17" i="74"/>
  <c r="A91" i="73"/>
  <c r="A10" i="33"/>
  <c r="A11" i="33"/>
  <c r="A12" i="33"/>
  <c r="A13" i="33"/>
  <c r="A14" i="33"/>
  <c r="A15" i="33"/>
  <c r="A17" i="33"/>
  <c r="A18" i="33"/>
  <c r="A19" i="33"/>
  <c r="A20" i="33"/>
  <c r="A21" i="33"/>
  <c r="A22" i="33"/>
  <c r="A23" i="33"/>
  <c r="A24" i="33"/>
  <c r="A25" i="33"/>
  <c r="A26" i="33"/>
  <c r="A27" i="33"/>
  <c r="A29" i="33"/>
  <c r="A30" i="33"/>
  <c r="A31" i="33"/>
  <c r="A32" i="33"/>
  <c r="A33" i="33"/>
  <c r="A34" i="33"/>
  <c r="A35" i="33"/>
  <c r="A36" i="33"/>
  <c r="A37" i="33"/>
  <c r="A38" i="33"/>
  <c r="A39" i="33"/>
  <c r="A40"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28" i="33"/>
  <c r="A129" i="33"/>
  <c r="A130" i="33"/>
  <c r="A131" i="33"/>
  <c r="A132" i="33"/>
  <c r="A133" i="33"/>
  <c r="A134" i="33"/>
  <c r="A135" i="33"/>
  <c r="A136" i="33"/>
  <c r="A137" i="33"/>
  <c r="A138" i="33"/>
  <c r="A139" i="33"/>
  <c r="A140" i="33"/>
  <c r="A141" i="33"/>
  <c r="A142" i="33"/>
  <c r="A143" i="33"/>
  <c r="A144" i="33"/>
  <c r="A145" i="33"/>
  <c r="A146" i="33"/>
  <c r="A147" i="33"/>
  <c r="A148" i="33"/>
  <c r="A149" i="33"/>
  <c r="A150" i="33"/>
  <c r="A151" i="33"/>
  <c r="A152" i="33"/>
  <c r="A153" i="33"/>
  <c r="A154" i="33"/>
  <c r="A155" i="33"/>
  <c r="A156" i="33"/>
  <c r="A157" i="33"/>
  <c r="A158" i="33"/>
  <c r="A159" i="33"/>
  <c r="A160" i="33"/>
  <c r="A161" i="33"/>
  <c r="A162" i="33"/>
  <c r="A163" i="33"/>
  <c r="A164" i="33"/>
  <c r="A165" i="33"/>
  <c r="A166" i="33"/>
  <c r="A167" i="33"/>
  <c r="A168" i="33"/>
  <c r="A169" i="33"/>
  <c r="A170" i="33"/>
  <c r="A171" i="33"/>
  <c r="A173" i="33"/>
  <c r="A174" i="33"/>
  <c r="A175" i="33"/>
  <c r="A176" i="33"/>
  <c r="A177" i="33"/>
  <c r="A178" i="33"/>
  <c r="A179" i="33"/>
  <c r="A180" i="33"/>
  <c r="A181" i="33"/>
  <c r="A185" i="33"/>
  <c r="A186" i="33"/>
  <c r="A187" i="33"/>
  <c r="A188" i="33"/>
  <c r="A189" i="33"/>
  <c r="A190" i="33"/>
  <c r="A191" i="33"/>
  <c r="A192" i="33"/>
  <c r="A193" i="33"/>
  <c r="A194" i="33"/>
  <c r="A195" i="33"/>
  <c r="A196" i="33"/>
  <c r="A197" i="33"/>
  <c r="A198" i="33"/>
  <c r="A200" i="33"/>
  <c r="A201" i="33"/>
  <c r="A202" i="33"/>
  <c r="A203" i="33"/>
  <c r="A204" i="33"/>
  <c r="A205" i="33"/>
  <c r="A199" i="33"/>
  <c r="AD206" i="33"/>
  <c r="AE206" i="33"/>
  <c r="C206" i="33"/>
  <c r="D206" i="33"/>
  <c r="E206" i="33"/>
  <c r="F206" i="33"/>
  <c r="G206" i="33"/>
  <c r="H206" i="33"/>
  <c r="I206" i="33"/>
  <c r="L206" i="33"/>
  <c r="M206" i="33"/>
  <c r="N206" i="33"/>
  <c r="O206" i="33"/>
  <c r="P206" i="33"/>
  <c r="R206" i="33"/>
  <c r="Z206" i="33"/>
  <c r="AA206" i="33"/>
  <c r="AC206" i="33"/>
  <c r="B15" i="60"/>
  <c r="C15" i="60"/>
  <c r="D15" i="60"/>
  <c r="E15" i="60"/>
  <c r="F15" i="60"/>
  <c r="G15" i="60"/>
  <c r="H15" i="60"/>
  <c r="I15" i="60"/>
  <c r="J15" i="60"/>
  <c r="K15" i="60"/>
  <c r="L15" i="60"/>
  <c r="M15" i="60"/>
  <c r="N15" i="60"/>
  <c r="O15" i="60"/>
  <c r="P15" i="60"/>
  <c r="Q15" i="60"/>
  <c r="R15" i="60"/>
  <c r="S15" i="60"/>
  <c r="T15" i="60"/>
  <c r="U15" i="60"/>
  <c r="V15" i="60"/>
  <c r="W15" i="60"/>
  <c r="A15" i="60"/>
  <c r="X43" i="75"/>
  <c r="W43" i="75"/>
  <c r="U43" i="75"/>
  <c r="T43" i="75"/>
  <c r="N43" i="75"/>
  <c r="M43" i="75"/>
  <c r="K43" i="75"/>
  <c r="I43" i="75"/>
  <c r="H43" i="75"/>
  <c r="G43" i="75"/>
  <c r="F43" i="75"/>
  <c r="E43" i="75"/>
  <c r="D43" i="75"/>
  <c r="C43" i="75"/>
  <c r="A43" i="75"/>
  <c r="X62" i="74"/>
  <c r="W62" i="74"/>
  <c r="U62" i="74"/>
  <c r="T62" i="74"/>
  <c r="N62" i="74"/>
  <c r="M62" i="74"/>
  <c r="K62" i="74"/>
  <c r="I62" i="74"/>
  <c r="H62" i="74"/>
  <c r="G62" i="74"/>
  <c r="F62" i="74"/>
  <c r="E62" i="74"/>
  <c r="D62" i="74"/>
  <c r="C62" i="74"/>
  <c r="X91" i="73"/>
  <c r="W91" i="73"/>
  <c r="U91" i="73"/>
  <c r="T91" i="73"/>
  <c r="N91" i="73"/>
  <c r="M91" i="73"/>
  <c r="K91" i="73"/>
  <c r="I91" i="73"/>
  <c r="H91" i="73"/>
  <c r="G91" i="73"/>
  <c r="F91" i="73"/>
  <c r="E91" i="73"/>
  <c r="D91" i="73"/>
  <c r="C91" i="73"/>
  <c r="AD192" i="71"/>
  <c r="F1" i="71" s="1"/>
  <c r="AC192" i="71"/>
  <c r="F2" i="71" s="1"/>
  <c r="AB192" i="71"/>
  <c r="Z192" i="71"/>
  <c r="Y192" i="71"/>
  <c r="S192" i="71"/>
  <c r="R192" i="71"/>
  <c r="P192" i="71"/>
  <c r="O192" i="71"/>
  <c r="N192" i="71"/>
  <c r="M192" i="71"/>
  <c r="L192" i="71"/>
  <c r="K192" i="71"/>
  <c r="J192" i="71"/>
  <c r="I192" i="71"/>
  <c r="H192" i="71"/>
  <c r="G192" i="71"/>
  <c r="F192" i="71"/>
  <c r="E192" i="71"/>
  <c r="D192" i="71"/>
  <c r="C192" i="71"/>
  <c r="A192" i="71"/>
  <c r="A16" i="70"/>
  <c r="C16" i="70"/>
  <c r="D16" i="70"/>
  <c r="E16" i="70"/>
  <c r="F16" i="70"/>
  <c r="G16" i="70"/>
  <c r="H16" i="70"/>
  <c r="I16" i="70"/>
  <c r="K16" i="70"/>
  <c r="M16" i="70"/>
  <c r="N16" i="70"/>
  <c r="T16" i="70"/>
  <c r="U16" i="70"/>
  <c r="W16" i="70"/>
  <c r="C73" i="66"/>
  <c r="D73" i="66"/>
  <c r="E73" i="66"/>
  <c r="F73" i="66"/>
  <c r="G73" i="66"/>
  <c r="H73" i="66"/>
  <c r="I73" i="66"/>
  <c r="J73" i="66"/>
  <c r="K73" i="66"/>
  <c r="L73" i="66"/>
  <c r="M73" i="66"/>
  <c r="N73" i="66"/>
  <c r="O73" i="66"/>
  <c r="P73" i="66"/>
  <c r="R73" i="66"/>
  <c r="S73" i="66"/>
  <c r="AA73" i="66"/>
  <c r="AB73" i="66"/>
  <c r="AD73" i="66"/>
  <c r="Y16" i="70"/>
  <c r="X16" i="70"/>
  <c r="AF65" i="69"/>
  <c r="AE65" i="69"/>
  <c r="AD65" i="69"/>
  <c r="AB65" i="69"/>
  <c r="AA65" i="69"/>
  <c r="U65" i="69"/>
  <c r="T65" i="69"/>
  <c r="R65" i="69"/>
  <c r="Q65" i="69"/>
  <c r="P65" i="69"/>
  <c r="O65" i="69"/>
  <c r="N65" i="69"/>
  <c r="M65" i="69"/>
  <c r="L65" i="69"/>
  <c r="K65" i="69"/>
  <c r="J65" i="69"/>
  <c r="G65" i="69"/>
  <c r="F65" i="69"/>
  <c r="E65" i="69"/>
  <c r="D65" i="69"/>
  <c r="C65" i="69"/>
  <c r="A65" i="69"/>
  <c r="A73" i="66" l="1"/>
  <c r="A62" i="74"/>
  <c r="A206" i="33"/>
  <c r="AD93" i="68"/>
  <c r="AC93" i="68"/>
  <c r="AB93" i="68"/>
  <c r="Z93" i="68"/>
  <c r="Y93" i="68"/>
  <c r="S93" i="68"/>
  <c r="R93" i="68"/>
  <c r="P93" i="68"/>
  <c r="O93" i="68"/>
  <c r="N93" i="68"/>
  <c r="M93" i="68"/>
  <c r="L93" i="68"/>
  <c r="K93" i="68"/>
  <c r="J93" i="68"/>
  <c r="I93" i="68"/>
  <c r="H93" i="68"/>
  <c r="G93" i="68"/>
  <c r="F93" i="68"/>
  <c r="E93" i="68"/>
  <c r="D93" i="68"/>
  <c r="C93" i="68"/>
  <c r="A93" i="68"/>
  <c r="AF73" i="66"/>
  <c r="AE73" i="66"/>
  <c r="AD19" i="65"/>
  <c r="F1" i="65" s="1"/>
  <c r="AC19" i="65"/>
  <c r="F2" i="65" s="1"/>
  <c r="AB19" i="65"/>
  <c r="Z19" i="65"/>
  <c r="Y19" i="65"/>
  <c r="S19" i="65"/>
  <c r="R19" i="65"/>
  <c r="P19" i="65"/>
  <c r="O19" i="65"/>
  <c r="N19" i="65"/>
  <c r="M19" i="65"/>
  <c r="L19" i="65"/>
  <c r="K19" i="65"/>
  <c r="J19" i="65"/>
  <c r="I19" i="65"/>
  <c r="H19" i="65"/>
  <c r="G19" i="65"/>
  <c r="F19" i="65"/>
  <c r="E19" i="65"/>
  <c r="D19" i="65"/>
  <c r="C19" i="65"/>
  <c r="A19" i="65"/>
  <c r="A20" i="59"/>
  <c r="A24" i="56"/>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20" i="59"/>
  <c r="C20" i="59"/>
  <c r="D20" i="59"/>
  <c r="E20" i="59"/>
  <c r="F20" i="59"/>
  <c r="G20" i="59"/>
  <c r="H20" i="59"/>
  <c r="I20" i="59"/>
  <c r="J20" i="59"/>
  <c r="K20" i="59"/>
  <c r="L20" i="59"/>
  <c r="M20" i="59"/>
  <c r="N20" i="59"/>
  <c r="O20" i="59"/>
  <c r="P20" i="59"/>
  <c r="Q20" i="59"/>
  <c r="R20" i="59"/>
  <c r="S20" i="59"/>
  <c r="T20" i="59"/>
  <c r="U20" i="59"/>
  <c r="V20" i="59"/>
  <c r="W20" i="59"/>
  <c r="B10" i="58"/>
  <c r="C10" i="58"/>
  <c r="D10" i="58"/>
  <c r="E10" i="58"/>
  <c r="F10" i="58"/>
  <c r="G10" i="58"/>
  <c r="H10" i="58"/>
  <c r="I10" i="58"/>
  <c r="J10" i="58"/>
  <c r="K10" i="58"/>
  <c r="L10" i="58"/>
  <c r="M10" i="58"/>
  <c r="N10" i="58"/>
  <c r="O10" i="58"/>
  <c r="P10" i="58"/>
  <c r="Q10" i="58"/>
  <c r="R10" i="58"/>
  <c r="S10" i="58"/>
  <c r="T10" i="58"/>
  <c r="U10" i="58"/>
  <c r="V10" i="58"/>
  <c r="W10" i="58"/>
  <c r="A10"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68" l="1"/>
  <c r="F1" i="68"/>
  <c r="F2" i="55"/>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tc={2571C809-1ED4-4A87-9436-BA6B734BA972}</author>
    <author>tc={0CE8A59F-6C67-4E3A-891B-3EA2B5782CF2}</author>
    <author>tc={406B982B-221E-4B6F-805E-FCD2C619A9DE}</author>
    <author>tc={AFBC43DC-22DD-45A7-94DB-0652D4386677}</author>
    <author>tc={E265549A-6D43-4574-8B69-569761A7601F}</author>
    <author>tc={E00BA074-3AFE-4535-A9E3-0BC0993B7755}</author>
    <author>tc={FFDEA987-EC4E-4898-B7F8-0077A5145849}</author>
    <author>tc={C5123DED-92B6-4270-B0EF-6AA4935B6DB7}</author>
    <author>tc={E217C0E1-E310-4516-9319-75E49215DCA3}</author>
    <author>tc={D8507318-6C1E-42B9-91CC-02C097D143E6}</author>
    <author>tc={3DD4CD4B-707C-45BC-B514-5DA68504E19E}</author>
    <author>tc={B0D80B79-8784-4074-B675-37516A78DEF3}</author>
    <author>tc={B6052CF4-31B2-42CA-A477-580F46F4CDB6}</author>
    <author>tc={6533153D-D1CF-4709-ACD4-DF00DD64857E}</author>
    <author>tc={CA9F7116-A69A-49A4-A9FD-112B11A9100E}</author>
    <author>tc={63B3099B-A4CF-4BA7-9481-E0169EF14FC8}</author>
    <author>tc={91C7B266-0E0A-4462-A600-2FC08026D2AA}</author>
    <author>tc={8206532D-FD3D-4673-8249-DF06EA04A8C5}</author>
    <author>tc={19827C95-BDF2-4B80-8428-C6F43454D705}</author>
    <author>tc={B49C2831-535E-4572-A161-4566AA17433A}</author>
    <author>tc={C603E3B6-B536-4A6C-83B5-CED1B2AA960F}</author>
    <author>tc={AD69C5A2-53A5-45D3-BBCF-64FEB40BEEE9}</author>
    <author>tc={619C1B67-557E-4D65-84E3-7E6E30F47C7B}</author>
  </authors>
  <commentList>
    <comment ref="U16" authorId="0" shapeId="0" xr:uid="{2571C809-1ED4-4A87-9436-BA6B734BA972}">
      <text>
        <t>[Threaded comment]
Your version of Excel allows you to read this threaded comment; however, any edits to it will get removed if the file is opened in a newer version of Excel. Learn more: https://go.microsoft.com/fwlink/?linkid=870924
Comment:
    NOMENCLATURE : TBD</t>
      </text>
    </comment>
    <comment ref="C17" authorId="1" shapeId="0" xr:uid="{0CE8A59F-6C67-4E3A-891B-3EA2B5782CF2}">
      <text>
        <t>[Threaded comment]
Your version of Excel allows you to read this threaded comment; however, any edits to it will get removed if the file is opened in a newer version of Excel. Learn more: https://go.microsoft.com/fwlink/?linkid=870924
Comment:
    Type déduit par rapport à la localisation de l'intervention vs de la destination (ex. Si hospitalier alors sorite SMUR secondaire), et pour les TIH : idem plus niveau de médicalisation (=paramédical)</t>
      </text>
    </comment>
    <comment ref="U23" authorId="2" shapeId="0" xr:uid="{406B982B-221E-4B6F-805E-FCD2C619A9DE}">
      <text>
        <t>[Threaded comment]
Your version of Excel allows you to read this threaded comment; however, any edits to it will get removed if the file is opened in a newer version of Excel. Learn more: https://go.microsoft.com/fwlink/?linkid=870924
Comment:
    NOMENCLATURE : CISU-Code_Nature_de_fait</t>
      </text>
    </comment>
    <comment ref="D24" authorId="3" shapeId="0" xr:uid="{AFBC43DC-22DD-45A7-94DB-0652D4386677}">
      <text>
        <t>[Threaded comment]
Your version of Excel allows you to read this threaded comment; however, any edits to it will get removed if the file is opened in a newer version of Excel. Learn more: https://go.microsoft.com/fwlink/?linkid=870924
Comment:
    Quel libellé/code prendre ? 
Reply:
    Exemple : si accident routier entre un piéton et camion de marchandise, quel est le code à retenir ? AVPAR ? AVPARCAM ? AVPARPIE ? 
Reply:
    Ou est-ce à préciser dans le commentaire ?</t>
      </text>
    </comment>
    <comment ref="U24" authorId="4" shapeId="0" xr:uid="{E265549A-6D43-4574-8B69-569761A7601F}">
      <text>
        <t>[Threaded comment]
Your version of Excel allows you to read this threaded comment; however, any edits to it will get removed if the file is opened in a newer version of Excel. Learn more: https://go.microsoft.com/fwlink/?linkid=870924
Comment:
    NOMENCLATURE : CISU-Code_Nature_de_fait</t>
      </text>
    </comment>
    <comment ref="U26" authorId="5" shapeId="0" xr:uid="{E00BA074-3AFE-4535-A9E3-0BC0993B7755}">
      <text>
        <t>[Threaded comment]
Your version of Excel allows you to read this threaded comment; however, any edits to it will get removed if the file is opened in a newer version of Excel. Learn more: https://go.microsoft.com/fwlink/?linkid=870924
Comment:
    NOMENCLATURE : CISU-Code_Motif_patient-victime</t>
      </text>
    </comment>
    <comment ref="U27" authorId="6" shapeId="0" xr:uid="{FFDEA987-EC4E-4898-B7F8-0077A5145849}">
      <text>
        <t>[Threaded comment]
Your version of Excel allows you to read this threaded comment; however, any edits to it will get removed if the file is opened in a newer version of Excel. Learn more: https://go.microsoft.com/fwlink/?linkid=870924
Comment:
    NOMENCLATURE : CISU-Code_Motif_patient-victime</t>
      </text>
    </comment>
    <comment ref="U28" authorId="7" shapeId="0" xr:uid="{C5123DED-92B6-4270-B0EF-6AA4935B6DB7}">
      <text>
        <t>[Threaded comment]
Your version of Excel allows you to read this threaded comment; however, any edits to it will get removed if the file is opened in a newer version of Excel. Learn more: https://go.microsoft.com/fwlink/?linkid=870924
Comment:
    NOMENCLATURE : SI-SAMU-NIVSOIN</t>
      </text>
    </comment>
    <comment ref="C31" authorId="8" shapeId="0" xr:uid="{E217C0E1-E310-4516-9319-75E49215DCA3}">
      <text>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text>
    </comment>
    <comment ref="U32" authorId="9" shapeId="0" xr:uid="{D8507318-6C1E-42B9-91CC-02C097D143E6}">
      <text>
        <t>[Threaded comment]
Your version of Excel allows you to read this threaded comment; however, any edits to it will get removed if the file is opened in a newer version of Excel. Learn more: https://go.microsoft.com/fwlink/?linkid=870924
Comment:
    NOMENCLATURE : SI-SAMU-NOMENC_SEXE</t>
      </text>
    </comment>
    <comment ref="U39" authorId="10" shapeId="0" xr:uid="{3DD4CD4B-707C-45BC-B514-5DA68504E19E}">
      <text>
        <t>[Threaded comment]
Your version of Excel allows you to read this threaded comment; however, any edits to it will get removed if the file is opened in a newer version of Excel. Learn more: https://go.microsoft.com/fwlink/?linkid=870924
Comment:
    NOMENCLATURE : CISU-Code_Type_de_lieu</t>
      </text>
    </comment>
    <comment ref="U49" authorId="11" shapeId="0" xr:uid="{B0D80B79-8784-4074-B675-37516A78DEF3}">
      <text>
        <t>[Threaded comment]
Your version of Excel allows you to read this threaded comment; however, any edits to it will get removed if the file is opened in a newer version of Excel. Learn more: https://go.microsoft.com/fwlink/?linkid=870924
Comment:
    NOMENCLATURE : TBD</t>
      </text>
    </comment>
    <comment ref="U50" authorId="12" shapeId="0" xr:uid="{B6052CF4-31B2-42CA-A477-580F46F4CDB6}">
      <text>
        <t>[Threaded comment]
Your version of Excel allows you to read this threaded comment; however, any edits to it will get removed if the file is opened in a newer version of Excel. Learn more: https://go.microsoft.com/fwlink/?linkid=870924
Comment:
    NOMENCLATURE : TBD</t>
      </text>
    </comment>
    <comment ref="U51" authorId="13" shapeId="0" xr:uid="{6533153D-D1CF-4709-ACD4-DF00DD64857E}">
      <text>
        <t>[Threaded comment]
Your version of Excel allows you to read this threaded comment; however, any edits to it will get removed if the file is opened in a newer version of Excel. Learn more: https://go.microsoft.com/fwlink/?linkid=870924
Comment:
    NOMENCLATURE : TBD</t>
      </text>
    </comment>
    <comment ref="C61" authorId="14" shapeId="0" xr:uid="{CA9F7116-A69A-49A4-A9FD-112B11A9100E}">
      <text>
        <t>[Threaded comment]
Your version of Excel allows you to read this threaded comment; however, any edits to it will get removed if the file is opened in a newer version of Excel. Learn more: https://go.microsoft.com/fwlink/?linkid=870924
Comment:
    Correspond également au motif de sans transport (soins sur place, refus de soins, refus de transport, décédé)</t>
      </text>
    </comment>
    <comment ref="U61" authorId="15" shapeId="0" xr:uid="{63B3099B-A4CF-4BA7-9481-E0169EF14FC8}">
      <text>
        <t>[Threaded comment]
Your version of Excel allows you to read this threaded comment; however, any edits to it will get removed if the file is opened in a newer version of Excel. Learn more: https://go.microsoft.com/fwlink/?linkid=870924
Comment:
    NOMENCLATURE : SI SAMU-NOMENC_DEVENIR_PAT</t>
      </text>
    </comment>
    <comment ref="H64" authorId="16" shapeId="0" xr:uid="{91C7B266-0E0A-4462-A600-2FC08026D2AA}">
      <text>
        <t>[Threaded comment]
Your version of Excel allows you to read this threaded comment; however, any edits to it will get removed if the file is opened in a newer version of Excel. Learn more: https://go.microsoft.com/fwlink/?linkid=870924
Comment:
    Pas de nomenclature dispo dans l'Excel partagé</t>
      </text>
    </comment>
    <comment ref="U64" authorId="17" shapeId="0" xr:uid="{8206532D-FD3D-4673-8249-DF06EA04A8C5}">
      <text>
        <t>[Threaded comment]
Your version of Excel allows you to read this threaded comment; however, any edits to it will get removed if the file is opened in a newer version of Excel. Learn more: https://go.microsoft.com/fwlink/?linkid=870924
Comment:
    NOMENCLATURE : TBD</t>
      </text>
    </comment>
    <comment ref="U65" authorId="18" shapeId="0" xr:uid="{19827C95-BDF2-4B80-8428-C6F43454D705}">
      <text>
        <t>[Threaded comment]
Your version of Excel allows you to read this threaded comment; however, any edits to it will get removed if the file is opened in a newer version of Excel. Learn more: https://go.microsoft.com/fwlink/?linkid=870924
Comment:
    NOMENCLATURE : TBD</t>
      </text>
    </comment>
    <comment ref="D70" authorId="19" shapeId="0" xr:uid="{B49C2831-535E-4572-A161-4566AA17433A}">
      <text>
        <t>[Threaded comment]
Your version of Excel allows you to read this threaded comment; however, any edits to it will get removed if the file is opened in a newer version of Excel. Learn more: https://go.microsoft.com/fwlink/?linkid=870924
Comment:
    Obligatoire si transport du patient vers une destination, facultatif si aucun transport</t>
      </text>
    </comment>
    <comment ref="U70" authorId="20" shapeId="0" xr:uid="{C603E3B6-B536-4A6C-83B5-CED1B2AA960F}">
      <text>
        <t>[Threaded comment]
Your version of Excel allows you to read this threaded comment; however, any edits to it will get removed if the file is opened in a newer version of Excel. Learn more: https://go.microsoft.com/fwlink/?linkid=870924
Comment:
    NOMENCLATURE : SI SAMU-TYPE_MOYEN</t>
      </text>
    </comment>
    <comment ref="U71" authorId="21" shapeId="0" xr:uid="{AD69C5A2-53A5-45D3-BBCF-64FEB40BEEE9}">
      <text>
        <t>[Threaded comment]
Your version of Excel allows you to read this threaded comment; however, any edits to it will get removed if the file is opened in a newer version of Excel. Learn more: https://go.microsoft.com/fwlink/?linkid=870924
Comment:
    NOMENCLATURE : CISU-TYPE_VECTEUR</t>
      </text>
    </comment>
    <comment ref="U72" authorId="22" shapeId="0" xr:uid="{619C1B67-557E-4D65-84E3-7E6E30F47C7B}">
      <text>
        <t>[Threaded comment]
Your version of Excel allows you to read this threaded comment; however, any edits to it will get removed if the file is opened in a newer version of Excel. Learn more: https://go.microsoft.com/fwlink/?linkid=870924
Comment:
    NOMENCLATURE : SI-SAMU-NIVSOIN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[Threaded comment]
Your version of Excel allows you to read this threaded comment; however, any edits to it will get removed if the file is opened in a newer version of Excel. Learn more: https://go.microsoft.com/fwlink/?linkid=870924
Comment:
    Le retour de l'identité du bilan, permet de confirmer les informations identitaires du patient</t>
      </text>
    </comment>
    <comment ref="B29" authorId="1" shapeId="0" xr:uid="{2CBF1497-5853-4802-BF2B-FC06E91F8D75}">
      <text>
        <t>[Threaded comment]
Your version of Excel allows you to read this threaded comment; however, any edits to it will get removed if the file is opened in a newer version of Excel. Learn more: https://go.microsoft.com/fwlink/?linkid=870924
Comment:
    Est-ce que le SMUR a besoin de nous renvoyer le lieu d'intervention ? Est-il possible que celui-ci ne soit pas le même que celui transmis dans le dossier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tc={479F015F-54AC-4C4B-A571-D82C1DB25F24}</author>
    <author>tc={92153410-EF29-497F-9B93-DE4E82BE1500}</author>
  </authors>
  <commentList>
    <comment ref="J1" authorId="0" shapeId="0" xr:uid="{479F015F-54AC-4C4B-A571-D82C1DB25F24}">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92153410-EF29-497F-9B93-DE4E82BE1500}">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tc={AE96FC88-5D60-4603-9229-530322B9B8F0}</author>
  </authors>
  <commentList>
    <comment ref="B9" authorId="0" shapeId="0" xr:uid="{AE96FC88-5D60-4603-9229-530322B9B8F0}">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9" authorId="1"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 regarder ce champ facultatif</t>
      </text>
    </comment>
    <comment ref="C21" authorId="2"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tc={9C816C17-63F7-4443-898B-193E759904F6}</author>
    <author>tc={4570E3BC-C741-489A-A78A-421EBE0A2EB1}</author>
    <author>tc={450D2339-A705-4808-865A-DE47F86A9ED0}</author>
    <author>tc={7AA19D51-1D33-4B9B-BE52-A2E51A3B53B1}</author>
    <author>tc={542F91E3-E69C-4326-B2BD-75A564CC87B0}</author>
    <author>tc={427501DC-94D6-40AC-AB53-69343E8D716D}</author>
    <author>tc={2F3C1B5F-AE01-4255-B450-2BAE36EE9967}</author>
    <author>tc={E589D130-0254-4A06-B0D4-786737C54D9C}</author>
    <author>tc={35F4687D-6275-4358-8182-C47F7638BBD5}</author>
    <author>tc={A4803FCF-E02E-4083-84FC-92B40E7A9D5D}</author>
    <author>tc={6D45BC39-07B8-4875-A22D-5F8881A6780E}</author>
    <author>tc={D4248A5B-AD83-4934-B056-EAEDD6CF723A}</author>
    <author>tc={DBE9B7AD-3774-41D9-9ECE-8156E962B9EF}</author>
  </authors>
  <commentList>
    <comment ref="C1" authorId="0" shapeId="0" xr:uid="{9C816C17-63F7-4443-898B-193E759904F6}">
      <text>
        <t>[Threaded comment]
Your version of Excel allows you to read this threaded comment; however, any edits to it will get removed if the file is opened in a newer version of Excel. Learn more: https://go.microsoft.com/fwlink/?linkid=870924
Comment:
    = priorité de régulation médicale dans le modèle actuel</t>
      </text>
    </comment>
    <comment ref="H1" authorId="1" shapeId="0" xr:uid="{4570E3BC-C741-489A-A78A-421EBE0A2EB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11" authorId="2" shapeId="0" xr:uid="{450D2339-A705-4808-865A-DE47F86A9ED0}">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12" authorId="3" shapeId="0" xr:uid="{7AA19D51-1D33-4B9B-BE52-A2E51A3B53B1}">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12" authorId="4" shapeId="0" xr:uid="{542F91E3-E69C-4326-B2BD-75A564CC87B0}">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C18" authorId="5" shapeId="0" xr:uid="{427501DC-94D6-40AC-AB53-69343E8D716D}">
      <text>
        <t>[Threaded comment]
Your version of Excel allows you to read this threaded comment; however, any edits to it will get removed if the file is opened in a newer version of Excel. Learn more: https://go.microsoft.com/fwlink/?linkid=870924
Comment:
    Main courante des ARM =&gt; liste</t>
      </text>
    </comment>
    <comment ref="C19" authorId="6" shapeId="0" xr:uid="{2F3C1B5F-AE01-4255-B450-2BAE36EE9967}">
      <text>
        <t>[Threaded comment]
Your version of Excel allows you to read this threaded comment; however, any edits to it will get removed if the file is opened in a newer version of Excel. Learn more: https://go.microsoft.com/fwlink/?linkid=870924
Comment:
    = priorité de régulation médicale dans le modèle actuel</t>
      </text>
    </comment>
    <comment ref="C36" authorId="7" shapeId="0" xr:uid="{E589D130-0254-4A06-B0D4-786737C54D9C}">
      <text>
        <t xml:space="preserve">[Threaded comment]
Your version of Excel allows you to read this threaded comment; however, any edits to it will get removed if the file is opened in a newer version of Excel. Learn more: https://go.microsoft.com/fwlink/?linkid=870924
Comment:
    Voir si ce n'est pas retrouvable dans Initial alert, via le centre de l'agent ? </t>
      </text>
    </comment>
    <comment ref="D46" authorId="8" shapeId="0" xr:uid="{35F4687D-6275-4358-8182-C47F7638BBD5}">
      <text>
        <t>[Threaded comment]
Your version of Excel allows you to read this threaded comment; however, any edits to it will get removed if the file is opened in a newer version of Excel. Learn more: https://go.microsoft.com/fwlink/?linkid=870924
Comment:
    Exos gère pas les PK comme ça !
Reply:
    Sujet sur l’autoroute… comment on passe cette localisation (pas d’adresse)</t>
      </text>
    </comment>
    <comment ref="C88" authorId="9" shapeId="0" xr:uid="{A4803FCF-E02E-4083-84FC-92B40E7A9D5D}">
      <text>
        <t>[Threaded comment]
Your version of Excel allows you to read this threaded comment; however, any edits to it will get removed if the file is opened in a newer version of Excel. Learn more: https://go.microsoft.com/fwlink/?linkid=870924
Comment:
    Exos a une liste de numéros avec en champs libre pour le type + un “numéro principal”</t>
      </text>
    </comment>
    <comment ref="B165" authorId="10" shapeId="0" xr:uid="{6D45BC39-07B8-4875-A22D-5F8881A6780E}">
      <text>
        <t>[Threaded comment]
Your version of Excel allows you to read this threaded comment; however, any edits to it will get removed if the file is opened in a newer version of Excel. Learn more: https://go.microsoft.com/fwlink/?linkid=870924
Comment:
    Hors du périmètre Appel Limitrophe
Reply:
    A voir… Car ça permet de mettre dans le même cas d’embrayer sur la demande d’engagement de vecteur du SMAU d’en face
Reply:
    Liste de textes libres déjà pour le moment</t>
      </text>
    </comment>
    <comment ref="B173" authorId="11" shapeId="0" xr:uid="{D4248A5B-AD83-4934-B056-EAEDD6CF723A}">
      <text>
        <t>[Threaded comment]
Your version of Excel allows you to read this threaded comment; however, any edits to it will get removed if the file is opened in a newer version of Excel. Learn more: https://go.microsoft.com/fwlink/?linkid=870924
Comment:
    A rediscuter !!! Mais au de la de la création</t>
      </text>
    </comment>
    <comment ref="C176" authorId="12" shapeId="0" xr:uid="{DBE9B7AD-3774-41D9-9ECE-8156E962B9EF}">
      <text>
        <t>[Threaded comment]
Your version of Excel allows you to read this threaded comment; however, any edits to it will get removed if the file is opened in a newer version of Excel. Learn more: https://go.microsoft.com/fwlink/?linkid=870924
Comment:
    Pompiers ont 2 missions : aller au chevet + faire transport.
Mais donc pas adapté…</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tc={FD20BE71-51BC-9248-B846-4B00F2A489D1}</author>
    <author>tc={CEDF6F28-E758-A946-873F-600E903DBF23}</author>
    <author>tc={714D9BD5-569A-7746-8D28-EE0807D930C4}</author>
    <author>tc={1F89621F-4A5C-4ECD-A7C6-DD10AB56DF40}</author>
    <author>tc={B900B938-91F0-4B4A-A185-03AC7265E148}</author>
    <author>tc={B48A7EC2-5765-D74D-8FD6-A72604DA4537}</author>
    <author>tc={95402D26-313F-48EA-8BE2-DDC426A476B2}</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tc={503E1939-9AA8-9C41-89C0-EFC69AC79A10}</author>
    <author>tc={0CF29C07-A470-4C7E-BB1B-C82F21208545}</author>
    <author>tc={015E6B0C-9481-45DD-953B-0C69799561A8}</author>
    <author>tc={B235209A-7B9D-8E41-9B21-8FAE478F4F5E}</author>
    <author>tc={3163C301-BF45-42AC-9B93-9FA29CCC4160}</author>
    <author>tc={E4B924E1-C80E-F54A-9F2A-990A48DF3558}</author>
    <author>tc={2D861FDF-831C-374B-ABFF-7A27C557F59A}</author>
    <author>tc={F63CD7B6-7D33-47AE-8986-700F3EE32D5A}</author>
    <author>tc={AFBD8163-21DB-4F2E-A156-57821D6A83BF}</author>
    <author>tc={FF1AF53E-AE58-E849-A74B-33EB38D418D2}</author>
    <author>tc={85B1EF9F-47F0-CE46-887A-E909D7720A3B}</author>
    <author>tc={549DE6E2-3511-C04B-8E4F-68D4D815B7F2}</author>
    <author>tc={925BDB3E-FDC8-4AE9-BBEA-7ACEF4FDDB2C}</author>
    <author>tc={8AEC1623-DDE1-47FA-B84D-C6A42BA263BB}</author>
    <author>tc={8E205FAD-EC7F-CB4F-A2BB-B0DB29358552}</author>
    <author>tc={E02762B5-82E6-5440-B82E-11E23C871FE9}</author>
    <author>tc={163F467C-493A-FF4B-9552-51468A23F970}</author>
    <author>tc={8DE310B9-0615-45CC-A644-35176EC52B6C}</author>
    <author>tc={75588454-9F61-0E44-BD9B-A83C2445A9CD}</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tc={012A24E5-1C61-C948-94EB-DA71996DDD0A}</author>
    <author>tc={7E6D1FD8-7FC2-45FF-B55C-B3CE3EE247FA}</author>
    <author>tc={038EEFBA-873D-BF4F-BC98-82BD5944D394}</author>
    <author>tc={B4579BF8-D5A6-954A-AF8B-D211E912E114}</author>
    <author>tc={15C8D4A9-7DA5-7B4D-998E-FB4B7E3D200B}</author>
    <author>tc={7BED2FAB-053B-044B-A4B2-EA939D9441D5}</author>
    <author>tc={F6DBF483-4352-48F3-A605-280A47B8FAE1}</author>
    <author>tc={9EEEA36D-4CCB-4E28-A80B-46F1DF7D5A2C}</author>
    <author>tc={81700F22-8DFB-6A4A-BE92-3A0EE1C56D87}</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tc={2A4824BB-D066-2140-83DE-B56414A54146}</author>
    <author>tc={0E967918-B0FF-874A-A786-2C84A1372A97}</author>
    <author>tc={9C971BC8-B630-4062-8B21-00AD945C0670}</author>
    <author>tc={1045B670-B272-44B0-BDBC-183806654ACA}</author>
    <author>tc={B9304D63-9F9D-964F-8F86-CF50B77BBC82}</author>
    <author>tc={564332DB-ADA6-844E-907A-3843E012B57E}</author>
    <author>tc={66A8A844-C989-4951-BC67-0C2CE4D72C41}</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tc={7C96A85F-62E6-934A-BD5E-8CBADF54B117}</author>
    <author>tc={456C6261-46FE-47A3-ABE3-21780523066A}</author>
    <author>tc={F862C684-B65A-4FC1-AEC4-870221995080}</author>
    <author>tc={6EB96170-F11A-4E55-BFF9-911EA46C448F}</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tc={7364402D-5058-2242-A016-E8B1E4183D63}</author>
    <author>tc={07B5D5D0-B502-47B6-A891-DAEF39BCC4D8}</author>
    <author>tc={8BCB09BF-A48C-8242-B3C8-18F71F97C7AD}</author>
    <author>tc={F7E40DD6-D14F-4AC4-95ED-C43838656AE4}</author>
    <author>tc={3A4DE914-B324-41EC-B1CE-789615C59923}</author>
    <author>tc={A9F8EF48-108A-4EAB-A6C9-DAA6E6A1C56C}</author>
    <author>tc={BACFA223-4DEE-A546-BEB9-1FAFD40935A9}</author>
    <author>tc={E40A2F45-E340-487F-9FD6-2404E4F5A700}</author>
    <author>tc={9EEB9362-90F5-494F-BB71-06EF0D54376B}</author>
    <author>tc={CB950F1D-7F07-43E1-850B-913CBE20F585}</author>
    <author>tc={258F99A5-CCAC-44B3-9CB2-E5E5FB7A031F}</author>
    <author>tc={B13CB5B2-E438-4033-8E1A-8B428C2D7B3E}</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tc={3D102970-2CAE-5747-9D73-A1FBE73590AC}</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tc={9492776C-BD80-A948-A725-AF6FDE3618AF}</author>
    <author>tc={7956E747-37D5-1E41-A985-638079B0C38D}</author>
    <author>tc={C8748D8D-BB3A-4C14-BADE-D16F62306724}</author>
    <author>tc={A20A2C1A-91AD-C74B-9B6E-BAA04D2F7B3E}</author>
    <author>tc={3E4494E4-4D0B-482E-8C44-6CA902FCAA01}</author>
    <author>tc={12397E16-0DD2-4B81-8BEC-31510D881B5D}</author>
    <author>tc={D6BBFD18-B7C3-44E9-AAAF-C0520A0384D3}</author>
    <author>tc={3792C7C2-9F65-4E58-AF0D-9CB49954D7C2}</author>
    <author>tc={56075946-9C3F-8345-89AE-75C567E0E491}</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U8" authorId="2" shapeId="0" xr:uid="{FD20BE71-51BC-9248-B846-4B00F2A489D1}">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B9" authorId="3"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4"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5"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6"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S17" authorId="7" shapeId="0" xr:uid="{B48A7EC2-5765-D74D-8FD6-A72604DA4537}">
      <text>
        <t>[Threaded comment]
Your version of Excel allows you to read this threaded comment; however, any edits to it will get removed if the file is opened in a newer version of Excel. Learn more: https://go.microsoft.com/fwlink/?linkid=870924
Comment:
    Format : codeLabelComment
Détails : référence vers la nomenclature
Type Java : name</t>
      </text>
    </comment>
    <comment ref="U17" authorId="8" shapeId="0" xr:uid="{95402D26-313F-48EA-8BE2-DDC426A476B2}">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8" authorId="9"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20" authorId="10"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21" authorId="11"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2" authorId="12"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2" authorId="13"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3" authorId="14"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3" authorId="15" shapeId="0" xr:uid="{503E1939-9AA8-9C41-89C0-EFC69AC79A10}">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4" authorId="16" shapeId="0" xr:uid="{0CF29C07-A470-4C7E-BB1B-C82F21208545}">
      <text>
        <t>[Threaded comment]
Your version of Excel allows you to read this threaded comment; however, any edits to it will get removed if the file is opened in a newer version of Excel. Learn more: https://go.microsoft.com/fwlink/?linkid=870924
Comment:
    Juste une énumération pour l'instant, pas de nomenclature dispo.</t>
      </text>
    </comment>
    <comment ref="D25" authorId="17" shapeId="0" xr:uid="{015E6B0C-9481-45DD-953B-0C69799561A8}">
      <text>
        <t>[Threaded comment]
Your version of Excel allows you to read this threaded comment; however, any edits to it will get removed if the file is opened in a newer version of Excel. Learn more: https://go.microsoft.com/fwlink/?linkid=870924
Comment:
    Totalement redondant avec le devenir du patient</t>
      </text>
    </comment>
    <comment ref="K26" authorId="18" shapeId="0" xr:uid="{B235209A-7B9D-8E41-9B21-8FAE478F4F5E}">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U26" authorId="19" shapeId="0" xr:uid="{3163C301-BF45-42AC-9B93-9FA29CCC4160}">
      <text>
        <t>[Threaded comment]
Your version of Excel allows you to read this threaded comment; however, any edits to it will get removed if the file is opened in a newer version of Excel. Learn more: https://go.microsoft.com/fwlink/?linkid=870924
Comment:
    Nomenclature SI-SAMU DEVENIRD</t>
      </text>
    </comment>
    <comment ref="D27" authorId="20"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7" authorId="21" shapeId="0" xr:uid="{2D861FDF-831C-374B-ABFF-7A27C557F59A}">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7" authorId="22" shapeId="0" xr:uid="{F63CD7B6-7D33-47AE-8986-700F3EE32D5A}">
      <text>
        <t>[Threaded comment]
Your version of Excel allows you to read this threaded comment; however, any edits to it will get removed if the file is opened in a newer version of Excel. Learn more: https://go.microsoft.com/fwlink/?linkid=870924
Comment:
    Nomenclature PRIORITE (fichier SI-SAMU envoyé par Philippe)</t>
      </text>
    </comment>
    <comment ref="U28" authorId="23" shapeId="0" xr:uid="{AFBD8163-21DB-4F2E-A156-57821D6A83BF}">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X30" authorId="24" shapeId="0" xr:uid="{FF1AF53E-AE58-E849-A74B-33EB38D418D2}">
      <text>
        <t>[Threaded comment]
Your version of Excel allows you to read this threaded comment; however, any edits to it will get removed if the file is opened in a newer version of Excel. Learn more: https://go.microsoft.com/fwlink/?linkid=870924
Comment:
    Vu l’ENUM je ne pense pas que ça corresponde à ce que veut le métier donc je pense qu’il faut mieux l’enlever !
Reply:
    On l'avait bien précisé à Philippe et Bruno que ça ne serait pas des chiffres 4, 5, mais ils trouvaient le champ intéressant quand même</t>
      </text>
    </comment>
    <comment ref="C35" authorId="25"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5" authorId="26" shapeId="0" xr:uid="{549DE6E2-3511-C04B-8E4F-68D4D815B7F2}">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6" authorId="27"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6" authorId="28"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K39" authorId="29" shapeId="0" xr:uid="{8E205FAD-EC7F-CB4F-A2BB-B0DB29358552}">
      <text>
        <t>[Threaded comment]
Your version of Excel allows you to read this threaded comment; however, any edits to it will get removed if the file is opened in a newer version of Excel. Learn more: https://go.microsoft.com/fwlink/?linkid=870924
Comment:
    Migrer vers ID</t>
      </text>
    </comment>
    <comment ref="U43" authorId="30" shapeId="0" xr:uid="{E02762B5-82E6-5440-B82E-11E23C871FE9}">
      <text>
        <t>[Threaded comment]
Your version of Excel allows you to read this threaded comment; however, any edits to it will get removed if the file is opened in a newer version of Excel. Learn more: https://go.microsoft.com/fwlink/?linkid=870924
Comment:
    @Elodie FALCIONI (EXT) Mettre une regex ?
Reply:
    Oui ? Je regarderai ça cet été, j'ai mis les champs, j'ai pas formatté pour l'instant. Aucune idée de comment ça fonctionne.</t>
      </text>
    </comment>
    <comment ref="U44" authorId="31" shapeId="0" xr:uid="{163F467C-493A-FF4B-9552-51468A23F970}">
      <text>
        <t>[Threaded comment]
Your version of Excel allows you to read this threaded comment; however, any edits to it will get removed if the file is opened in a newer version of Excel. Learn more: https://go.microsoft.com/fwlink/?linkid=870924
Comment:
    @Elodie FALCIONI (EXT) Mettre une ENUM ?
Reply:
    J'ai pas l'impression que y'en ai une : idem, sujet à creuser cet été</t>
      </text>
    </comment>
    <comment ref="D51" authorId="32"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W53" authorId="33" shapeId="0" xr:uid="{75588454-9F61-0E44-BD9B-A83C2445A9CD}">
      <text>
        <t>[Threaded comment]
Your version of Excel allows you to read this threaded comment; however, any edits to it will get removed if the file is opened in a newer version of Excel. Learn more: https://go.microsoft.com/fwlink/?linkid=870924
Comment:
    Passe aussi l’information du pays en 99XXX</t>
      </text>
    </comment>
    <comment ref="C55" authorId="34"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64" authorId="35"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67" authorId="36"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76" authorId="37"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77" authorId="38"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77" authorId="39"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77" authorId="40" shapeId="0" xr:uid="{012A24E5-1C61-C948-94EB-DA71996DDD0A}">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78" authorId="41"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K78" authorId="42" shapeId="0" xr:uid="{038EEFBA-873D-BF4F-BC98-82BD5944D394}">
      <text>
        <t>[Threaded comment]
Your version of Excel allows you to read this threaded comment; however, any edits to it will get removed if the file is opened in a newer version of Excel. Learn more: https://go.microsoft.com/fwlink/?linkid=870924
Comment:
    Migrer vers externalAddressId</t>
      </text>
    </comment>
    <comment ref="K79" authorId="43" shapeId="0" xr:uid="{B4579BF8-D5A6-954A-AF8B-D211E912E114}">
      <text>
        <t>[Threaded comment]
Your version of Excel allows you to read this threaded comment; however, any edits to it will get removed if the file is opened in a newer version of Excel. Learn more: https://go.microsoft.com/fwlink/?linkid=870924
Comment:
    Migrer vers source</t>
      </text>
    </comment>
    <comment ref="K81" authorId="44" shapeId="0" xr:uid="{15C8D4A9-7DA5-7B4D-998E-FB4B7E3D200B}">
      <text>
        <t>[Threaded comment]
Your version of Excel allows you to read this threaded comment; however, any edits to it will get removed if the file is opened in a newer version of Excel. Learn more: https://go.microsoft.com/fwlink/?linkid=870924
Comment:
    Migrer vers ID</t>
      </text>
    </comment>
    <comment ref="C82" authorId="45" shapeId="0" xr:uid="{7BED2FAB-053B-044B-A4B2-EA939D9441D5}">
      <text>
        <t>[Threaded comment]
Your version of Excel allows you to read this threaded comment; however, any edits to it will get removed if the file is opened in a newer version of Excel. Learn more: https://go.microsoft.com/fwlink/?linkid=870924
Comment:
    A enlever car géré dans le code INSEE -&gt; le spécifier dans la description de la balise du code INSEE
Reply:
    Etranger : 99 + code pays https://medecine.univ-lorraine.fr/sites/medecine.univ-lorraine.fr/files/users/DU_DIU/03_codes_pays.pdf</t>
      </text>
    </comment>
    <comment ref="H82" authorId="46"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X82" authorId="47" shapeId="0" xr:uid="{9EEEA36D-4CCB-4E28-A80B-46F1DF7D5A2C}">
      <text>
        <t>[Threaded comment]
Your version of Excel allows you to read this threaded comment; however, any edits to it will get removed if the file is opened in a newer version of Excel. Learn more: https://go.microsoft.com/fwlink/?linkid=870924
Comment:
    Le RS-EDA-SMUR n'a pas le champ Pays comme il peut être déterminé via le code INSEE plus haut
Reply:
    Ca serait plutôt à répercuter partout que faire des exceptions !
Reply:
    Je le mets</t>
      </text>
    </comment>
    <comment ref="X83" authorId="48" shapeId="0" xr:uid="{81700F22-8DFB-6A4A-BE92-3A0EE1C56D87}">
      <text>
        <t>[Threaded comment]
Your version of Excel allows you to read this threaded comment; however, any edits to it will get removed if the file is opened in a newer version of Excel. Learn more: https://go.microsoft.com/fwlink/?linkid=870924
Comment:
    Pas nécessaire ???!!!
Reply:
    Si c'est un oubli je pense</t>
      </text>
    </comment>
    <comment ref="B84" authorId="49"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84" authorId="50"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85" authorId="51"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85" authorId="52"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86" authorId="53"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88" authorId="54"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88" authorId="55" shapeId="0" xr:uid="{2A4824BB-D066-2140-83DE-B56414A54146}">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X88" authorId="56" shapeId="0" xr:uid="{0E967918-B0FF-874A-A786-2C84A1372A97}">
      <text>
        <t>[Threaded comment]
Your version of Excel allows you to read this threaded comment; however, any edits to it will get removed if the file is opened in a newer version of Excel. Learn more: https://go.microsoft.com/fwlink/?linkid=870924
Comment:
    Idem je pense que ça vaut le coup en 15-SMUR ! Par contre, je ne pense pas que ça doive être présent en 15-18 !
Reply:
    En 15-18 c'est le commentaire de l'alerte initiale (il est presque indispensable), je ne sais plus pourquoi Philippe et Bruno n'ont pas conservé ces champs, je peux les ajouter</t>
      </text>
    </comment>
    <comment ref="D90" authorId="57" shapeId="0" xr:uid="{9C971BC8-B630-4062-8B21-00AD945C0670}">
      <text>
        <t xml:space="preserve">[Threaded comment]
Your version of Excel allows you to read this threaded comment; however, any edits to it will get removed if the file is opened in a newer version of Excel. Learn more: https://go.microsoft.com/fwlink/?linkid=870924
Comment:
    Permet de passer les informations spécifiques à l' ARM sur le dossier </t>
      </text>
    </comment>
    <comment ref="H92" authorId="58"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93" authorId="59" shapeId="0" xr:uid="{B9304D63-9F9D-964F-8F86-CF50B77BBC82}">
      <text>
        <t>[Threaded comment]
Your version of Excel allows you to read this threaded comment; however, any edits to it will get removed if the file is opened in a newer version of Excel. Learn more: https://go.microsoft.com/fwlink/?linkid=870924
Comment:
    Mettre une ENUM</t>
      </text>
    </comment>
    <comment ref="U94" authorId="60"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H96" authorId="61" shapeId="0" xr:uid="{66A8A844-C989-4951-BC67-0C2CE4D72C4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96" authorId="62"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
Reply:
    @Romain FOUILLAND @Daphné LECCIA (EXT) : pourquoi ce n'est pas le contact de contre appel qui est obligatoire ici ?
Reply: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Reply:
    Côté SAMU le contact requérant = contact de contre appel (sauf si précisé autrement). Il faut savoir qui rappeler en fait.
Peut être qu'il faut le préciser : on met le contact de contre appel seulement s'il est différent du numéro de l'appelant ? 
Reply:
    &gt; on met le contact de contre appel seulement s'il est différent du numéro de l'appelant ? 
Oui c'est ça la logique</t>
      </text>
    </comment>
    <comment ref="H97" authorId="63"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U98" authorId="64" shapeId="0" xr:uid="{EC4CA26B-FA56-44B7-9485-D7650DC1B372}">
      <text>
        <t xml:space="preserve">[Threaded comment]
Your version of Excel allows you to read this threaded comment; however, any edits to it will get removed if the file is opened in a newer version of Excel. Learn more: https://go.microsoft.com/fwlink/?linkid=870924
Comment:
    NOMENCLATURE: 
fichier Nomenclatures EDA, 
onglet Type de requérant
Nom de la nomenclature : TYPAPPLT
Nomenclatures EDA.xlsx </t>
      </text>
    </comment>
    <comment ref="U99" authorId="65" shapeId="0" xr:uid="{0EC36618-96EE-478D-81B9-54F0CAEE9F88}">
      <text>
        <t>[Threaded comment]
Your version of Excel allows you to read this threaded comment; however, any edits to it will get removed if the file is opened in a newer version of Excel. Learn more: https://go.microsoft.com/fwlink/?linkid=870924
Comment:
    NOMENCLATURE: PBAPL_v1r01a.csv</t>
      </text>
    </comment>
    <comment ref="D100" authorId="66"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100" authorId="67"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100" authorId="68" shapeId="0" xr:uid="{7C96A85F-62E6-934A-BD5E-8CBADF54B117}">
      <text>
        <t>[Threaded comment]
Your version of Excel allows you to read this threaded comment; however, any edits to it will get removed if the file is opened in a newer version of Excel. Learn more: https://go.microsoft.com/fwlink/?linkid=870924
Comment:
    freetext ?</t>
      </text>
    </comment>
    <comment ref="E101" authorId="69"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104" authorId="70"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104" authorId="71"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C105" authorId="72"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105" authorId="73"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05" authorId="74"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Q106" authorId="75" shapeId="0" xr:uid="{CC5C1D76-D97F-4BE5-B966-DD495B85204C}">
      <text>
        <t>[Threaded comment]
Your version of Excel allows you to read this threaded comment; however, any edits to it will get removed if the file is opened in a newer version of Excel. Learn more: https://go.microsoft.com/fwlink/?linkid=870924
Comment:
    Retour de Philippe : peut-on le passer en optionnel, ce qui n'oblige pas les SAMU à répéter la qualification à chaque fois ?</t>
      </text>
    </comment>
    <comment ref="D108" authorId="76"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108" authorId="77"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10" authorId="78"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10" authorId="79"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10" authorId="80" shapeId="0" xr:uid="{17677DF8-67EB-4AE7-861C-BE96B97E6CBC}">
      <text>
        <t xml:space="preserve">[Threaded comment]
Your version of Excel allows you to read this threaded comment; however, any edits to it will get removed if the file is opened in a newer version of Excel. Learn more: https://go.microsoft.com/fwlink/?linkid=870924
Comment:
    NOMENCLATURE: PERSO (nomenclature SI-SAMU)
Reply:
    Pas trouvée https://github.com/ansforge/SAMU-Hub-Modeles/tree/auto/model_tracker/nomenclature_parser/out/latest/csv </t>
      </text>
    </comment>
    <comment ref="H111" authorId="81"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X113" authorId="82" shapeId="0" xr:uid="{7364402D-5058-2242-A016-E8B1E4183D63}">
      <text>
        <t>[Threaded comment]
Your version of Excel allows you to read this threaded comment; however, any edits to it will get removed if the file is opened in a newer version of Excel. Learn more: https://go.microsoft.com/fwlink/?linkid=870924
Comment:
    A priori, peut-être plutôt le mettre partout pour le moment !
Reply:
    OK</t>
      </text>
    </comment>
    <comment ref="T114" authorId="83"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U114" authorId="84"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D119" authorId="85"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U120" authorId="86" shapeId="0" xr:uid="{3A4DE914-B324-41EC-B1CE-789615C59923}">
      <text>
        <t>[Threaded comment]
Your version of Excel allows you to read this threaded comment; however, any edits to it will get removed if the file is opened in a newer version of Excel. Learn more: https://go.microsoft.com/fwlink/?linkid=870924
Comment:
    Implémenter ici la liste des valeurs fr.health.samu possible.</t>
      </text>
    </comment>
    <comment ref="B121" authorId="87"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X121" authorId="88" shapeId="0" xr:uid="{BACFA223-4DEE-A546-BEB9-1FAFD40935A9}">
      <text>
        <t>[Threaded comment]
Your version of Excel allows you to read this threaded comment; however, any edits to it will get removed if the file is opened in a newer version of Excel. Learn more: https://go.microsoft.com/fwlink/?linkid=870924
Comment:
    Pourquoi pas ne le passer en 15-SMUR ? Ca peut permettre de savoir quel médecin régulateur a traité le dossier donc pratique lors du bilan/demande</t>
      </text>
    </comment>
    <comment ref="B125" authorId="89" shapeId="0" xr:uid="{E40A2F45-E340-487F-9FD6-2404E4F5A700}">
      <text>
        <t>[Threaded comment]
Your version of Excel allows you to read this threaded comment; however, any edits to it will get removed if the file is opened in a newer version of Excel. Learn more: https://go.microsoft.com/fwlink/?linkid=870924
Comment:
    A renvoyer dans le SGV
Reply:
    On va sortir ça dans un message séparé : ça impacte mes cinématiques sur tout ce qui est déjà publié, donc j'attends qu'on arbitre le 26 sur les mises à jour pour le faire.</t>
      </text>
    </comment>
    <comment ref="C125" authorId="90"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29" authorId="91" shapeId="0" xr:uid="{CB950F1D-7F07-43E1-850B-913CBE20F585}">
      <text>
        <t>[Threaded comment]
Your version of Excel allows you to read this threaded comment; however, any edits to it will get removed if the file is opened in a newer version of Excel. Learn more: https://go.microsoft.com/fwlink/?linkid=870924
Comment:
    ENUM ?
Reply:
    C’est quoi DOSSARD et PLACE ?
Reply:
    @Elodie FALCIONI (EXT) Toujours la même question ? Ca vient de qui ?
Reply:
    Ca vient du 15-18 avant que je sois là. Je pense que ça vient des pompiers ?
Reply:
    Place c'est pour les crash d'avion ou de train ? 
et dossard pour les attentats pendant les marathons ?</t>
      </text>
    </comment>
    <comment ref="H131" authorId="92"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31" authorId="93"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U137" authorId="94"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H139" authorId="95"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39" authorId="96"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44" authorId="97"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45" authorId="98"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U145" authorId="99"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
Reply:
    Donc 15 chiffres ? Si oui: “REGEX: \d{15}”
Reply:
    Non potentiellement y'a des lettres, la Corse c'est 2A par ex
Reply:
    Dans ce cas : "REGEX: \w{13}\d{2}" ? Où la lettre (\w word) est à un endroit précis et tout le reste est des chiffres (\d digit) ?</t>
      </text>
    </comment>
    <comment ref="E146" authorId="100"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U146" authorId="101"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
Reply:
    Ce sont que les 7 valeurs du PDF ? Si oui, directement une ENUM non ?</t>
      </text>
    </comment>
    <comment ref="D147" authorId="102"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V148" authorId="103" shapeId="0" xr:uid="{D6A4834D-81B9-1044-9BF4-F87F74ACF5B3}">
      <text>
        <t>[Threaded comment]
Your version of Excel allows you to read this threaded comment; however, any edits to it will get removed if the file is opened in a newer version of Excel. Learn more: https://go.microsoft.com/fwlink/?linkid=870924
Comment:
    Donc on passe pas les nom / prénom des victimes en 15-NexSIS ?</t>
      </text>
    </comment>
    <comment ref="X149" authorId="104" shapeId="0" xr:uid="{3D102970-2CAE-5747-9D73-A1FBE73590AC}">
      <text>
        <t>[Threaded comment]
Your version of Excel allows you to read this threaded comment; however, any edits to it will get removed if the file is opened in a newer version of Excel. Learn more: https://go.microsoft.com/fwlink/?linkid=870924
Comment:
    Pas le prénom ??</t>
      </text>
    </comment>
    <comment ref="U152" authorId="105" shapeId="0" xr:uid="{014DE198-64E2-4507-A3FC-DF421F511779}">
      <text>
        <t>[Threaded comment]
Your version of Excel allows you to read this threaded comment; however, any edits to it will get removed if the file is opened in a newer version of Excel. Learn more: https://go.microsoft.com/fwlink/?linkid=870924
Comment:
    Implémenter la nomenclature CISU (cf. Fichier transmis par Philippe)</t>
      </text>
    </comment>
    <comment ref="E153" authorId="106"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U153" authorId="107"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
Reply:
    Juste 5 chiffres ou lettres non ? Si oui, “REGEX: \w{5}”</t>
      </text>
    </comment>
    <comment ref="C155" authorId="108"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U155" authorId="109" shapeId="0" xr:uid="{FFA7F0E1-3845-469A-B7CF-A4621D3089F0}">
      <text>
        <t>[Threaded comment]
Your version of Excel allows you to read this threaded comment; however, any edits to it will get removed if the file is opened in a newer version of Excel. Learn more: https://go.microsoft.com/fwlink/?linkid=870924
Comment:
    Idem nomenclature 15-18 car exactement le même objet</t>
      </text>
    </comment>
    <comment ref="D157" authorId="110"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59" authorId="111"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U160" authorId="112" shapeId="0" xr:uid="{2D9ECE82-3D73-4587-8C50-69F305FE6D3A}">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U162" authorId="113" shapeId="0" xr:uid="{000D1EF5-EA8D-4028-887E-09B730402CB5}">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
Reply:
    A confirmer mais j’ai l’impression que c’est XXXX.X =&gt; “REGEX: \w{4}(\.\w)?”</t>
      </text>
    </comment>
    <comment ref="Q163" authorId="114"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U163" authorId="115" shapeId="0" xr:uid="{55DD76D7-71AA-4415-B5EF-4C960C6C5F04}">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C164" authorId="116"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U164" authorId="117" shapeId="0" xr:uid="{522C021E-FCFD-4A22-8243-F9B9E8F1567F}">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D168" authorId="118"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78" authorId="119" shapeId="0" xr:uid="{6542F462-2A54-48A5-9A62-7E7CFBDF2B9A}">
      <text>
        <t>[Threaded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Reply:
    Faut-il un ID technique par décision prise?</t>
      </text>
    </comment>
    <comment ref="U181" authorId="120" shapeId="0" xr:uid="{4DB9FC1B-FE92-4AA7-B2F3-BFF17D976413}">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K193" authorId="121" shapeId="0" xr:uid="{9492776C-BD80-A948-A725-AF6FDE3618AF}">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W193" authorId="122" shapeId="0" xr:uid="{7956E747-37D5-1E41-A985-638079B0C38D}">
      <text>
        <t>[Threaded comment]
Your version of Excel allows you to read this threaded comment; however, any edits to it will get removed if the file is opened in a newer version of Excel. Learn more: https://go.microsoft.com/fwlink/?linkid=870924
Comment:
    A revoir plus tard où est passé ce type d’information (s’il est passé)</t>
      </text>
    </comment>
    <comment ref="E196" authorId="123" shapeId="0" xr:uid="{C8748D8D-BB3A-4C14-BADE-D16F62306724}">
      <text>
        <t>[Threaded comment]
Your version of Excel allows you to read this threaded comment; however, any edits to it will get removed if the file is opened in a newer version of Excel. Learn more: https://go.microsoft.com/fwlink/?linkid=870924
Comment:
    Ajouté suite au retour de Philippe</t>
      </text>
    </comment>
    <comment ref="U196" authorId="124" shapeId="0" xr:uid="{A20A2C1A-91AD-C74B-9B6E-BAA04D2F7B3E}">
      <text>
        <t>[Threaded comment]
Your version of Excel allows you to read this threaded comment; however, any edits to it will get removed if the file is opened in a newer version of Excel. Learn more: https://go.microsoft.com/fwlink/?linkid=870924
Comment:
    A nettoyer ! Il faut une nomenclature propre derrière pas une liste à la Prévert
Reply:
    Demandé, et en cours.</t>
      </text>
    </comment>
    <comment ref="C198" authorId="125"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98" authorId="126"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A199" authorId="127"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99" authorId="128" shapeId="0" xr:uid="{3792C7C2-9F65-4E58-AF0D-9CB49954D7C2}">
      <text>
        <t>[Threaded comment]
Your version of Excel allows you to read this threaded comment; however, any edits to it will get removed if the file is opened in a newer version of Excel. Learn more: https://go.microsoft.com/fwlink/?linkid=870924
Comment:
    Différent en inter-force : contient des infos sur l'affaire de type 'la voiture est retourné', 'forcené sur les lieux'. C'est donc différent des info purement patient/victime.</t>
      </text>
    </comment>
    <comment ref="Q201" authorId="129" shapeId="0" xr:uid="{56075946-9C3F-8345-89AE-75C567E0E491}">
      <text>
        <t>[Threaded comment]
Your version of Excel allows you to read this threaded comment; however, any edits to it will get removed if the file is opened in a newer version of Excel. Learn more: https://go.microsoft.com/fwlink/?linkid=870924
Comment:
    Bien 0..3</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tc={01361339-10D3-48AC-A489-2044EDD6D1C5}</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C102" authorId="2" shapeId="0" xr:uid="{01361339-10D3-48AC-A489-2044EDD6D1C5}">
      <text>
        <t>[Threaded comment]
Your version of Excel allows you to read this threaded comment; however, any edits to it will get removed if the file is opened in a newer version of Excel. Learn more: https://go.microsoft.com/fwlink/?linkid=870924
Comment:
    Le type de vecteur (ex. VLM, AR, VSAV, etc.) est indiqué dans le nom</t>
      </text>
    </comment>
    <comment ref="D109" authorId="3"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tc={4FC34D19-52DE-449A-AEA2-BE9696950733}</author>
    <author>tc={5C2C82CE-4819-4786-825F-A15C43C07BD1}</author>
    <author>tc={2B8BB9CF-F24E-4529-8CF6-DE80AE8CF1AA}</author>
    <author>tc={953CCFA9-18F1-49C4-ABCE-A8F9A60BE853}</author>
    <author>tc={EB99A250-0835-4FCD-8985-4DBA667A0067}</author>
    <author>tc={22BD1288-E0C6-964D-8449-E80317449401}</author>
    <author>tc={E2DB24A4-1E97-4CF6-8E77-B121328CAC25}</author>
    <author>tc={E80AFE3B-8130-4DEB-9395-FB04C70212E3}</author>
    <author>tc={EDD2F26A-0557-4900-A890-3DE1CD3F9206}</author>
    <author>tc={38D22A15-7BA4-4C71-9C64-E58F628C4E93}</author>
  </authors>
  <commentList>
    <comment ref="H1" authorId="0" shapeId="0" xr:uid="{4FC34D19-52DE-449A-AEA2-BE9696950733}">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5C2C82CE-4819-4786-825F-A15C43C07BD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2B8BB9CF-F24E-4529-8CF6-DE80AE8CF1AA}">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953CCFA9-18F1-49C4-ABCE-A8F9A60BE853}">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B10" authorId="4" shapeId="0" xr:uid="{EB99A250-0835-4FCD-8985-4DBA667A0067}">
      <text>
        <t>[Threaded comment]
Your version of Excel allows you to read this threaded comment; however, any edits to it will get removed if the file is opened in a newer version of Excel. Learn more: https://go.microsoft.com/fwlink/?linkid=870924
Comment:
    A-t-on vraiment besoin d'un ID de mission partagée ? Puisqu'on rattache déjà le dossier à un dossier partagé ?</t>
      </text>
    </comment>
    <comment ref="B11" authorId="5" shapeId="0" xr:uid="{22BD1288-E0C6-964D-8449-E80317449401}">
      <text>
        <t>[Threaded comment]
Your version of Excel allows you to read this threaded comment; however, any edits to it will get removed if the file is opened in a newer version of Excel. Learn more: https://go.microsoft.com/fwlink/?linkid=870924
Comment:
    A confirmer avec Philippe mais il avait demandé plus de champs côté 15-NexSIS (cf partie 2.3.4.2.8 du DSF https://hub.esante.gouv.fr/resources/24.03.18_Hub%20Sante_Dossier%20des%20Specifications.pdf) type immatriculation, nom, capacité/type/caract, ..
Reply:
    Oui mais là, je fais macro. Honnetement la marque, le modèle, etc ça interesse personne en 15-15. 
Reply:
    J'ai ajouté la plupart des champs demandé par philippe. A part l'équipement supplémentaires, ou je pense que le commentaire freetext suffit</t>
      </text>
    </comment>
    <comment ref="P42" authorId="6" shapeId="0" xr:uid="{E2DB24A4-1E97-4CF6-8E77-B121328CAC25}">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P47" authorId="7" shapeId="0" xr:uid="{E80AFE3B-8130-4DEB-9395-FB04C70212E3}">
      <text>
        <t>[Threaded comment]
Your version of Excel allows you to read this threaded comment; however, any edits to it will get removed if the file is opened in a newer version of Excel. Learn more: https://go.microsoft.com/fwlink/?linkid=870924
Comment:
    A nettoyer ! Il faut une nomenclature propre derrière pas une liste à la Prévert
Reply:
    Demandé, et en cours.</t>
      </text>
    </comment>
    <comment ref="N48" authorId="8" shapeId="0" xr:uid="{EDD2F26A-0557-4900-A890-3DE1CD3F9206}">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L76" authorId="9" shapeId="0" xr:uid="{38D22A15-7BA4-4C71-9C64-E58F628C4E93}">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tc={2A3E4B9B-5881-4B0A-8BC9-E70E8861F387}</author>
    <author>tc={490AA5DC-643D-4479-A3E9-8CF54FBA8A3D}</author>
    <author>tc={03BECA0F-0C96-480B-BD92-5AE9B88EB0A7}</author>
    <author>tc={D249D2FC-70B5-4233-9E6E-B511D09AF254}</author>
    <author>tc={1B373D99-75B5-4C99-897C-231F6E0144FE}</author>
    <author>tc={B34685CE-7E85-4538-A295-D11534BA03B8}</author>
    <author>tc={4DA601C9-6AF5-499E-857A-82256D1E8538}</author>
  </authors>
  <commentList>
    <comment ref="B8" authorId="0" shapeId="0" xr:uid="{2A3E4B9B-5881-4B0A-8BC9-E70E8861F387}">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4" authorId="1" shapeId="0" xr:uid="{490AA5DC-643D-4479-A3E9-8CF54FBA8A3D}">
      <text>
        <t>[Threaded comment]
Your version of Excel allows you to read this threaded comment; however, any edits to it will get removed if the file is opened in a newer version of Excel. Learn more: https://go.microsoft.com/fwlink/?linkid=870924
Comment:
    Définir unité (heure / minutes, etc.)</t>
      </text>
    </comment>
    <comment ref="C15" authorId="2" shapeId="0" xr:uid="{03BECA0F-0C96-480B-BD92-5AE9B88EB0A7}">
      <text>
        <t>[Threaded comment]
Your version of Excel allows you to read this threaded comment; however, any edits to it will get removed if the file is opened in a newer version of Excel. Learn more: https://go.microsoft.com/fwlink/?linkid=870924
Comment:
    Liste + codes associés (pas EMSI)</t>
      </text>
    </comment>
    <comment ref="P15" authorId="3" shapeId="0" xr:uid="{D249D2FC-70B5-4233-9E6E-B511D09AF254}">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P18" authorId="4" shapeId="0" xr:uid="{1B373D99-75B5-4C99-897C-231F6E0144FE}">
      <text>
        <t>[Threaded comment]
Your version of Excel allows you to read this threaded comment; however, any edits to it will get removed if the file is opened in a newer version of Excel. Learn more: https://go.microsoft.com/fwlink/?linkid=870924
Comment:
    A nettoyer ! Il faut une nomenclature propre derrière pas une liste à la Prévert
Reply:
    Demandé, et en cours.</t>
      </text>
    </comment>
    <comment ref="N19" authorId="5" shapeId="0" xr:uid="{B34685CE-7E85-4538-A295-D11534BA03B8}">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L47" authorId="6" shapeId="0" xr:uid="{4DA601C9-6AF5-499E-857A-82256D1E8538}">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tc={6FE43FAC-640B-4B23-AE30-C5EC003889C6}</author>
    <author>tc={F655AB1D-01D7-439F-A55F-44DB596DD0AC}</author>
    <author>tc={E48E6C14-8065-49AA-9716-94F0B7E75F37}</author>
    <author>tc={7B4ADB05-75CF-49BA-8B56-02C693943B77}</author>
    <author>tc={DF2AA6CA-FC70-4347-B614-9ADC9E1E6905}</author>
  </authors>
  <commentList>
    <comment ref="H1" authorId="0" shapeId="0" xr:uid="{6FE43FAC-640B-4B23-AE30-C5EC003889C6}">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F655AB1D-01D7-439F-A55F-44DB596DD0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E48E6C14-8065-49AA-9716-94F0B7E75F37}">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C14" authorId="3" shapeId="0" xr:uid="{7B4ADB05-75CF-49BA-8B56-02C693943B77}">
      <text>
        <t xml:space="preserve">[Threaded comment]
Your version of Excel allows you to read this threaded comment; however, any edits to it will get removed if the file is opened in a newer version of Excel. Learn more: https://go.microsoft.com/fwlink/?linkid=870924
Comment:
    Insérer ici motif de non execution. 
Modalités d'exécution (nommage à changer, et fusionner les 2 nomenclatures)
</t>
      </text>
    </comment>
    <comment ref="P40" authorId="4" shapeId="0" xr:uid="{DF2AA6CA-FC70-4347-B614-9ADC9E1E6905}">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List>
</comments>
</file>

<file path=xl/sharedStrings.xml><?xml version="1.0" encoding="utf-8"?>
<sst xmlns="http://schemas.openxmlformats.org/spreadsheetml/2006/main" count="10693" uniqueCount="2852">
  <si>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</si>
  <si>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</si>
  <si>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</si>
  <si>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</si>
  <si>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</si>
  <si>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</si>
  <si>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</si>
  <si>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</si>
  <si>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</si>
  <si>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</si>
  <si>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</si>
  <si>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</si>
  <si>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</si>
  <si>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</si>
  <si>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</si>
  <si>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</si>
  <si>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</si>
  <si>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</si>
  <si>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</si>
  <si>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</si>
  <si>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</si>
  <si>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</si>
  <si>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</si>
  <si>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</si>
  <si>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</si>
  <si>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</si>
  <si>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</si>
  <si>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</si>
  <si>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</si>
  <si>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</si>
  <si>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</si>
  <si>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</si>
  <si>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</si>
  <si>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</si>
  <si>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</si>
  <si>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</si>
  <si>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</si>
  <si>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</si>
  <si>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</si>
  <si>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</si>
  <si>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</si>
  <si>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</si>
  <si>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</si>
  <si>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</si>
  <si>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</si>
  <si>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</si>
  <si>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</si>
  <si>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</si>
  <si>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</si>
  <si>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</si>
  <si>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</si>
  <si>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</si>
  <si>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</si>
  <si>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</si>
  <si>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</si>
  <si>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</si>
  <si>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</si>
  <si>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</si>
  <si>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</si>
  <si>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</si>
  <si>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</si>
  <si>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</si>
  <si>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</si>
  <si>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</si>
  <si>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</si>
  <si>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</si>
  <si>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</si>
  <si>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</si>
  <si>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</si>
  <si>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</si>
  <si>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</si>
  <si>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</si>
  <si>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</si>
  <si>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</si>
  <si>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</si>
  <si>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</si>
  <si>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</si>
  <si>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</si>
  <si>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</si>
  <si>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</si>
  <si>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</si>
  <si>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</si>
  <si>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</si>
  <si>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</si>
  <si>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</si>
  <si>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</si>
  <si>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</si>
  <si>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</si>
  <si>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</si>
  <si>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</si>
  <si>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</si>
  <si>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</si>
  <si>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</si>
  <si>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</si>
  <si>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</si>
  <si>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</si>
  <si>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</si>
  <si>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</si>
  <si>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</si>
  <si>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</si>
  <si>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</si>
  <si>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</si>
  <si>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</si>
  <si>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</si>
  <si>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</si>
  <si>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</si>
  <si>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</si>
  <si>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</si>
  <si>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</si>
  <si>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</si>
  <si>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</si>
  <si>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</si>
  <si>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</si>
  <si>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</si>
  <si>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</si>
  <si>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</si>
  <si>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</si>
  <si>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</si>
  <si>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</si>
  <si>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</si>
  <si>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</si>
  <si>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</si>
  <si>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</si>
  <si>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</si>
  <si>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</si>
  <si>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</si>
  <si>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</si>
  <si>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</si>
  <si>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</si>
  <si>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</si>
  <si>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</si>
  <si>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</si>
  <si>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</si>
  <si>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</si>
  <si>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</si>
  <si>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</si>
  <si>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</si>
  <si>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</si>
  <si>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</si>
  <si>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</si>
  <si>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</si>
  <si>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</si>
  <si>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</si>
  <si>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</si>
  <si>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</si>
  <si>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</si>
  <si>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</si>
  <si>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</si>
  <si>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</si>
  <si>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</si>
  <si>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</si>
  <si>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</si>
  <si>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</si>
  <si>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</si>
  <si>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</si>
  <si>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</si>
  <si>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</si>
  <si>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</si>
  <si>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</si>
  <si>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</si>
  <si>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</si>
  <si>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</si>
  <si>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</si>
  <si>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</si>
  <si>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</si>
  <si>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</si>
  <si>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</si>
  <si>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</si>
  <si>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</si>
  <si>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</si>
  <si>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</si>
  <si>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</si>
  <si>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</si>
  <si>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</si>
  <si>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</si>
  <si>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</si>
  <si>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</si>
  <si>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</si>
  <si>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</si>
  <si>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</si>
  <si>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</si>
  <si>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</si>
  <si>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</si>
  <si>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</si>
  <si>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</si>
  <si>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</si>
  <si>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</si>
  <si>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</si>
  <si>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</si>
  <si>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</si>
  <si>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</si>
  <si>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</si>
  <si>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</si>
  <si>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</si>
  <si>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</si>
  <si>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</si>
  <si>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</si>
  <si>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</si>
  <si>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</si>
  <si>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</si>
  <si>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</si>
  <si>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</si>
  <si>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</si>
  <si>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</si>
  <si>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</si>
  <si>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</si>
  <si>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</si>
  <si>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</si>
  <si>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</si>
  <si>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</si>
  <si>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</si>
  <si>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</si>
  <si>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</si>
  <si>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</si>
  <si>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</si>
  <si>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</si>
  <si>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</si>
  <si>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</si>
  <si>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</si>
  <si>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</si>
  <si>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</si>
  <si>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</si>
  <si>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</si>
  <si>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</si>
  <si>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</si>
  <si>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</si>
  <si>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</si>
  <si>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</si>
  <si>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</si>
  <si>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</si>
  <si>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</si>
  <si>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</si>
  <si>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</si>
  <si>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</si>
  <si>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</si>
  <si>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</si>
  <si>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</si>
  <si>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</si>
  <si>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</si>
  <si>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</si>
  <si>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</si>
  <si>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</si>
  <si>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</si>
  <si>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</si>
  <si>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</si>
  <si>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</si>
  <si>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</si>
  <si>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</si>
  <si>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</si>
  <si>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</si>
  <si>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</si>
  <si>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</si>
  <si>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</si>
  <si>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</si>
  <si>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</si>
  <si>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</si>
  <si>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</si>
  <si>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</si>
  <si>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</si>
  <si>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</si>
  <si>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</si>
  <si>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</si>
  <si>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</si>
  <si>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</si>
  <si>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</si>
  <si>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</si>
  <si>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</si>
  <si>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</si>
  <si>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</si>
  <si>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</si>
  <si>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</si>
  <si>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</si>
  <si>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</si>
  <si>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</si>
  <si>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</si>
  <si>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</si>
  <si>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</si>
  <si>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</si>
  <si>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</si>
  <si>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</si>
  <si>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</si>
  <si>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</si>
  <si>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</si>
  <si>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</si>
  <si>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</si>
  <si>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</si>
  <si>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</si>
  <si>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</si>
  <si>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</si>
  <si>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</si>
  <si>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</si>
  <si>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</si>
  <si>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</si>
  <si>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</si>
  <si>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</si>
  <si>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</si>
  <si>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</si>
  <si>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</si>
  <si>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</si>
  <si>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</si>
  <si>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</si>
  <si>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</si>
  <si>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</si>
  <si>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</si>
  <si>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</si>
  <si>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</si>
  <si>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</si>
  <si>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</si>
  <si>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</si>
  <si>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</si>
  <si>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</si>
  <si>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</si>
  <si>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</si>
  <si>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</si>
  <si>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</si>
  <si>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</si>
  <si>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</si>
  <si>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</si>
  <si>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</si>
  <si>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</si>
  <si>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</si>
  <si>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</si>
  <si>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</si>
  <si>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</si>
  <si>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</si>
  <si>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</si>
  <si>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</si>
  <si>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</si>
  <si>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</si>
  <si>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</si>
  <si>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</si>
  <si>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</si>
  <si>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</si>
  <si>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</si>
  <si>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</si>
  <si>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</si>
  <si>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</si>
  <si>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</si>
  <si>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</si>
  <si>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</si>
  <si>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</si>
  <si>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</si>
  <si>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</si>
  <si>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</si>
  <si>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</si>
  <si>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</si>
  <si>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</si>
  <si>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</si>
  <si>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</si>
  <si>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</si>
  <si>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</si>
  <si>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</si>
  <si>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</si>
  <si>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</si>
  <si>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</si>
  <si>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</si>
  <si>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</si>
  <si>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</si>
  <si>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</si>
  <si>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</si>
  <si>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</si>
  <si>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</si>
  <si>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</si>
  <si>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</si>
  <si>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</si>
  <si>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</si>
  <si>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</si>
  <si>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</si>
  <si>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</si>
  <si>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</si>
  <si>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</si>
  <si>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</si>
  <si>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</si>
  <si>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</si>
  <si>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</si>
  <si>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</si>
  <si>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</si>
  <si>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</si>
  <si>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</si>
  <si>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</si>
  <si>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</si>
  <si>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</si>
  <si>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</si>
  <si>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</si>
  <si>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</si>
  <si>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</si>
  <si>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</si>
  <si>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</si>
  <si>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</si>
  <si>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</si>
  <si>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</si>
  <si>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</si>
  <si>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</si>
  <si>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</si>
  <si>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</si>
  <si>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</si>
  <si>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</si>
  <si>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</si>
  <si>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</si>
  <si>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</si>
  <si>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</si>
  <si>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</si>
  <si>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</si>
  <si>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</si>
  <si>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</si>
  <si>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</si>
  <si>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</si>
  <si>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</si>
  <si>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</si>
  <si>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</si>
  <si>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</si>
  <si>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</si>
  <si>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</si>
  <si>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</si>
  <si>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</si>
  <si>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</si>
  <si>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</si>
  <si>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</si>
  <si>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</si>
  <si>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</si>
  <si>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</si>
  <si>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</si>
  <si>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</si>
  <si>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</si>
  <si>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</si>
  <si>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</si>
  <si>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</si>
  <si>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</si>
  <si>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</si>
  <si>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</si>
  <si>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</si>
  <si>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</si>
  <si>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</si>
  <si>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</si>
  <si>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</si>
  <si>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</si>
  <si>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</si>
  <si>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</si>
  <si>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</si>
  <si>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</si>
  <si>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</si>
  <si>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</si>
  <si>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</si>
  <si>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</si>
  <si>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</si>
  <si>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</si>
  <si>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</si>
  <si>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</si>
  <si>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</si>
  <si>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</si>
  <si>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</si>
  <si>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</si>
  <si>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</si>
  <si>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</si>
  <si>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</si>
  <si>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</si>
  <si>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</si>
  <si>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</si>
  <si>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</si>
  <si>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</si>
  <si>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</si>
  <si>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</si>
  <si>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</si>
  <si>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</si>
  <si>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</si>
  <si>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</si>
  <si>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</si>
  <si>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</si>
  <si>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</si>
  <si>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</si>
  <si>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</si>
  <si>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</si>
  <si>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</si>
  <si>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</si>
  <si>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</si>
  <si>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</si>
  <si>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</si>
  <si>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</si>
  <si>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</si>
  <si>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</si>
  <si>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</si>
  <si>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</si>
  <si>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</si>
  <si>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</si>
  <si>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</si>
  <si>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</si>
  <si>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</si>
  <si>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</si>
  <si>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</si>
  <si>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</si>
  <si>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</si>
  <si>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</si>
  <si>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</si>
  <si>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</si>
  <si>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</si>
  <si>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</si>
  <si>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</si>
  <si>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</si>
  <si>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</si>
  <si>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</si>
  <si>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</si>
  <si>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</si>
  <si>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</si>
  <si>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</si>
  <si>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</si>
  <si>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</si>
  <si>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</si>
  <si>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</si>
  <si>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</si>
  <si>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</si>
  <si>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</si>
  <si>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</si>
  <si>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</si>
  <si>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</si>
  <si>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</si>
  <si>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</si>
  <si>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</si>
  <si>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</si>
  <si>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</si>
  <si>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</si>
  <si>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</si>
  <si>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</si>
  <si>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</si>
  <si>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</si>
  <si>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</si>
  <si>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</si>
  <si>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</si>
  <si>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</si>
  <si>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</si>
  <si>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</si>
  <si>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</si>
  <si>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</si>
  <si>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</si>
  <si>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</si>
  <si>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</si>
  <si>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</si>
  <si>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</si>
  <si>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</si>
  <si>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</si>
  <si>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</si>
  <si>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</si>
  <si>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</si>
  <si>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</si>
  <si>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</si>
  <si>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</si>
  <si>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</si>
  <si>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</si>
  <si>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</si>
  <si>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</si>
  <si>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</si>
  <si>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</si>
  <si>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</si>
  <si>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</si>
  <si>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</si>
  <si>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</si>
  <si>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</si>
  <si>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</si>
  <si>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</si>
  <si>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</si>
  <si>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</si>
  <si>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</si>
  <si>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</si>
  <si>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</si>
  <si>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</si>
  <si>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</si>
  <si>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</si>
  <si>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</si>
  <si>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</si>
  <si>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</si>
  <si>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</si>
  <si>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</si>
  <si>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</si>
  <si>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</si>
  <si>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</si>
  <si>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</si>
  <si>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</si>
  <si>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</si>
  <si>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</si>
  <si>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</si>
  <si>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</si>
  <si>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</si>
  <si>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</si>
  <si>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</si>
  <si>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</si>
  <si>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</si>
  <si>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</si>
  <si>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</si>
  <si>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</si>
  <si>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</si>
  <si>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</si>
  <si>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</si>
  <si>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</si>
  <si>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</si>
  <si>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</si>
  <si>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</si>
  <si>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</si>
  <si>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</si>
  <si>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</si>
  <si>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</si>
  <si>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</si>
  <si>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</si>
  <si>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</si>
  <si>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</si>
  <si>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</si>
  <si>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</si>
  <si>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</si>
  <si>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</si>
  <si>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</si>
  <si>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</si>
  <si>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</si>
  <si>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</si>
  <si>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</si>
  <si>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</si>
  <si>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</si>
  <si>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</si>
  <si>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</si>
  <si>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</si>
  <si>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</si>
  <si>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</si>
  <si>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</si>
  <si>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</si>
  <si>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</si>
  <si>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</si>
  <si>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</si>
  <si>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</si>
  <si>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</si>
  <si>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</si>
  <si>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</si>
  <si>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</si>
  <si>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</si>
  <si>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</si>
  <si>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</si>
  <si>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</si>
  <si>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</si>
  <si>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</si>
  <si>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</si>
  <si>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</si>
  <si>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</si>
  <si>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</si>
  <si>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</si>
  <si>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</si>
  <si>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</si>
  <si>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</si>
  <si>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</si>
  <si>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</si>
  <si>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</si>
  <si>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</si>
  <si>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</si>
  <si>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</si>
  <si>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</si>
  <si>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</si>
  <si>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</si>
  <si>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</si>
  <si>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</si>
  <si>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</si>
  <si>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</si>
  <si>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</si>
  <si>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</si>
  <si>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</si>
  <si>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</si>
  <si>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</si>
  <si>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</si>
  <si>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</si>
  <si>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</si>
  <si>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</si>
  <si>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</si>
  <si>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</si>
  <si>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</si>
  <si>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</si>
  <si>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</si>
  <si>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</si>
  <si>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</si>
  <si>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</si>
  <si>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</si>
  <si>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</si>
  <si>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</si>
  <si>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</si>
  <si>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</si>
  <si>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</si>
  <si>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</si>
  <si>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</si>
  <si>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</si>
  <si>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</si>
  <si>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</si>
  <si>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</si>
  <si>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</si>
  <si>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</si>
  <si>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</si>
  <si>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</si>
  <si>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</si>
  <si>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</si>
  <si>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</si>
  <si>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</si>
  <si>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</si>
  <si>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</si>
  <si>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</si>
  <si>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</si>
  <si>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</si>
  <si>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</si>
  <si>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</si>
  <si>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</si>
  <si>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</si>
  <si>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</si>
  <si>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</si>
  <si>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</si>
  <si>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</si>
  <si>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</si>
  <si>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</si>
  <si>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</si>
  <si>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</si>
  <si>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</si>
  <si>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</si>
  <si>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</si>
  <si>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</si>
  <si>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</si>
  <si>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</si>
  <si>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</si>
  <si>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</si>
  <si>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</si>
  <si>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</si>
  <si>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</si>
  <si>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</si>
  <si>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</si>
  <si>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</si>
  <si>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</si>
  <si>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</si>
  <si>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</si>
  <si>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</si>
  <si>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</si>
  <si>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</si>
  <si>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</si>
  <si>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</si>
  <si>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</si>
  <si>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</si>
  <si>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</si>
  <si>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</si>
  <si>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</si>
  <si>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</si>
  <si>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</si>
  <si>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</si>
  <si>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</si>
  <si>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</si>
  <si>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</si>
  <si>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</si>
  <si>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</si>
  <si>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</si>
  <si>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</si>
  <si>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</si>
  <si>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</si>
  <si>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</si>
  <si>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</si>
  <si>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</si>
  <si>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</si>
  <si>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</si>
  <si>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</si>
  <si>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</si>
  <si>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</si>
  <si>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</si>
  <si>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</si>
  <si>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</si>
  <si>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</si>
  <si>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</si>
  <si>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</si>
  <si>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</si>
  <si>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</si>
  <si>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</si>
  <si>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</si>
  <si>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</si>
  <si>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</si>
  <si>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</si>
  <si>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</si>
  <si>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</si>
  <si>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</si>
  <si>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</si>
  <si>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</si>
  <si>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</si>
  <si>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</si>
  <si>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</si>
  <si>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</si>
  <si>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</si>
  <si>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</si>
  <si>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</si>
  <si>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</si>
  <si>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</si>
  <si>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</si>
  <si>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</si>
  <si>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</si>
  <si>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</si>
  <si>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</si>
  <si>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</si>
  <si>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</si>
  <si>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</si>
  <si>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</si>
  <si>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</si>
  <si>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</si>
  <si>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</si>
  <si>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</si>
  <si>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</si>
  <si>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</si>
  <si>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</si>
  <si>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</si>
  <si>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</si>
  <si>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</si>
  <si>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</si>
  <si>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</si>
  <si>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</si>
  <si>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</si>
  <si>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</si>
  <si>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</si>
  <si>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 Chaque colonne périmètre doit avoir le mot "Périmètre" à la ligne 7.</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</si>
  <si>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</si>
  <si>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</si>
  <si>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</si>
  <si>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</si>
  <si>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</si>
  <si>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</si>
  <si>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</si>
  <si>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</si>
  <si>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</si>
  <si>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</si>
  <si>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</si>
  <si>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</si>
  <si>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</si>
  <si>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</si>
  <si>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</si>
  <si>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</si>
  <si>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</si>
  <si>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</si>
  <si>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</si>
  <si>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</si>
  <si>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</si>
  <si>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</si>
  <si>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</si>
  <si>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</si>
  <si>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</si>
  <si>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</si>
  <si>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</si>
  <si>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</si>
  <si>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</si>
  <si>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</si>
  <si>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</si>
  <si>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</si>
  <si>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</si>
  <si>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</si>
  <si>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</si>
  <si>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</si>
  <si>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</si>
  <si>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</si>
  <si>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</si>
  <si>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</si>
  <si>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</si>
  <si>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</si>
  <si>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</si>
  <si>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</si>
  <si>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</si>
  <si>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</si>
  <si>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</si>
  <si>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</si>
  <si>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</si>
  <si>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</si>
  <si>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</si>
  <si>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</si>
  <si>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</si>
  <si>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</si>
  <si>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</si>
  <si>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</si>
  <si>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</si>
  <si>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</si>
  <si>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</si>
  <si>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</si>
  <si>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</si>
  <si>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</si>
  <si>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</si>
  <si>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</si>
  <si>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</si>
  <si>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</si>
  <si>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</si>
  <si>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</si>
  <si>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</si>
  <si>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</si>
  <si>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</si>
  <si>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</si>
  <si>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</si>
  <si>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</si>
  <si>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</si>
  <si>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</si>
  <si>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</si>
  <si>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</si>
  <si>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</si>
  <si>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</si>
  <si>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</si>
  <si>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</si>
  <si>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</si>
  <si>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</si>
  <si>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</si>
  <si>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</si>
  <si>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</si>
  <si>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</si>
  <si>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</si>
  <si>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</si>
  <si>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</si>
  <si>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</si>
  <si>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</si>
  <si>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</si>
  <si>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</si>
  <si>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</si>
  <si>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</si>
  <si>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</si>
  <si>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</si>
  <si>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</si>
  <si>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</si>
  <si>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</si>
  <si>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</si>
  <si>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</si>
  <si>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</si>
  <si>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</si>
  <si>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</si>
  <si>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</si>
  <si>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</si>
  <si>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</si>
  <si>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</si>
  <si>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</si>
  <si>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</si>
  <si>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</si>
  <si>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</si>
  <si>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</si>
  <si>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</si>
  <si>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</si>
  <si>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</si>
  <si>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</si>
  <si>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</si>
  <si>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</si>
  <si>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</si>
  <si>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</si>
  <si>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</si>
  <si>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</si>
  <si>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</si>
  <si>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</si>
  <si>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</si>
  <si>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</si>
  <si>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</si>
  <si>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</si>
  <si>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</si>
  <si>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Nouveau</t>
  </si>
  <si>
    <t>Déplacé</t>
  </si>
  <si>
    <t>Renommé</t>
  </si>
  <si>
    <t xml:space="preserve">Message : </t>
  </si>
  <si>
    <t>ID dossier partagé</t>
  </si>
  <si>
    <t>Objet du message (raison de l’envoi) : nomenclature à prévoir (demande de régulation, demande effecteur, statut, message information, etc.)</t>
  </si>
  <si>
    <t>Exos/RRAMU</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</si>
  <si>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</si>
  <si>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</si>
  <si>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</si>
  <si>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</si>
  <si>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</si>
  <si>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</si>
  <si>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</si>
  <si>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</si>
  <si>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</si>
  <si>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</si>
  <si>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</si>
  <si>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Filière</t>
  </si>
  <si>
    <t>Sert à indiquer à quelle filière du CRRA le dossier doit être adressé/affiché</t>
  </si>
  <si>
    <t>AMU</t>
  </si>
  <si>
    <t>perimeter</t>
  </si>
  <si>
    <t>ENUM: AMU, SMP, NEONAT, SNP</t>
  </si>
  <si>
    <t>nomenclature à prévoir  (AMU, SMP , NEONAT ; SNP..)</t>
  </si>
  <si>
    <t>Type de dossier</t>
  </si>
  <si>
    <t>Indiquer s'il s'agit d'un dossier dit primaire (première intervention urgente) ou secondaire (par exemple TIH)</t>
  </si>
  <si>
    <t>Primaire</t>
  </si>
  <si>
    <t>type</t>
  </si>
  <si>
    <t>ENUM: Primaire, Secondaire</t>
  </si>
  <si>
    <t>Qualification</t>
  </si>
  <si>
    <t>Permet de qualifier l'affaire en générale. La qualification est issue d'une interprétation métier des alertes reçues.</t>
  </si>
  <si>
    <t>alertCode</t>
  </si>
  <si>
    <t>qualification</t>
  </si>
  <si>
    <t>Observations  ARM</t>
  </si>
  <si>
    <t xml:space="preserve">Passe l'ensemble des observations générales ARM du dossier en texte libre </t>
  </si>
  <si>
    <t>Prévoir beaucoup de caractères (long) pour le format</t>
  </si>
  <si>
    <t xml:space="preserve">Priorisation ARM </t>
  </si>
  <si>
    <t>Décrit la priorité de régulation médicale du dossier : P0, P1, P2, P3</t>
  </si>
  <si>
    <t>P1</t>
  </si>
  <si>
    <t>priority</t>
  </si>
  <si>
    <t>onglet Priorité de régulation médicale</t>
  </si>
  <si>
    <t>nomenclature guide de regul (sfmu sudf)</t>
  </si>
  <si>
    <t>Nature de fait</t>
  </si>
  <si>
    <t># Voir whatsHappen (type nomenclature)</t>
  </si>
  <si>
    <t>Décrit le type de lieu (TL). Référentiel : nomenclature CISU</t>
  </si>
  <si>
    <t>whatsHappen</t>
  </si>
  <si>
    <t>CI</t>
  </si>
  <si>
    <t>Type de lieu d'intervention</t>
  </si>
  <si>
    <t>nomenclature</t>
  </si>
  <si>
    <t>nomenclature CISU</t>
  </si>
  <si>
    <t>Type de lieu</t>
  </si>
  <si>
    <t>Décrit la nature de fait de l'alerte (NF) à partir de la nomenclature CISU.
Le champs freetext sert à passer les informations de gestion des évènements (main courante sans les informations médicales privilégiées).</t>
  </si>
  <si>
    <t>locationKind</t>
  </si>
  <si>
    <t>CE/CK</t>
  </si>
  <si>
    <t>raison de l'appel</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</si>
  <si>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</si>
  <si>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</si>
  <si>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</si>
  <si>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</si>
  <si>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</si>
  <si>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</si>
  <si>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</si>
  <si>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Commentaire libre permettant de passer des informations complémentaires associées à la nomenclature</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</si>
  <si>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</si>
  <si>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</si>
  <si>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</si>
  <si>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</si>
  <si>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</si>
  <si>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</si>
  <si>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</si>
  <si>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</si>
  <si>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</si>
  <si>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</si>
  <si>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</si>
  <si>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</si>
  <si>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</si>
  <si>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D/DR/DRM si cycle SI-SAMU implémenté</t>
  </si>
  <si>
    <t>DR</t>
  </si>
  <si>
    <t>ENUM: D, DR, DRM 
NOMENC_TYPEDOS</t>
  </si>
  <si>
    <t>ok enum, pas de code</t>
  </si>
  <si>
    <t>Attribution du dossier</t>
  </si>
  <si>
    <t>Décrit le type de professionnel médical à qui le dossier est attribué : Médecin généraliste, médecin urgentiste etc.</t>
  </si>
  <si>
    <t>MU</t>
  </si>
  <si>
    <t>attribution</t>
  </si>
  <si>
    <t>onglet Attribution du dossier.</t>
  </si>
  <si>
    <t>nomenclature à retravailler</t>
  </si>
  <si>
    <t>Priorité de régulation médicale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</si>
  <si>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</si>
  <si>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</si>
  <si>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</si>
  <si>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</si>
  <si>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</si>
  <si>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</si>
  <si>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</si>
  <si>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</si>
  <si>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</si>
  <si>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</si>
  <si>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</si>
  <si>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</si>
  <si>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</si>
  <si>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</si>
  <si>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</si>
  <si>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</si>
  <si>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</si>
  <si>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</si>
  <si>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Origine de l'appel</t>
  </si>
  <si>
    <t>15,18,17,112,116</t>
  </si>
  <si>
    <t>ENUM: 15, 17, 18, 112, 116117</t>
  </si>
  <si>
    <t>Adresse</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</si>
  <si>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</si>
  <si>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</si>
  <si>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</si>
  <si>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</si>
  <si>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</si>
  <si>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</si>
  <si>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</si>
  <si>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</si>
  <si>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</si>
  <si>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</si>
  <si>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</si>
  <si>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</si>
  <si>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Etablissement, forêt de Fontainebleau, lac du Der (plutôt à destination des systèmes).</t>
  </si>
  <si>
    <t>Lycée Pierre de Coubertin</t>
  </si>
  <si>
    <t>LE/L4</t>
  </si>
  <si>
    <t>Nom de l'établissement répertorié/point d'intérêt</t>
  </si>
  <si>
    <t>Identifiant(s) du lieu</t>
  </si>
  <si>
    <t>Permet d'identifier une structure commerciale ou un établissement</t>
  </si>
  <si>
    <t>externalLocationId</t>
  </si>
  <si>
    <t>Source  /  type d'identifiant</t>
  </si>
  <si>
    <t>Type de l'identifiant fourni</t>
  </si>
  <si>
    <t>FINESS géographique, FINESS administratif, SIREN, SIRET, APE, NAF</t>
  </si>
  <si>
    <t>ENUM: FINESS administratif, FINESS géographique, SIREN, SIRET, APE/NAF</t>
  </si>
  <si>
    <t>énumération partielle pour le moment, nomenclature à créer</t>
  </si>
  <si>
    <t>nomenclature à créer</t>
  </si>
  <si>
    <t>Identifiant</t>
  </si>
  <si>
    <t>L'identifiant en lui-même</t>
  </si>
  <si>
    <t>920000650 </t>
  </si>
  <si>
    <t>value</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</si>
  <si>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</si>
  <si>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</si>
  <si>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</si>
  <si>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</si>
  <si>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</si>
  <si>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</si>
  <si>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</si>
  <si>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</si>
  <si>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</si>
  <si>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</si>
  <si>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</si>
  <si>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</si>
  <si>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</si>
  <si>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</si>
  <si>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</si>
  <si>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</si>
  <si>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</si>
  <si>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</si>
  <si>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</si>
  <si>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</si>
  <si>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</si>
  <si>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</si>
  <si>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</si>
  <si>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</si>
  <si>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</si>
  <si>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</si>
  <si>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</si>
  <si>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</si>
  <si>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</si>
  <si>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</si>
  <si>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</si>
  <si>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</si>
  <si>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</si>
  <si>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</si>
  <si>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</si>
  <si>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</si>
  <si>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</si>
  <si>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</si>
  <si>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</si>
  <si>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</si>
  <si>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</si>
  <si>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</si>
  <si>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</si>
  <si>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</si>
  <si>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</si>
  <si>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</si>
  <si>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</si>
  <si>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</si>
  <si>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</si>
  <si>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</si>
  <si>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</si>
  <si>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</si>
  <si>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</si>
  <si>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</si>
  <si>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</si>
  <si>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</si>
  <si>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</si>
  <si>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</si>
  <si>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</si>
  <si>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</si>
  <si>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</si>
  <si>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</si>
  <si>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</si>
  <si>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</si>
  <si>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</si>
  <si>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</si>
  <si>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</si>
  <si>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</si>
  <si>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</si>
  <si>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</si>
  <si>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</si>
  <si>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</si>
  <si>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</si>
  <si>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</si>
  <si>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</si>
  <si>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</si>
  <si>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</si>
  <si>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</si>
  <si>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</si>
  <si>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</si>
  <si>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</si>
  <si>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</si>
  <si>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</si>
  <si>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</si>
  <si>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</si>
  <si>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</si>
  <si>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</si>
  <si>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</si>
  <si>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</si>
  <si>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</si>
  <si>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</si>
  <si>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</si>
  <si>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</si>
  <si>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</si>
  <si>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</si>
  <si>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</si>
  <si>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</si>
  <si>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</si>
  <si>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</si>
  <si>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</si>
  <si>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</si>
  <si>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</si>
  <si>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</si>
  <si>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</si>
  <si>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</si>
  <si>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</si>
  <si>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</si>
  <si>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</si>
  <si>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</si>
  <si>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</si>
  <si>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</si>
  <si>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</si>
  <si>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</si>
  <si>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</si>
  <si>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</si>
  <si>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</si>
  <si>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</si>
  <si>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</si>
  <si>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</si>
  <si>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</si>
  <si>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</si>
  <si>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</si>
  <si>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</si>
  <si>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</si>
  <si>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</si>
  <si>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</si>
  <si>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</si>
  <si>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</si>
  <si>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</si>
  <si>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</si>
  <si>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</si>
  <si>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</si>
  <si>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</si>
  <si>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</si>
  <si>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</si>
  <si>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</si>
  <si>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</si>
  <si>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</si>
  <si>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</si>
  <si>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</si>
  <si>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</si>
  <si>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</si>
  <si>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</si>
  <si>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</si>
  <si>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</si>
  <si>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</si>
  <si>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</si>
  <si>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</si>
  <si>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</si>
  <si>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</si>
  <si>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</si>
  <si>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</si>
  <si>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</si>
  <si>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</si>
  <si>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</si>
  <si>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</si>
  <si>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</si>
  <si>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</si>
  <si>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</si>
  <si>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</si>
  <si>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</si>
  <si>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</si>
  <si>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</si>
  <si>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</si>
  <si>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</si>
  <si>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</si>
  <si>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</si>
  <si>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</si>
  <si>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</si>
  <si>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</si>
  <si>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</si>
  <si>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</si>
  <si>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lieux</t>
  </si>
  <si>
    <t>OG</t>
  </si>
  <si>
    <t>Observations générales (texte libre)</t>
  </si>
  <si>
    <t>Appelant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</si>
  <si>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</si>
  <si>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</si>
  <si>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</si>
  <si>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</si>
  <si>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</si>
  <si>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</si>
  <si>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</si>
  <si>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</si>
  <si>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</si>
  <si>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</si>
  <si>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</si>
  <si>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</si>
  <si>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</si>
  <si>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</si>
  <si>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</si>
  <si>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</si>
  <si>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</si>
  <si>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</si>
  <si>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</si>
  <si>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</si>
  <si>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</si>
  <si>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</si>
  <si>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</si>
  <si>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</si>
  <si>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</si>
  <si>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</si>
  <si>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</si>
  <si>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</si>
  <si>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</si>
  <si>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d'appelant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</si>
  <si>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</si>
  <si>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</si>
  <si>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</si>
  <si>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</si>
  <si>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</si>
  <si>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</si>
  <si>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</si>
  <si>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</si>
  <si>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</si>
  <si>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</si>
  <si>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</si>
  <si>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</si>
  <si>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</si>
  <si>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</si>
  <si>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</si>
  <si>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</si>
  <si>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</si>
  <si>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</si>
  <si>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</si>
  <si>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</si>
  <si>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</si>
  <si>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</si>
  <si>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</si>
  <si>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</si>
  <si>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</si>
  <si>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</si>
  <si>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</si>
  <si>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</si>
  <si>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</si>
  <si>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</si>
  <si>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</si>
  <si>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</si>
  <si>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</si>
  <si>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</si>
  <si>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</si>
  <si>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</si>
  <si>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</si>
  <si>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</si>
  <si>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</si>
  <si>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</si>
  <si>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</si>
  <si>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</si>
  <si>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</si>
  <si>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</si>
  <si>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</si>
  <si>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</si>
  <si>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</si>
  <si>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</si>
  <si>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</si>
  <si>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</si>
  <si>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</si>
  <si>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</si>
  <si>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</si>
  <si>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</si>
  <si>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</si>
  <si>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</si>
  <si>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</si>
  <si>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</si>
  <si>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</si>
  <si>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</si>
  <si>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</si>
  <si>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</si>
  <si>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</si>
  <si>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</si>
  <si>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</si>
  <si>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</si>
  <si>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</si>
  <si>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</si>
  <si>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</si>
  <si>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</si>
  <si>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</si>
  <si>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</si>
  <si>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</si>
  <si>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</si>
  <si>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</si>
  <si>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</si>
  <si>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</si>
  <si>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</si>
  <si>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</si>
  <si>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</si>
  <si>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</si>
  <si>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</si>
  <si>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</si>
  <si>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</si>
  <si>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</si>
  <si>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</si>
  <si>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</si>
  <si>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</si>
  <si>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</si>
  <si>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</si>
  <si>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</si>
  <si>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</si>
  <si>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</si>
  <si>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</si>
  <si>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</si>
  <si>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</si>
  <si>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</si>
  <si>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</si>
  <si>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</si>
  <si>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</si>
  <si>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</si>
  <si>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</si>
  <si>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</si>
  <si>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</si>
  <si>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</si>
  <si>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</si>
  <si>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</si>
  <si>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</si>
  <si>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</si>
  <si>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</si>
  <si>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</si>
  <si>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</si>
  <si>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</si>
  <si>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</si>
  <si>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</si>
  <si>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</si>
  <si>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</si>
  <si>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</si>
  <si>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</si>
  <si>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</si>
  <si>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</si>
  <si>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</si>
  <si>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</si>
  <si>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</si>
  <si>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</si>
  <si>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</si>
  <si>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NIR, SINUS, SI-VIC, …</t>
  </si>
  <si>
    <t>ENUM: NIR, SINUS, SI-VIC, DOSSARD, PLACE</t>
  </si>
  <si>
    <t>Type et valeur des URI utilisées par le patient concerné</t>
  </si>
  <si>
    <t>remettre la nomenclature EMSI complète (cf objet dans 15-18)</t>
  </si>
  <si>
    <t>2 balises : type contact et no</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</si>
  <si>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</si>
  <si>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</si>
  <si>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</si>
  <si>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</si>
  <si>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</si>
  <si>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</si>
  <si>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</si>
  <si>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</si>
  <si>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Identifiant RPPS</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</si>
  <si>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</si>
  <si>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</si>
  <si>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</si>
  <si>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</si>
  <si>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</si>
  <si>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</si>
  <si>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</si>
  <si>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</si>
  <si>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</si>
  <si>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</si>
  <si>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</si>
  <si>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</si>
  <si>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</si>
  <si>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</si>
  <si>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</si>
  <si>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</si>
  <si>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</si>
  <si>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</si>
  <si>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</si>
  <si>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</si>
  <si>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</si>
  <si>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</si>
  <si>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</si>
  <si>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</si>
  <si>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</si>
  <si>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</si>
  <si>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</si>
  <si>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</si>
  <si>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</si>
  <si>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</si>
  <si>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</si>
  <si>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</si>
  <si>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</si>
  <si>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</si>
  <si>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</si>
  <si>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</si>
  <si>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</si>
  <si>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</si>
  <si>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</si>
  <si>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</si>
  <si>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</si>
  <si>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</si>
  <si>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</si>
  <si>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</si>
  <si>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</si>
  <si>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</si>
  <si>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</si>
  <si>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</si>
  <si>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</si>
  <si>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</si>
  <si>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</si>
  <si>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</si>
  <si>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Date de naissance</t>
  </si>
  <si>
    <t>Date de naissance du patient</t>
  </si>
  <si>
    <t>birthDate</t>
  </si>
  <si>
    <t>date</t>
  </si>
  <si>
    <t xml:space="preserve">Sexe </t>
  </si>
  <si>
    <t>Sexe du patient</t>
  </si>
  <si>
    <t>sex</t>
  </si>
  <si>
    <t>onglet sexe</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</si>
  <si>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</si>
  <si>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</si>
  <si>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</si>
  <si>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</si>
  <si>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</si>
  <si>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</si>
  <si>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</si>
  <si>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</si>
  <si>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</si>
  <si>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</si>
  <si>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</si>
  <si>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</si>
  <si>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</si>
  <si>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</si>
  <si>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</si>
  <si>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Au format Durée de la norme ISO 8601 (https://fr.wikipedia.org/wiki/ISO_8601#Dur%C3%A9e) en n'utilisant qu'une seule unité de durée (années, mois, semaines ou jours)</t>
  </si>
  <si>
    <t>P6Y</t>
  </si>
  <si>
    <t>age</t>
  </si>
  <si>
    <t>REGEX: P[0-9]{1,3}[YMWDH]</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</si>
  <si>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</si>
  <si>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</si>
  <si>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</si>
  <si>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</si>
  <si>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</si>
  <si>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</si>
  <si>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</si>
  <si>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</si>
  <si>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</si>
  <si>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</si>
  <si>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</si>
  <si>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</si>
  <si>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</si>
  <si>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</si>
  <si>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</si>
  <si>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</si>
  <si>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Observations médicales</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</si>
  <si>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</si>
  <si>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</si>
  <si>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</si>
  <si>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</si>
  <si>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</si>
  <si>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</si>
  <si>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</si>
  <si>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</si>
  <si>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</si>
  <si>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</si>
  <si>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</si>
  <si>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</si>
  <si>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</si>
  <si>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</si>
  <si>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</si>
  <si>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</si>
  <si>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</si>
  <si>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</si>
  <si>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</si>
  <si>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</si>
  <si>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</si>
  <si>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</si>
  <si>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</si>
  <si>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</si>
  <si>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</si>
  <si>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</si>
  <si>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</si>
  <si>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</si>
  <si>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</si>
  <si>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</si>
  <si>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</si>
  <si>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</si>
  <si>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</si>
  <si>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Type d'orientation</t>
  </si>
  <si>
    <t>Décision(s) d'orientation prise par le médecin régulateur : 
- A transporter
- Laisser sur place</t>
  </si>
  <si>
    <t>laissé sur place, décédé, ou transporté</t>
  </si>
  <si>
    <t>orientation</t>
  </si>
  <si>
    <t>nomenclature SI SAMU NOMENC_TYPE_DEC_ORiENT</t>
  </si>
  <si>
    <t>a suppr ?</t>
  </si>
  <si>
    <t>Type de ressource/moyen</t>
  </si>
  <si>
    <t>Type de transport à engager pour la prise en charge du patient</t>
  </si>
  <si>
    <t xml:space="preserve">SMUR </t>
  </si>
  <si>
    <t>transportation</t>
  </si>
  <si>
    <t xml:space="preserve">a revalider : où mets-t-on "par ses propres moyens" ? </t>
  </si>
  <si>
    <t xml:space="preserve">nécessite plusieurs champs (organisme, base de ratachement, type vecteur, ordre vecteur, id vecteur) </t>
  </si>
  <si>
    <t>ID vecteur partagé</t>
  </si>
  <si>
    <t>Identifiant du véhicule terrestre / aérien / maritime de transport principal (= celui dans lequel se trouve le patient), permettant d'associer la décision à un véhicule spécifique + au patient.</t>
  </si>
  <si>
    <t>transportationID</t>
  </si>
  <si>
    <t>a revoir pour l'ID</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</si>
  <si>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</si>
  <si>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</si>
  <si>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</si>
  <si>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</si>
  <si>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</si>
  <si>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</si>
  <si>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</si>
  <si>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</si>
  <si>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</si>
  <si>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</si>
  <si>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</si>
  <si>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</si>
  <si>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 Voir type location</t>
  </si>
  <si>
    <t>destinationLocation</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</si>
  <si>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</si>
  <si>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</si>
  <si>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</si>
  <si>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</si>
  <si>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</si>
  <si>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</si>
  <si>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</si>
  <si>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</si>
  <si>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</si>
  <si>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</si>
  <si>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</si>
  <si>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</si>
  <si>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</si>
  <si>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</si>
  <si>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</si>
  <si>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</si>
  <si>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</si>
  <si>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</si>
  <si>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</si>
  <si>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</si>
  <si>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</si>
  <si>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</si>
  <si>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</si>
  <si>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</si>
  <si>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RC-EDA:15-18:createCase RS-EDA:15-15:createCaseHealth</t>
  </si>
  <si>
    <t>15-SMUR</t>
  </si>
  <si>
    <t>fr.health.samu440.DRFR15DDXAAJJJ0000</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</si>
  <si>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</si>
  <si>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</si>
  <si>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</si>
  <si>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</si>
  <si>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ENUM: AMU, NEONAT, PSY, SNP</t>
  </si>
  <si>
    <t>Type d'intervention</t>
  </si>
  <si>
    <t>interventionType</t>
  </si>
  <si>
    <t>ENUM: PRIMAIRE, SECONDAIRE, RETOUR A DOMICILE</t>
  </si>
  <si>
    <t>15, 112, 18</t>
  </si>
  <si>
    <t>origin</t>
  </si>
  <si>
    <t>ENUM: 15, 18, 17, 112, 116117</t>
  </si>
  <si>
    <t>Nomenclature à prévoir ?</t>
  </si>
  <si>
    <t>codeAndLabel</t>
  </si>
  <si>
    <t>NOMENCLATURE: CISU-Code_Nature_de_fait</t>
  </si>
  <si>
    <t># Voir whatsHappen (type codeAndLabel)</t>
  </si>
  <si>
    <t>NOMENCLATURE: CISU-Code_Type_de_lieu</t>
  </si>
  <si>
    <t>NOMENCLATURE: CISU-Code_Risque-Menace-Sensibilité</t>
  </si>
  <si>
    <t>NOMENCLATURE: SI-SAMU-Code_Motif_patient-victime</t>
  </si>
  <si>
    <t>ENUM: PROGRAMME, ACTIF, ACHEVE, VALIDE , CLOTURE , CLASSE, ARCHIVE</t>
  </si>
  <si>
    <t>ENUM: D, DR, DRM</t>
  </si>
  <si>
    <t>NOMENCLATURE: SI-SAMU-DEVENIRD</t>
  </si>
  <si>
    <t>NOMENCLATURE: SI-SAMU-PRIORITE</t>
  </si>
  <si>
    <t>NOMENCLATURE: SI-SAMU-GRAVITE</t>
  </si>
  <si>
    <t>ENUM: 0, 1, PLUSIEURS, BEAUCOUP, INCONNU, NON DEFINI</t>
  </si>
  <si>
    <t>ENUM: NOURRISSON, ENFANT, ADULTE, SENIOR</t>
  </si>
  <si>
    <t>Localisation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</si>
  <si>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</si>
  <si>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ENUM: FINESS ADMINISTRATIF, FINESS GEOGRAPHIQUE, SIREN, SIRET, APE_NAF</t>
  </si>
  <si>
    <t>Autoroute</t>
  </si>
  <si>
    <t>highway</t>
  </si>
  <si>
    <t>A4</t>
  </si>
  <si>
    <t>Point kilométrique</t>
  </si>
  <si>
    <t>pk</t>
  </si>
  <si>
    <t>Sens</t>
  </si>
  <si>
    <t>direction</t>
  </si>
  <si>
    <t>Numéro, type et nom de la voie. Utilisé pour tout type de voie :  autoroute (PK, nom et sens), voie ferrée, voie navigable…
15-18 : Obligatoire et seule valeur des détails de l'adresse fournie par NexSIS.</t>
  </si>
  <si>
    <t>Type de la voie</t>
  </si>
  <si>
    <t>Nom de la voie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</si>
  <si>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</si>
  <si>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</si>
  <si>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ENUM: VILLE, RUE, ADRESSE, EXACTE, INCONNUE</t>
  </si>
  <si>
    <t>TRUE</t>
  </si>
  <si>
    <t>boolean</t>
  </si>
  <si>
    <t xml:space="preserve">Indique le type de coordonnées utilisé. Actuellement, la seule valeur valide est «EPSG-4326», indiquant l'utilisation de WGS-84. </t>
  </si>
  <si>
    <t>ENUM: BAN, IGN, NEXSIS</t>
  </si>
  <si>
    <t>ENUM: MANUEL, CARTE, AUTRE, PHOTO, SITE INTERNET</t>
  </si>
  <si>
    <t>Informations complémentaires sur la localisation</t>
  </si>
  <si>
    <t>Date et heure de réception de l'alerte</t>
  </si>
  <si>
    <t>notes</t>
  </si>
  <si>
    <t>Date et heure de l'information complémentaire</t>
  </si>
  <si>
    <t>Commentaire/Observations</t>
  </si>
  <si>
    <t>Requérant</t>
  </si>
  <si>
    <t>ENUM: PERSONNE, APPLICATION, DAU, BAU, DEFIBRILLATEUR, ECALL</t>
  </si>
  <si>
    <t>Type de contact</t>
  </si>
  <si>
    <t>ENUM: TEL, EMAIL, FAX, POSTAL, WEB, RADIO</t>
  </si>
  <si>
    <t>URI du contact</t>
  </si>
  <si>
    <t>Type de requérant</t>
  </si>
  <si>
    <t>FAMILLE, TIERS</t>
  </si>
  <si>
    <t>NOMENCLATURE: SI-SAMU-TYPAPPLT</t>
  </si>
  <si>
    <t>NOMENCLATURE: SI-SAMU-PBAPL</t>
  </si>
  <si>
    <t>administrativeFile</t>
  </si>
  <si>
    <t>Identité</t>
  </si>
  <si>
    <t>Identity</t>
  </si>
  <si>
    <t>ENUM: PROVISOIRE, VALIDEE, RECUPEREE, QUALIFIEE</t>
  </si>
  <si>
    <t>ENUM: HOMONYME, FICTIVE, DOUTEUSE</t>
  </si>
  <si>
    <t>NOMENCLATURE: SI-SAMU-NOMENC_SEXE</t>
  </si>
  <si>
    <t>Traits non stricts de l'identité</t>
  </si>
  <si>
    <t>REGEX: P[0-9]{1,3}[YMWD]</t>
  </si>
  <si>
    <t>Niveau de soin du patient</t>
  </si>
  <si>
    <t>Informations complémentaires sur le patient</t>
  </si>
  <si>
    <t>Observation médicale</t>
  </si>
  <si>
    <t xml:space="preserve">Observations de nature médicale. </t>
  </si>
  <si>
    <t>idPat</t>
  </si>
  <si>
    <t>Professionnel de santé qui réalise l'observation</t>
  </si>
  <si>
    <t>ENUM: AMBULANCIER, ARM, INFIRMIER, MEDECIN, INCONNU, AUTRE</t>
  </si>
  <si>
    <t>ID Observation</t>
  </si>
  <si>
    <t>idObs</t>
  </si>
  <si>
    <t xml:space="preserve">A revoir ? Faut il mettre un numéro d'ordre ? Quid pour ceux qui ont un seul champ ? 
Mise à jour  : si un seul champ, il faut concaténer ? Ajouter a la suite ? Renvoyer toutes le notes à chaque fois ? </t>
  </si>
  <si>
    <t>Date Heure de création de l'observation</t>
  </si>
  <si>
    <t>ID partagé du patient concerné par la décision, lorsque le patient existe et est identifié</t>
  </si>
  <si>
    <t>NOMENCLATURE: SI-SAMU-TYPEDEC</t>
  </si>
  <si>
    <t>Opérateur décideur</t>
  </si>
  <si>
    <t>decider</t>
  </si>
  <si>
    <t>Décision d'engagement</t>
  </si>
  <si>
    <t>Partage de l'équipe à engager sur le lieu de l'intervention</t>
  </si>
  <si>
    <t>engagementDetails</t>
  </si>
  <si>
    <t>Type de ressource</t>
  </si>
  <si>
    <t>détaille le moyen à engager</t>
  </si>
  <si>
    <t>SMUR, Pompiers</t>
  </si>
  <si>
    <t>categoryType</t>
  </si>
  <si>
    <t>NOMENCLATURE: SI-SAMU-TYPE_MOYEN</t>
  </si>
  <si>
    <t>Type de vecteur</t>
  </si>
  <si>
    <t>détaille le type de vecteur à engager</t>
  </si>
  <si>
    <t>AR, VLM, VSAV</t>
  </si>
  <si>
    <t>resourceType</t>
  </si>
  <si>
    <t>NOMENCLATURE: CISU-TYPE_VECTEUR</t>
  </si>
  <si>
    <t xml:space="preserve">ID vecteur </t>
  </si>
  <si>
    <t>resourceId</t>
  </si>
  <si>
    <t>teamCareInitial</t>
  </si>
  <si>
    <t>NOMENCLATURE: SI-SAMU-NIVSOIN</t>
  </si>
  <si>
    <t>Décision de transport/orientation</t>
  </si>
  <si>
    <t>transportDetails</t>
  </si>
  <si>
    <t>Type de devenir du patient</t>
  </si>
  <si>
    <t>NOMENCLATURE: SI-SAMU-NOMENC_DEVENIR_PAT</t>
  </si>
  <si>
    <t>ID demande de concours/de ressources</t>
  </si>
  <si>
    <t xml:space="preserve">Identifiant de la ou des demandes de concours </t>
  </si>
  <si>
    <t>concoursRequest</t>
  </si>
  <si>
    <t xml:space="preserve">Identifiant du véhicule terrestre / aérien / maritime de transport principal (= celui dans lequel se trouve le patient), permettant d'associer la décision à un véhicule spécifique + au patient. </t>
  </si>
  <si>
    <t>ENUM: SERVICE D URGENCES D UN ETABLISSEMENT DE SANTE, AUTRES SERVICES D UN ETABLISSEMENT DE SANTE, CABINET D UN PROFESSIONNEL DE SANTE, DOMICILE, EPHAD OU LONG SEJOUR, AUTRE</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</si>
  <si>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</si>
  <si>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</si>
  <si>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EMSI:15-15:emsi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</si>
  <si>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</si>
  <si>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</si>
  <si>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</si>
  <si>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</si>
  <si>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</si>
  <si>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</si>
  <si>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</si>
  <si>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</si>
  <si>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</si>
  <si>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Cardinalité NEW</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</si>
  <si>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</si>
  <si>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</si>
  <si>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</si>
  <si>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</si>
  <si>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</si>
  <si>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</si>
  <si>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</si>
  <si>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</si>
  <si>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</si>
  <si>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</si>
  <si>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</si>
  <si>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</si>
  <si>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</si>
  <si>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</si>
  <si>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</si>
  <si>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</si>
  <si>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</si>
  <si>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</si>
  <si>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</si>
  <si>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</si>
  <si>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</si>
  <si>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</si>
  <si>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</si>
  <si>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</si>
  <si>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</si>
  <si>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</si>
  <si>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</si>
  <si>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</si>
  <si>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</si>
  <si>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</si>
  <si>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</si>
  <si>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</si>
  <si>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</si>
  <si>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</si>
  <si>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</si>
  <si>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</si>
  <si>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</si>
  <si>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</si>
  <si>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</si>
  <si>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</si>
  <si>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</si>
  <si>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</si>
  <si>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</si>
  <si>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</si>
  <si>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</si>
  <si>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</si>
  <si>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</si>
  <si>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</si>
  <si>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</si>
  <si>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</si>
  <si>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</si>
  <si>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</si>
  <si>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</si>
  <si>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</si>
  <si>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</si>
  <si>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</si>
  <si>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</si>
  <si>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</si>
  <si>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</si>
  <si>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</si>
  <si>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</si>
  <si>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</si>
  <si>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</si>
  <si>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</si>
  <si>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</si>
  <si>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</si>
  <si>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</si>
  <si>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</si>
  <si>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</si>
  <si>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</si>
  <si>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</si>
  <si>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</si>
  <si>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</si>
  <si>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</si>
  <si>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</si>
  <si>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</si>
  <si>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</si>
  <si>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</si>
  <si>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</si>
  <si>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</si>
  <si>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</si>
  <si>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</si>
  <si>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</si>
  <si>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</si>
  <si>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</si>
  <si>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</si>
  <si>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</si>
  <si>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</si>
  <si>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</si>
  <si>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</si>
  <si>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</si>
  <si>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</si>
  <si>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</si>
  <si>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</si>
  <si>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</si>
  <si>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</si>
  <si>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</si>
  <si>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</si>
  <si>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</si>
  <si>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</si>
  <si>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</si>
  <si>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</si>
  <si>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</si>
  <si>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</si>
  <si>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</si>
  <si>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</si>
  <si>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</si>
  <si>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</si>
  <si>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</si>
  <si>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</si>
  <si>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</si>
  <si>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</si>
  <si>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</si>
  <si>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</si>
  <si>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</si>
  <si>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</si>
  <si>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</si>
  <si>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</si>
  <si>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</si>
  <si>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</si>
  <si>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</si>
  <si>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</si>
  <si>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</si>
  <si>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</si>
  <si>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</si>
  <si>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</si>
  <si>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</si>
  <si>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</si>
  <si>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</si>
  <si>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</si>
  <si>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</si>
  <si>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</si>
  <si>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</si>
  <si>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</si>
  <si>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</si>
  <si>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</si>
  <si>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</si>
  <si>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</si>
  <si>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</si>
  <si>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</si>
  <si>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</si>
  <si>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</si>
  <si>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</si>
  <si>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</si>
  <si>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</si>
  <si>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</si>
  <si>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</si>
  <si>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</si>
  <si>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</si>
  <si>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</si>
  <si>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</si>
  <si>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</si>
  <si>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</si>
  <si>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</si>
  <si>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</si>
  <si>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</si>
  <si>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</si>
  <si>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</si>
  <si>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</si>
  <si>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</si>
  <si>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</si>
  <si>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</si>
  <si>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</si>
  <si>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</si>
  <si>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</si>
  <si>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</si>
  <si>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</si>
  <si>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</si>
  <si>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</si>
  <si>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</si>
  <si>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</si>
  <si>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</si>
  <si>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</si>
  <si>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</si>
  <si>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</si>
  <si>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</si>
  <si>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</si>
  <si>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</si>
  <si>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</si>
  <si>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</si>
  <si>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</si>
  <si>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</si>
  <si>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</si>
  <si>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</si>
  <si>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</si>
  <si>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</si>
  <si>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</si>
  <si>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</si>
  <si>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</si>
  <si>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</si>
  <si>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</si>
  <si>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</si>
  <si>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</si>
  <si>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</si>
  <si>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</si>
  <si>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</si>
  <si>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</si>
  <si>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</si>
  <si>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</si>
  <si>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</si>
  <si>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</si>
  <si>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</si>
  <si>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</si>
  <si>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</si>
  <si>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</si>
  <si>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</si>
  <si>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</si>
  <si>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</si>
  <si>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</si>
  <si>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</si>
  <si>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</si>
  <si>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</si>
  <si>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</si>
  <si>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</si>
  <si>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</si>
  <si>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</si>
  <si>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</si>
  <si>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</si>
  <si>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</si>
  <si>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</si>
  <si>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</si>
  <si>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</si>
  <si>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</si>
  <si>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</si>
  <si>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</si>
  <si>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</si>
  <si>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</si>
  <si>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</si>
  <si>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</si>
  <si>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</si>
  <si>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</si>
  <si>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</si>
  <si>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</si>
  <si>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</si>
  <si>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</si>
  <si>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</si>
  <si>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</si>
  <si>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</si>
  <si>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</si>
  <si>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</si>
  <si>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</si>
  <si>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</si>
  <si>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</si>
  <si>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</si>
  <si>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</si>
  <si>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</si>
  <si>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</si>
  <si>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</si>
  <si>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</si>
  <si>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</si>
  <si>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</si>
  <si>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</si>
  <si>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</si>
  <si>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</si>
  <si>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</si>
  <si>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</si>
  <si>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</si>
  <si>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</si>
  <si>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</si>
  <si>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</si>
  <si>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</si>
  <si>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</si>
  <si>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</si>
  <si>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</si>
  <si>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</si>
  <si>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</si>
  <si>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</si>
  <si>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</si>
  <si>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</si>
  <si>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</si>
  <si>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</si>
  <si>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</si>
  <si>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</si>
  <si>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</si>
  <si>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</si>
  <si>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</si>
  <si>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</si>
  <si>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</si>
  <si>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</si>
  <si>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</si>
  <si>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</si>
  <si>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</si>
  <si>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</si>
  <si>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</si>
  <si>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</si>
  <si>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</si>
  <si>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</si>
  <si>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</si>
  <si>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</si>
  <si>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</si>
  <si>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</si>
  <si>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</si>
  <si>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</si>
  <si>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</si>
  <si>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</si>
  <si>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</si>
  <si>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</si>
  <si>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</si>
  <si>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</si>
  <si>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</si>
  <si>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</si>
  <si>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</si>
  <si>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</si>
  <si>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</si>
  <si>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</si>
  <si>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</si>
  <si>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</si>
  <si>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</si>
  <si>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</si>
  <si>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</si>
  <si>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</si>
  <si>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</si>
  <si>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</si>
  <si>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</si>
  <si>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</si>
  <si>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</si>
  <si>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</si>
  <si>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</si>
  <si>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</si>
  <si>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</si>
  <si>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</si>
  <si>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</si>
  <si>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</si>
  <si>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</si>
  <si>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</si>
  <si>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</si>
  <si>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</si>
  <si>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</si>
  <si>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</si>
  <si>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</si>
  <si>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</si>
  <si>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</si>
  <si>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</si>
  <si>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</si>
  <si>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</si>
  <si>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</si>
  <si>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</si>
  <si>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</si>
  <si>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</si>
  <si>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</si>
  <si>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</si>
  <si>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</si>
  <si>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</si>
  <si>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</si>
  <si>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</si>
  <si>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</si>
  <si>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</si>
  <si>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</si>
  <si>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</si>
  <si>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</si>
  <si>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</si>
  <si>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</si>
  <si>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</si>
  <si>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</si>
  <si>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</si>
  <si>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</si>
  <si>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</si>
  <si>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</si>
  <si>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</si>
  <si>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</si>
  <si>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</si>
  <si>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</si>
  <si>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</si>
  <si>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</si>
  <si>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</si>
  <si>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</si>
  <si>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</si>
  <si>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</si>
  <si>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</si>
  <si>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</si>
  <si>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</si>
  <si>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</si>
  <si>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</si>
  <si>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</si>
  <si>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</si>
  <si>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</si>
  <si>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</si>
  <si>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</si>
  <si>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</si>
  <si>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</si>
  <si>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</si>
  <si>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</si>
  <si>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</si>
  <si>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</si>
  <si>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</si>
  <si>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</si>
  <si>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</si>
  <si>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</si>
  <si>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</si>
  <si>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</si>
  <si>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</si>
  <si>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</si>
  <si>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</si>
  <si>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</si>
  <si>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</si>
  <si>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</si>
  <si>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</si>
  <si>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</si>
  <si>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</si>
  <si>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</si>
  <si>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</si>
  <si>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</si>
  <si>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</si>
  <si>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current, on a la date</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</si>
  <si>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</si>
  <si>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</si>
  <si>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</si>
  <si>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</si>
  <si>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</si>
  <si>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</si>
  <si>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</si>
  <si>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</si>
  <si>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</si>
  <si>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</si>
  <si>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</si>
  <si>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</si>
  <si>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</si>
  <si>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</si>
  <si>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</si>
  <si>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</si>
  <si>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</si>
  <si>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</si>
  <si>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</si>
  <si>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</si>
  <si>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</si>
  <si>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</si>
  <si>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</si>
  <si>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</si>
  <si>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</si>
  <si>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</si>
  <si>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</si>
  <si>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</si>
  <si>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</si>
  <si>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</si>
  <si>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</si>
  <si>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</si>
  <si>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</si>
  <si>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</si>
  <si>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</si>
  <si>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</si>
  <si>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RS-RI:15-15:resourcesInfo</t>
  </si>
  <si>
    <t>Le message RS-RI sert uniquement à partager :</t>
  </si>
  <si>
    <t xml:space="preserve">les ressources engagées sur une opération </t>
  </si>
  <si>
    <t>les mises à jour de statut : a chaque fois que le statut change on enoie un RS-SIT</t>
  </si>
  <si>
    <t>plus tard, dans une v5 - les mises à jour de géolocalisation =  à passer dans un message complémentaire (GEO POS)</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</si>
  <si>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</si>
  <si>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ID partagé du message RS-RIG</t>
  </si>
  <si>
    <t>Identifiant unique de l'Echange de Ressource concerné. = aux champs {organization}.{localID}
Il doit pouvoir être généré de façon unique et décentralisée et ne présenter aucune ambiguïté. 
Il est généré par le système du partenaire récepteur de la primo-demande de secours (créateur du dossier).</t>
  </si>
  <si>
    <t>fr.health.samu440.DRFR15DDXAAJJJ0000.M001</t>
  </si>
  <si>
    <t>RSRIGId</t>
  </si>
  <si>
    <t>Liste des vecteurs associés au message :  liste l'ensemble des vecteurs ou ressources mobilisées</t>
  </si>
  <si>
    <t>mobilizedResource</t>
  </si>
  <si>
    <t>Date/heure de déclenchement</t>
  </si>
  <si>
    <t>date et heure d'engagement de la ressource</t>
  </si>
  <si>
    <t>dateTime</t>
  </si>
  <si>
    <t>ID Demande de ressource</t>
  </si>
  <si>
    <t>ID Ressource partagé</t>
  </si>
  <si>
    <t>ID partagé unique de la ressource engagée, valorisé comme suit :
{orgID}.resource.{ID unique de la ressource partagée}
OU - uniquement dans le cas où un ID unique de ressource ne peut pas être garanti par l'organisation propriétaire :
{orgID}.resource.{ID du dossier partagé}.{numéro d’ordre chronologique ressource}</t>
  </si>
  <si>
    <t>fr.health.samu770.resource.VLM250
fr.health.samu440.resource.DRFR15DDXAAJJJ0000.1</t>
  </si>
  <si>
    <t>resourceID</t>
  </si>
  <si>
    <t>ID Demande partagé</t>
  </si>
  <si>
    <t>Identifiant unique partagé de la demande de ressource (si la ressource a été engagée suite à une demande de ressource), valorisé comme suit :
{orgID}.request.{ID unique de la demande dans le système émetteur}</t>
  </si>
  <si>
    <t>fr.health.samu770.request.1249875</t>
  </si>
  <si>
    <t>RSDRId</t>
  </si>
  <si>
    <t>ID Mission local</t>
  </si>
  <si>
    <t>Numéro de mission unique du central d’appel (PSAP, …) qui a déclenché le vecteur</t>
  </si>
  <si>
    <t>DRFR15DDXAAJJJ0000.M001</t>
  </si>
  <si>
    <t>missionID</t>
  </si>
  <si>
    <t>ID Organisation propriétaire</t>
  </si>
  <si>
    <t>Organisation à laquelle appartient la ressource</t>
  </si>
  <si>
    <t>orgID</t>
  </si>
  <si>
    <t>ID Centre d’affectation</t>
  </si>
  <si>
    <t>Lieu de garage principal</t>
  </si>
  <si>
    <t>CHU Nantes</t>
  </si>
  <si>
    <t>centerName</t>
  </si>
  <si>
    <t>Type de ressource mobilisée : Smur, Hospitaliers (hors Smur), Professionnels Libéraux, Ambulanciers privés (Transporteurs Sanitaires Urgent), etc.</t>
  </si>
  <si>
    <t>SMUR</t>
  </si>
  <si>
    <t>Nomenclature type de moyens</t>
  </si>
  <si>
    <t>Type de vecteur mobilisé : Véhicule Léger Médicalisé, Ambulance de réanimation, Ambulance de réanimation Bariatrique, Ambulance de réanimation Pédiatrique, etc.</t>
  </si>
  <si>
    <t>VLM</t>
  </si>
  <si>
    <t>vehiculeType</t>
  </si>
  <si>
    <t>Nomenclature type de vecteur</t>
  </si>
  <si>
    <t>faire la différence entre ressource engagée et ressource de transport ? = avoir 2 thésaurus ou un seul ? Réduire à la liste possible dans le patient</t>
  </si>
  <si>
    <t>Immatriculation</t>
  </si>
  <si>
    <t>N° d'immatriculation du vecteur</t>
  </si>
  <si>
    <t>plate</t>
  </si>
  <si>
    <t>Nom donné à la ressource par l’organisation d’appartenance</t>
  </si>
  <si>
    <t>SMUR 123</t>
  </si>
  <si>
    <t>Type de centre d’affectation</t>
  </si>
  <si>
    <t>centerType</t>
  </si>
  <si>
    <t xml:space="preserve">A revoir par Philippe : a-t-on besoin ? </t>
  </si>
  <si>
    <t>Commune du centre d’affectation</t>
  </si>
  <si>
    <t>Code INSEE de la commune du centre d'affectation</t>
  </si>
  <si>
    <t>centerCity</t>
  </si>
  <si>
    <t>Marque vecteur</t>
  </si>
  <si>
    <t>make</t>
  </si>
  <si>
    <t>Modèle vecteur</t>
  </si>
  <si>
    <t>model</t>
  </si>
  <si>
    <t>Equipe vecteur</t>
  </si>
  <si>
    <t>Décrit le type et l'équipe à bord du vecteur</t>
  </si>
  <si>
    <t>team</t>
  </si>
  <si>
    <t>Médical / paramédical : indique le niveau de médicalisation du vecteur</t>
  </si>
  <si>
    <t>Voir pour implémenter une nomenclature ?</t>
  </si>
  <si>
    <t>Voir niveau de précision, notamment pour "medical" (pédiatre, obstétrique, etc.)</t>
  </si>
  <si>
    <t>Nom de l'équipe à bord du vecteur</t>
  </si>
  <si>
    <t>Etats vecteur</t>
  </si>
  <si>
    <t>state</t>
  </si>
  <si>
    <t>Date/heure de changement de statut</t>
  </si>
  <si>
    <t>Statuts du vecteur</t>
  </si>
  <si>
    <t>Dernier statut du vecteur</t>
  </si>
  <si>
    <t>ENUM : ALERTE, PARTI, ARRIVEE SUR LES LIEUX, TRANSPORT DESTINATION, ARRIVEE DESTINATION, FIN DE MEDICALISATION , QUITTE DESTINATION, RETOUR BASE, RENTREE BASE</t>
  </si>
  <si>
    <t>Liste officielle SI-SAMU GT 399 des statuts</t>
  </si>
  <si>
    <t>Disponibilité du vecteur</t>
  </si>
  <si>
    <t>Indique si le vecteur est disponible / indisponible</t>
  </si>
  <si>
    <t>availability</t>
  </si>
  <si>
    <t>ENUM : DISPONIBLE, INDISPONIBLE, INCONNUE</t>
  </si>
  <si>
    <t>Dernière géolocalisation du vecteur</t>
  </si>
  <si>
    <t>Type et valeur de l'URI utilisée par la ressource.</t>
  </si>
  <si>
    <t xml:space="preserve">Type de contact </t>
  </si>
  <si>
    <t>Type de l'URI utilisée</t>
  </si>
  <si>
    <t>Valeur de l'URI utilisée pour contacter la ressource</t>
  </si>
  <si>
    <t>Texte libre permettant de passer toute autre information sur la ressource (équipements supplémentaires / particuliers, particularités du vecteur)</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</si>
  <si>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</si>
  <si>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</si>
  <si>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</si>
  <si>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</si>
  <si>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</si>
  <si>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 xml:space="preserve">Demander nomenclature (revoir avec Bruno pour utiliser nomenclature proposée au RDR ?) et voir pour ajouter type de service ? </t>
  </si>
  <si>
    <t xml:space="preserve">Voir si reprise ou non type de lieu / complétion ? </t>
  </si>
  <si>
    <t># Voir Origine (type location)</t>
  </si>
  <si>
    <t>Permet de décrire la destination d'une ressource, lorsqu'elle est connue. (Par exemple : suite à une décisition d'orientation, une nouvelle demande de ressource doit être envoyée, ou lors d'un TIH)</t>
  </si>
  <si>
    <t>RS-DR:15-15:resourcesRequest</t>
  </si>
  <si>
    <t>Le message RS-DR sert uniquement à :</t>
  </si>
  <si>
    <t>faire une demande de ressource.s ciblée à un partenaire (via un effet à obtenir)</t>
  </si>
  <si>
    <t>indiquer l'origine lorsqu'elle est différente de l'adresse d'intervention du dossier</t>
  </si>
  <si>
    <t>indiquer l'origine et la destination dans le cadre d'un TIH</t>
  </si>
  <si>
    <t>Identifiant unique partagé de la demande de ressource
{orgID}.request.{ID unique de la demande dans le système émetteur}</t>
  </si>
  <si>
    <t>Demande de ressource</t>
  </si>
  <si>
    <t>Groupe date heure de début de la demande</t>
  </si>
  <si>
    <t>request</t>
  </si>
  <si>
    <t>Date Heure de création de la demande</t>
  </si>
  <si>
    <t>Voir liste des effets à obtenir identifiés</t>
  </si>
  <si>
    <t>CISU</t>
  </si>
  <si>
    <t>Cadre conventionnel</t>
  </si>
  <si>
    <t>Nomenclature à venir : décrit le cadre conventionnel de la demande.</t>
  </si>
  <si>
    <t>convention</t>
  </si>
  <si>
    <t>Délai souhaité</t>
  </si>
  <si>
    <t>Délai d'intervention souhaité</t>
  </si>
  <si>
    <t>deadline</t>
  </si>
  <si>
    <t>Effet à obtenir</t>
  </si>
  <si>
    <t>Motif de la demande de ressource auprès du partenaire</t>
  </si>
  <si>
    <t>purpose</t>
  </si>
  <si>
    <t>NOMENCLATURE: CISU-Code_Effet_a_obtenir</t>
  </si>
  <si>
    <t>Implémenter la liste des effets à obtenir ici</t>
  </si>
  <si>
    <t>Précisions sur la demande</t>
  </si>
  <si>
    <t>Texte libre permettant de détailler la demande</t>
  </si>
  <si>
    <t>Permet de décrire le lieu d'intervention, lorsqu'il est différent de celui porté au dossier. Par exemple dans un cas de jonction, ou pour un TIH.</t>
  </si>
  <si>
    <t>EPHAD OU LONG SEJOUR</t>
  </si>
  <si>
    <t>RS-RR:15-15:resourcesResponse</t>
  </si>
  <si>
    <t>Le message RS-RDR sert uniquement à :</t>
  </si>
  <si>
    <t xml:space="preserve">répondre à une demande de ressource.s envoyée par un partenaire </t>
  </si>
  <si>
    <t>indiquer la ou les ressource.s mobilisée.s en réponse à la demande reçue</t>
  </si>
  <si>
    <t>indiquer si nécessaire les horaires d'arrivée prévisionnels de chaque ressource engagée sur le lieu d'intervention / prise en charge et/ou sur le lieu de destination</t>
  </si>
  <si>
    <t>Réponse à la demande de ressources</t>
  </si>
  <si>
    <t>requestResponse</t>
  </si>
  <si>
    <t>response</t>
  </si>
  <si>
    <t>Date Heure de réponse</t>
  </si>
  <si>
    <t>Réponse</t>
  </si>
  <si>
    <t>oui / non / oui partiel / différé</t>
  </si>
  <si>
    <t>answer</t>
  </si>
  <si>
    <t>Délai de réponse</t>
  </si>
  <si>
    <t>Indique le délai de réponse auquel s'engage l'expéditeur</t>
  </si>
  <si>
    <t>Précisions sur la réponse</t>
  </si>
  <si>
    <t>Commentaire libre pour apporter toutes précisions utiles à la réponse</t>
  </si>
  <si>
    <t>commitmentDateTime</t>
  </si>
  <si>
    <t>Date/heure prévisionnelle d'arrivée au lieu d'intervention / lieu d'origine</t>
  </si>
  <si>
    <t>date et heure d'arrivée prévisionnelle sur le lieu de prise en charge du patient</t>
  </si>
  <si>
    <t>originDateTime</t>
  </si>
  <si>
    <t>Date/heure prévisionnelle d'arrivée au lieu de destination</t>
  </si>
  <si>
    <t>date et heure d'arrivée prévisionnelle sur le lieu de destination du patient</t>
  </si>
  <si>
    <t>destinationDateTime</t>
  </si>
  <si>
    <t>ID partagé</t>
  </si>
  <si>
    <t>ID partagé unique de la ressource engagée 
{orgID}.resource.{ID unique de la ressource partagée}
Ou, uniquement dans le cas où un ID unique de ressource ne peut pas être garanti par l'organisation propriétaire :
{orgID}.resource.{ID du dossier partagé}.{numéro d’ordre chronologique ressource}</t>
  </si>
  <si>
    <t>A normer</t>
  </si>
  <si>
    <t>Nom donné par l’organisation d’appartenance</t>
  </si>
  <si>
    <t>N° d'ordre de la ressource</t>
  </si>
  <si>
    <t>S'il existe plusieurs types de vecteurs ou ressource identiques portant le même nom dans un même dans le même centre d’affectation; préciser le numéro d'ordre</t>
  </si>
  <si>
    <t>order</t>
  </si>
  <si>
    <t>Centre d’affectation</t>
  </si>
  <si>
    <t>Etat vecteur</t>
  </si>
  <si>
    <t>Statut du vecteur</t>
  </si>
  <si>
    <t>Statuts Antares</t>
  </si>
  <si>
    <t>ENUM : Alerte, Parti, Arrivee Sur Les Lieux, Transport Destination, Arrivee Destination, Fin De Medicalisation , Quitte Destination, Retour Base, Rentree Base</t>
  </si>
  <si>
    <t>ENUM : Disponible, Indisponible, Inconnu</t>
  </si>
  <si>
    <t>Texte libre permettant de passer toute autre information (équipements supplémentaires / particuliers, particularités du vecteur)</t>
  </si>
  <si>
    <t>RPIS:15-RPIS:rpis</t>
  </si>
  <si>
    <t>15-RPIS</t>
  </si>
  <si>
    <t>15-TSU</t>
  </si>
  <si>
    <t>Evènement</t>
  </si>
  <si>
    <t>Identifiant du SAMU qui engage le SMUR</t>
  </si>
  <si>
    <t xml:space="preserve">Numéro du SAMU régulant la mission SMUR. 
A valoriser par fr.health.samuXXX :  {pays}.{domaine}.{organisation}
</t>
  </si>
  <si>
    <t>samuId</t>
  </si>
  <si>
    <t>Identifiant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</si>
  <si>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</si>
  <si>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</si>
  <si>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fileId</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</si>
  <si>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</si>
  <si>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</si>
  <si>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</si>
  <si>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</si>
  <si>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</si>
  <si>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</si>
  <si>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</si>
  <si>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</si>
  <si>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</si>
  <si>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</si>
  <si>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</si>
  <si>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</si>
  <si>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</si>
  <si>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</si>
  <si>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Type d'évènement</t>
  </si>
  <si>
    <t>Sortie SUR primaire, Sortie SMUR Secondaire, Transfert TIIH</t>
  </si>
  <si>
    <t>S, P, T</t>
  </si>
  <si>
    <t>Annulation</t>
  </si>
  <si>
    <t>cancelled</t>
  </si>
  <si>
    <t>Annulation de l'intervention</t>
  </si>
  <si>
    <t>Indique si la mission est annulée</t>
  </si>
  <si>
    <t>VRAI, FAUX</t>
  </si>
  <si>
    <t>cancelStatus</t>
  </si>
  <si>
    <t>Date et heure de l'annulation</t>
  </si>
  <si>
    <t>Régulation médicale</t>
  </si>
  <si>
    <t>regulation</t>
  </si>
  <si>
    <t>Circonstances ayant données lieu à l’appel</t>
  </si>
  <si>
    <t>AVPAR</t>
  </si>
  <si>
    <t>Libellé court</t>
  </si>
  <si>
    <t>Accident routier</t>
  </si>
  <si>
    <t xml:space="preserve">Motif de recours </t>
  </si>
  <si>
    <t>Niveau de médicalisation initial</t>
  </si>
  <si>
    <t>PARAMED</t>
  </si>
  <si>
    <t>initialTeamCare</t>
  </si>
  <si>
    <t>Identifiant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</si>
  <si>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</si>
  <si>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fr.health.samu690.DRFR15DDXAAJJJ00001.P01</t>
  </si>
  <si>
    <t>patientId</t>
  </si>
  <si>
    <t>17/02/1936</t>
  </si>
  <si>
    <t>Sexe</t>
  </si>
  <si>
    <t>NIR</t>
  </si>
  <si>
    <t>Numéro d'inscription au Répertoire ou numéro de sécurité sociale, unique, transmis par la CNIL</t>
  </si>
  <si>
    <t>278112B050002</t>
  </si>
  <si>
    <t>nir</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</si>
  <si>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</si>
  <si>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</si>
  <si>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</si>
  <si>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</si>
  <si>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cityCode</t>
  </si>
  <si>
    <t>Levallois-Perret</t>
  </si>
  <si>
    <t>Intervention</t>
  </si>
  <si>
    <t>intervention</t>
  </si>
  <si>
    <t>Lieu d'intervention</t>
  </si>
  <si>
    <t>Type de lieu d’intervention</t>
  </si>
  <si>
    <t>DOMPAV</t>
  </si>
  <si>
    <t xml:space="preserve">FINESS géographique de l’établissement </t>
  </si>
  <si>
    <t>Finess géographique et juridique de l’établissement de santé</t>
  </si>
  <si>
    <t>finessGeo</t>
  </si>
  <si>
    <t xml:space="preserve">Unité fonctionnelle </t>
  </si>
  <si>
    <t>Unité fonctionnelle de l'établissement de santé</t>
  </si>
  <si>
    <t>unit</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</si>
  <si>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</si>
  <si>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</si>
  <si>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</si>
  <si>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 xml:space="preserve">A valoriser par O si complet et N si incomplet. 
Complet = équipe à 3 (avec infirmier), incomplet = équipe à 2 (sans infirmier), une équipe étant, à minima, composé d'un médecin et un ambulancier. </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</si>
  <si>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</si>
  <si>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</si>
  <si>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</si>
  <si>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</si>
  <si>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</si>
  <si>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</si>
  <si>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</si>
  <si>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</si>
  <si>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</si>
  <si>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Actes réalisés par le SMUR</t>
  </si>
  <si>
    <t>Précise aussi bien les actes réalisés par le SMUR sur le lieu de l'intervention à son arrivée que ceux réalisés avant son intervention. 
A valoriser avec un code de la nomenclature ACTES_SMUR.</t>
  </si>
  <si>
    <t>ABV</t>
  </si>
  <si>
    <t>actions</t>
  </si>
  <si>
    <t>Diagnostic principal SMUR</t>
  </si>
  <si>
    <t>Thésaurus SFMU-FEDORU.
A valoriser par un code de la nomenclature Diagnostic SMUR.</t>
  </si>
  <si>
    <t>R579</t>
  </si>
  <si>
    <t>Diagnostic associé  SMUR</t>
  </si>
  <si>
    <t>R578</t>
  </si>
  <si>
    <t>associatedDiagnosis</t>
  </si>
  <si>
    <t>Statuts des horaires du SMUR</t>
  </si>
  <si>
    <t>smurStatus</t>
  </si>
  <si>
    <t>resourceStatus</t>
  </si>
  <si>
    <t>Date et heure du départ de la base SMUR</t>
  </si>
  <si>
    <t>departSmur</t>
  </si>
  <si>
    <t>Date et heure de l’arrivée sur les lieux de l’intervention</t>
  </si>
  <si>
    <t>arrivedSmur</t>
  </si>
  <si>
    <t>Date et heure du départ des lieux de l’intervention</t>
  </si>
  <si>
    <t>departLocation</t>
  </si>
  <si>
    <t>Date et heure d’arrivée à destination</t>
  </si>
  <si>
    <t>arrivedDestination</t>
  </si>
  <si>
    <t>Date et heure de départ destination</t>
  </si>
  <si>
    <t>Date et heure de disponibilité de l’équipe</t>
  </si>
  <si>
    <t>teamAvailable</t>
  </si>
  <si>
    <t>Date et heure de retour à la base SMUR</t>
  </si>
  <si>
    <t>returnSmur</t>
  </si>
  <si>
    <t>Décision d'orientation</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</si>
  <si>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</si>
  <si>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TEMP</t>
  </si>
  <si>
    <t>Pays de destination</t>
  </si>
  <si>
    <t>A valoriser par le libellé court de la nomenclature SIGLPAYS</t>
  </si>
  <si>
    <t>destinationCountry</t>
  </si>
  <si>
    <t>Catégorie de l'établissement de destination</t>
  </si>
  <si>
    <t>A valoriser par le code de la nomenclature associée</t>
  </si>
  <si>
    <t>destinationCategory</t>
  </si>
  <si>
    <t>Type d'activité de soins de l'unité fonctionnelle de destination</t>
  </si>
  <si>
    <t>A valoriser par le code de la nomenclature ActiviteOperationnelle</t>
  </si>
  <si>
    <t>healthcareType</t>
  </si>
  <si>
    <t>FINESS géographique</t>
  </si>
  <si>
    <t>FINESS géographique de l’établissement de destination (9 chiffres)</t>
  </si>
  <si>
    <t>finess</t>
  </si>
  <si>
    <t>Raison sociale de l’établissement de destination</t>
  </si>
  <si>
    <t>Raison sociale de l’entité géographique de l’établissement de destination</t>
  </si>
  <si>
    <t xml:space="preserve">Nom de l’unité </t>
  </si>
  <si>
    <t>Nom de l’unité dans laquelle est orienté le patient</t>
  </si>
  <si>
    <t>Transport</t>
  </si>
  <si>
    <t>Moyen de transport</t>
  </si>
  <si>
    <t>resourceCategory</t>
  </si>
  <si>
    <t>Type de vecteur de transport</t>
  </si>
  <si>
    <t>Niveau de médicalisation du transport</t>
  </si>
  <si>
    <t>Bilan Patient/Victime</t>
  </si>
  <si>
    <t>15-ATSU</t>
  </si>
  <si>
    <t>Identifiant affaire/dossier partagé</t>
  </si>
  <si>
    <t>Date et heure du bilan initial</t>
  </si>
  <si>
    <t>Lien URL du bilan</t>
  </si>
  <si>
    <t>url</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</si>
  <si>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</si>
  <si>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</si>
  <si>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</si>
  <si>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</si>
  <si>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</si>
  <si>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</si>
  <si>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</si>
  <si>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</si>
  <si>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</si>
  <si>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</si>
  <si>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</si>
  <si>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</si>
  <si>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</si>
  <si>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Prénom du patient</t>
  </si>
  <si>
    <t>Age valeur</t>
  </si>
  <si>
    <t xml:space="preserve">La date de naissance n'est pas tout le temps connu, cette donnée permet d'indiquer un âge entier. </t>
  </si>
  <si>
    <t>Nationalité</t>
  </si>
  <si>
    <t>Nationalité du patient</t>
  </si>
  <si>
    <t>nationality</t>
  </si>
  <si>
    <t>Evaluation / Diagnostic médical</t>
  </si>
  <si>
    <t>evaluation</t>
  </si>
  <si>
    <t>N</t>
  </si>
  <si>
    <t>Anamnèse</t>
  </si>
  <si>
    <t>medicalSummary</t>
  </si>
  <si>
    <t>summary</t>
  </si>
  <si>
    <t>Texte libre  pour décrire les antécédents du patient et familiaux</t>
  </si>
  <si>
    <t>Symptômes</t>
  </si>
  <si>
    <t>Texte libre pour décrire les symptomes actuels du patient</t>
  </si>
  <si>
    <t>symptoms</t>
  </si>
  <si>
    <t>Signes vitaux</t>
  </si>
  <si>
    <t>vital</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</si>
  <si>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</si>
  <si>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</si>
  <si>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</si>
  <si>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</si>
  <si>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</si>
  <si>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</si>
  <si>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</si>
  <si>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</si>
  <si>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</si>
  <si>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</si>
  <si>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</si>
  <si>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</si>
  <si>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</si>
  <si>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</si>
  <si>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</si>
  <si>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</si>
  <si>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</si>
  <si>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</si>
  <si>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</si>
  <si>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</si>
  <si>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</si>
  <si>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</si>
  <si>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</si>
  <si>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</si>
  <si>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</si>
  <si>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</si>
  <si>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</si>
  <si>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</si>
  <si>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</si>
  <si>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</si>
  <si>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</si>
  <si>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</si>
  <si>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</si>
  <si>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</si>
  <si>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</si>
  <si>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</si>
  <si>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</si>
  <si>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</si>
  <si>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</si>
  <si>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</si>
  <si>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</si>
  <si>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</si>
  <si>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</si>
  <si>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</si>
  <si>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</si>
  <si>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</si>
  <si>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</si>
  <si>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</si>
  <si>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</si>
  <si>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</si>
  <si>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</si>
  <si>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</si>
  <si>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</si>
  <si>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</si>
  <si>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</si>
  <si>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</si>
  <si>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</si>
  <si>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</si>
  <si>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</si>
  <si>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</si>
  <si>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</si>
  <si>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</si>
  <si>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</si>
  <si>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</si>
  <si>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</si>
  <si>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</si>
  <si>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</si>
  <si>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</si>
  <si>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</si>
  <si>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</si>
  <si>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</si>
  <si>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</si>
  <si>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</si>
  <si>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</si>
  <si>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</si>
  <si>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</si>
  <si>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Niveau de médicalisation souhaitée</t>
  </si>
  <si>
    <t>Destination souhaitée</t>
  </si>
  <si>
    <t>Type de moyen</t>
  </si>
  <si>
    <t>Date et heure de départ vers la destination</t>
  </si>
  <si>
    <t>startTime</t>
  </si>
  <si>
    <t xml:space="preserve">Date et heure d’arrivée vers la destination </t>
  </si>
  <si>
    <t>arrivalTime</t>
  </si>
  <si>
    <t>Decision</t>
  </si>
  <si>
    <t>Colonne2</t>
  </si>
  <si>
    <t>Colonne1</t>
  </si>
  <si>
    <t>15-XX</t>
  </si>
  <si>
    <t>Décision d'orientation transport</t>
  </si>
  <si>
    <t>AR</t>
  </si>
  <si>
    <t>Statuts Vecteur</t>
  </si>
  <si>
    <t>ID partagé unique de la ressource engagée 
{orgID}.R.{ID unique de la ressource partagée}
Ou, uniquement dans le cas où un ID unique de ressource ne peut pas être garanti par l'organisation propriétaire :
{orgID}.R.{ID du dossier partagé}.{numéro d’ordre chronologique ressource}</t>
  </si>
  <si>
    <t>fr.health.samu440.DRFR15DDXAAJJJ0000.R01
fr.health.samu440.VLM16</t>
  </si>
  <si>
    <t>Identifiant unique partagé de la demande de ressource
{orgID}.D.{ID unique de la demande dans le système émetteur}</t>
  </si>
  <si>
    <t>fr.health.samu770.D.1249875</t>
  </si>
  <si>
    <t xml:space="preserve">Maintenance </t>
  </si>
  <si>
    <t>GEO-POS:15-15:geoPositionsUpdate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</si>
  <si>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</si>
  <si>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</si>
  <si>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</si>
  <si>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</si>
  <si>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</si>
  <si>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</si>
  <si>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</si>
  <si>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</si>
  <si>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</si>
  <si>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</si>
  <si>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</si>
  <si>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</si>
  <si>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</si>
  <si>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</si>
  <si>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</si>
  <si>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</si>
  <si>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</si>
  <si>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</si>
  <si>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</si>
  <si>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</si>
  <si>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</si>
  <si>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</si>
  <si>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</si>
  <si>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</si>
  <si>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</si>
  <si>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</si>
  <si>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</si>
  <si>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</si>
  <si>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</si>
  <si>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</si>
  <si>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</si>
  <si>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</si>
  <si>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</si>
  <si>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</si>
  <si>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</si>
  <si>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</si>
  <si>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</si>
  <si>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</si>
  <si>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</si>
  <si>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</si>
  <si>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</si>
  <si>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</si>
  <si>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</si>
  <si>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Identifiant(s) de(s) ressource(s)</t>
  </si>
  <si>
    <t>Liste des ID des ressources pour lesquels le demandeur a besoin d'obtenir plus de détails</t>
  </si>
  <si>
    <t>GEO-RES:15-15:geoResourcesDetails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</si>
  <si>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</si>
  <si>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</si>
  <si>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</si>
  <si>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</si>
  <si>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</si>
  <si>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</si>
  <si>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</si>
  <si>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</si>
  <si>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</si>
  <si>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</si>
  <si>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</si>
  <si>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</si>
  <si>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</si>
  <si>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</si>
  <si>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</si>
  <si>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</si>
  <si>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</si>
  <si>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</si>
  <si>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</si>
  <si>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</si>
  <si>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</si>
  <si>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</si>
  <si>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</si>
  <si>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</si>
  <si>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</si>
  <si>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</si>
  <si>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</si>
  <si>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</si>
  <si>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</si>
  <si>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</si>
  <si>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</si>
  <si>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</si>
  <si>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</si>
  <si>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</si>
  <si>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</si>
  <si>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</si>
  <si>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</si>
  <si>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</si>
  <si>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</si>
  <si>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</si>
  <si>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</si>
  <si>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</si>
  <si>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</si>
  <si>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</si>
  <si>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</si>
  <si>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</si>
  <si>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</si>
  <si>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</si>
  <si>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</si>
  <si>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</si>
  <si>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Information</t>
  </si>
  <si>
    <t> Champ libre permettant de transmettre des informations quelconques</t>
  </si>
  <si>
    <t>info</t>
  </si>
  <si>
    <t>RC-REF:15-15:reference</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</si>
  <si>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</si>
  <si>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</si>
  <si>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</si>
  <si>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</si>
  <si>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</si>
  <si>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</si>
  <si>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</si>
  <si>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</si>
  <si>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</si>
  <si>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customContent:15-15:customContent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</si>
  <si>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</si>
  <si>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</si>
  <si>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</si>
  <si>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</si>
  <si>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</si>
  <si>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</si>
  <si>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</si>
  <si>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</si>
  <si>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</si>
  <si>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REGEX: ^[a-zA-Z]{2,3}\.[a-zA-Z]+\..*$</t>
  </si>
  <si>
    <t>ENUM: ACCEPTEE, REFUSEE, PARTIELLE, DIFFEREE</t>
  </si>
  <si>
    <t>ADRESSE</t>
  </si>
  <si>
    <t>Sert à indiquer à quelle filière du CRRA destinataire le dossier doit être adressé/affiché, lorsque celle-ci est spécifique ou dédiée.</t>
  </si>
  <si>
    <t xml:space="preserve">A valoriser avec le numéro du dossier dans le SI de l'émetteur du message.
</t>
  </si>
  <si>
    <t>A valoriser avec le groupe date heure de début de partage lié à la création de l'affaire (et donc de génération du caseId). 
Lors de l'ajout d'une nouvelle alerte, la valeur de ce champ ne doit pas être modifiée.  
L'indicateur de fuseau horaire Z ne doit pas être utilisé.
Spécificité 15-18 :
Il doit être renseigné à la fin du processus de la  création de la première alerte.</t>
  </si>
  <si>
    <t>A valoriser en indiquant s'il s'agit d'un dossier dit primaire (première intervention urgente) ou secondaire (par exemple TIH)</t>
  </si>
  <si>
    <t>A valoriser avec le numéro de provenance de l'appel.</t>
  </si>
  <si>
    <t>A valoriser avec le code de la nomenclature associée</t>
  </si>
  <si>
    <t>A valoriser avec le libellé de la nomenclature associée.
Dans le cas où un système n'est pas en mesure de reconnaître un code, il peut choisir d'afficher le libellé qui est obligatoirement fourni avec le code.</t>
  </si>
  <si>
    <t>Décrit le type de professionnel médical à qui le dossier est attribué : médecin généraliste, médecin urgentiste etc.</t>
  </si>
  <si>
    <t>Décrit le type de lieu : cf.nomenclature associée.</t>
  </si>
  <si>
    <t>Décrit la nature de fait de l'alerte : cf.nomenclature associée.</t>
  </si>
  <si>
    <t>Décrit les risques, menaces et sensibilités : cf.nomenclature associée.</t>
  </si>
  <si>
    <t>Décrit le motif de recours médico-secouriste : cf.nomenclature associée.</t>
  </si>
  <si>
    <t>Objet qui permet de décrire le lieu d'intervention.</t>
  </si>
  <si>
    <t>A valoriser avec le nom de lieu : nom commercial, nom d'établissement, forêt de Fontainebleau, lac du Der, etc.</t>
  </si>
  <si>
    <t>A valoriser avec le nom de l'autoroute, de la voie ferrée ou voie navigable.</t>
  </si>
  <si>
    <t xml:space="preserve">Objet qui permet de transmettre les informations liés à une autoroute. S'utilise aussi pour les voies férées et navigables. </t>
  </si>
  <si>
    <t xml:space="preserve">A valoriser avec le point kilométrique de l'autoroute, de la voie ferrée ou voie navigable. </t>
  </si>
  <si>
    <t>A valoriser avec le sens de l'autoroute.</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</si>
  <si>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</si>
  <si>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A valoriser avec le numéro dans l'adresse. La valeur de l'attribut inclut l'indice de répétition associé au numéro (par exemple bis, a…).
Spécificités 15-18 :  inclut le point kilométrique sur l'autoroute, voie ferrée ou voie navigable.</t>
  </si>
  <si>
    <t>Objet qui permet de décrire de manière structurée le type de voie et le nom de voie.</t>
  </si>
  <si>
    <t>A valoriser avec le type de la voie</t>
  </si>
  <si>
    <t>A valoriser avec le nom de la voie</t>
  </si>
  <si>
    <t>A valoriser avec le nom officiel de la commune</t>
  </si>
  <si>
    <t>A valoriser avec le code INSEE de la commune actuelle sur la base du Code Officiel géographique en vigueur. 
La valeur du code INSEE est obligatoire dès que le nom de la commune est renseigné (city.name).</t>
  </si>
  <si>
    <t xml:space="preserve">A valoriser avec le numéro ou nom de l'étage </t>
  </si>
  <si>
    <t>A valoriser avec le numéro d'appartement, de chambre, de bureau</t>
  </si>
  <si>
    <t>A valoriser avec les informations nécessaires à l'identification de l'interphone (numéro, nom)</t>
  </si>
  <si>
    <t>A valoriser avec le ou les digicodes, dans l'ordre de progression dans le bâtiment.</t>
  </si>
  <si>
    <t xml:space="preserve">A valoriser avec le nom ou le numéro de l'ascenseur ou de la cage d'escalier </t>
  </si>
  <si>
    <t>A valoriser avec le nom du bâtiment</t>
  </si>
  <si>
    <t>A valoriser avec le nom de l'entrée</t>
  </si>
  <si>
    <t>A valoriser avec le nom du service concerné au sein de l'établissement : infirmerie, service finance, service comptabilité.</t>
  </si>
  <si>
    <t>A valoriser avec le numéro de téléphone du lieu de l'intervention, par exemple : téléphone du secrétariat, téléphone du service administratif ou se trouve le patient/ la victime.</t>
  </si>
  <si>
    <t>A valoriser avec le groupe date heure de renseignement des coordonnées du point clé de la localisation. 
Permet de connaître la fraîcheur et donc la pertinence des informations pour intervenir.</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</si>
  <si>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</si>
  <si>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</si>
  <si>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 xml:space="preserve">A valoriser avec la latitude du point clé de la localisation - dans le système de coordonnées EPSG-4326 (indiquant l'utilisation de WGS-84) </t>
  </si>
  <si>
    <t xml:space="preserve">A valoriser avec la longitude du point clé de la localisation - dans le système de coordonnées EPSG-4326 (indiquant l'utilisation de WGS-84) </t>
  </si>
  <si>
    <t xml:space="preserve">A valoriser avec l'altitude du point clé de la localisation, en mètres.
Spécificité 15-18 :  ignoré côté NexSIS. </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</si>
  <si>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</si>
  <si>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</si>
  <si>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</si>
  <si>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A valoriser avec le groupe date heure de réception de l'alerte/appel</t>
  </si>
  <si>
    <t>A valoriser avec le groupe date heure de création de l'information complémentaire</t>
  </si>
  <si>
    <r>
      <t xml:space="preserve">Objet qui permet de fournir des informations supplémentaires concernant l'alerte.
</t>
    </r>
    <r>
      <rPr>
        <b/>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t>
    </r>
    <r>
      <rPr>
        <i/>
        <sz val="11"/>
        <color theme="1"/>
        <rFont val="Calibri"/>
        <family val="2"/>
        <scheme val="minor"/>
      </rPr>
      <t xml:space="preserve"> medicalNote</t>
    </r>
    <r>
      <rPr>
        <sz val="11"/>
        <color theme="1"/>
        <rFont val="Calibri"/>
        <family val="2"/>
        <scheme val="minor"/>
      </rPr>
      <t>).
A réception, les informations de cet attribut sont à mapper et afficher dans un champ le plus approprié possible : en commentaire général du dossier, non lié à un rôle utilisateur ou à un patient.</t>
    </r>
  </si>
  <si>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</si>
  <si>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</si>
  <si>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Objet qui permet d'identifer la personne qui a alerté les secours et de la recontacter</t>
  </si>
  <si>
    <t>A valoriser avec  l'origine du canal établi : PERSONNE, APPLICATION, DAU, BAU, DEFIBRILLATEUR, ECALL</t>
  </si>
  <si>
    <t>TEL</t>
  </si>
  <si>
    <t>PERSONNE</t>
  </si>
  <si>
    <t>MANUEL, CARTE, AUTRE, PHOTO, SITE INTERNET</t>
  </si>
  <si>
    <t>A valoriser avec la valeur de l'URI utilisée</t>
  </si>
  <si>
    <t>A valoriser avec le type de l'URI utilisée : TEL, EMAIL, FAX, POSTAL, WEB, RADIO</t>
  </si>
  <si>
    <t>A valoriser avec la langue parlée par le requérant. 
cf.nomenclature associée.</t>
  </si>
  <si>
    <t>A valoriser avec la relation du requérant avec l'incident / le patient / la victime.
cf. nomenclature associée.</t>
  </si>
  <si>
    <t>A valoriser avec la nature des éventuelles difficultés de communication rencontrées par le requérant. 
cf.nomenclature associée.</t>
  </si>
  <si>
    <t>Champ libre qui permet de compléter les informations spécifiquement liées au requérant.</t>
  </si>
  <si>
    <t>Objet qui permet de décrire le nom et le prénom usuel du requérant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</si>
  <si>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</si>
  <si>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</si>
  <si>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</si>
  <si>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A valoriser avec le nom usuel du requérant</t>
  </si>
  <si>
    <t>A valoriser avec le prénom usuel du réquérant.
Par convention les prénoms composés doivent préférablement être séparés par le caractère "-"</t>
  </si>
  <si>
    <t>Attribut qui permet de transférer la prise en charge d'un dossier à un autre CRAA - après accord verbal de ce dernier.</t>
  </si>
  <si>
    <t>Objet qui permet l'identification des patients / victimes</t>
  </si>
  <si>
    <t xml:space="preserve">A valoriser avec l'identifiant partagé du patient, valorisé comme suit : {ID du dossier partagé}.P{numéro d’ordre chronologique}
Cet identifiant est généré une seule fois par le système du partenaire qui créé le patient.
</t>
  </si>
  <si>
    <t>Objet qui permet de décrire l'ensemble des identifiants qui permettent d'identifier le patient (autre que le matricule INS, qui ne doit jamais être partagé via cet objet)</t>
  </si>
  <si>
    <t>Objet qui permet de décrire les données administratives liées au patient</t>
  </si>
  <si>
    <t>Objet qui permet de décrire l'identité du patient</t>
  </si>
  <si>
    <t>Objet qui permet de décrire les traits stricts de l'identité du patient</t>
  </si>
  <si>
    <t>A valoriser avec le nom de naissance du patient. Egalement appelé nom de famille.</t>
  </si>
  <si>
    <t>A valoriser avec la date de naissance du patient</t>
  </si>
  <si>
    <t>A valoriser avec le sexe du patient</t>
  </si>
  <si>
    <t>Objet qui permet de décrire les traits stricts de l'identité du patient, c’est-à-dire le nom et le prénom usuels du patient.</t>
  </si>
  <si>
    <t>Décrit le motif de recours médico-secouriste associé spécifiquement à un patient : cf.nomenclature associée.</t>
  </si>
  <si>
    <t>Objet qui permet de décrire les caractéristiques du patient</t>
  </si>
  <si>
    <t>A valoriser avec le poids en kilogrammes</t>
  </si>
  <si>
    <t>A valoriser avec la taille en centimètres du patient</t>
  </si>
  <si>
    <t>A valoriser avec l'age du patient.
Au format "Durée" de la norme ISO 8601 (https://fr.wikipedia.org/wiki/ISO_8601#Dur%C3%A9e) et en n'utilisant qu'une seule unité de durée (années, mois, semaines ou jours)</t>
  </si>
  <si>
    <t>A valoriser avec le niveau de soins spécifique au patient</t>
  </si>
  <si>
    <t>Hypothèse diagnostique principale émise par le médecin régulateur du CRAA. Norme CIM11.</t>
  </si>
  <si>
    <t>Hypothèses diagnostiques secondaires émises par le médecin régulateur du CRAA. Norme CIM11.</t>
  </si>
  <si>
    <t xml:space="preserve">Champ libre qui permet de compléter les informations liées spécifiquement à l'identité ou aux caractéristiques du patient - en dehors de tout commentaire ou interrogatoire de nature médical. </t>
  </si>
  <si>
    <t>Objet qui permet de décrire les hypothèses de régulation médicale</t>
  </si>
  <si>
    <t>Identifiant partagé du patient concerné par l'observation, a remplir obligatoirement si ce patient existe et est identifié dans le système emetteur, valorisé comme suit  : 
{ID du dossier partagé}.P{numéro d’ordre chronologique unique du patient}</t>
  </si>
  <si>
    <t xml:space="preserve">Objet qui permet de décrire le professionnel de santé qui réalise l'interrogatoire médical. </t>
  </si>
  <si>
    <t>A valoriser avec le prénom et le nom de l'opérateur</t>
  </si>
  <si>
    <t>fr.health.samu044.DRFR154402415000450.P1</t>
  </si>
  <si>
    <t>fr.health.samu540.DRFR155402416000125.medicalNote.46585A</t>
  </si>
  <si>
    <t xml:space="preserve">A valoriser avec le rôle de l'opérateur au sein de l'entité émettrice du message : </t>
  </si>
  <si>
    <t>A valoriser avec le groupe date heure de création de l'observation.  L'indicateur de fuseau horaire Z ne doit pas être utilisé.</t>
  </si>
  <si>
    <t>Champ libre qui permet de compléter les informations de nature médicales, faites par un ARM, un médecin ou un autre professionnel de santé.</t>
  </si>
  <si>
    <t xml:space="preserve">A valoriser avec l'identifiant unique de l'observation, valorisé comme suit : {caseID}.medicalNote.{ID de l'observation dans le système émetteur}.
Cet identifiant a vocation à devenir obligatoire pour permettre les mises à jour, il est laissé en facultatif temporairement.
</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</si>
  <si>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</si>
  <si>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A valoriser avec le nom de la balise</t>
  </si>
  <si>
    <t>A valoriser avec le libellé correspondant</t>
  </si>
  <si>
    <t>A valoriser avec la valeur associée à la clé</t>
  </si>
  <si>
    <t>Objet qui permet d'ajouter jusqu'à 3 données supplémentaires, dans l'éventualité où ces dernières ne sont pas déjà prévues dans le modèle</t>
  </si>
  <si>
    <t>A valoriser avec le cap, en degré</t>
  </si>
  <si>
    <t>A valoriser avec un code de la nomenclature CISU-Code_Nature_de_fait</t>
  </si>
  <si>
    <t>A valoriser avec le libellé de la nomenclature CISU-Code_Nature_de_fait.
Dans le cas où un système n'est pas en mesure de reconnaître un code, il peut directement afficher le libellé qui est obligatoirement fourni avec le code.</t>
  </si>
  <si>
    <t>A valoriser avec un code de la nomenclature CISU-Code_Motif_patient-victime</t>
  </si>
  <si>
    <t>A valoriser avec le libellé de la nomenclature CISU-Code_Motif_patient-victime.
Dans le cas où un système n'est pas en mesure de reconnaître un code, il peut directement afficher le libellé qui est obligatoirement fourni avec le code.</t>
  </si>
  <si>
    <t xml:space="preserve">Type d’équipe (médical, paramédicale, secouriste).
A valoriser par un code de la nomenclature  SI-SAMU-NIVSOIN.
Permet de déduire avec la donnée "niveau de médicalisation du transport", si un UMHP est devenu un SMUR. </t>
  </si>
  <si>
    <t>A valoriser avec un code de la nomenclature CISU-Code_Type_de_lieu.</t>
  </si>
  <si>
    <t>Sexe du patient, suivant le libellé court de la nomenclature SI-SAMU-NOMENC_SEXE</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</si>
  <si>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</si>
  <si>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Précise le type de moyen engagé dans l'intervention (SMUR, TSU, HOSPIT, etc.). 
A valoriser par un code de la nomenclature SI SAMU-TYPE_MOYEN.</t>
  </si>
  <si>
    <t>Précise le type de véhicule terrestre / aérien / maritime engagé dans l'intervention.
A valoriser par un code de la nomenclature CISU-TYPE_VECTEUR.</t>
  </si>
  <si>
    <t>Type d’équipe (médical, paramédicale, secouriste).
A valoriser par un code de la nomenclature SI-SAMU-NIVSOIN.</t>
  </si>
  <si>
    <t>A valoriser avec l'identifiant de l'affaire/dossier partagé entre tous les intervenants, valorisé comme suit : {pays}.{domaine}.{organisation}.{senderCaseId}.
Cet identifiant est généré une seule fois par le système du partenaire récepteur de la primo-demande de secours (créateur du dossier).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</si>
  <si>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PRIMAIRE</t>
  </si>
  <si>
    <t>Objet qui permet de qualifier l'affaire/dossier en général. 
Spécificités 15-18 : 
La qualification est issue d'une interprétation métier synthétisant l'ensemble des alertes reçues.</t>
  </si>
  <si>
    <t>Décrit le niveau de soins global du dossier identifié au cours de l'acte de régulation médicale : s'il y a plusieurs niveaux de soins différents pour chaque patient, on indique ici le niveau le plus grave.
cf.nomenclature associée.</t>
  </si>
  <si>
    <t>Niveau de soins du dossier</t>
  </si>
  <si>
    <t>Lien avec l'identifiant du lieu dans une base de données externes possiblement connue des autres acteurs</t>
  </si>
  <si>
    <t>A valoriser avec le type et le nom de la voie.
Si les attributs "type" et "name" de "wayName" sont également renseignés, alors "complete" doit être valorisé ainsi : "{type} {nom}".</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</si>
  <si>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</si>
  <si>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 xml:space="preserve">Attribut qui permet de préciser si les coordonnées fournies proviennent du dispositif AML (Advanced Mobile Location) - TRUE - ou non - FALSE. </t>
  </si>
  <si>
    <t>Lien avec l'identifiant de l'adresse dans une base de données externes possiblement connue des autres acteurs.
L'identifiant BAN de l'adresse (clé d'interopérabilité) doit être partagé au maximum.</t>
  </si>
  <si>
    <t>A valoriser avec le système fournissant le localisant</t>
  </si>
  <si>
    <t>BAN, IGN, NEXSIS, …</t>
  </si>
  <si>
    <t>isAml</t>
  </si>
  <si>
    <t>Dispositif AML</t>
  </si>
  <si>
    <t>A valoriser avec la définition du type d'objet dans le système
Exemple : SIG NexSIS / OSM ont plusieurs types de données (EGA, POI, tronçon de route, …)</t>
  </si>
  <si>
    <t>Identifiant dans le système concerné</t>
  </si>
  <si>
    <t>80021_6590_00008, id987</t>
  </si>
  <si>
    <t>Objet qui permet de rajouter des clés-valeurs de façon libre afin d'adapter le modèle à des besoins locaux ou urgents</t>
  </si>
  <si>
    <t>Informations complémentaires sur le contexte / utilisation de cette correspondance additionnelle</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</si>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</sst>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63">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i/>
      <sz val="11"/>
      <color rgb="FFFF0000"/>
      <name val="Calibri"/>
      <family val="2"/>
      <scheme val="minor"/>
    </font>
    <font>
      <strike/>
      <sz val="11"/>
      <color rgb="FF808080"/>
      <name val="Calibri"/>
      <family val="2"/>
      <scheme val="minor"/>
    </font>
    <font>
      <strike/>
      <sz val="11"/>
      <color rgb="FF000000"/>
      <name val="Calibri"/>
      <family val="2"/>
      <scheme val="minor"/>
    </font>
    <font>
      <strike/>
      <sz val="11"/>
      <name val="Calibri"/>
      <family val="2"/>
      <scheme val="minor"/>
    </font>
    <font>
      <i/>
      <strike/>
      <sz val="11"/>
      <color theme="1"/>
      <name val="Calibri"/>
      <family val="2"/>
      <scheme val="minor"/>
    </font>
    <font>
      <i/>
      <sz val="11"/>
      <name val="Calibri"/>
      <family val="2"/>
      <scheme val="minor"/>
    </font>
    <font>
      <sz val="8"/>
      <name val="Tahoma"/>
      <family val="2"/>
    </font>
    <font>
      <strike/>
      <sz val="11"/>
      <color theme="2" tint="-0.499984740745262"/>
      <name val="Calibri"/>
      <family val="2"/>
      <scheme val="minor"/>
    </font>
    <font>
      <b/>
      <strike/>
      <sz val="11"/>
      <color theme="2" tint="-0.499984740745262"/>
      <name val="Calibri"/>
      <family val="2"/>
      <scheme val="minor"/>
    </font>
    <font>
      <b/>
      <sz val="12"/>
      <color rgb="FFC00000"/>
      <name val="Aptos"/>
      <family val="2"/>
    </font>
    <font>
      <sz val="11"/>
      <color rgb="FFC00000"/>
      <name val="Tahoma"/>
      <family val="2"/>
    </font>
    <font>
      <sz val="12"/>
      <color rgb="FFC00000"/>
      <name val="Aptos"/>
      <family val="2"/>
    </font>
    <font>
      <b/>
      <sz val="11"/>
      <color rgb="FFC00000"/>
      <name val="Calibri3"/>
    </font>
    <font>
      <sz val="11"/>
      <color rgb="FFC00000"/>
      <name val="Calibri3"/>
    </font>
    <font>
      <b/>
      <sz val="11"/>
      <color rgb="FFCC00CC"/>
      <name val="Calibri"/>
      <family val="2"/>
      <scheme val="minor"/>
    </font>
    <font>
      <b/>
      <sz val="12"/>
      <color rgb="FFCC00CC"/>
      <name val="Aptos"/>
      <family val="2"/>
    </font>
    <font>
      <b/>
      <sz val="11"/>
      <color rgb="FFEC7524"/>
      <name val="Calibri3"/>
    </font>
    <font>
      <sz val="11"/>
      <color rgb="FFEC7524"/>
      <name val="Calibri"/>
      <family val="2"/>
      <scheme val="minor"/>
    </font>
    <font>
      <b/>
      <sz val="11"/>
      <color rgb="FFEC7524"/>
      <name val="Calibri"/>
      <family val="2"/>
      <scheme val="minor"/>
    </font>
    <font>
      <strike/>
      <sz val="11"/>
      <color rgb="FF757171"/>
      <name val="Calibri"/>
      <family val="2"/>
      <scheme val="minor"/>
    </font>
    <font>
      <b/>
      <strike/>
      <sz val="11"/>
      <color rgb="FF757171"/>
      <name val="Calibri"/>
      <family val="2"/>
      <scheme val="minor"/>
    </font>
    <font>
      <strike/>
      <sz val="11"/>
      <color rgb="FF757171"/>
      <name val="Calibri"/>
      <family val="2"/>
    </font>
    <font>
      <i/>
      <strike/>
      <sz val="11"/>
      <color rgb="FF757171"/>
      <name val="Calibri"/>
      <family val="2"/>
      <scheme val="minor"/>
    </font>
    <font>
      <strike/>
      <sz val="11"/>
      <color rgb="FF757171"/>
      <name val="Calibri (Body)"/>
    </font>
    <font>
      <b/>
      <sz val="11"/>
      <color rgb="FF0070C0"/>
      <name val="Calibri"/>
      <family val="2"/>
      <scheme val="minor"/>
    </font>
    <font>
      <b/>
      <sz val="11"/>
      <color rgb="FF0070C0"/>
      <name val="Calibri3"/>
    </font>
    <font>
      <b/>
      <i/>
      <sz val="11"/>
      <color rgb="FFEC7524"/>
      <name val="Calibri"/>
      <family val="2"/>
      <scheme val="minor"/>
    </font>
    <font>
      <b/>
      <sz val="11"/>
      <color rgb="FFCC00CC"/>
      <name val="Calibri3"/>
    </font>
    <font>
      <b/>
      <u/>
      <sz val="11"/>
      <color rgb="FF0070C0"/>
      <name val="Calibri"/>
      <family val="2"/>
      <scheme val="minor"/>
    </font>
    <font>
      <strike/>
      <u/>
      <sz val="11"/>
      <color rgb="FF757171"/>
      <name val="Calibri"/>
      <family val="2"/>
      <scheme val="minor"/>
    </font>
    <font>
      <strike/>
      <sz val="11"/>
      <color rgb="FF757171"/>
      <name val="Calibri3"/>
    </font>
    <font>
      <strike/>
      <sz val="11"/>
      <color rgb="FF757171"/>
      <name val="Tahoma"/>
      <family val="2"/>
    </font>
    <font>
      <u/>
      <sz val="11"/>
      <color theme="10"/>
      <name val="Tahoma"/>
      <family val="2"/>
    </font>
    <font>
      <sz val="11"/>
      <color rgb="FF69008E"/>
      <name val="Calibri Light"/>
      <family val="2"/>
    </font>
    <font>
      <sz val="11"/>
      <color rgb="FF69008E"/>
      <name val="Calibri3"/>
    </font>
    <font>
      <sz val="11"/>
      <color theme="1" tint="4.9989318521683403E-2"/>
      <name val="Calibri"/>
      <family val="2"/>
      <scheme val="minor"/>
    </font>
    <font>
      <sz val="11"/>
      <color rgb="FF242424"/>
      <name val="Aptos Narrow"/>
      <family val="2"/>
    </font>
    <font>
      <sz val="11"/>
      <color theme="5"/>
      <name val="Calibri"/>
      <family val="2"/>
      <scheme val="minor"/>
    </font>
    <font>
      <sz val="11"/>
      <color theme="2" tint="-0.249977111117893"/>
      <name val="Calibri"/>
      <family val="2"/>
      <scheme val="minor"/>
    </font>
    <font>
      <b/>
      <strike/>
      <sz val="11"/>
      <color theme="1"/>
      <name val="Calibri"/>
      <family val="2"/>
      <scheme val="minor"/>
    </font>
    <font>
      <strike/>
      <sz val="11"/>
      <color rgb="FF000000"/>
      <name val="Calibri"/>
      <family val="2"/>
    </font>
    <font>
      <sz val="10"/>
      <name val="Arial"/>
      <family val="2"/>
    </font>
    <font>
      <b/>
      <u/>
      <sz val="11"/>
      <color theme="1"/>
      <name val="Calibri"/>
      <family val="2"/>
      <scheme val="minor"/>
    </font>
  </fonts>
  <fills count="67">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
      <patternFill patternType="solid">
        <fgColor theme="1" tint="0.499984740745262"/>
        <bgColor indexed="64"/>
      </patternFill>
    </fill>
    <fill>
      <patternFill patternType="solid">
        <fgColor theme="0" tint="-0.34998626667073579"/>
        <bgColor indexed="64"/>
      </patternFill>
    </fill>
    <fill>
      <patternFill patternType="solid">
        <fgColor rgb="FFC00000"/>
        <bgColor indexed="64"/>
      </patternFill>
    </fill>
    <fill>
      <patternFill patternType="solid">
        <fgColor theme="5" tint="-0.249977111117893"/>
        <bgColor indexed="64"/>
      </patternFill>
    </fill>
    <fill>
      <patternFill patternType="solid">
        <fgColor rgb="FF92D050"/>
        <bgColor indexed="64"/>
      </patternFill>
    </fill>
    <fill>
      <patternFill patternType="solid">
        <fgColor rgb="FFFFE1FF"/>
        <bgColor rgb="FFD9E1F2"/>
      </patternFill>
    </fill>
    <fill>
      <patternFill patternType="solid">
        <fgColor theme="5" tint="0.59999389629810485"/>
        <bgColor indexed="64"/>
      </patternFill>
    </fill>
  </fills>
  <borders count="55">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top style="thin">
        <color theme="4" tint="0.39997558519241921"/>
      </top>
      <bottom/>
      <diagonal/>
    </border>
  </borders>
  <cellStyleXfs count="14">
    <xf numFmtId="0" fontId="0" fillId="0" borderId="0"/>
    <xf numFmtId="0" fontId="47" fillId="2" borderId="0" applyBorder="0" applyProtection="0"/>
    <xf numFmtId="0" fontId="47" fillId="2" borderId="0" applyBorder="0" applyProtection="0"/>
    <xf numFmtId="0" fontId="8" fillId="2" borderId="0" applyBorder="0" applyProtection="0"/>
    <xf numFmtId="0" fontId="47" fillId="2" borderId="0" applyBorder="0" applyProtection="0"/>
    <xf numFmtId="0" fontId="8" fillId="2" borderId="0" applyBorder="0" applyProtection="0"/>
    <xf numFmtId="0" fontId="9" fillId="0" borderId="0" applyBorder="0" applyProtection="0"/>
    <xf numFmtId="0" fontId="10" fillId="0" borderId="0" applyBorder="0" applyProtection="0"/>
    <xf numFmtId="164" fontId="11" fillId="0" borderId="0" applyBorder="0" applyProtection="0"/>
    <xf numFmtId="0" fontId="47" fillId="2" borderId="0" applyBorder="0" applyProtection="0"/>
    <xf numFmtId="0" fontId="47" fillId="2" borderId="0" applyBorder="0" applyProtection="0"/>
    <xf numFmtId="0" fontId="47" fillId="2" borderId="0" applyBorder="0" applyProtection="0"/>
    <xf numFmtId="0" fontId="8" fillId="2" borderId="0" applyBorder="0" applyProtection="0"/>
    <xf numFmtId="0" fontId="152" fillId="0" borderId="0" applyNumberFormat="0" applyFill="0" applyBorder="0" applyAlignment="0" applyProtection="0"/>
  </cellStyleXfs>
  <cellXfs count="816">
    <xf numFmtId="0" fontId="0" fillId="0" borderId="0" xfId="0"/>
    <xf numFmtId="0" fontId="13" fillId="0" borderId="0" xfId="0" applyFont="1" applyAlignment="1">
      <alignment wrapText="1"/>
    </xf>
    <xf numFmtId="0" fontId="13" fillId="0" borderId="0" xfId="0" applyFont="1"/>
    <xf numFmtId="0" fontId="12" fillId="0" borderId="0" xfId="0" applyFont="1"/>
    <xf numFmtId="0" fontId="10" fillId="0" borderId="0" xfId="0" applyFont="1" applyAlignment="1">
      <alignment vertical="center"/>
    </xf>
    <xf numFmtId="0" fontId="12" fillId="0" borderId="0" xfId="0" applyFont="1" applyAlignment="1">
      <alignment wrapText="1"/>
    </xf>
    <xf numFmtId="0" fontId="17" fillId="0" borderId="0" xfId="0" applyFont="1" applyAlignment="1">
      <alignment wrapText="1"/>
    </xf>
    <xf numFmtId="0" fontId="12" fillId="0" borderId="0" xfId="0" applyFont="1" applyAlignment="1">
      <alignment horizontal="center"/>
    </xf>
    <xf numFmtId="0" fontId="13" fillId="5" borderId="1" xfId="0" applyFont="1" applyFill="1" applyBorder="1" applyAlignment="1">
      <alignment vertical="center"/>
    </xf>
    <xf numFmtId="0" fontId="14"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8" fillId="5" borderId="1" xfId="0" applyFont="1" applyFill="1" applyBorder="1" applyAlignment="1">
      <alignment vertical="center"/>
    </xf>
    <xf numFmtId="0" fontId="15" fillId="5" borderId="0" xfId="0" applyFont="1" applyFill="1" applyAlignment="1">
      <alignment vertical="center" wrapText="1"/>
    </xf>
    <xf numFmtId="0" fontId="12" fillId="5" borderId="0" xfId="0" applyFont="1" applyFill="1" applyAlignment="1">
      <alignment horizontal="center" vertical="center"/>
    </xf>
    <xf numFmtId="0" fontId="12" fillId="5" borderId="0" xfId="0" applyFont="1" applyFill="1" applyAlignment="1">
      <alignment vertical="center"/>
    </xf>
    <xf numFmtId="0" fontId="13" fillId="0" borderId="1" xfId="0" applyFont="1" applyBorder="1" applyAlignment="1">
      <alignment vertical="center"/>
    </xf>
    <xf numFmtId="0" fontId="19" fillId="0" borderId="1" xfId="0" applyFont="1" applyBorder="1" applyAlignment="1">
      <alignment horizontal="left" vertical="center"/>
    </xf>
    <xf numFmtId="0" fontId="20" fillId="4" borderId="1" xfId="0" applyFont="1" applyFill="1" applyBorder="1" applyAlignment="1">
      <alignment vertical="center"/>
    </xf>
    <xf numFmtId="0" fontId="19" fillId="4" borderId="1" xfId="0" applyFont="1" applyFill="1" applyBorder="1" applyAlignment="1">
      <alignment vertical="center"/>
    </xf>
    <xf numFmtId="0" fontId="10" fillId="4" borderId="1" xfId="0" applyFont="1" applyFill="1" applyBorder="1" applyAlignment="1">
      <alignment horizontal="left" vertical="center"/>
    </xf>
    <xf numFmtId="0" fontId="18" fillId="4" borderId="1" xfId="0" applyFont="1" applyFill="1" applyBorder="1" applyAlignment="1">
      <alignment vertical="center"/>
    </xf>
    <xf numFmtId="0" fontId="15" fillId="0" borderId="1" xfId="0" applyFont="1" applyBorder="1" applyAlignment="1">
      <alignment vertical="center"/>
    </xf>
    <xf numFmtId="0" fontId="0" fillId="0" borderId="1" xfId="0" applyBorder="1"/>
    <xf numFmtId="0" fontId="21" fillId="0" borderId="1" xfId="0" applyFont="1" applyBorder="1" applyAlignment="1">
      <alignment horizontal="center" vertical="center" wrapText="1"/>
    </xf>
    <xf numFmtId="0" fontId="22" fillId="0" borderId="1" xfId="0" applyFont="1" applyBorder="1" applyAlignment="1">
      <alignment vertical="center" wrapText="1"/>
    </xf>
    <xf numFmtId="0" fontId="15" fillId="0" borderId="0" xfId="0" applyFont="1" applyAlignment="1">
      <alignment vertical="center" wrapText="1"/>
    </xf>
    <xf numFmtId="0" fontId="12" fillId="0" borderId="0" xfId="0" applyFont="1" applyAlignment="1">
      <alignment horizontal="center" vertical="center"/>
    </xf>
    <xf numFmtId="0" fontId="12" fillId="0" borderId="0" xfId="0" applyFont="1" applyAlignment="1">
      <alignment vertical="center"/>
    </xf>
    <xf numFmtId="0" fontId="13" fillId="5" borderId="1" xfId="0" applyFont="1" applyFill="1" applyBorder="1"/>
    <xf numFmtId="0" fontId="15" fillId="5" borderId="1" xfId="0" applyFont="1" applyFill="1" applyBorder="1"/>
    <xf numFmtId="0" fontId="15" fillId="5" borderId="1" xfId="0" applyFont="1" applyFill="1" applyBorder="1" applyAlignment="1">
      <alignment wrapText="1"/>
    </xf>
    <xf numFmtId="0" fontId="15" fillId="5" borderId="0" xfId="0" applyFont="1" applyFill="1" applyAlignment="1">
      <alignment wrapText="1"/>
    </xf>
    <xf numFmtId="0" fontId="15" fillId="6" borderId="0" xfId="0" applyFont="1" applyFill="1" applyAlignment="1">
      <alignment horizontal="center" vertical="center" wrapText="1"/>
    </xf>
    <xf numFmtId="0" fontId="12" fillId="5" borderId="0" xfId="0" applyFont="1" applyFill="1"/>
    <xf numFmtId="0" fontId="13" fillId="0" borderId="1" xfId="0" applyFont="1" applyBorder="1"/>
    <xf numFmtId="0" fontId="12" fillId="0" borderId="1" xfId="0" applyFont="1" applyBorder="1"/>
    <xf numFmtId="0" fontId="10" fillId="7" borderId="1" xfId="0" applyFont="1" applyFill="1" applyBorder="1" applyAlignment="1">
      <alignment vertical="center"/>
    </xf>
    <xf numFmtId="0" fontId="15" fillId="0" borderId="0" xfId="0" applyFont="1"/>
    <xf numFmtId="0" fontId="15" fillId="0" borderId="0" xfId="0" applyFont="1" applyAlignment="1">
      <alignment wrapText="1"/>
    </xf>
    <xf numFmtId="0" fontId="23" fillId="0" borderId="0" xfId="0" applyFont="1" applyAlignment="1">
      <alignment horizontal="center" vertical="center" wrapText="1"/>
    </xf>
    <xf numFmtId="0" fontId="15" fillId="0" borderId="0" xfId="0" applyFont="1" applyAlignment="1">
      <alignment horizontal="center" vertical="center" wrapText="1"/>
    </xf>
    <xf numFmtId="0" fontId="13" fillId="0" borderId="2" xfId="0" applyFont="1" applyBorder="1"/>
    <xf numFmtId="0" fontId="10" fillId="7" borderId="1" xfId="0" applyFont="1" applyFill="1" applyBorder="1" applyAlignment="1">
      <alignment vertical="center" wrapText="1"/>
    </xf>
    <xf numFmtId="0" fontId="23" fillId="8" borderId="2" xfId="0" applyFont="1" applyFill="1" applyBorder="1" applyAlignment="1">
      <alignment horizontal="center" vertical="center" wrapText="1"/>
    </xf>
    <xf numFmtId="49" fontId="12" fillId="0" borderId="1" xfId="0" applyNumberFormat="1" applyFont="1" applyBorder="1"/>
    <xf numFmtId="0" fontId="18" fillId="0" borderId="1" xfId="0" applyFont="1" applyBorder="1" applyAlignment="1">
      <alignment vertical="center"/>
    </xf>
    <xf numFmtId="0" fontId="12" fillId="4" borderId="1" xfId="0" applyFont="1" applyFill="1" applyBorder="1"/>
    <xf numFmtId="0" fontId="12" fillId="4" borderId="1" xfId="0" applyFont="1" applyFill="1" applyBorder="1" applyAlignment="1">
      <alignment wrapText="1"/>
    </xf>
    <xf numFmtId="0" fontId="17" fillId="4" borderId="1" xfId="0" applyFont="1" applyFill="1" applyBorder="1" applyAlignment="1">
      <alignment wrapText="1"/>
    </xf>
    <xf numFmtId="0" fontId="10" fillId="0" borderId="1" xfId="0" applyFont="1" applyBorder="1" applyAlignment="1">
      <alignment vertical="center"/>
    </xf>
    <xf numFmtId="0" fontId="10" fillId="9" borderId="1" xfId="0" applyFont="1" applyFill="1" applyBorder="1" applyAlignment="1">
      <alignment vertical="center"/>
    </xf>
    <xf numFmtId="0" fontId="13" fillId="0" borderId="1" xfId="0" applyFont="1" applyBorder="1" applyAlignment="1">
      <alignment wrapText="1"/>
    </xf>
    <xf numFmtId="0" fontId="12" fillId="0" borderId="1" xfId="0" applyFont="1" applyBorder="1" applyAlignment="1">
      <alignment wrapText="1"/>
    </xf>
    <xf numFmtId="49" fontId="12" fillId="0" borderId="1" xfId="0" applyNumberFormat="1" applyFont="1" applyBorder="1" applyAlignment="1">
      <alignment wrapText="1"/>
    </xf>
    <xf numFmtId="0" fontId="10" fillId="9" borderId="1" xfId="0" applyFont="1" applyFill="1" applyBorder="1" applyAlignment="1">
      <alignment vertical="center" wrapText="1"/>
    </xf>
    <xf numFmtId="0" fontId="12" fillId="0" borderId="0" xfId="0" applyFont="1" applyAlignment="1">
      <alignment horizontal="center" wrapText="1"/>
    </xf>
    <xf numFmtId="0" fontId="0" fillId="0" borderId="0" xfId="0" applyAlignment="1">
      <alignment wrapText="1"/>
    </xf>
    <xf numFmtId="0" fontId="25" fillId="0" borderId="0" xfId="0" applyFont="1" applyAlignment="1">
      <alignment wrapText="1"/>
    </xf>
    <xf numFmtId="0" fontId="10" fillId="4" borderId="1" xfId="0" applyFont="1" applyFill="1" applyBorder="1" applyAlignment="1">
      <alignment vertical="center"/>
    </xf>
    <xf numFmtId="0" fontId="10" fillId="7" borderId="0" xfId="0" applyFont="1" applyFill="1" applyAlignment="1">
      <alignment vertical="center" wrapText="1"/>
    </xf>
    <xf numFmtId="0" fontId="26" fillId="0" borderId="0" xfId="0" applyFont="1"/>
    <xf numFmtId="49" fontId="12" fillId="0" borderId="0" xfId="0" applyNumberFormat="1" applyFont="1"/>
    <xf numFmtId="0" fontId="10" fillId="0" borderId="1" xfId="0" applyFont="1" applyBorder="1" applyAlignment="1">
      <alignment vertical="center" wrapText="1"/>
    </xf>
    <xf numFmtId="0" fontId="27" fillId="0" borderId="0" xfId="0" applyFont="1" applyAlignment="1">
      <alignment wrapText="1"/>
    </xf>
    <xf numFmtId="0" fontId="0" fillId="10" borderId="2" xfId="0" applyFill="1" applyBorder="1"/>
    <xf numFmtId="0" fontId="18" fillId="7" borderId="1" xfId="0" applyFont="1" applyFill="1" applyBorder="1" applyAlignment="1">
      <alignment vertical="center"/>
    </xf>
    <xf numFmtId="0" fontId="12" fillId="4" borderId="0" xfId="0" applyFont="1" applyFill="1" applyAlignment="1">
      <alignment wrapText="1"/>
    </xf>
    <xf numFmtId="0" fontId="0" fillId="8" borderId="2" xfId="0" applyFill="1" applyBorder="1"/>
    <xf numFmtId="0" fontId="10" fillId="4" borderId="1" xfId="0" applyFont="1" applyFill="1" applyBorder="1" applyAlignment="1">
      <alignment wrapText="1"/>
    </xf>
    <xf numFmtId="0" fontId="10" fillId="7" borderId="0" xfId="0" applyFont="1" applyFill="1" applyAlignment="1">
      <alignment vertical="center"/>
    </xf>
    <xf numFmtId="0" fontId="12" fillId="3" borderId="1" xfId="0" applyFont="1" applyFill="1" applyBorder="1"/>
    <xf numFmtId="0" fontId="13" fillId="8" borderId="2" xfId="0" applyFont="1" applyFill="1" applyBorder="1" applyAlignment="1">
      <alignment horizontal="center"/>
    </xf>
    <xf numFmtId="0" fontId="13" fillId="8" borderId="0" xfId="0" applyFont="1" applyFill="1" applyAlignment="1">
      <alignment horizontal="center"/>
    </xf>
    <xf numFmtId="0" fontId="13" fillId="8" borderId="0" xfId="0" applyFont="1" applyFill="1" applyAlignment="1">
      <alignment horizontal="center" vertical="center"/>
    </xf>
    <xf numFmtId="0" fontId="0" fillId="8" borderId="0" xfId="0" applyFill="1"/>
    <xf numFmtId="0" fontId="28" fillId="0" borderId="0" xfId="0" applyFont="1"/>
    <xf numFmtId="0" fontId="16" fillId="0" borderId="0" xfId="0" applyFont="1"/>
    <xf numFmtId="0" fontId="16" fillId="0" borderId="1" xfId="0" applyFont="1" applyBorder="1"/>
    <xf numFmtId="0" fontId="29" fillId="7" borderId="1" xfId="0" applyFont="1" applyFill="1" applyBorder="1" applyAlignment="1">
      <alignment vertical="center"/>
    </xf>
    <xf numFmtId="0" fontId="16" fillId="0" borderId="0" xfId="0" applyFont="1" applyAlignment="1">
      <alignment wrapText="1"/>
    </xf>
    <xf numFmtId="0" fontId="16" fillId="0" borderId="0" xfId="0" applyFont="1" applyAlignment="1">
      <alignment horizontal="center"/>
    </xf>
    <xf numFmtId="0" fontId="30" fillId="0" borderId="0" xfId="0" applyFont="1"/>
    <xf numFmtId="0" fontId="18" fillId="5" borderId="1" xfId="0" applyFont="1" applyFill="1" applyBorder="1" applyAlignment="1">
      <alignment vertical="center" wrapText="1"/>
    </xf>
    <xf numFmtId="0" fontId="15" fillId="5" borderId="1" xfId="0" applyFont="1" applyFill="1" applyBorder="1" applyAlignment="1">
      <alignment horizontal="center" vertical="center"/>
    </xf>
    <xf numFmtId="0" fontId="31" fillId="0" borderId="3" xfId="0" applyFont="1" applyBorder="1"/>
    <xf numFmtId="0" fontId="0" fillId="0" borderId="3" xfId="0" applyBorder="1" applyAlignment="1">
      <alignment wrapText="1"/>
    </xf>
    <xf numFmtId="0" fontId="32" fillId="0" borderId="0" xfId="0" applyFont="1"/>
    <xf numFmtId="0" fontId="33" fillId="0" borderId="0" xfId="0" applyFont="1"/>
    <xf numFmtId="0" fontId="34" fillId="0" borderId="0" xfId="0" applyFont="1"/>
    <xf numFmtId="0" fontId="34" fillId="0" borderId="0" xfId="0" applyFont="1" applyAlignment="1">
      <alignment vertical="center"/>
    </xf>
    <xf numFmtId="0" fontId="35" fillId="0" borderId="0" xfId="0" applyFont="1"/>
    <xf numFmtId="0" fontId="36" fillId="0" borderId="0" xfId="0" applyFont="1"/>
    <xf numFmtId="0" fontId="35" fillId="0" borderId="0" xfId="0" applyFont="1" applyAlignment="1">
      <alignment vertical="center"/>
    </xf>
    <xf numFmtId="0" fontId="37" fillId="0" borderId="0" xfId="0" applyFont="1"/>
    <xf numFmtId="0" fontId="0" fillId="0" borderId="0" xfId="0" applyAlignment="1">
      <alignment horizontal="center"/>
    </xf>
    <xf numFmtId="0" fontId="38" fillId="0" borderId="0" xfId="0" applyFont="1" applyAlignment="1">
      <alignment wrapText="1"/>
    </xf>
    <xf numFmtId="0" fontId="18" fillId="5" borderId="1" xfId="0" applyFont="1" applyFill="1" applyBorder="1" applyAlignment="1">
      <alignment wrapText="1"/>
    </xf>
    <xf numFmtId="0" fontId="0" fillId="5" borderId="0" xfId="0" applyFill="1"/>
    <xf numFmtId="0" fontId="18" fillId="4" borderId="1" xfId="0" applyFont="1" applyFill="1" applyBorder="1" applyAlignment="1">
      <alignment wrapText="1"/>
    </xf>
    <xf numFmtId="0" fontId="0" fillId="0" borderId="1" xfId="0" applyBorder="1" applyAlignment="1">
      <alignment horizontal="center"/>
    </xf>
    <xf numFmtId="0" fontId="39" fillId="0" borderId="1" xfId="0" applyFont="1" applyBorder="1" applyAlignment="1">
      <alignment horizontal="center" wrapText="1"/>
    </xf>
    <xf numFmtId="0" fontId="22" fillId="0" borderId="0" xfId="0" applyFont="1" applyAlignment="1">
      <alignment vertical="center" wrapText="1"/>
    </xf>
    <xf numFmtId="0" fontId="15" fillId="5" borderId="1" xfId="0" applyFont="1" applyFill="1" applyBorder="1" applyAlignment="1">
      <alignment horizontal="center"/>
    </xf>
    <xf numFmtId="0" fontId="15" fillId="5" borderId="1" xfId="0" applyFont="1" applyFill="1" applyBorder="1" applyAlignment="1">
      <alignment horizontal="center" wrapText="1"/>
    </xf>
    <xf numFmtId="0" fontId="40" fillId="5" borderId="1" xfId="0" applyFont="1" applyFill="1" applyBorder="1" applyAlignment="1">
      <alignment wrapText="1"/>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5" fillId="5" borderId="4" xfId="0" applyFont="1" applyFill="1" applyBorder="1" applyAlignment="1">
      <alignment vertical="center" wrapText="1"/>
    </xf>
    <xf numFmtId="0" fontId="10" fillId="0" borderId="1" xfId="0" applyFont="1" applyBorder="1" applyAlignment="1">
      <alignment wrapText="1"/>
    </xf>
    <xf numFmtId="0" fontId="36" fillId="0" borderId="0" xfId="0" applyFont="1" applyAlignment="1">
      <alignment wrapText="1"/>
    </xf>
    <xf numFmtId="0" fontId="13" fillId="4" borderId="1" xfId="0" applyFont="1" applyFill="1" applyBorder="1" applyAlignment="1">
      <alignment horizontal="center"/>
    </xf>
    <xf numFmtId="0" fontId="41" fillId="0" borderId="0" xfId="0" applyFont="1" applyAlignment="1">
      <alignment wrapText="1"/>
    </xf>
    <xf numFmtId="0" fontId="0" fillId="11" borderId="0" xfId="0" applyFill="1"/>
    <xf numFmtId="0" fontId="41" fillId="0" borderId="1" xfId="0" applyFont="1" applyBorder="1" applyAlignment="1">
      <alignment vertical="center" wrapText="1"/>
    </xf>
    <xf numFmtId="0" fontId="41" fillId="0" borderId="1" xfId="0" applyFont="1" applyBorder="1" applyAlignment="1">
      <alignment wrapText="1"/>
    </xf>
    <xf numFmtId="0" fontId="37" fillId="0" borderId="0" xfId="0" applyFont="1" applyAlignment="1">
      <alignment wrapText="1"/>
    </xf>
    <xf numFmtId="0" fontId="41" fillId="0" borderId="0" xfId="0" applyFont="1"/>
    <xf numFmtId="0" fontId="12" fillId="4" borderId="1" xfId="0" applyFont="1" applyFill="1" applyBorder="1" applyAlignment="1">
      <alignment horizontal="center" wrapText="1"/>
    </xf>
    <xf numFmtId="0" fontId="13" fillId="4" borderId="1" xfId="0" applyFont="1" applyFill="1" applyBorder="1" applyAlignment="1">
      <alignment horizontal="center" wrapText="1"/>
    </xf>
    <xf numFmtId="0" fontId="43" fillId="0" borderId="2" xfId="0" applyFont="1" applyBorder="1"/>
    <xf numFmtId="0" fontId="43" fillId="0" borderId="1" xfId="0" applyFont="1" applyBorder="1"/>
    <xf numFmtId="0" fontId="41" fillId="0" borderId="0" xfId="0" applyFont="1" applyAlignment="1">
      <alignment horizontal="left"/>
    </xf>
    <xf numFmtId="0" fontId="41" fillId="0" borderId="1" xfId="0" applyFont="1" applyBorder="1"/>
    <xf numFmtId="0" fontId="43" fillId="4" borderId="1" xfId="0" applyFont="1" applyFill="1" applyBorder="1" applyAlignment="1">
      <alignment horizontal="center"/>
    </xf>
    <xf numFmtId="0" fontId="41" fillId="0" borderId="0" xfId="0" applyFont="1" applyAlignment="1">
      <alignment horizontal="center" wrapText="1"/>
    </xf>
    <xf numFmtId="0" fontId="44" fillId="4" borderId="1" xfId="0" applyFont="1" applyFill="1" applyBorder="1" applyAlignment="1">
      <alignment horizontal="center"/>
    </xf>
    <xf numFmtId="0" fontId="43" fillId="0" borderId="0" xfId="0" applyFont="1" applyAlignment="1">
      <alignment horizontal="center"/>
    </xf>
    <xf numFmtId="0" fontId="38" fillId="0" borderId="0" xfId="0" applyFont="1"/>
    <xf numFmtId="0" fontId="39" fillId="4" borderId="1" xfId="0" applyFont="1" applyFill="1" applyBorder="1"/>
    <xf numFmtId="0" fontId="39" fillId="0" borderId="1" xfId="0" applyFont="1" applyBorder="1"/>
    <xf numFmtId="0" fontId="10" fillId="0" borderId="0" xfId="0" applyFont="1"/>
    <xf numFmtId="0" fontId="10" fillId="12" borderId="0" xfId="0" applyFont="1" applyFill="1" applyAlignment="1">
      <alignment vertical="center"/>
    </xf>
    <xf numFmtId="0" fontId="15" fillId="12" borderId="0" xfId="0" applyFont="1" applyFill="1" applyAlignment="1">
      <alignment vertical="center"/>
    </xf>
    <xf numFmtId="0" fontId="10" fillId="12" borderId="0" xfId="0" applyFont="1" applyFill="1"/>
    <xf numFmtId="0" fontId="10" fillId="12" borderId="5" xfId="0" applyFont="1" applyFill="1" applyBorder="1"/>
    <xf numFmtId="0" fontId="39" fillId="0" borderId="4" xfId="0" applyFont="1" applyBorder="1"/>
    <xf numFmtId="0" fontId="46" fillId="0" borderId="1" xfId="0" applyFont="1" applyBorder="1"/>
    <xf numFmtId="0" fontId="46" fillId="0" borderId="6" xfId="0" applyFont="1" applyBorder="1"/>
    <xf numFmtId="0" fontId="48" fillId="0" borderId="0" xfId="0" applyFont="1"/>
    <xf numFmtId="0" fontId="48" fillId="0" borderId="0" xfId="0" applyFont="1" applyAlignment="1">
      <alignment wrapText="1"/>
    </xf>
    <xf numFmtId="0" fontId="50" fillId="0" borderId="1" xfId="0" applyFont="1" applyBorder="1"/>
    <xf numFmtId="0" fontId="51" fillId="0" borderId="1" xfId="0" applyFont="1" applyBorder="1"/>
    <xf numFmtId="0" fontId="52" fillId="0" borderId="1" xfId="0" applyFont="1" applyBorder="1"/>
    <xf numFmtId="0" fontId="53" fillId="0" borderId="0" xfId="0" applyFont="1"/>
    <xf numFmtId="0" fontId="54" fillId="0" borderId="0" xfId="0" applyFont="1"/>
    <xf numFmtId="0" fontId="54" fillId="0" borderId="6" xfId="0" applyFont="1" applyBorder="1"/>
    <xf numFmtId="0" fontId="55" fillId="0" borderId="0" xfId="0" applyFont="1"/>
    <xf numFmtId="0" fontId="55" fillId="0" borderId="0" xfId="0" applyFont="1" applyAlignment="1">
      <alignment wrapText="1"/>
    </xf>
    <xf numFmtId="0" fontId="56" fillId="0" borderId="0" xfId="0" applyFont="1"/>
    <xf numFmtId="0" fontId="57" fillId="14" borderId="0" xfId="0" applyFont="1" applyFill="1"/>
    <xf numFmtId="0" fontId="57" fillId="17" borderId="0" xfId="0" applyFont="1" applyFill="1"/>
    <xf numFmtId="0" fontId="57" fillId="16" borderId="0" xfId="0" applyFont="1" applyFill="1"/>
    <xf numFmtId="0" fontId="39" fillId="18" borderId="1" xfId="0" applyFont="1" applyFill="1" applyBorder="1"/>
    <xf numFmtId="0" fontId="48" fillId="0" borderId="0" xfId="0" applyFont="1" applyAlignment="1">
      <alignment horizontal="left" wrapText="1"/>
    </xf>
    <xf numFmtId="0" fontId="12" fillId="0" borderId="0" xfId="0" applyFont="1" applyAlignment="1">
      <alignment horizontal="left" wrapText="1"/>
    </xf>
    <xf numFmtId="0" fontId="48" fillId="0" borderId="0" xfId="0" applyFont="1" applyAlignment="1">
      <alignment horizontal="center" wrapText="1"/>
    </xf>
    <xf numFmtId="9" fontId="38" fillId="0" borderId="0" xfId="0" applyNumberFormat="1" applyFont="1"/>
    <xf numFmtId="0" fontId="64" fillId="0" borderId="0" xfId="0" applyFont="1"/>
    <xf numFmtId="0" fontId="38" fillId="0" borderId="0" xfId="0" applyFont="1" applyAlignment="1">
      <alignment horizontal="left" wrapText="1"/>
    </xf>
    <xf numFmtId="0" fontId="55" fillId="0" borderId="0" xfId="0" applyFont="1" applyAlignment="1">
      <alignment horizontal="left" wrapText="1"/>
    </xf>
    <xf numFmtId="0" fontId="41" fillId="0" borderId="0" xfId="0" applyFont="1" applyAlignment="1">
      <alignment horizontal="left" wrapText="1"/>
    </xf>
    <xf numFmtId="0" fontId="66" fillId="15" borderId="10" xfId="0" applyFont="1" applyFill="1" applyBorder="1"/>
    <xf numFmtId="0" fontId="64" fillId="0" borderId="11" xfId="0" applyFont="1" applyBorder="1"/>
    <xf numFmtId="0" fontId="67" fillId="0" borderId="0" xfId="0" applyFont="1"/>
    <xf numFmtId="0" fontId="64" fillId="0" borderId="12" xfId="0" applyFont="1" applyBorder="1"/>
    <xf numFmtId="0" fontId="64" fillId="0" borderId="13" xfId="0" applyFont="1" applyBorder="1"/>
    <xf numFmtId="0" fontId="67" fillId="0" borderId="14" xfId="0" applyFont="1" applyBorder="1"/>
    <xf numFmtId="0" fontId="64" fillId="0" borderId="15" xfId="0" applyFont="1" applyBorder="1"/>
    <xf numFmtId="0" fontId="67" fillId="20" borderId="0" xfId="0" applyFont="1" applyFill="1"/>
    <xf numFmtId="0" fontId="65" fillId="0" borderId="0" xfId="0" applyFont="1"/>
    <xf numFmtId="0" fontId="38" fillId="5" borderId="0" xfId="0" applyFont="1" applyFill="1" applyAlignment="1">
      <alignment horizontal="center" vertical="center"/>
    </xf>
    <xf numFmtId="0" fontId="40" fillId="5" borderId="0" xfId="0" applyFont="1" applyFill="1" applyAlignment="1">
      <alignment horizontal="center" vertical="center"/>
    </xf>
    <xf numFmtId="0" fontId="38" fillId="0" borderId="0" xfId="0" applyFont="1" applyAlignment="1">
      <alignment horizontal="center" vertical="center" wrapText="1"/>
    </xf>
    <xf numFmtId="0" fontId="38" fillId="0" borderId="0" xfId="0" applyFont="1" applyAlignment="1">
      <alignment horizontal="center" vertical="center"/>
    </xf>
    <xf numFmtId="0" fontId="0" fillId="0" borderId="0" xfId="0" applyAlignment="1">
      <alignment horizontal="center" vertical="center"/>
    </xf>
    <xf numFmtId="0" fontId="48" fillId="0" borderId="16" xfId="0" applyFont="1" applyBorder="1" applyAlignment="1">
      <alignment horizontal="center" wrapText="1"/>
    </xf>
    <xf numFmtId="0" fontId="48" fillId="0" borderId="0" xfId="0" applyFont="1" applyAlignment="1">
      <alignment horizontal="left" vertical="top" wrapText="1"/>
    </xf>
    <xf numFmtId="0" fontId="12" fillId="0" borderId="0" xfId="0" applyFont="1" applyAlignment="1">
      <alignment horizontal="left" vertical="top" wrapText="1"/>
    </xf>
    <xf numFmtId="0" fontId="38" fillId="0" borderId="0" xfId="0" applyFont="1" applyAlignment="1">
      <alignment horizontal="left" vertical="top" wrapText="1"/>
    </xf>
    <xf numFmtId="0" fontId="41" fillId="0" borderId="0" xfId="0" applyFont="1" applyAlignment="1">
      <alignment horizontal="left" vertical="top" wrapText="1"/>
    </xf>
    <xf numFmtId="0" fontId="55" fillId="0" borderId="0" xfId="0" applyFont="1" applyAlignment="1">
      <alignment horizontal="left" vertical="top" wrapText="1"/>
    </xf>
    <xf numFmtId="0" fontId="48" fillId="0" borderId="16" xfId="0" applyFont="1" applyBorder="1" applyAlignment="1">
      <alignment horizontal="left" wrapText="1"/>
    </xf>
    <xf numFmtId="0" fontId="38" fillId="21" borderId="0" xfId="0" applyFont="1" applyFill="1" applyAlignment="1">
      <alignment horizontal="center" vertical="center" wrapText="1"/>
    </xf>
    <xf numFmtId="0" fontId="63" fillId="23" borderId="0" xfId="0" applyFont="1" applyFill="1" applyAlignment="1">
      <alignment horizontal="center" vertical="center" wrapText="1"/>
    </xf>
    <xf numFmtId="0" fontId="63" fillId="22" borderId="16" xfId="0" applyFont="1" applyFill="1" applyBorder="1" applyAlignment="1">
      <alignment horizontal="center" vertical="center" wrapText="1"/>
    </xf>
    <xf numFmtId="0" fontId="55" fillId="0" borderId="0" xfId="0" applyFont="1" applyAlignment="1">
      <alignment horizontal="center" vertical="center" wrapText="1"/>
    </xf>
    <xf numFmtId="0" fontId="48" fillId="0" borderId="0" xfId="0" applyFont="1" applyAlignment="1">
      <alignment horizontal="center" vertical="center" wrapText="1"/>
    </xf>
    <xf numFmtId="0" fontId="12" fillId="0" borderId="0" xfId="0" applyFont="1" applyAlignment="1">
      <alignment horizontal="center" vertical="center" wrapText="1"/>
    </xf>
    <xf numFmtId="0" fontId="41" fillId="0" borderId="0" xfId="0" applyFont="1" applyAlignment="1">
      <alignment horizontal="center" vertical="center"/>
    </xf>
    <xf numFmtId="0" fontId="41" fillId="0" borderId="0" xfId="0" applyFont="1" applyAlignment="1">
      <alignment horizontal="center" vertical="center" wrapText="1"/>
    </xf>
    <xf numFmtId="49" fontId="70" fillId="0" borderId="0" xfId="0" applyNumberFormat="1" applyFont="1" applyAlignment="1">
      <alignment horizontal="center" vertical="center"/>
    </xf>
    <xf numFmtId="49" fontId="70" fillId="0" borderId="0" xfId="0" applyNumberFormat="1" applyFont="1" applyAlignment="1">
      <alignment vertical="center"/>
    </xf>
    <xf numFmtId="49" fontId="70" fillId="0" borderId="0" xfId="0" applyNumberFormat="1" applyFont="1"/>
    <xf numFmtId="49" fontId="74" fillId="0" borderId="0" xfId="0" applyNumberFormat="1" applyFont="1"/>
    <xf numFmtId="49" fontId="70" fillId="0" borderId="0" xfId="0" applyNumberFormat="1" applyFont="1" applyAlignment="1">
      <alignment horizontal="left" vertical="top"/>
    </xf>
    <xf numFmtId="49" fontId="74" fillId="0" borderId="0" xfId="0" applyNumberFormat="1" applyFont="1" applyAlignment="1">
      <alignment horizontal="left" vertical="top"/>
    </xf>
    <xf numFmtId="49" fontId="76" fillId="0" borderId="0" xfId="0" applyNumberFormat="1" applyFont="1"/>
    <xf numFmtId="49" fontId="70" fillId="0" borderId="0" xfId="0" applyNumberFormat="1" applyFont="1" applyAlignment="1">
      <alignment horizontal="center"/>
    </xf>
    <xf numFmtId="49" fontId="71" fillId="0" borderId="0" xfId="0" applyNumberFormat="1" applyFont="1"/>
    <xf numFmtId="49" fontId="72" fillId="0" borderId="0" xfId="0" applyNumberFormat="1" applyFont="1" applyAlignment="1">
      <alignment vertical="top"/>
    </xf>
    <xf numFmtId="49" fontId="72" fillId="0" borderId="0" xfId="0" applyNumberFormat="1" applyFont="1" applyAlignment="1">
      <alignment vertical="top" wrapText="1"/>
    </xf>
    <xf numFmtId="49" fontId="70" fillId="0" borderId="0" xfId="0" applyNumberFormat="1" applyFont="1" applyAlignment="1">
      <alignment wrapText="1"/>
    </xf>
    <xf numFmtId="49" fontId="70" fillId="0" borderId="0" xfId="0" applyNumberFormat="1" applyFont="1" applyAlignment="1">
      <alignment vertical="top"/>
    </xf>
    <xf numFmtId="49" fontId="70" fillId="0" borderId="0" xfId="0" applyNumberFormat="1" applyFont="1" applyAlignment="1">
      <alignment vertical="top" wrapText="1"/>
    </xf>
    <xf numFmtId="49" fontId="75" fillId="0" borderId="0" xfId="0" applyNumberFormat="1" applyFont="1" applyAlignment="1">
      <alignment vertical="center" wrapText="1"/>
    </xf>
    <xf numFmtId="49" fontId="70" fillId="0" borderId="23" xfId="0" applyNumberFormat="1" applyFont="1" applyBorder="1" applyAlignment="1">
      <alignment vertical="center" wrapText="1"/>
    </xf>
    <xf numFmtId="49" fontId="70" fillId="0" borderId="23" xfId="0" applyNumberFormat="1" applyFont="1" applyBorder="1" applyAlignment="1">
      <alignment horizontal="center" vertical="center"/>
    </xf>
    <xf numFmtId="49" fontId="70" fillId="0" borderId="23" xfId="0" applyNumberFormat="1" applyFont="1" applyBorder="1" applyAlignment="1">
      <alignment vertical="center"/>
    </xf>
    <xf numFmtId="49" fontId="70" fillId="0" borderId="23" xfId="0" applyNumberFormat="1" applyFont="1" applyBorder="1" applyAlignment="1">
      <alignment horizontal="left" vertical="center" wrapText="1"/>
    </xf>
    <xf numFmtId="49" fontId="70" fillId="0" borderId="24" xfId="0" applyNumberFormat="1" applyFont="1" applyBorder="1" applyAlignment="1">
      <alignment vertical="center" wrapText="1"/>
    </xf>
    <xf numFmtId="49" fontId="70" fillId="0" borderId="24" xfId="0" applyNumberFormat="1" applyFont="1" applyBorder="1" applyAlignment="1">
      <alignment horizontal="center" vertical="center"/>
    </xf>
    <xf numFmtId="49" fontId="79" fillId="0" borderId="25" xfId="0" applyNumberFormat="1" applyFont="1" applyBorder="1" applyAlignment="1">
      <alignment horizontal="center" vertical="center" wrapText="1"/>
    </xf>
    <xf numFmtId="49" fontId="79" fillId="0" borderId="26" xfId="0" applyNumberFormat="1" applyFont="1" applyBorder="1" applyAlignment="1">
      <alignment horizontal="center" vertical="center" wrapText="1"/>
    </xf>
    <xf numFmtId="49" fontId="79" fillId="0" borderId="27" xfId="0" applyNumberFormat="1" applyFont="1" applyBorder="1" applyAlignment="1">
      <alignment horizontal="center" vertical="center" wrapText="1"/>
    </xf>
    <xf numFmtId="49" fontId="70" fillId="24" borderId="23" xfId="0" applyNumberFormat="1" applyFont="1" applyFill="1" applyBorder="1" applyAlignment="1">
      <alignment vertical="center" wrapText="1"/>
    </xf>
    <xf numFmtId="0" fontId="68"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64" fillId="0" borderId="0" xfId="0" applyFont="1" applyAlignment="1">
      <alignment horizontal="left"/>
    </xf>
    <xf numFmtId="0" fontId="59" fillId="0" borderId="0" xfId="0" applyFont="1" applyAlignment="1">
      <alignment horizontal="left"/>
    </xf>
    <xf numFmtId="0" fontId="62" fillId="0" borderId="0" xfId="0" applyFont="1" applyAlignment="1">
      <alignment horizontal="left"/>
    </xf>
    <xf numFmtId="0" fontId="60" fillId="0" borderId="0" xfId="0" applyFont="1" applyAlignment="1">
      <alignment horizontal="left"/>
    </xf>
    <xf numFmtId="0" fontId="83" fillId="0" borderId="11" xfId="0" applyFont="1" applyBorder="1" applyAlignment="1">
      <alignment vertical="center"/>
    </xf>
    <xf numFmtId="0" fontId="58" fillId="0" borderId="0" xfId="0" applyFont="1"/>
    <xf numFmtId="0" fontId="58" fillId="0" borderId="0" xfId="0" applyFont="1" applyAlignment="1">
      <alignment wrapText="1"/>
    </xf>
    <xf numFmtId="0" fontId="0" fillId="25" borderId="0" xfId="0" applyFill="1"/>
    <xf numFmtId="0" fontId="45" fillId="0" borderId="0" xfId="0" applyFont="1" applyAlignment="1">
      <alignment vertical="center" wrapText="1"/>
    </xf>
    <xf numFmtId="0" fontId="84" fillId="0" borderId="0" xfId="0" applyFont="1"/>
    <xf numFmtId="0" fontId="85" fillId="23" borderId="0" xfId="0" applyFont="1" applyFill="1" applyAlignment="1">
      <alignment horizontal="center" vertical="center" wrapText="1"/>
    </xf>
    <xf numFmtId="0" fontId="58" fillId="25" borderId="0" xfId="0" applyFont="1" applyFill="1"/>
    <xf numFmtId="0" fontId="7" fillId="0" borderId="0" xfId="0" applyFont="1"/>
    <xf numFmtId="0" fontId="58" fillId="26" borderId="0" xfId="0" applyFont="1" applyFill="1"/>
    <xf numFmtId="0" fontId="58" fillId="5" borderId="0" xfId="0" applyFont="1" applyFill="1" applyAlignment="1">
      <alignment horizontal="center" vertical="center"/>
    </xf>
    <xf numFmtId="0" fontId="58" fillId="0" borderId="0" xfId="0" applyFont="1" applyAlignment="1">
      <alignment horizontal="center" vertical="center" wrapText="1"/>
    </xf>
    <xf numFmtId="0" fontId="58" fillId="21" borderId="0" xfId="0" applyFont="1" applyFill="1" applyAlignment="1">
      <alignment horizontal="center" vertical="center" wrapText="1"/>
    </xf>
    <xf numFmtId="0" fontId="85" fillId="22" borderId="16" xfId="0" applyFont="1" applyFill="1" applyBorder="1" applyAlignment="1">
      <alignment horizontal="center" vertical="center" wrapText="1"/>
    </xf>
    <xf numFmtId="0" fontId="58" fillId="21" borderId="1" xfId="0" applyFont="1" applyFill="1" applyBorder="1" applyAlignment="1">
      <alignment horizontal="center" vertical="center" wrapText="1"/>
    </xf>
    <xf numFmtId="0" fontId="58" fillId="0" borderId="0" xfId="0" applyFont="1" applyAlignment="1">
      <alignment horizontal="center" vertical="center"/>
    </xf>
    <xf numFmtId="0" fontId="58" fillId="0" borderId="0" xfId="0" applyFont="1" applyAlignment="1">
      <alignment horizontal="left" wrapText="1"/>
    </xf>
    <xf numFmtId="0" fontId="86" fillId="0" borderId="0" xfId="0" applyFont="1" applyAlignment="1">
      <alignment horizontal="left"/>
    </xf>
    <xf numFmtId="0" fontId="89" fillId="0" borderId="0" xfId="0" applyFont="1" applyAlignment="1">
      <alignment horizontal="left"/>
    </xf>
    <xf numFmtId="0" fontId="91" fillId="0" borderId="0" xfId="0" applyFont="1" applyAlignment="1">
      <alignment horizontal="left"/>
    </xf>
    <xf numFmtId="0" fontId="92" fillId="0" borderId="0" xfId="0" applyFont="1" applyAlignment="1">
      <alignment wrapText="1"/>
    </xf>
    <xf numFmtId="0" fontId="62" fillId="0" borderId="0" xfId="0" applyFont="1"/>
    <xf numFmtId="0" fontId="61" fillId="0" borderId="16" xfId="0" applyFont="1" applyBorder="1" applyAlignment="1">
      <alignment horizontal="left" wrapText="1"/>
    </xf>
    <xf numFmtId="0" fontId="93" fillId="0" borderId="0" xfId="13" applyFont="1"/>
    <xf numFmtId="0" fontId="94" fillId="0" borderId="0" xfId="0" applyFont="1" applyAlignment="1">
      <alignment horizontal="left"/>
    </xf>
    <xf numFmtId="0" fontId="92" fillId="0" borderId="0" xfId="0" applyFont="1" applyAlignment="1">
      <alignment horizontal="left" vertical="top" wrapText="1"/>
    </xf>
    <xf numFmtId="0" fontId="61" fillId="0" borderId="0" xfId="0" applyFont="1"/>
    <xf numFmtId="0" fontId="95" fillId="0" borderId="0" xfId="0" applyFont="1" applyAlignment="1">
      <alignment horizontal="left"/>
    </xf>
    <xf numFmtId="0" fontId="95" fillId="0" borderId="0" xfId="0" applyFont="1"/>
    <xf numFmtId="0" fontId="92" fillId="0" borderId="0" xfId="0" applyFont="1" applyAlignment="1">
      <alignment horizontal="center" vertical="center" wrapText="1"/>
    </xf>
    <xf numFmtId="0" fontId="58" fillId="0" borderId="0" xfId="0" applyFont="1" applyAlignment="1">
      <alignment horizontal="left" vertical="top"/>
    </xf>
    <xf numFmtId="0" fontId="60" fillId="0" borderId="0" xfId="0" applyFont="1"/>
    <xf numFmtId="0" fontId="61" fillId="0" borderId="0" xfId="0" applyFont="1" applyAlignment="1">
      <alignment wrapText="1"/>
    </xf>
    <xf numFmtId="0" fontId="59" fillId="0" borderId="0" xfId="0" applyFont="1"/>
    <xf numFmtId="0" fontId="96" fillId="0" borderId="0" xfId="0" applyFont="1"/>
    <xf numFmtId="0" fontId="97" fillId="0" borderId="0" xfId="0" applyFont="1"/>
    <xf numFmtId="0" fontId="89" fillId="19" borderId="7" xfId="0" applyFont="1" applyFill="1" applyBorder="1" applyAlignment="1">
      <alignment wrapText="1"/>
    </xf>
    <xf numFmtId="0" fontId="64" fillId="0" borderId="16" xfId="0" applyFont="1" applyBorder="1" applyAlignment="1">
      <alignment horizontal="center" wrapText="1"/>
    </xf>
    <xf numFmtId="0" fontId="64" fillId="0" borderId="16" xfId="0" applyFont="1" applyBorder="1" applyAlignment="1">
      <alignment horizontal="left" wrapText="1"/>
    </xf>
    <xf numFmtId="0" fontId="98" fillId="0" borderId="0" xfId="0" applyFont="1" applyAlignment="1">
      <alignment horizontal="left"/>
    </xf>
    <xf numFmtId="0" fontId="64" fillId="0" borderId="0" xfId="0" applyFont="1" applyAlignment="1">
      <alignment wrapText="1"/>
    </xf>
    <xf numFmtId="0" fontId="64" fillId="0" borderId="0" xfId="0" applyFont="1" applyAlignment="1">
      <alignment horizontal="left" wrapText="1"/>
    </xf>
    <xf numFmtId="0" fontId="64" fillId="0" borderId="0" xfId="0" applyFont="1" applyAlignment="1">
      <alignment horizontal="center" vertical="center" wrapText="1"/>
    </xf>
    <xf numFmtId="0" fontId="64" fillId="0" borderId="0" xfId="0" applyFont="1" applyAlignment="1">
      <alignment horizontal="left" vertical="top" wrapText="1"/>
    </xf>
    <xf numFmtId="0" fontId="64" fillId="0" borderId="0" xfId="0" applyFont="1" applyAlignment="1">
      <alignment horizontal="left" vertical="center" wrapText="1"/>
    </xf>
    <xf numFmtId="0" fontId="64" fillId="0" borderId="0" xfId="0" applyFont="1" applyAlignment="1">
      <alignment horizontal="center" wrapText="1"/>
    </xf>
    <xf numFmtId="0" fontId="64" fillId="0" borderId="0" xfId="0" applyFont="1" applyAlignment="1">
      <alignment vertical="top" wrapText="1"/>
    </xf>
    <xf numFmtId="0" fontId="99" fillId="0" borderId="0" xfId="0" applyFont="1" applyAlignment="1">
      <alignment horizontal="left"/>
    </xf>
    <xf numFmtId="0" fontId="58" fillId="0" borderId="0" xfId="0" applyFont="1" applyAlignment="1">
      <alignment horizontal="left" vertical="top" wrapText="1"/>
    </xf>
    <xf numFmtId="0" fontId="46" fillId="0" borderId="0" xfId="0" applyFont="1"/>
    <xf numFmtId="0" fontId="58" fillId="0" borderId="0" xfId="0" quotePrefix="1" applyFont="1" applyAlignment="1">
      <alignment wrapText="1"/>
    </xf>
    <xf numFmtId="0" fontId="58" fillId="0" borderId="0" xfId="0" applyFont="1" applyAlignment="1">
      <alignment horizontal="center" wrapText="1"/>
    </xf>
    <xf numFmtId="0" fontId="100" fillId="0" borderId="0" xfId="0" applyFont="1" applyAlignment="1">
      <alignment wrapText="1"/>
    </xf>
    <xf numFmtId="0" fontId="95" fillId="0" borderId="0" xfId="0" applyFont="1" applyAlignment="1">
      <alignment wrapText="1"/>
    </xf>
    <xf numFmtId="0" fontId="38" fillId="0" borderId="0" xfId="0" applyFont="1" applyAlignment="1">
      <alignment horizontal="center" wrapText="1"/>
    </xf>
    <xf numFmtId="0" fontId="87" fillId="5" borderId="0" xfId="0" applyFont="1" applyFill="1" applyAlignment="1">
      <alignment horizontal="center" vertical="center" wrapText="1"/>
    </xf>
    <xf numFmtId="0" fontId="55" fillId="0" borderId="0" xfId="0" applyFont="1" applyAlignment="1">
      <alignment horizontal="center" wrapText="1"/>
    </xf>
    <xf numFmtId="0" fontId="90" fillId="0" borderId="0" xfId="0" applyFont="1" applyAlignment="1">
      <alignment horizontal="center" wrapText="1"/>
    </xf>
    <xf numFmtId="0" fontId="89" fillId="0" borderId="0" xfId="0" applyFont="1" applyAlignment="1">
      <alignment horizontal="center" wrapText="1"/>
    </xf>
    <xf numFmtId="0" fontId="92" fillId="0" borderId="0" xfId="0" applyFont="1" applyAlignment="1">
      <alignment horizontal="center" wrapText="1"/>
    </xf>
    <xf numFmtId="0" fontId="58" fillId="0" borderId="0" xfId="0" applyFont="1" applyAlignment="1">
      <alignment horizontal="left" vertical="center" wrapText="1"/>
    </xf>
    <xf numFmtId="0" fontId="38" fillId="0" borderId="0" xfId="0" applyFont="1" applyProtection="1">
      <protection locked="0"/>
    </xf>
    <xf numFmtId="0" fontId="101" fillId="0" borderId="0" xfId="0" applyFont="1"/>
    <xf numFmtId="0" fontId="102" fillId="0" borderId="0" xfId="0" applyFont="1"/>
    <xf numFmtId="49" fontId="70" fillId="0" borderId="24" xfId="0" applyNumberFormat="1" applyFont="1" applyBorder="1" applyAlignment="1">
      <alignment horizontal="left" vertical="center" wrapText="1"/>
    </xf>
    <xf numFmtId="0" fontId="48" fillId="26" borderId="0" xfId="0" applyFont="1" applyFill="1" applyAlignment="1">
      <alignment horizontal="center" wrapText="1"/>
    </xf>
    <xf numFmtId="0" fontId="12" fillId="26" borderId="0" xfId="0" applyFont="1" applyFill="1"/>
    <xf numFmtId="0" fontId="65" fillId="27" borderId="0" xfId="0" applyFont="1" applyFill="1"/>
    <xf numFmtId="49" fontId="70" fillId="0" borderId="23" xfId="0" applyNumberFormat="1" applyFont="1" applyBorder="1" applyAlignment="1">
      <alignment horizontal="center" vertical="center" wrapText="1"/>
    </xf>
    <xf numFmtId="49" fontId="70" fillId="0" borderId="23" xfId="0" applyNumberFormat="1" applyFont="1" applyBorder="1" applyAlignment="1">
      <alignment horizontal="left" vertical="center"/>
    </xf>
    <xf numFmtId="0" fontId="39" fillId="28" borderId="0" xfId="0" applyFont="1" applyFill="1"/>
    <xf numFmtId="0" fontId="45" fillId="29" borderId="0" xfId="0" applyFont="1" applyFill="1" applyAlignment="1">
      <alignment wrapText="1"/>
    </xf>
    <xf numFmtId="0" fontId="50" fillId="0" borderId="28" xfId="0" applyFont="1" applyBorder="1"/>
    <xf numFmtId="0" fontId="39" fillId="30" borderId="0" xfId="0" applyFont="1" applyFill="1"/>
    <xf numFmtId="0" fontId="51" fillId="0" borderId="28" xfId="0" applyFont="1" applyBorder="1"/>
    <xf numFmtId="0" fontId="39" fillId="31" borderId="0" xfId="0" applyFont="1" applyFill="1"/>
    <xf numFmtId="0" fontId="103" fillId="0" borderId="28" xfId="0" applyFont="1" applyBorder="1"/>
    <xf numFmtId="0" fontId="39" fillId="32" borderId="1" xfId="0" applyFont="1" applyFill="1" applyBorder="1"/>
    <xf numFmtId="0" fontId="54" fillId="0" borderId="4" xfId="0" applyFont="1" applyBorder="1"/>
    <xf numFmtId="0" fontId="104" fillId="0" borderId="0" xfId="0" applyFont="1"/>
    <xf numFmtId="0" fontId="46" fillId="0" borderId="29" xfId="0" applyFont="1" applyBorder="1"/>
    <xf numFmtId="0" fontId="40" fillId="0" borderId="0" xfId="0" applyFont="1" applyAlignment="1">
      <alignment wrapText="1"/>
    </xf>
    <xf numFmtId="0" fontId="15" fillId="5" borderId="30" xfId="0" applyFont="1" applyFill="1" applyBorder="1"/>
    <xf numFmtId="0" fontId="15" fillId="5" borderId="7" xfId="0" applyFont="1" applyFill="1" applyBorder="1"/>
    <xf numFmtId="0" fontId="15" fillId="36" borderId="7" xfId="0" applyFont="1" applyFill="1" applyBorder="1" applyAlignment="1">
      <alignment wrapText="1"/>
    </xf>
    <xf numFmtId="0" fontId="15" fillId="33" borderId="7" xfId="0" applyFont="1" applyFill="1" applyBorder="1" applyAlignment="1">
      <alignment wrapText="1"/>
    </xf>
    <xf numFmtId="0" fontId="15" fillId="37" borderId="7" xfId="0" applyFont="1" applyFill="1" applyBorder="1" applyAlignment="1">
      <alignment wrapText="1"/>
    </xf>
    <xf numFmtId="0" fontId="15" fillId="34" borderId="7" xfId="0" applyFont="1" applyFill="1" applyBorder="1" applyAlignment="1">
      <alignment wrapText="1"/>
    </xf>
    <xf numFmtId="0" fontId="15" fillId="38" borderId="7" xfId="0" applyFont="1" applyFill="1" applyBorder="1"/>
    <xf numFmtId="0" fontId="15" fillId="35" borderId="7" xfId="0" applyFont="1" applyFill="1" applyBorder="1" applyAlignment="1">
      <alignment wrapText="1"/>
    </xf>
    <xf numFmtId="0" fontId="15" fillId="35" borderId="1" xfId="0" applyFont="1" applyFill="1" applyBorder="1" applyAlignment="1">
      <alignment wrapText="1"/>
    </xf>
    <xf numFmtId="0" fontId="106" fillId="0" borderId="0" xfId="0" applyFont="1"/>
    <xf numFmtId="0" fontId="10" fillId="39" borderId="7" xfId="0" applyFont="1" applyFill="1" applyBorder="1"/>
    <xf numFmtId="0" fontId="10" fillId="19" borderId="7" xfId="0" applyFont="1" applyFill="1" applyBorder="1" applyAlignment="1">
      <alignment wrapText="1"/>
    </xf>
    <xf numFmtId="0" fontId="10" fillId="19" borderId="7" xfId="0" quotePrefix="1" applyFont="1" applyFill="1" applyBorder="1" applyAlignment="1">
      <alignment wrapText="1"/>
    </xf>
    <xf numFmtId="0" fontId="29" fillId="40" borderId="7" xfId="0" applyFont="1" applyFill="1" applyBorder="1"/>
    <xf numFmtId="0" fontId="10" fillId="41" borderId="7" xfId="0" applyFont="1" applyFill="1" applyBorder="1" applyAlignment="1">
      <alignment wrapText="1"/>
    </xf>
    <xf numFmtId="0" fontId="10" fillId="42" borderId="7" xfId="0" applyFont="1" applyFill="1" applyBorder="1"/>
    <xf numFmtId="0" fontId="10" fillId="31" borderId="7" xfId="0" applyFont="1" applyFill="1" applyBorder="1"/>
    <xf numFmtId="0" fontId="10" fillId="0" borderId="7" xfId="0" applyFont="1" applyBorder="1" applyAlignment="1">
      <alignment wrapText="1"/>
    </xf>
    <xf numFmtId="0" fontId="10" fillId="0" borderId="7" xfId="0" quotePrefix="1" applyFont="1" applyBorder="1" applyAlignment="1">
      <alignment wrapText="1"/>
    </xf>
    <xf numFmtId="0" fontId="10" fillId="28" borderId="7" xfId="0" applyFont="1" applyFill="1" applyBorder="1" applyAlignment="1">
      <alignment wrapText="1"/>
    </xf>
    <xf numFmtId="0" fontId="10" fillId="43" borderId="7" xfId="0" applyFont="1" applyFill="1" applyBorder="1"/>
    <xf numFmtId="0" fontId="10" fillId="44" borderId="7" xfId="0" applyFont="1" applyFill="1" applyBorder="1" applyAlignment="1">
      <alignment wrapText="1"/>
    </xf>
    <xf numFmtId="0" fontId="35" fillId="41" borderId="7" xfId="0" applyFont="1" applyFill="1" applyBorder="1" applyAlignment="1">
      <alignment wrapText="1"/>
    </xf>
    <xf numFmtId="0" fontId="35" fillId="44" borderId="7" xfId="0" applyFont="1" applyFill="1" applyBorder="1" applyAlignment="1">
      <alignment wrapText="1"/>
    </xf>
    <xf numFmtId="0" fontId="10" fillId="45" borderId="7" xfId="0" applyFont="1" applyFill="1" applyBorder="1" applyAlignment="1">
      <alignment wrapText="1"/>
    </xf>
    <xf numFmtId="0" fontId="10" fillId="31" borderId="7" xfId="0" applyFont="1" applyFill="1" applyBorder="1" applyAlignment="1">
      <alignment wrapText="1"/>
    </xf>
    <xf numFmtId="0" fontId="10" fillId="42" borderId="7" xfId="0" applyFont="1" applyFill="1" applyBorder="1" applyAlignment="1">
      <alignment wrapText="1"/>
    </xf>
    <xf numFmtId="0" fontId="10" fillId="46" borderId="7" xfId="0" applyFont="1" applyFill="1" applyBorder="1" applyAlignment="1">
      <alignment wrapText="1"/>
    </xf>
    <xf numFmtId="0" fontId="35" fillId="46" borderId="7" xfId="0" applyFont="1" applyFill="1" applyBorder="1" applyAlignment="1">
      <alignment wrapText="1"/>
    </xf>
    <xf numFmtId="0" fontId="35" fillId="28" borderId="7" xfId="0" applyFont="1" applyFill="1" applyBorder="1" applyAlignment="1">
      <alignment wrapText="1"/>
    </xf>
    <xf numFmtId="0" fontId="10" fillId="30" borderId="7" xfId="0" applyFont="1" applyFill="1" applyBorder="1"/>
    <xf numFmtId="0" fontId="10" fillId="30" borderId="0" xfId="0" applyFont="1" applyFill="1"/>
    <xf numFmtId="0" fontId="10" fillId="40" borderId="7" xfId="0" applyFont="1" applyFill="1" applyBorder="1" applyAlignment="1">
      <alignment wrapText="1"/>
    </xf>
    <xf numFmtId="0" fontId="10" fillId="31" borderId="0" xfId="0" applyFont="1" applyFill="1"/>
    <xf numFmtId="0" fontId="10" fillId="43" borderId="0" xfId="0" applyFont="1" applyFill="1"/>
    <xf numFmtId="0" fontId="35" fillId="0" borderId="7" xfId="0" applyFont="1" applyBorder="1" applyAlignment="1">
      <alignment wrapText="1"/>
    </xf>
    <xf numFmtId="0" fontId="10" fillId="19" borderId="7" xfId="0" applyFont="1" applyFill="1" applyBorder="1"/>
    <xf numFmtId="0" fontId="10" fillId="40" borderId="7" xfId="0" applyFont="1" applyFill="1" applyBorder="1"/>
    <xf numFmtId="0" fontId="10" fillId="43" borderId="7" xfId="0" applyFont="1" applyFill="1" applyBorder="1" applyAlignment="1">
      <alignment wrapText="1"/>
    </xf>
    <xf numFmtId="0" fontId="10" fillId="0" borderId="7" xfId="0" applyFont="1" applyBorder="1"/>
    <xf numFmtId="0" fontId="10" fillId="19" borderId="0" xfId="0" applyFont="1" applyFill="1"/>
    <xf numFmtId="0" fontId="10" fillId="45" borderId="7" xfId="0" applyFont="1" applyFill="1" applyBorder="1"/>
    <xf numFmtId="0" fontId="35" fillId="31" borderId="7" xfId="0" applyFont="1" applyFill="1" applyBorder="1" applyAlignment="1">
      <alignment wrapText="1"/>
    </xf>
    <xf numFmtId="0" fontId="35" fillId="19" borderId="7" xfId="0" applyFont="1" applyFill="1" applyBorder="1" applyAlignment="1">
      <alignment wrapText="1"/>
    </xf>
    <xf numFmtId="0" fontId="107" fillId="43" borderId="7" xfId="0" applyFont="1" applyFill="1" applyBorder="1" applyAlignment="1">
      <alignment wrapText="1"/>
    </xf>
    <xf numFmtId="0" fontId="10" fillId="28" borderId="7" xfId="0" applyFont="1" applyFill="1" applyBorder="1"/>
    <xf numFmtId="0" fontId="107" fillId="28" borderId="7" xfId="0" applyFont="1" applyFill="1" applyBorder="1" applyAlignment="1">
      <alignment wrapText="1"/>
    </xf>
    <xf numFmtId="0" fontId="10" fillId="41" borderId="7" xfId="0" applyFont="1" applyFill="1" applyBorder="1"/>
    <xf numFmtId="0" fontId="10" fillId="41" borderId="0" xfId="0" applyFont="1" applyFill="1"/>
    <xf numFmtId="0" fontId="107" fillId="19" borderId="7" xfId="0" applyFont="1" applyFill="1" applyBorder="1" applyAlignment="1">
      <alignment wrapText="1"/>
    </xf>
    <xf numFmtId="0" fontId="107" fillId="31" borderId="7" xfId="0" applyFont="1" applyFill="1" applyBorder="1" applyAlignment="1">
      <alignment wrapText="1"/>
    </xf>
    <xf numFmtId="0" fontId="107" fillId="46" borderId="7" xfId="0" applyFont="1" applyFill="1" applyBorder="1" applyAlignment="1">
      <alignment wrapText="1"/>
    </xf>
    <xf numFmtId="0" fontId="107" fillId="44" borderId="7" xfId="0" applyFont="1" applyFill="1" applyBorder="1" applyAlignment="1">
      <alignment wrapText="1"/>
    </xf>
    <xf numFmtId="0" fontId="107" fillId="41" borderId="7" xfId="0" applyFont="1" applyFill="1" applyBorder="1" applyAlignment="1">
      <alignment wrapText="1"/>
    </xf>
    <xf numFmtId="0" fontId="18" fillId="0" borderId="31" xfId="0" applyFont="1" applyBorder="1" applyAlignment="1">
      <alignment wrapText="1"/>
    </xf>
    <xf numFmtId="0" fontId="18" fillId="0" borderId="32" xfId="0" applyFont="1" applyBorder="1" applyAlignment="1">
      <alignment wrapText="1"/>
    </xf>
    <xf numFmtId="0" fontId="18" fillId="42" borderId="32" xfId="0" applyFont="1" applyFill="1" applyBorder="1"/>
    <xf numFmtId="0" fontId="0" fillId="42" borderId="0" xfId="0" applyFill="1"/>
    <xf numFmtId="0" fontId="39" fillId="4" borderId="33" xfId="0" applyFont="1" applyFill="1" applyBorder="1"/>
    <xf numFmtId="0" fontId="39" fillId="0" borderId="33" xfId="0" applyFont="1" applyBorder="1"/>
    <xf numFmtId="0" fontId="39" fillId="0" borderId="28" xfId="0" applyFont="1" applyBorder="1"/>
    <xf numFmtId="0" fontId="39" fillId="0" borderId="34" xfId="0" applyFont="1" applyBorder="1"/>
    <xf numFmtId="0" fontId="39" fillId="4" borderId="28" xfId="0" applyFont="1" applyFill="1" applyBorder="1"/>
    <xf numFmtId="0" fontId="39" fillId="4" borderId="34" xfId="0" applyFont="1" applyFill="1" applyBorder="1"/>
    <xf numFmtId="0" fontId="41" fillId="0" borderId="28" xfId="0" applyFont="1" applyBorder="1"/>
    <xf numFmtId="0" fontId="41" fillId="0" borderId="34" xfId="0" applyFont="1" applyBorder="1"/>
    <xf numFmtId="0" fontId="39" fillId="0" borderId="35" xfId="0" applyFont="1" applyBorder="1"/>
    <xf numFmtId="0" fontId="15" fillId="47" borderId="7" xfId="0" applyFont="1" applyFill="1" applyBorder="1" applyAlignment="1">
      <alignment wrapText="1"/>
    </xf>
    <xf numFmtId="0" fontId="61" fillId="0" borderId="0" xfId="0" applyFont="1" applyAlignment="1">
      <alignment horizontal="center" wrapText="1"/>
    </xf>
    <xf numFmtId="0" fontId="61" fillId="0" borderId="16" xfId="0" applyFont="1" applyBorder="1" applyAlignment="1">
      <alignment horizontal="center" wrapText="1"/>
    </xf>
    <xf numFmtId="0" fontId="10" fillId="0" borderId="7" xfId="0" applyFont="1" applyBorder="1" applyAlignment="1">
      <alignment horizontal="left" wrapText="1"/>
    </xf>
    <xf numFmtId="0" fontId="61" fillId="0" borderId="0" xfId="0" applyFont="1" applyAlignment="1">
      <alignment horizontal="center" vertical="center" wrapText="1"/>
    </xf>
    <xf numFmtId="0" fontId="39" fillId="0" borderId="6" xfId="0" applyFont="1" applyBorder="1"/>
    <xf numFmtId="0" fontId="92" fillId="0" borderId="0" xfId="0" applyFont="1" applyAlignment="1">
      <alignment horizontal="left" wrapText="1"/>
    </xf>
    <xf numFmtId="0" fontId="61" fillId="0" borderId="0" xfId="0" applyFont="1" applyAlignment="1">
      <alignment horizontal="left" vertical="top" wrapText="1"/>
    </xf>
    <xf numFmtId="0" fontId="61" fillId="19" borderId="7" xfId="0" applyFont="1" applyFill="1" applyBorder="1" applyAlignment="1">
      <alignment wrapText="1"/>
    </xf>
    <xf numFmtId="0" fontId="87" fillId="5" borderId="0" xfId="0" applyFont="1" applyFill="1" applyAlignment="1">
      <alignment horizontal="center" vertical="center"/>
    </xf>
    <xf numFmtId="0" fontId="59" fillId="0" borderId="0" xfId="0" applyFont="1" applyAlignment="1">
      <alignment wrapText="1"/>
    </xf>
    <xf numFmtId="0" fontId="59" fillId="0" borderId="0" xfId="0" applyFont="1" applyAlignment="1">
      <alignment horizontal="left" vertical="top" wrapText="1"/>
    </xf>
    <xf numFmtId="0" fontId="59" fillId="20" borderId="0" xfId="0" applyFont="1" applyFill="1" applyAlignment="1">
      <alignment horizontal="left" vertical="top" wrapText="1"/>
    </xf>
    <xf numFmtId="0" fontId="112" fillId="0" borderId="0" xfId="0" applyFont="1" applyAlignment="1">
      <alignment wrapText="1"/>
    </xf>
    <xf numFmtId="0" fontId="113" fillId="0" borderId="0" xfId="0" applyFont="1" applyAlignment="1">
      <alignment horizontal="left" vertical="top" wrapText="1"/>
    </xf>
    <xf numFmtId="0" fontId="111" fillId="20" borderId="0" xfId="0" applyFont="1" applyFill="1" applyAlignment="1">
      <alignment wrapText="1"/>
    </xf>
    <xf numFmtId="0" fontId="113" fillId="0" borderId="0" xfId="0" applyFont="1" applyAlignment="1">
      <alignment wrapText="1"/>
    </xf>
    <xf numFmtId="0" fontId="98" fillId="0" borderId="0" xfId="0" applyFont="1" applyAlignment="1">
      <alignment wrapText="1"/>
    </xf>
    <xf numFmtId="0" fontId="59" fillId="20" borderId="0" xfId="0" applyFont="1" applyFill="1" applyAlignment="1">
      <alignment wrapText="1"/>
    </xf>
    <xf numFmtId="0" fontId="113" fillId="24" borderId="0" xfId="0" applyFont="1" applyFill="1" applyAlignment="1">
      <alignment horizontal="left" vertical="top" wrapText="1"/>
    </xf>
    <xf numFmtId="0" fontId="10" fillId="48" borderId="7" xfId="0" applyFont="1" applyFill="1" applyBorder="1" applyAlignment="1">
      <alignment vertical="center"/>
    </xf>
    <xf numFmtId="0" fontId="10" fillId="49" borderId="7" xfId="0" applyFont="1" applyFill="1" applyBorder="1" applyAlignment="1">
      <alignment wrapText="1"/>
    </xf>
    <xf numFmtId="0" fontId="10" fillId="50" borderId="7" xfId="0" applyFont="1" applyFill="1" applyBorder="1" applyAlignment="1">
      <alignment wrapText="1"/>
    </xf>
    <xf numFmtId="0" fontId="107" fillId="31" borderId="7" xfId="0" applyFont="1" applyFill="1" applyBorder="1" applyAlignment="1">
      <alignment vertical="center"/>
    </xf>
    <xf numFmtId="0" fontId="107" fillId="48" borderId="7" xfId="0" applyFont="1" applyFill="1" applyBorder="1" applyAlignment="1">
      <alignment vertical="center"/>
    </xf>
    <xf numFmtId="0" fontId="107" fillId="43" borderId="7" xfId="0" applyFont="1" applyFill="1" applyBorder="1" applyAlignment="1">
      <alignment vertical="center"/>
    </xf>
    <xf numFmtId="0" fontId="10" fillId="51" borderId="7" xfId="0" applyFont="1" applyFill="1" applyBorder="1" applyAlignment="1">
      <alignment wrapText="1"/>
    </xf>
    <xf numFmtId="0" fontId="10" fillId="52" borderId="7" xfId="0" applyFont="1" applyFill="1" applyBorder="1" applyAlignment="1">
      <alignment wrapText="1"/>
    </xf>
    <xf numFmtId="0" fontId="10" fillId="51" borderId="7" xfId="0" quotePrefix="1" applyFont="1" applyFill="1" applyBorder="1" applyAlignment="1">
      <alignment wrapText="1"/>
    </xf>
    <xf numFmtId="0" fontId="10" fillId="52" borderId="7" xfId="0" applyFont="1" applyFill="1" applyBorder="1" applyAlignment="1">
      <alignment horizontal="left" wrapText="1"/>
    </xf>
    <xf numFmtId="0" fontId="15" fillId="5" borderId="30" xfId="0" applyFont="1" applyFill="1" applyBorder="1" applyAlignment="1">
      <alignment horizontal="center" vertical="center"/>
    </xf>
    <xf numFmtId="0" fontId="85" fillId="15" borderId="0" xfId="0" applyFont="1" applyFill="1" applyAlignment="1">
      <alignment horizontal="center" vertical="center" wrapText="1"/>
    </xf>
    <xf numFmtId="0" fontId="85" fillId="15" borderId="0" xfId="0" applyFont="1" applyFill="1" applyAlignment="1">
      <alignment horizontal="left" vertical="center" wrapText="1"/>
    </xf>
    <xf numFmtId="0" fontId="10" fillId="24" borderId="0" xfId="0" applyFont="1" applyFill="1" applyAlignment="1">
      <alignment vertical="center"/>
    </xf>
    <xf numFmtId="0" fontId="10" fillId="24" borderId="0" xfId="0" applyFont="1" applyFill="1" applyAlignment="1">
      <alignment horizontal="center" vertical="center"/>
    </xf>
    <xf numFmtId="0" fontId="65" fillId="53" borderId="0" xfId="0" applyFont="1" applyFill="1"/>
    <xf numFmtId="0" fontId="116" fillId="0" borderId="0" xfId="0" applyFont="1" applyAlignment="1">
      <alignment wrapText="1"/>
    </xf>
    <xf numFmtId="0" fontId="39" fillId="0" borderId="29" xfId="0" applyFont="1" applyBorder="1"/>
    <xf numFmtId="0" fontId="117" fillId="34" borderId="0" xfId="0" applyFont="1" applyFill="1" applyAlignment="1">
      <alignment wrapText="1"/>
    </xf>
    <xf numFmtId="0" fontId="15" fillId="5" borderId="7" xfId="0" applyFont="1" applyFill="1" applyBorder="1" applyAlignment="1">
      <alignment wrapText="1"/>
    </xf>
    <xf numFmtId="0" fontId="15" fillId="34" borderId="36" xfId="0" applyFont="1" applyFill="1" applyBorder="1" applyAlignment="1">
      <alignment wrapText="1"/>
    </xf>
    <xf numFmtId="0" fontId="107" fillId="43" borderId="30" xfId="0" applyFont="1" applyFill="1" applyBorder="1"/>
    <xf numFmtId="0" fontId="107" fillId="31" borderId="7" xfId="0" applyFont="1" applyFill="1" applyBorder="1"/>
    <xf numFmtId="0" fontId="10" fillId="54" borderId="7" xfId="0" applyFont="1" applyFill="1" applyBorder="1" applyAlignment="1">
      <alignment wrapText="1"/>
    </xf>
    <xf numFmtId="0" fontId="10" fillId="55" borderId="7" xfId="0" applyFont="1" applyFill="1" applyBorder="1" applyAlignment="1">
      <alignment wrapText="1"/>
    </xf>
    <xf numFmtId="0" fontId="118" fillId="19" borderId="7" xfId="0" applyFont="1" applyFill="1" applyBorder="1"/>
    <xf numFmtId="0" fontId="118" fillId="19" borderId="36" xfId="0" applyFont="1" applyFill="1" applyBorder="1"/>
    <xf numFmtId="0" fontId="10" fillId="56" borderId="7" xfId="0" applyFont="1" applyFill="1" applyBorder="1" applyAlignment="1">
      <alignment wrapText="1"/>
    </xf>
    <xf numFmtId="0" fontId="10" fillId="56" borderId="37" xfId="0" applyFont="1" applyFill="1" applyBorder="1" applyAlignment="1">
      <alignment wrapText="1"/>
    </xf>
    <xf numFmtId="0" fontId="118" fillId="0" borderId="7" xfId="0" applyFont="1" applyBorder="1"/>
    <xf numFmtId="0" fontId="10" fillId="57" borderId="33" xfId="0" applyFont="1" applyFill="1" applyBorder="1"/>
    <xf numFmtId="0" fontId="118" fillId="58" borderId="7" xfId="0" applyFont="1" applyFill="1" applyBorder="1"/>
    <xf numFmtId="0" fontId="107" fillId="43" borderId="7" xfId="0" applyFont="1" applyFill="1" applyBorder="1"/>
    <xf numFmtId="0" fontId="15" fillId="5" borderId="38" xfId="0" applyFont="1" applyFill="1" applyBorder="1"/>
    <xf numFmtId="0" fontId="15" fillId="5" borderId="38" xfId="0" applyFont="1" applyFill="1" applyBorder="1" applyAlignment="1">
      <alignment wrapText="1"/>
    </xf>
    <xf numFmtId="0" fontId="15" fillId="37" borderId="38" xfId="0" applyFont="1" applyFill="1" applyBorder="1" applyAlignment="1">
      <alignment wrapText="1"/>
    </xf>
    <xf numFmtId="0" fontId="15" fillId="34" borderId="38" xfId="0" applyFont="1" applyFill="1" applyBorder="1" applyAlignment="1">
      <alignment wrapText="1"/>
    </xf>
    <xf numFmtId="0" fontId="107" fillId="43" borderId="39" xfId="0" applyFont="1" applyFill="1" applyBorder="1"/>
    <xf numFmtId="0" fontId="10" fillId="31" borderId="39" xfId="0" applyFont="1" applyFill="1" applyBorder="1"/>
    <xf numFmtId="0" fontId="107" fillId="31" borderId="39" xfId="0" applyFont="1" applyFill="1" applyBorder="1"/>
    <xf numFmtId="0" fontId="10" fillId="19" borderId="39" xfId="0" applyFont="1" applyFill="1" applyBorder="1" applyAlignment="1">
      <alignment wrapText="1"/>
    </xf>
    <xf numFmtId="0" fontId="118" fillId="19" borderId="39" xfId="0" applyFont="1" applyFill="1" applyBorder="1"/>
    <xf numFmtId="0" fontId="10" fillId="55" borderId="39" xfId="0" applyFont="1" applyFill="1" applyBorder="1" applyAlignment="1">
      <alignment wrapText="1"/>
    </xf>
    <xf numFmtId="0" fontId="10" fillId="19" borderId="7" xfId="0" applyFont="1" applyFill="1" applyBorder="1" applyAlignment="1">
      <alignment vertical="top" wrapText="1"/>
    </xf>
    <xf numFmtId="0" fontId="15" fillId="37" borderId="38" xfId="0" applyFont="1" applyFill="1" applyBorder="1" applyAlignment="1">
      <alignment vertical="top" wrapText="1"/>
    </xf>
    <xf numFmtId="0" fontId="15" fillId="5" borderId="38" xfId="0" applyFont="1" applyFill="1" applyBorder="1" applyAlignment="1">
      <alignment vertical="top"/>
    </xf>
    <xf numFmtId="0" fontId="15" fillId="5" borderId="38" xfId="0" applyFont="1" applyFill="1" applyBorder="1" applyAlignment="1">
      <alignment vertical="top" wrapText="1"/>
    </xf>
    <xf numFmtId="0" fontId="15" fillId="34" borderId="38" xfId="0" applyFont="1" applyFill="1" applyBorder="1" applyAlignment="1">
      <alignment vertical="top" wrapText="1"/>
    </xf>
    <xf numFmtId="0" fontId="12" fillId="38" borderId="0" xfId="0" applyFont="1" applyFill="1" applyAlignment="1">
      <alignment vertical="top"/>
    </xf>
    <xf numFmtId="0" fontId="12" fillId="33" borderId="0" xfId="0" applyFont="1" applyFill="1" applyAlignment="1">
      <alignment vertical="top" wrapText="1"/>
    </xf>
    <xf numFmtId="0" fontId="15" fillId="59" borderId="7" xfId="0" applyFont="1" applyFill="1" applyBorder="1" applyAlignment="1">
      <alignment vertical="top" wrapText="1"/>
    </xf>
    <xf numFmtId="0" fontId="12" fillId="33" borderId="1" xfId="0" applyFont="1" applyFill="1" applyBorder="1" applyAlignment="1">
      <alignment vertical="top" wrapText="1"/>
    </xf>
    <xf numFmtId="0" fontId="12" fillId="0" borderId="0" xfId="0" applyFont="1" applyAlignment="1">
      <alignment vertical="top"/>
    </xf>
    <xf numFmtId="0" fontId="0" fillId="0" borderId="0" xfId="0" applyAlignment="1">
      <alignment vertical="top"/>
    </xf>
    <xf numFmtId="0" fontId="10" fillId="19" borderId="0" xfId="0" applyFont="1" applyFill="1" applyAlignment="1">
      <alignment vertical="top" wrapText="1"/>
    </xf>
    <xf numFmtId="0" fontId="10" fillId="56" borderId="42" xfId="0" applyFont="1" applyFill="1" applyBorder="1" applyAlignment="1">
      <alignment vertical="top" wrapText="1"/>
    </xf>
    <xf numFmtId="0" fontId="10" fillId="56" borderId="43" xfId="0" applyFont="1" applyFill="1" applyBorder="1" applyAlignment="1">
      <alignment vertical="top" wrapText="1"/>
    </xf>
    <xf numFmtId="0" fontId="10" fillId="19" borderId="39" xfId="0" applyFont="1" applyFill="1" applyBorder="1" applyAlignment="1">
      <alignment vertical="top" wrapText="1"/>
    </xf>
    <xf numFmtId="0" fontId="10"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58" fillId="0" borderId="0" xfId="0" applyFont="1" applyAlignment="1">
      <alignment horizontal="center"/>
    </xf>
    <xf numFmtId="0" fontId="15" fillId="5" borderId="49" xfId="0" applyFont="1" applyFill="1" applyBorder="1"/>
    <xf numFmtId="0" fontId="15" fillId="5" borderId="39" xfId="0" applyFont="1" applyFill="1" applyBorder="1" applyAlignment="1">
      <alignment wrapText="1"/>
    </xf>
    <xf numFmtId="0" fontId="15" fillId="37" borderId="39" xfId="0" applyFont="1" applyFill="1" applyBorder="1" applyAlignment="1">
      <alignment wrapText="1"/>
    </xf>
    <xf numFmtId="0" fontId="15" fillId="37" borderId="39" xfId="0" applyFont="1" applyFill="1" applyBorder="1" applyAlignment="1">
      <alignment vertical="top" wrapText="1"/>
    </xf>
    <xf numFmtId="0" fontId="15" fillId="37" borderId="50" xfId="0" applyFont="1" applyFill="1" applyBorder="1" applyAlignment="1">
      <alignment wrapText="1"/>
    </xf>
    <xf numFmtId="0" fontId="119" fillId="0" borderId="30" xfId="0" applyFont="1" applyBorder="1"/>
    <xf numFmtId="0" fontId="10" fillId="51" borderId="7" xfId="0" applyFont="1" applyFill="1" applyBorder="1" applyAlignment="1">
      <alignment horizontal="left" wrapText="1"/>
    </xf>
    <xf numFmtId="0" fontId="47" fillId="0" borderId="0" xfId="0" applyFont="1"/>
    <xf numFmtId="0" fontId="107" fillId="48" borderId="38" xfId="0" applyFont="1" applyFill="1" applyBorder="1" applyAlignment="1">
      <alignment vertical="center"/>
    </xf>
    <xf numFmtId="0" fontId="107" fillId="48" borderId="39" xfId="0" applyFont="1" applyFill="1" applyBorder="1" applyAlignment="1">
      <alignment vertical="center"/>
    </xf>
    <xf numFmtId="0" fontId="10" fillId="48" borderId="38" xfId="0" applyFont="1" applyFill="1" applyBorder="1" applyAlignment="1">
      <alignment vertical="center"/>
    </xf>
    <xf numFmtId="0" fontId="10" fillId="48" borderId="39" xfId="0" applyFont="1" applyFill="1" applyBorder="1" applyAlignment="1">
      <alignment vertical="center"/>
    </xf>
    <xf numFmtId="0" fontId="107" fillId="31" borderId="30" xfId="0" applyFont="1" applyFill="1" applyBorder="1"/>
    <xf numFmtId="0" fontId="107" fillId="31" borderId="39" xfId="0" applyFont="1" applyFill="1" applyBorder="1" applyAlignment="1">
      <alignment vertical="center"/>
    </xf>
    <xf numFmtId="0" fontId="10" fillId="0" borderId="39" xfId="0" applyFont="1" applyBorder="1" applyAlignment="1">
      <alignment wrapText="1"/>
    </xf>
    <xf numFmtId="0" fontId="10" fillId="46" borderId="39" xfId="0" applyFont="1" applyFill="1" applyBorder="1" applyAlignment="1">
      <alignment wrapText="1"/>
    </xf>
    <xf numFmtId="0" fontId="107" fillId="43" borderId="52" xfId="0" applyFont="1" applyFill="1" applyBorder="1" applyAlignment="1">
      <alignment vertical="center"/>
    </xf>
    <xf numFmtId="0" fontId="10" fillId="48" borderId="52" xfId="0" applyFont="1" applyFill="1" applyBorder="1" applyAlignment="1">
      <alignment vertical="center"/>
    </xf>
    <xf numFmtId="0" fontId="107" fillId="48" borderId="52" xfId="0" applyFont="1" applyFill="1" applyBorder="1" applyAlignment="1">
      <alignment vertical="center"/>
    </xf>
    <xf numFmtId="0" fontId="10" fillId="19" borderId="52" xfId="0" applyFont="1" applyFill="1" applyBorder="1" applyAlignment="1">
      <alignment wrapText="1"/>
    </xf>
    <xf numFmtId="0" fontId="10" fillId="19" borderId="52" xfId="0" quotePrefix="1" applyFont="1" applyFill="1" applyBorder="1" applyAlignment="1">
      <alignment wrapText="1"/>
    </xf>
    <xf numFmtId="0" fontId="0" fillId="0" borderId="51" xfId="0" applyBorder="1"/>
    <xf numFmtId="0" fontId="10" fillId="46" borderId="52" xfId="0" applyFont="1" applyFill="1" applyBorder="1" applyAlignment="1">
      <alignment wrapText="1"/>
    </xf>
    <xf numFmtId="0" fontId="58" fillId="0" borderId="51" xfId="0" applyFont="1" applyBorder="1" applyAlignment="1">
      <alignment horizontal="center"/>
    </xf>
    <xf numFmtId="0" fontId="58" fillId="0" borderId="51" xfId="0" applyFont="1" applyBorder="1"/>
    <xf numFmtId="0" fontId="107" fillId="24" borderId="53" xfId="0" applyFont="1" applyFill="1" applyBorder="1"/>
    <xf numFmtId="0" fontId="107" fillId="43" borderId="52" xfId="0" applyFont="1" applyFill="1" applyBorder="1"/>
    <xf numFmtId="0" fontId="10" fillId="31" borderId="52" xfId="0" applyFont="1" applyFill="1" applyBorder="1"/>
    <xf numFmtId="0" fontId="107" fillId="31" borderId="52" xfId="0" applyFont="1" applyFill="1" applyBorder="1"/>
    <xf numFmtId="0" fontId="10" fillId="19" borderId="51" xfId="0" applyFont="1" applyFill="1" applyBorder="1" applyAlignment="1">
      <alignment vertical="top" wrapText="1"/>
    </xf>
    <xf numFmtId="0" fontId="10" fillId="57" borderId="51" xfId="0" applyFont="1" applyFill="1" applyBorder="1"/>
    <xf numFmtId="0" fontId="118" fillId="19" borderId="52" xfId="0" applyFont="1" applyFill="1" applyBorder="1"/>
    <xf numFmtId="0" fontId="10" fillId="55" borderId="52" xfId="0" applyFont="1" applyFill="1" applyBorder="1" applyAlignment="1">
      <alignment wrapText="1"/>
    </xf>
    <xf numFmtId="0" fontId="107" fillId="31" borderId="52" xfId="0" applyFont="1" applyFill="1" applyBorder="1" applyAlignment="1">
      <alignment vertical="center"/>
    </xf>
    <xf numFmtId="0" fontId="107" fillId="48" borderId="51" xfId="0" applyFont="1" applyFill="1" applyBorder="1" applyAlignment="1">
      <alignment vertical="center"/>
    </xf>
    <xf numFmtId="0" fontId="10" fillId="52" borderId="52" xfId="0" applyFont="1" applyFill="1" applyBorder="1" applyAlignment="1">
      <alignment wrapText="1"/>
    </xf>
    <xf numFmtId="0" fontId="10" fillId="0" borderId="51" xfId="0" applyFont="1" applyBorder="1" applyAlignment="1">
      <alignment wrapText="1"/>
    </xf>
    <xf numFmtId="0" fontId="10" fillId="0" borderId="51" xfId="0" applyFont="1" applyBorder="1" applyAlignment="1">
      <alignment horizontal="left" wrapText="1"/>
    </xf>
    <xf numFmtId="0" fontId="64" fillId="0" borderId="51" xfId="0" applyFont="1" applyBorder="1" applyAlignment="1">
      <alignment wrapText="1"/>
    </xf>
    <xf numFmtId="0" fontId="0" fillId="0" borderId="51" xfId="0" applyBorder="1" applyAlignment="1">
      <alignment horizontal="center"/>
    </xf>
    <xf numFmtId="0" fontId="61" fillId="0" borderId="0" xfId="0" applyFont="1" applyAlignment="1">
      <alignment horizontal="left" wrapText="1"/>
    </xf>
    <xf numFmtId="0" fontId="120" fillId="0" borderId="0" xfId="0" applyFont="1" applyAlignment="1">
      <alignment horizontal="left" wrapText="1"/>
    </xf>
    <xf numFmtId="0" fontId="61" fillId="0" borderId="0" xfId="0" applyFont="1" applyAlignment="1">
      <alignment vertical="top" wrapText="1"/>
    </xf>
    <xf numFmtId="0" fontId="61" fillId="26" borderId="0" xfId="0" applyFont="1" applyFill="1"/>
    <xf numFmtId="0" fontId="61" fillId="20" borderId="0" xfId="0" applyFont="1" applyFill="1" applyAlignment="1">
      <alignment horizontal="left" vertical="top" wrapText="1"/>
    </xf>
    <xf numFmtId="0" fontId="118" fillId="19" borderId="7" xfId="0" applyFont="1" applyFill="1" applyBorder="1" applyAlignment="1">
      <alignment horizontal="center" vertical="center"/>
    </xf>
    <xf numFmtId="0" fontId="118" fillId="19" borderId="36" xfId="0" applyFont="1" applyFill="1" applyBorder="1" applyAlignment="1">
      <alignment horizontal="center" vertical="center"/>
    </xf>
    <xf numFmtId="0" fontId="89" fillId="0" borderId="0" xfId="0" applyFont="1"/>
    <xf numFmtId="0" fontId="89" fillId="0" borderId="51" xfId="0" applyFont="1" applyBorder="1"/>
    <xf numFmtId="0" fontId="10" fillId="19" borderId="39" xfId="0" applyFont="1" applyFill="1" applyBorder="1"/>
    <xf numFmtId="0" fontId="29" fillId="19" borderId="39" xfId="0" applyFont="1" applyFill="1" applyBorder="1"/>
    <xf numFmtId="0" fontId="10" fillId="19" borderId="52" xfId="0" applyFont="1" applyFill="1" applyBorder="1"/>
    <xf numFmtId="0" fontId="123" fillId="0" borderId="16" xfId="0" applyFont="1" applyBorder="1" applyAlignment="1">
      <alignment horizontal="center" wrapText="1"/>
    </xf>
    <xf numFmtId="0" fontId="123" fillId="0" borderId="0" xfId="0" applyFont="1"/>
    <xf numFmtId="0" fontId="107" fillId="0" borderId="0" xfId="0" applyFont="1"/>
    <xf numFmtId="0" fontId="58" fillId="20" borderId="0" xfId="0" applyFont="1" applyFill="1" applyAlignment="1">
      <alignment horizontal="left"/>
    </xf>
    <xf numFmtId="0" fontId="89" fillId="61" borderId="0" xfId="0" applyFont="1" applyFill="1" applyAlignment="1">
      <alignment horizontal="left"/>
    </xf>
    <xf numFmtId="0" fontId="64" fillId="61" borderId="0" xfId="0" applyFont="1" applyFill="1" applyAlignment="1">
      <alignment horizontal="left"/>
    </xf>
    <xf numFmtId="0" fontId="62" fillId="61" borderId="0" xfId="0" applyFont="1" applyFill="1" applyAlignment="1">
      <alignment horizontal="left"/>
    </xf>
    <xf numFmtId="0" fontId="89" fillId="20" borderId="0" xfId="0" applyFont="1" applyFill="1" applyAlignment="1">
      <alignment horizontal="left"/>
    </xf>
    <xf numFmtId="0" fontId="121" fillId="0" borderId="0" xfId="0" applyFont="1"/>
    <xf numFmtId="0" fontId="125" fillId="0" borderId="0" xfId="0" applyFont="1" applyAlignment="1">
      <alignment horizontal="left" wrapText="1"/>
    </xf>
    <xf numFmtId="0" fontId="63" fillId="21" borderId="0" xfId="0" applyFont="1" applyFill="1" applyAlignment="1">
      <alignment horizontal="center" wrapText="1"/>
    </xf>
    <xf numFmtId="0" fontId="127" fillId="0" borderId="0" xfId="0" applyFont="1" applyAlignment="1">
      <alignment wrapText="1"/>
    </xf>
    <xf numFmtId="0" fontId="127" fillId="0" borderId="0" xfId="0" applyFont="1" applyAlignment="1">
      <alignment horizontal="left"/>
    </xf>
    <xf numFmtId="0" fontId="128" fillId="0" borderId="0" xfId="0" applyFont="1" applyAlignment="1">
      <alignment horizontal="left"/>
    </xf>
    <xf numFmtId="0" fontId="127" fillId="0" borderId="0" xfId="0" applyFont="1" applyAlignment="1">
      <alignment horizontal="left" wrapText="1"/>
    </xf>
    <xf numFmtId="0" fontId="127" fillId="0" borderId="0" xfId="0" applyFont="1" applyAlignment="1">
      <alignment horizontal="center" vertical="center" wrapText="1"/>
    </xf>
    <xf numFmtId="0" fontId="127" fillId="0" borderId="0" xfId="0" applyFont="1" applyAlignment="1">
      <alignment horizontal="center" wrapText="1"/>
    </xf>
    <xf numFmtId="0" fontId="127" fillId="0" borderId="16" xfId="0" applyFont="1" applyBorder="1" applyAlignment="1">
      <alignment horizontal="center" wrapText="1"/>
    </xf>
    <xf numFmtId="0" fontId="127" fillId="26" borderId="0" xfId="0" applyFont="1" applyFill="1"/>
    <xf numFmtId="0" fontId="127" fillId="0" borderId="0" xfId="0" applyFont="1" applyAlignment="1">
      <alignment horizontal="left" vertical="top" wrapText="1"/>
    </xf>
    <xf numFmtId="0" fontId="127" fillId="0" borderId="16" xfId="0" applyFont="1" applyBorder="1" applyAlignment="1">
      <alignment horizontal="left" wrapText="1"/>
    </xf>
    <xf numFmtId="0" fontId="127" fillId="0" borderId="0" xfId="0" applyFont="1"/>
    <xf numFmtId="0" fontId="39" fillId="0" borderId="0" xfId="0" applyFont="1"/>
    <xf numFmtId="0" fontId="129" fillId="0" borderId="0" xfId="0" applyFont="1" applyAlignment="1">
      <alignment vertical="center"/>
    </xf>
    <xf numFmtId="0" fontId="130" fillId="0" borderId="0" xfId="0" applyFont="1"/>
    <xf numFmtId="0" fontId="131" fillId="0" borderId="0" xfId="0" applyFont="1" applyAlignment="1">
      <alignment horizontal="left" vertical="center" indent="1"/>
    </xf>
    <xf numFmtId="0" fontId="132" fillId="0" borderId="0" xfId="0" applyFont="1"/>
    <xf numFmtId="0" fontId="133" fillId="0" borderId="0" xfId="0" applyFont="1"/>
    <xf numFmtId="0" fontId="133" fillId="0" borderId="0" xfId="0" applyFont="1" applyAlignment="1">
      <alignment wrapText="1"/>
    </xf>
    <xf numFmtId="0" fontId="111" fillId="0" borderId="0" xfId="0" applyFont="1" applyAlignment="1">
      <alignment wrapText="1"/>
    </xf>
    <xf numFmtId="0" fontId="133" fillId="0" borderId="0" xfId="0" applyFont="1" applyAlignment="1">
      <alignment horizontal="left" wrapText="1"/>
    </xf>
    <xf numFmtId="0" fontId="132" fillId="21" borderId="0" xfId="0" applyFont="1" applyFill="1" applyAlignment="1">
      <alignment horizontal="center" wrapText="1"/>
    </xf>
    <xf numFmtId="0" fontId="133" fillId="0" borderId="0" xfId="0" applyFont="1" applyAlignment="1">
      <alignment horizontal="center" vertical="center" wrapText="1"/>
    </xf>
    <xf numFmtId="0" fontId="133" fillId="0" borderId="0" xfId="0" applyFont="1" applyAlignment="1">
      <alignment horizontal="center" wrapText="1"/>
    </xf>
    <xf numFmtId="0" fontId="133" fillId="0" borderId="0" xfId="0" applyFont="1" applyAlignment="1">
      <alignment horizontal="left" vertical="top" wrapText="1"/>
    </xf>
    <xf numFmtId="0" fontId="134" fillId="0" borderId="0" xfId="0" applyFont="1" applyAlignment="1">
      <alignment horizontal="left"/>
    </xf>
    <xf numFmtId="0" fontId="134" fillId="0" borderId="0" xfId="0" applyFont="1" applyAlignment="1">
      <alignment wrapText="1"/>
    </xf>
    <xf numFmtId="0" fontId="134" fillId="0" borderId="0" xfId="0" applyFont="1" applyAlignment="1">
      <alignment horizontal="left" wrapText="1"/>
    </xf>
    <xf numFmtId="0" fontId="134" fillId="0" borderId="0" xfId="0" applyFont="1" applyAlignment="1">
      <alignment horizontal="center" vertical="center" wrapText="1"/>
    </xf>
    <xf numFmtId="0" fontId="134" fillId="0" borderId="0" xfId="0" applyFont="1" applyAlignment="1">
      <alignment horizontal="center" wrapText="1"/>
    </xf>
    <xf numFmtId="0" fontId="134" fillId="0" borderId="16" xfId="0" applyFont="1" applyBorder="1" applyAlignment="1">
      <alignment horizontal="center" wrapText="1"/>
    </xf>
    <xf numFmtId="0" fontId="134" fillId="26" borderId="0" xfId="0" applyFont="1" applyFill="1"/>
    <xf numFmtId="0" fontId="134" fillId="0" borderId="0" xfId="0" applyFont="1" applyAlignment="1">
      <alignment horizontal="left" vertical="top" wrapText="1"/>
    </xf>
    <xf numFmtId="0" fontId="134" fillId="0" borderId="16" xfId="0" applyFont="1" applyBorder="1" applyAlignment="1">
      <alignment horizontal="left" wrapText="1"/>
    </xf>
    <xf numFmtId="0" fontId="134" fillId="0" borderId="0" xfId="0" applyFont="1"/>
    <xf numFmtId="0" fontId="135" fillId="0" borderId="0" xfId="0" applyFont="1"/>
    <xf numFmtId="0" fontId="136" fillId="0" borderId="1" xfId="0" applyFont="1" applyBorder="1"/>
    <xf numFmtId="0" fontId="137" fillId="0" borderId="0" xfId="0" applyFont="1" applyAlignment="1">
      <alignment wrapText="1"/>
    </xf>
    <xf numFmtId="0" fontId="137" fillId="0" borderId="0" xfId="0" applyFont="1" applyAlignment="1">
      <alignment horizontal="left"/>
    </xf>
    <xf numFmtId="0" fontId="138" fillId="0" borderId="0" xfId="0" applyFont="1" applyAlignment="1">
      <alignment horizontal="left"/>
    </xf>
    <xf numFmtId="0" fontId="137" fillId="0" borderId="0" xfId="0" applyFont="1" applyAlignment="1">
      <alignment horizontal="left" wrapText="1"/>
    </xf>
    <xf numFmtId="0" fontId="137" fillId="0" borderId="0" xfId="0" applyFont="1" applyAlignment="1">
      <alignment horizontal="center" vertical="center" wrapText="1"/>
    </xf>
    <xf numFmtId="0" fontId="137" fillId="0" borderId="0" xfId="0" applyFont="1" applyAlignment="1">
      <alignment horizontal="center" wrapText="1"/>
    </xf>
    <xf numFmtId="0" fontId="137" fillId="0" borderId="16" xfId="0" applyFont="1" applyBorder="1" applyAlignment="1">
      <alignment horizontal="center" wrapText="1"/>
    </xf>
    <xf numFmtId="0" fontId="137" fillId="26" borderId="0" xfId="0" applyFont="1" applyFill="1"/>
    <xf numFmtId="0" fontId="137" fillId="24" borderId="0" xfId="0" applyFont="1" applyFill="1" applyAlignment="1">
      <alignment horizontal="left" vertical="top" wrapText="1"/>
    </xf>
    <xf numFmtId="0" fontId="137" fillId="0" borderId="16" xfId="0" applyFont="1" applyBorder="1" applyAlignment="1">
      <alignment horizontal="left" wrapText="1"/>
    </xf>
    <xf numFmtId="0" fontId="137" fillId="0" borderId="0" xfId="0" applyFont="1"/>
    <xf numFmtId="0" fontId="139" fillId="0" borderId="0" xfId="0" applyFont="1" applyAlignment="1">
      <alignment wrapText="1"/>
    </xf>
    <xf numFmtId="0" fontId="139" fillId="0" borderId="0" xfId="0" applyFont="1" applyAlignment="1">
      <alignment horizontal="left"/>
    </xf>
    <xf numFmtId="0" fontId="140" fillId="0" borderId="0" xfId="0" applyFont="1" applyAlignment="1">
      <alignment horizontal="left"/>
    </xf>
    <xf numFmtId="0" fontId="141" fillId="19" borderId="7" xfId="0" applyFont="1" applyFill="1" applyBorder="1" applyAlignment="1">
      <alignment wrapText="1"/>
    </xf>
    <xf numFmtId="0" fontId="139" fillId="0" borderId="0" xfId="0" applyFont="1" applyAlignment="1">
      <alignment horizontal="left" wrapText="1"/>
    </xf>
    <xf numFmtId="0" fontId="139" fillId="0" borderId="0" xfId="0" applyFont="1" applyAlignment="1">
      <alignment horizontal="center" vertical="center" wrapText="1"/>
    </xf>
    <xf numFmtId="0" fontId="139" fillId="0" borderId="0" xfId="0" applyFont="1" applyAlignment="1">
      <alignment horizontal="center" wrapText="1"/>
    </xf>
    <xf numFmtId="0" fontId="139" fillId="0" borderId="16" xfId="0" applyFont="1" applyBorder="1" applyAlignment="1">
      <alignment horizontal="center" wrapText="1"/>
    </xf>
    <xf numFmtId="0" fontId="139" fillId="26" borderId="0" xfId="0" applyFont="1" applyFill="1"/>
    <xf numFmtId="0" fontId="139" fillId="0" borderId="0" xfId="0" applyFont="1" applyAlignment="1">
      <alignment horizontal="left" vertical="top" wrapText="1"/>
    </xf>
    <xf numFmtId="0" fontId="139" fillId="0" borderId="16" xfId="0" applyFont="1" applyBorder="1" applyAlignment="1">
      <alignment horizontal="left" wrapText="1"/>
    </xf>
    <xf numFmtId="0" fontId="139" fillId="0" borderId="0" xfId="0" applyFont="1"/>
    <xf numFmtId="0" fontId="142" fillId="0" borderId="0" xfId="0" applyFont="1" applyAlignment="1">
      <alignment wrapText="1"/>
    </xf>
    <xf numFmtId="0" fontId="143" fillId="0" borderId="0" xfId="0" applyFont="1" applyAlignment="1">
      <alignment wrapText="1"/>
    </xf>
    <xf numFmtId="0" fontId="143" fillId="0" borderId="0" xfId="0" applyFont="1" applyAlignment="1">
      <alignment horizontal="left"/>
    </xf>
    <xf numFmtId="0" fontId="143" fillId="0" borderId="0" xfId="0" applyFont="1"/>
    <xf numFmtId="0" fontId="143" fillId="0" borderId="0" xfId="0" applyFont="1" applyAlignment="1">
      <alignment horizontal="left" wrapText="1"/>
    </xf>
    <xf numFmtId="0" fontId="143" fillId="0" borderId="0" xfId="0" applyFont="1" applyAlignment="1">
      <alignment horizontal="center" vertical="center" wrapText="1"/>
    </xf>
    <xf numFmtId="0" fontId="143" fillId="0" borderId="0" xfId="0" applyFont="1" applyAlignment="1">
      <alignment horizontal="center" wrapText="1"/>
    </xf>
    <xf numFmtId="0" fontId="143" fillId="0" borderId="16" xfId="0" applyFont="1" applyBorder="1" applyAlignment="1">
      <alignment horizontal="center" wrapText="1"/>
    </xf>
    <xf numFmtId="0" fontId="143" fillId="26" borderId="0" xfId="0" applyFont="1" applyFill="1"/>
    <xf numFmtId="0" fontId="143" fillId="0" borderId="0" xfId="0" applyFont="1" applyAlignment="1">
      <alignment horizontal="left" vertical="top" wrapText="1"/>
    </xf>
    <xf numFmtId="0" fontId="143" fillId="0" borderId="16" xfId="0" applyFont="1" applyBorder="1" applyAlignment="1">
      <alignment horizontal="left" wrapText="1"/>
    </xf>
    <xf numFmtId="0" fontId="139" fillId="24" borderId="0" xfId="0" applyFont="1" applyFill="1" applyAlignment="1">
      <alignment horizontal="left" vertical="top" wrapText="1"/>
    </xf>
    <xf numFmtId="0" fontId="144" fillId="0" borderId="0" xfId="0" applyFont="1" applyAlignment="1">
      <alignment horizontal="left"/>
    </xf>
    <xf numFmtId="0" fontId="145" fillId="0" borderId="1" xfId="0" applyFont="1" applyBorder="1"/>
    <xf numFmtId="0" fontId="142" fillId="0" borderId="0" xfId="0" applyFont="1" applyAlignment="1">
      <alignment horizontal="center" vertical="center" wrapText="1"/>
    </xf>
    <xf numFmtId="0" fontId="139" fillId="0" borderId="0" xfId="0" quotePrefix="1" applyFont="1" applyAlignment="1">
      <alignment horizontal="left" wrapText="1"/>
    </xf>
    <xf numFmtId="0" fontId="142" fillId="0" borderId="0" xfId="0" applyFont="1" applyAlignment="1">
      <alignment horizontal="left" wrapText="1"/>
    </xf>
    <xf numFmtId="0" fontId="137" fillId="0" borderId="0" xfId="0" applyFont="1" applyAlignment="1">
      <alignment horizontal="left" vertical="top"/>
    </xf>
    <xf numFmtId="0" fontId="137" fillId="0" borderId="0" xfId="0" applyFont="1" applyAlignment="1">
      <alignment horizontal="left" vertical="top" wrapText="1"/>
    </xf>
    <xf numFmtId="0" fontId="139" fillId="0" borderId="7" xfId="0" applyFont="1" applyBorder="1" applyAlignment="1">
      <alignment wrapText="1"/>
    </xf>
    <xf numFmtId="0" fontId="138" fillId="0" borderId="0" xfId="0" applyFont="1" applyAlignment="1">
      <alignment wrapText="1"/>
    </xf>
    <xf numFmtId="0" fontId="138" fillId="0" borderId="0" xfId="0" applyFont="1" applyAlignment="1">
      <alignment horizontal="left" wrapText="1"/>
    </xf>
    <xf numFmtId="0" fontId="146" fillId="0" borderId="0" xfId="0" applyFont="1" applyAlignment="1">
      <alignment horizontal="center" vertical="center" wrapText="1"/>
    </xf>
    <xf numFmtId="0" fontId="138" fillId="0" borderId="0" xfId="0" applyFont="1" applyAlignment="1">
      <alignment horizontal="center" wrapText="1"/>
    </xf>
    <xf numFmtId="0" fontId="138" fillId="0" borderId="16" xfId="0" applyFont="1" applyBorder="1" applyAlignment="1">
      <alignment horizontal="center" wrapText="1"/>
    </xf>
    <xf numFmtId="0" fontId="138" fillId="26" borderId="0" xfId="0" applyFont="1" applyFill="1"/>
    <xf numFmtId="0" fontId="138" fillId="0" borderId="0" xfId="0" applyFont="1" applyAlignment="1">
      <alignment horizontal="left" vertical="top" wrapText="1"/>
    </xf>
    <xf numFmtId="0" fontId="138" fillId="0" borderId="16" xfId="0" applyFont="1" applyBorder="1" applyAlignment="1">
      <alignment horizontal="left" wrapText="1"/>
    </xf>
    <xf numFmtId="0" fontId="138" fillId="0" borderId="0" xfId="0" applyFont="1"/>
    <xf numFmtId="0" fontId="140" fillId="0" borderId="0" xfId="0" applyFont="1"/>
    <xf numFmtId="0" fontId="147" fillId="0" borderId="1" xfId="0" applyFont="1" applyBorder="1"/>
    <xf numFmtId="0" fontId="146" fillId="0" borderId="0" xfId="0" applyFont="1" applyAlignment="1">
      <alignment wrapText="1"/>
    </xf>
    <xf numFmtId="0" fontId="139" fillId="0" borderId="0" xfId="0" applyFont="1" applyAlignment="1">
      <alignment wrapText="1" shrinkToFit="1"/>
    </xf>
    <xf numFmtId="0" fontId="144" fillId="0" borderId="0" xfId="0" applyFont="1" applyAlignment="1">
      <alignment wrapText="1"/>
    </xf>
    <xf numFmtId="0" fontId="144" fillId="0" borderId="0" xfId="0" applyFont="1" applyAlignment="1">
      <alignment horizontal="left" wrapText="1"/>
    </xf>
    <xf numFmtId="0" fontId="144" fillId="0" borderId="0" xfId="0" applyFont="1" applyAlignment="1">
      <alignment horizontal="center" vertical="center" wrapText="1"/>
    </xf>
    <xf numFmtId="0" fontId="144" fillId="0" borderId="0" xfId="0" applyFont="1" applyAlignment="1">
      <alignment horizontal="center" wrapText="1"/>
    </xf>
    <xf numFmtId="0" fontId="144" fillId="0" borderId="16" xfId="0" applyFont="1" applyBorder="1" applyAlignment="1">
      <alignment horizontal="center" wrapText="1"/>
    </xf>
    <xf numFmtId="0" fontId="144" fillId="26" borderId="0" xfId="0" applyFont="1" applyFill="1"/>
    <xf numFmtId="0" fontId="144" fillId="0" borderId="0" xfId="0" applyFont="1" applyAlignment="1">
      <alignment horizontal="left" vertical="top" wrapText="1"/>
    </xf>
    <xf numFmtId="0" fontId="144" fillId="0" borderId="16" xfId="0" applyFont="1" applyBorder="1" applyAlignment="1">
      <alignment horizontal="left" wrapText="1"/>
    </xf>
    <xf numFmtId="0" fontId="144" fillId="0" borderId="0" xfId="0" applyFont="1"/>
    <xf numFmtId="0" fontId="148" fillId="0" borderId="0" xfId="13" applyFont="1"/>
    <xf numFmtId="0" fontId="149" fillId="0" borderId="0" xfId="13" applyFont="1"/>
    <xf numFmtId="0" fontId="140" fillId="20" borderId="0" xfId="0" applyFont="1" applyFill="1" applyAlignment="1">
      <alignment wrapText="1"/>
    </xf>
    <xf numFmtId="0" fontId="150" fillId="0" borderId="0" xfId="0" applyFont="1"/>
    <xf numFmtId="0" fontId="139" fillId="0" borderId="0" xfId="0" quotePrefix="1" applyFont="1" applyAlignment="1">
      <alignment wrapText="1"/>
    </xf>
    <xf numFmtId="0" fontId="150" fillId="0" borderId="0" xfId="0" applyFont="1" applyAlignment="1">
      <alignment horizontal="center" wrapText="1"/>
    </xf>
    <xf numFmtId="0" fontId="150" fillId="0" borderId="0" xfId="0" applyFont="1" applyAlignment="1">
      <alignment horizontal="left" vertical="top" wrapText="1"/>
    </xf>
    <xf numFmtId="0" fontId="150" fillId="0" borderId="0" xfId="0" applyFont="1" applyAlignment="1">
      <alignment wrapText="1"/>
    </xf>
    <xf numFmtId="0" fontId="150" fillId="0" borderId="0" xfId="0" applyFont="1" applyAlignment="1">
      <alignment horizontal="left" wrapText="1"/>
    </xf>
    <xf numFmtId="0" fontId="151" fillId="0" borderId="0" xfId="0" applyFont="1"/>
    <xf numFmtId="0" fontId="151" fillId="0" borderId="0" xfId="0" applyFont="1" applyAlignment="1">
      <alignment horizontal="center" vertical="center"/>
    </xf>
    <xf numFmtId="0" fontId="142" fillId="0" borderId="0" xfId="0" applyFont="1" applyAlignment="1">
      <alignment horizontal="left"/>
    </xf>
    <xf numFmtId="0" fontId="142" fillId="0" borderId="0" xfId="0" applyFont="1" applyAlignment="1">
      <alignment horizontal="center" wrapText="1"/>
    </xf>
    <xf numFmtId="0" fontId="142" fillId="0" borderId="0" xfId="0" applyFont="1" applyAlignment="1">
      <alignment horizontal="left" vertical="top" wrapText="1"/>
    </xf>
    <xf numFmtId="0" fontId="139" fillId="19" borderId="7" xfId="0" applyFont="1" applyFill="1" applyBorder="1" applyAlignment="1">
      <alignment wrapText="1"/>
    </xf>
    <xf numFmtId="0" fontId="140" fillId="0" borderId="0" xfId="0" applyFont="1" applyAlignment="1">
      <alignment wrapText="1"/>
    </xf>
    <xf numFmtId="0" fontId="140" fillId="20" borderId="0" xfId="0" applyFont="1" applyFill="1" applyAlignment="1">
      <alignment horizontal="left" vertical="top" wrapText="1"/>
    </xf>
    <xf numFmtId="0" fontId="140" fillId="0" borderId="0" xfId="0" applyFont="1" applyAlignment="1">
      <alignment horizontal="left" vertical="top" wrapText="1"/>
    </xf>
    <xf numFmtId="0" fontId="139" fillId="0" borderId="0" xfId="0" applyFont="1" applyAlignment="1">
      <alignment horizontal="left" vertical="center" wrapText="1"/>
    </xf>
    <xf numFmtId="0" fontId="137" fillId="0" borderId="7" xfId="0" applyFont="1" applyBorder="1" applyAlignment="1">
      <alignment wrapText="1"/>
    </xf>
    <xf numFmtId="0" fontId="138" fillId="0" borderId="0" xfId="0" quotePrefix="1" applyFont="1" applyAlignment="1">
      <alignment horizontal="left" wrapText="1"/>
    </xf>
    <xf numFmtId="0" fontId="138" fillId="0" borderId="0" xfId="0" applyFont="1" applyAlignment="1">
      <alignment horizontal="center" vertical="center" wrapText="1"/>
    </xf>
    <xf numFmtId="0" fontId="138" fillId="19" borderId="7" xfId="0" applyFont="1" applyFill="1" applyBorder="1" applyAlignment="1">
      <alignment wrapText="1"/>
    </xf>
    <xf numFmtId="0" fontId="139" fillId="0" borderId="0" xfId="0" applyFont="1" applyAlignment="1">
      <alignment vertical="top" wrapText="1"/>
    </xf>
    <xf numFmtId="0" fontId="139" fillId="20" borderId="0" xfId="0" applyFont="1" applyFill="1" applyAlignment="1">
      <alignment wrapText="1"/>
    </xf>
    <xf numFmtId="0" fontId="139" fillId="20" borderId="0" xfId="0" applyFont="1" applyFill="1" applyAlignment="1">
      <alignment horizontal="left" vertical="top" wrapText="1"/>
    </xf>
    <xf numFmtId="0" fontId="139" fillId="14" borderId="0" xfId="0" applyFont="1" applyFill="1" applyAlignment="1">
      <alignment wrapText="1"/>
    </xf>
    <xf numFmtId="0" fontId="139" fillId="14" borderId="0" xfId="0" applyFont="1" applyFill="1" applyAlignment="1">
      <alignment horizontal="left"/>
    </xf>
    <xf numFmtId="0" fontId="85" fillId="21" borderId="16" xfId="0" applyFont="1" applyFill="1" applyBorder="1" applyAlignment="1">
      <alignment horizontal="center" vertical="center" wrapText="1"/>
    </xf>
    <xf numFmtId="0" fontId="139" fillId="62" borderId="0" xfId="0" applyFont="1" applyFill="1" applyAlignment="1">
      <alignment wrapText="1"/>
    </xf>
    <xf numFmtId="0" fontId="139" fillId="62" borderId="0" xfId="0" applyFont="1" applyFill="1" applyAlignment="1">
      <alignment horizontal="left"/>
    </xf>
    <xf numFmtId="0" fontId="139" fillId="62" borderId="0" xfId="0" applyFont="1" applyFill="1" applyAlignment="1">
      <alignment horizontal="left" wrapText="1"/>
    </xf>
    <xf numFmtId="0" fontId="139" fillId="62" borderId="0" xfId="0" applyFont="1" applyFill="1" applyAlignment="1">
      <alignment horizontal="center" vertical="center" wrapText="1"/>
    </xf>
    <xf numFmtId="0" fontId="139" fillId="62" borderId="0" xfId="0" applyFont="1" applyFill="1" applyAlignment="1">
      <alignment horizontal="center" wrapText="1"/>
    </xf>
    <xf numFmtId="0" fontId="139" fillId="62" borderId="16" xfId="0" applyFont="1" applyFill="1" applyBorder="1" applyAlignment="1">
      <alignment horizontal="center" wrapText="1"/>
    </xf>
    <xf numFmtId="0" fontId="139" fillId="62" borderId="0" xfId="0" applyFont="1" applyFill="1"/>
    <xf numFmtId="0" fontId="139" fillId="62" borderId="0" xfId="0" applyFont="1" applyFill="1" applyAlignment="1">
      <alignment horizontal="left" vertical="top" wrapText="1"/>
    </xf>
    <xf numFmtId="0" fontId="139" fillId="62" borderId="16" xfId="0" applyFont="1" applyFill="1" applyBorder="1" applyAlignment="1">
      <alignment horizontal="left" wrapText="1"/>
    </xf>
    <xf numFmtId="0" fontId="152" fillId="0" borderId="0" xfId="13"/>
    <xf numFmtId="0" fontId="64" fillId="26" borderId="0" xfId="0" applyFont="1" applyFill="1"/>
    <xf numFmtId="0" fontId="154" fillId="0" borderId="1" xfId="0" applyFont="1" applyBorder="1"/>
    <xf numFmtId="0" fontId="153" fillId="0" borderId="0" xfId="0" applyFont="1" applyAlignment="1">
      <alignment vertical="center"/>
    </xf>
    <xf numFmtId="0" fontId="6" fillId="0" borderId="0" xfId="0" applyFont="1"/>
    <xf numFmtId="0" fontId="60" fillId="26" borderId="0" xfId="0" applyFont="1" applyFill="1"/>
    <xf numFmtId="0" fontId="59" fillId="26" borderId="0" xfId="0" applyFont="1" applyFill="1"/>
    <xf numFmtId="0" fontId="62" fillId="26" borderId="0" xfId="0" applyFont="1" applyFill="1"/>
    <xf numFmtId="0" fontId="96" fillId="26" borderId="0" xfId="0" applyFont="1" applyFill="1"/>
    <xf numFmtId="0" fontId="97" fillId="26" borderId="0" xfId="0" applyFont="1" applyFill="1"/>
    <xf numFmtId="0" fontId="155" fillId="0" borderId="0" xfId="0" applyFont="1" applyAlignment="1">
      <alignment horizontal="left"/>
    </xf>
    <xf numFmtId="0" fontId="84" fillId="24" borderId="0" xfId="0" applyFont="1" applyFill="1"/>
    <xf numFmtId="0" fontId="156" fillId="24" borderId="0" xfId="0" applyFont="1" applyFill="1"/>
    <xf numFmtId="0" fontId="10" fillId="19" borderId="0" xfId="0" applyFont="1" applyFill="1" applyAlignment="1">
      <alignment wrapText="1"/>
    </xf>
    <xf numFmtId="49" fontId="86" fillId="51" borderId="0" xfId="0" applyNumberFormat="1" applyFont="1" applyFill="1" applyAlignment="1">
      <alignment horizontal="left"/>
    </xf>
    <xf numFmtId="49" fontId="62" fillId="60" borderId="0" xfId="0" applyNumberFormat="1" applyFont="1" applyFill="1" applyAlignment="1">
      <alignment horizontal="left"/>
    </xf>
    <xf numFmtId="49" fontId="10" fillId="60" borderId="0" xfId="0" applyNumberFormat="1" applyFont="1" applyFill="1"/>
    <xf numFmtId="49" fontId="92" fillId="0" borderId="0" xfId="0" applyNumberFormat="1" applyFont="1" applyAlignment="1">
      <alignment wrapText="1"/>
    </xf>
    <xf numFmtId="49" fontId="58" fillId="26" borderId="0" xfId="0" applyNumberFormat="1" applyFont="1" applyFill="1"/>
    <xf numFmtId="49" fontId="86" fillId="0" borderId="0" xfId="0" applyNumberFormat="1" applyFont="1" applyAlignment="1">
      <alignment horizontal="left"/>
    </xf>
    <xf numFmtId="49" fontId="89" fillId="20" borderId="0" xfId="0" applyNumberFormat="1" applyFont="1" applyFill="1" applyAlignment="1">
      <alignment horizontal="left"/>
    </xf>
    <xf numFmtId="49" fontId="89" fillId="0" borderId="0" xfId="0" applyNumberFormat="1" applyFont="1" applyAlignment="1">
      <alignment horizontal="left"/>
    </xf>
    <xf numFmtId="49" fontId="58" fillId="0" borderId="0" xfId="0" applyNumberFormat="1" applyFont="1" applyAlignment="1">
      <alignment horizontal="left"/>
    </xf>
    <xf numFmtId="49" fontId="122" fillId="0" borderId="0" xfId="0" applyNumberFormat="1" applyFont="1" applyAlignment="1">
      <alignment horizontal="left"/>
    </xf>
    <xf numFmtId="49" fontId="112" fillId="0" borderId="0" xfId="0" applyNumberFormat="1" applyFont="1" applyAlignment="1">
      <alignment wrapText="1"/>
    </xf>
    <xf numFmtId="49" fontId="112" fillId="0" borderId="0" xfId="0" applyNumberFormat="1" applyFont="1" applyAlignment="1">
      <alignment horizontal="left" wrapText="1"/>
    </xf>
    <xf numFmtId="49" fontId="112" fillId="0" borderId="0" xfId="0" applyNumberFormat="1" applyFont="1" applyAlignment="1">
      <alignment horizontal="center" vertical="center" wrapText="1"/>
    </xf>
    <xf numFmtId="49" fontId="112" fillId="0" borderId="0" xfId="0" applyNumberFormat="1" applyFont="1" applyAlignment="1">
      <alignment horizontal="center" wrapText="1"/>
    </xf>
    <xf numFmtId="49" fontId="122" fillId="51" borderId="0" xfId="0" applyNumberFormat="1" applyFont="1" applyFill="1" applyAlignment="1">
      <alignment horizontal="left"/>
    </xf>
    <xf numFmtId="49" fontId="89" fillId="60" borderId="0" xfId="0" applyNumberFormat="1" applyFont="1" applyFill="1" applyAlignment="1">
      <alignment horizontal="left"/>
    </xf>
    <xf numFmtId="49" fontId="124" fillId="0" borderId="0" xfId="0" applyNumberFormat="1" applyFont="1" applyAlignment="1">
      <alignment wrapText="1"/>
    </xf>
    <xf numFmtId="49" fontId="68" fillId="0" borderId="0" xfId="0" applyNumberFormat="1" applyFont="1" applyAlignment="1">
      <alignment horizontal="left"/>
    </xf>
    <xf numFmtId="49" fontId="64" fillId="0" borderId="0" xfId="0" applyNumberFormat="1" applyFont="1" applyAlignment="1">
      <alignment vertical="top" wrapText="1"/>
    </xf>
    <xf numFmtId="49" fontId="92" fillId="0" borderId="0" xfId="0" applyNumberFormat="1" applyFont="1" applyAlignment="1">
      <alignment horizontal="left" wrapText="1"/>
    </xf>
    <xf numFmtId="49" fontId="121" fillId="0" borderId="0" xfId="0" applyNumberFormat="1" applyFont="1" applyAlignment="1">
      <alignment horizontal="left"/>
    </xf>
    <xf numFmtId="49" fontId="112" fillId="0" borderId="16" xfId="0" applyNumberFormat="1" applyFont="1" applyBorder="1" applyAlignment="1">
      <alignment horizontal="center" wrapText="1"/>
    </xf>
    <xf numFmtId="49" fontId="121" fillId="26" borderId="0" xfId="0" applyNumberFormat="1" applyFont="1" applyFill="1"/>
    <xf numFmtId="49" fontId="112" fillId="0" borderId="0" xfId="0" applyNumberFormat="1" applyFont="1" applyAlignment="1">
      <alignment horizontal="left" vertical="top" wrapText="1"/>
    </xf>
    <xf numFmtId="49" fontId="112" fillId="0" borderId="16" xfId="0" applyNumberFormat="1" applyFont="1" applyBorder="1" applyAlignment="1">
      <alignment horizontal="left" wrapText="1"/>
    </xf>
    <xf numFmtId="0" fontId="156" fillId="0" borderId="0" xfId="0" applyFont="1"/>
    <xf numFmtId="49" fontId="58" fillId="64" borderId="0" xfId="0" applyNumberFormat="1" applyFont="1" applyFill="1" applyAlignment="1">
      <alignment horizontal="left"/>
    </xf>
    <xf numFmtId="49" fontId="89" fillId="64" borderId="0" xfId="0" applyNumberFormat="1" applyFont="1" applyFill="1" applyAlignment="1">
      <alignment horizontal="left"/>
    </xf>
    <xf numFmtId="0" fontId="40" fillId="34" borderId="0" xfId="0" applyFont="1" applyFill="1" applyAlignment="1">
      <alignment wrapText="1"/>
    </xf>
    <xf numFmtId="0" fontId="63" fillId="23" borderId="0" xfId="0" applyFont="1" applyFill="1" applyAlignment="1">
      <alignment wrapText="1"/>
    </xf>
    <xf numFmtId="0" fontId="63" fillId="24" borderId="0" xfId="0" applyFont="1" applyFill="1" applyAlignment="1">
      <alignment wrapText="1"/>
    </xf>
    <xf numFmtId="0" fontId="115" fillId="23" borderId="0" xfId="0" applyFont="1" applyFill="1" applyAlignment="1">
      <alignment wrapText="1"/>
    </xf>
    <xf numFmtId="0" fontId="157" fillId="0" borderId="16" xfId="0" applyFont="1" applyBorder="1" applyAlignment="1">
      <alignment horizontal="center" wrapText="1"/>
    </xf>
    <xf numFmtId="0" fontId="158" fillId="0" borderId="16" xfId="0" applyFont="1" applyBorder="1" applyAlignment="1">
      <alignment horizontal="center" wrapText="1"/>
    </xf>
    <xf numFmtId="0" fontId="121" fillId="0" borderId="0" xfId="0" applyFont="1" applyAlignment="1">
      <alignment horizontal="left"/>
    </xf>
    <xf numFmtId="0" fontId="159" fillId="0" borderId="0" xfId="0" applyFont="1" applyAlignment="1">
      <alignment horizontal="left"/>
    </xf>
    <xf numFmtId="0" fontId="122" fillId="0" borderId="0" xfId="0" applyFont="1" applyAlignment="1">
      <alignment horizontal="left"/>
    </xf>
    <xf numFmtId="0" fontId="160" fillId="19" borderId="7" xfId="0" applyFont="1" applyFill="1" applyBorder="1" applyAlignment="1">
      <alignment wrapText="1"/>
    </xf>
    <xf numFmtId="0" fontId="112" fillId="19" borderId="0" xfId="0" applyFont="1" applyFill="1" applyAlignment="1">
      <alignment horizontal="left" wrapText="1"/>
    </xf>
    <xf numFmtId="0" fontId="112" fillId="0" borderId="0" xfId="0" applyFont="1" applyAlignment="1">
      <alignment horizontal="left" wrapText="1"/>
    </xf>
    <xf numFmtId="0" fontId="112" fillId="0" borderId="0" xfId="0" applyFont="1" applyAlignment="1">
      <alignment horizontal="center" vertical="center" wrapText="1"/>
    </xf>
    <xf numFmtId="0" fontId="112" fillId="0" borderId="0" xfId="0" applyFont="1" applyAlignment="1">
      <alignment horizontal="center" wrapText="1"/>
    </xf>
    <xf numFmtId="0" fontId="112" fillId="0" borderId="16" xfId="0" applyFont="1" applyBorder="1" applyAlignment="1">
      <alignment horizontal="center" wrapText="1"/>
    </xf>
    <xf numFmtId="0" fontId="121" fillId="26" borderId="0" xfId="0" applyFont="1" applyFill="1"/>
    <xf numFmtId="0" fontId="112" fillId="0" borderId="0" xfId="0" applyFont="1" applyAlignment="1">
      <alignment horizontal="left" vertical="top" wrapText="1"/>
    </xf>
    <xf numFmtId="0" fontId="112" fillId="0" borderId="16" xfId="0" applyFont="1" applyBorder="1" applyAlignment="1">
      <alignment horizontal="left" wrapText="1"/>
    </xf>
    <xf numFmtId="0" fontId="89" fillId="27" borderId="0" xfId="0" applyFont="1" applyFill="1" applyAlignment="1">
      <alignment horizontal="left"/>
    </xf>
    <xf numFmtId="0" fontId="161" fillId="0" borderId="0" xfId="0" applyFont="1"/>
    <xf numFmtId="0" fontId="58" fillId="27" borderId="0" xfId="0" applyFont="1" applyFill="1" applyAlignment="1">
      <alignment horizontal="left" vertical="top"/>
    </xf>
    <xf numFmtId="0" fontId="58" fillId="27" borderId="0" xfId="0" applyFont="1" applyFill="1" applyAlignment="1">
      <alignment horizontal="left"/>
    </xf>
    <xf numFmtId="0" fontId="10" fillId="27" borderId="0" xfId="0" applyFont="1" applyFill="1"/>
    <xf numFmtId="0" fontId="58" fillId="0" borderId="0" xfId="0" applyFont="1" applyAlignment="1">
      <alignment horizontal="right" wrapText="1"/>
    </xf>
    <xf numFmtId="0" fontId="58" fillId="0" borderId="0" xfId="0" applyFont="1" applyAlignment="1">
      <alignment horizontal="right" vertical="center" wrapText="1"/>
    </xf>
    <xf numFmtId="0" fontId="125" fillId="0" borderId="0" xfId="0" applyFont="1" applyAlignment="1">
      <alignment wrapText="1"/>
    </xf>
    <xf numFmtId="0" fontId="5" fillId="0" borderId="0" xfId="0" applyFont="1" applyAlignment="1">
      <alignment horizontal="left"/>
    </xf>
    <xf numFmtId="0" fontId="5" fillId="0" borderId="0" xfId="0" applyFont="1" applyAlignment="1">
      <alignment wrapText="1"/>
    </xf>
    <xf numFmtId="0" fontId="5" fillId="0" borderId="0" xfId="0" applyFont="1" applyAlignment="1">
      <alignment horizontal="left" wrapText="1"/>
    </xf>
    <xf numFmtId="0" fontId="5" fillId="0" borderId="0" xfId="0" applyFont="1" applyAlignment="1">
      <alignment horizontal="center" vertical="center" wrapText="1"/>
    </xf>
    <xf numFmtId="0" fontId="5" fillId="0" borderId="0" xfId="0" applyFont="1" applyAlignment="1">
      <alignment horizontal="center" wrapText="1"/>
    </xf>
    <xf numFmtId="0" fontId="5" fillId="0" borderId="16" xfId="0" applyFont="1" applyBorder="1" applyAlignment="1">
      <alignment horizontal="center" wrapText="1"/>
    </xf>
    <xf numFmtId="0" fontId="5" fillId="0" borderId="0" xfId="0" applyFont="1" applyAlignment="1">
      <alignment horizontal="left" vertical="top" wrapText="1"/>
    </xf>
    <xf numFmtId="0" fontId="5" fillId="0" borderId="16" xfId="0" applyFont="1" applyBorder="1" applyAlignment="1">
      <alignment horizontal="left" wrapText="1"/>
    </xf>
    <xf numFmtId="0" fontId="5" fillId="0" borderId="7" xfId="0" applyFont="1" applyBorder="1" applyAlignment="1">
      <alignment wrapText="1"/>
    </xf>
    <xf numFmtId="0" fontId="5" fillId="0" borderId="0" xfId="0" quotePrefix="1" applyFont="1" applyAlignment="1">
      <alignment horizontal="left" wrapText="1"/>
    </xf>
    <xf numFmtId="0" fontId="5" fillId="20" borderId="0" xfId="0" applyFont="1" applyFill="1" applyAlignment="1">
      <alignment wrapText="1"/>
    </xf>
    <xf numFmtId="0" fontId="5" fillId="0" borderId="0" xfId="0" applyFont="1"/>
    <xf numFmtId="0" fontId="5" fillId="0" borderId="0" xfId="0" applyFont="1" applyAlignment="1">
      <alignment wrapText="1" shrinkToFit="1"/>
    </xf>
    <xf numFmtId="0" fontId="5" fillId="63" borderId="16" xfId="0" applyFont="1" applyFill="1" applyBorder="1" applyAlignment="1">
      <alignment horizontal="center" wrapText="1"/>
    </xf>
    <xf numFmtId="0" fontId="5" fillId="19" borderId="7" xfId="0" applyFont="1" applyFill="1" applyBorder="1" applyAlignment="1">
      <alignment wrapText="1"/>
    </xf>
    <xf numFmtId="0" fontId="5" fillId="0" borderId="0" xfId="0" applyFont="1" applyAlignment="1">
      <alignment vertical="top" wrapText="1"/>
    </xf>
    <xf numFmtId="0" fontId="5" fillId="20" borderId="0" xfId="0" applyFont="1" applyFill="1" applyAlignment="1">
      <alignment horizontal="left" vertical="top" wrapText="1"/>
    </xf>
    <xf numFmtId="0" fontId="5" fillId="66" borderId="0" xfId="0" applyFont="1" applyFill="1" applyAlignment="1">
      <alignment wrapText="1"/>
    </xf>
    <xf numFmtId="0" fontId="5" fillId="19" borderId="0" xfId="0" applyFont="1" applyFill="1" applyAlignment="1">
      <alignment horizontal="left" wrapText="1"/>
    </xf>
    <xf numFmtId="0" fontId="5" fillId="0" borderId="16" xfId="0" applyFont="1" applyBorder="1" applyAlignment="1">
      <alignment wrapText="1"/>
    </xf>
    <xf numFmtId="0" fontId="5" fillId="26" borderId="0" xfId="0" applyFont="1" applyFill="1"/>
    <xf numFmtId="0" fontId="5" fillId="65" borderId="0" xfId="0" applyFont="1" applyFill="1" applyAlignment="1">
      <alignment horizontal="left" wrapText="1"/>
    </xf>
    <xf numFmtId="0" fontId="5" fillId="27" borderId="0" xfId="0" applyFont="1" applyFill="1" applyAlignment="1">
      <alignment horizontal="left"/>
    </xf>
    <xf numFmtId="49" fontId="5" fillId="60" borderId="0" xfId="0" applyNumberFormat="1" applyFont="1" applyFill="1" applyAlignment="1">
      <alignment wrapText="1"/>
    </xf>
    <xf numFmtId="49" fontId="5" fillId="0" borderId="0" xfId="0" applyNumberFormat="1" applyFont="1" applyAlignment="1">
      <alignment wrapText="1"/>
    </xf>
    <xf numFmtId="49" fontId="5" fillId="0" borderId="0" xfId="0" applyNumberFormat="1" applyFont="1" applyAlignment="1">
      <alignment horizontal="left" wrapText="1"/>
    </xf>
    <xf numFmtId="49" fontId="5" fillId="0" borderId="0" xfId="0" applyNumberFormat="1" applyFont="1" applyAlignment="1">
      <alignment horizontal="center" vertical="center" wrapText="1"/>
    </xf>
    <xf numFmtId="49" fontId="5" fillId="0" borderId="0" xfId="0" applyNumberFormat="1" applyFont="1" applyAlignment="1">
      <alignment horizontal="center" wrapText="1"/>
    </xf>
    <xf numFmtId="49" fontId="5" fillId="0" borderId="16" xfId="0" applyNumberFormat="1" applyFont="1" applyBorder="1" applyAlignment="1">
      <alignment horizontal="center" wrapText="1"/>
    </xf>
    <xf numFmtId="49" fontId="5" fillId="0" borderId="0" xfId="0" applyNumberFormat="1" applyFont="1" applyAlignment="1">
      <alignment horizontal="left" vertical="top" wrapText="1"/>
    </xf>
    <xf numFmtId="49" fontId="5" fillId="0" borderId="16" xfId="0" applyNumberFormat="1" applyFont="1" applyBorder="1" applyAlignment="1">
      <alignment horizontal="left" wrapText="1"/>
    </xf>
    <xf numFmtId="49" fontId="5" fillId="0" borderId="0" xfId="0" applyNumberFormat="1" applyFont="1" applyAlignment="1">
      <alignment horizontal="left"/>
    </xf>
    <xf numFmtId="49" fontId="5" fillId="60" borderId="0" xfId="0" applyNumberFormat="1" applyFont="1" applyFill="1" applyAlignment="1">
      <alignment horizontal="left" wrapText="1"/>
    </xf>
    <xf numFmtId="49" fontId="5" fillId="60" borderId="0" xfId="0" applyNumberFormat="1" applyFont="1" applyFill="1" applyAlignment="1">
      <alignment horizontal="left"/>
    </xf>
    <xf numFmtId="49" fontId="5" fillId="64" borderId="0" xfId="0" applyNumberFormat="1" applyFont="1" applyFill="1" applyAlignment="1">
      <alignment wrapText="1"/>
    </xf>
    <xf numFmtId="49" fontId="5" fillId="64" borderId="0" xfId="0" applyNumberFormat="1" applyFont="1" applyFill="1" applyAlignment="1">
      <alignment horizontal="left" wrapText="1"/>
    </xf>
    <xf numFmtId="49" fontId="5" fillId="64" borderId="0" xfId="0" applyNumberFormat="1" applyFont="1" applyFill="1" applyAlignment="1">
      <alignment horizontal="center" vertical="center" wrapText="1"/>
    </xf>
    <xf numFmtId="49" fontId="5" fillId="64" borderId="0" xfId="0" applyNumberFormat="1" applyFont="1" applyFill="1" applyAlignment="1">
      <alignment horizontal="center" wrapText="1"/>
    </xf>
    <xf numFmtId="49" fontId="5" fillId="64" borderId="16" xfId="0" applyNumberFormat="1" applyFont="1" applyFill="1" applyBorder="1" applyAlignment="1">
      <alignment horizontal="center" wrapText="1"/>
    </xf>
    <xf numFmtId="0" fontId="5" fillId="61" borderId="0" xfId="0" applyFont="1" applyFill="1" applyAlignment="1">
      <alignment wrapText="1"/>
    </xf>
    <xf numFmtId="0" fontId="5" fillId="61" borderId="0" xfId="0" applyFont="1" applyFill="1" applyAlignment="1">
      <alignment horizontal="left" wrapText="1"/>
    </xf>
    <xf numFmtId="0" fontId="5" fillId="61" borderId="0" xfId="0" applyFont="1" applyFill="1" applyAlignment="1">
      <alignment horizontal="left"/>
    </xf>
    <xf numFmtId="0" fontId="5" fillId="26" borderId="16" xfId="0" applyFont="1" applyFill="1" applyBorder="1" applyAlignment="1">
      <alignment horizontal="center" wrapText="1"/>
    </xf>
    <xf numFmtId="0" fontId="5" fillId="0" borderId="54" xfId="0" applyFont="1" applyBorder="1" applyAlignment="1">
      <alignment horizontal="center" wrapText="1"/>
    </xf>
    <xf numFmtId="0" fontId="4" fillId="0" borderId="0" xfId="0" applyFont="1" applyAlignment="1">
      <alignment horizontal="left" wrapText="1"/>
    </xf>
    <xf numFmtId="0" fontId="61" fillId="20" borderId="16" xfId="0" applyFont="1" applyFill="1" applyBorder="1" applyAlignment="1">
      <alignment horizontal="center" wrapText="1"/>
    </xf>
    <xf numFmtId="0" fontId="3" fillId="0" borderId="0" xfId="0" applyFont="1" applyAlignment="1">
      <alignment wrapText="1"/>
    </xf>
    <xf numFmtId="0" fontId="3" fillId="0" borderId="0" xfId="0" applyFont="1" applyAlignment="1">
      <alignment horizontal="left" wrapText="1"/>
    </xf>
    <xf numFmtId="0" fontId="3" fillId="27" borderId="0" xfId="0" applyFont="1" applyFill="1" applyAlignment="1">
      <alignment horizontal="left"/>
    </xf>
    <xf numFmtId="0" fontId="3" fillId="0" borderId="0" xfId="0" quotePrefix="1" applyFont="1" applyAlignment="1">
      <alignment horizontal="left" wrapText="1"/>
    </xf>
    <xf numFmtId="49" fontId="2" fillId="0" borderId="0" xfId="0" applyNumberFormat="1" applyFont="1" applyAlignment="1">
      <alignment wrapText="1"/>
    </xf>
    <xf numFmtId="0" fontId="2" fillId="0" borderId="0" xfId="0" applyFont="1" applyAlignment="1">
      <alignment horizontal="left" wrapText="1"/>
    </xf>
    <xf numFmtId="0" fontId="0" fillId="5" borderId="1" xfId="0" applyFill="1" applyBorder="1"/>
    <xf numFmtId="0" fontId="66" fillId="15" borderId="8" xfId="0" applyFont="1" applyFill="1" applyBorder="1" applyAlignment="1">
      <alignment horizontal="left"/>
    </xf>
    <xf numFmtId="0" fontId="66" fillId="15" borderId="9" xfId="0" applyFont="1" applyFill="1" applyBorder="1" applyAlignment="1">
      <alignment horizontal="left"/>
    </xf>
    <xf numFmtId="49" fontId="70" fillId="0" borderId="23" xfId="0" applyNumberFormat="1" applyFont="1" applyBorder="1" applyAlignment="1">
      <alignment horizontal="center" vertical="center" wrapText="1"/>
    </xf>
    <xf numFmtId="49" fontId="71" fillId="0" borderId="17" xfId="0" applyNumberFormat="1" applyFont="1" applyBorder="1" applyAlignment="1">
      <alignment horizontal="center"/>
    </xf>
    <xf numFmtId="49" fontId="71" fillId="0" borderId="18" xfId="0" applyNumberFormat="1" applyFont="1" applyBorder="1" applyAlignment="1">
      <alignment horizontal="center"/>
    </xf>
    <xf numFmtId="49" fontId="71" fillId="0" borderId="19" xfId="0" applyNumberFormat="1" applyFont="1" applyBorder="1" applyAlignment="1">
      <alignment horizontal="center"/>
    </xf>
    <xf numFmtId="49" fontId="80" fillId="0" borderId="20" xfId="0" applyNumberFormat="1" applyFont="1" applyBorder="1" applyAlignment="1">
      <alignment horizontal="center" vertical="center" wrapText="1"/>
    </xf>
    <xf numFmtId="49" fontId="80" fillId="0" borderId="21" xfId="0" applyNumberFormat="1" applyFont="1" applyBorder="1" applyAlignment="1">
      <alignment horizontal="center" vertical="center" wrapText="1"/>
    </xf>
    <xf numFmtId="49" fontId="80" fillId="0" borderId="22" xfId="0" applyNumberFormat="1" applyFont="1" applyBorder="1" applyAlignment="1">
      <alignment horizontal="center" vertical="center" wrapText="1"/>
    </xf>
    <xf numFmtId="49" fontId="70" fillId="0" borderId="23" xfId="0" applyNumberFormat="1" applyFont="1" applyBorder="1" applyAlignment="1">
      <alignment horizontal="center" vertical="center"/>
    </xf>
    <xf numFmtId="49" fontId="70" fillId="0" borderId="23" xfId="0" applyNumberFormat="1" applyFont="1" applyBorder="1" applyAlignment="1">
      <alignment horizontal="left" vertical="center"/>
    </xf>
    <xf numFmtId="49" fontId="74" fillId="0" borderId="0" xfId="0" applyNumberFormat="1" applyFont="1" applyAlignment="1">
      <alignment horizontal="left" vertical="top"/>
    </xf>
    <xf numFmtId="49" fontId="70" fillId="0" borderId="0" xfId="0" applyNumberFormat="1" applyFont="1" applyAlignment="1">
      <alignment horizontal="left" vertical="top"/>
    </xf>
    <xf numFmtId="0" fontId="45" fillId="13" borderId="0" xfId="0" applyFont="1" applyFill="1" applyAlignment="1">
      <alignment horizontal="center" vertical="center" wrapText="1"/>
    </xf>
    <xf numFmtId="0" fontId="38" fillId="0" borderId="0" xfId="0" applyFont="1" applyAlignment="1">
      <alignment horizontal="center" wrapText="1"/>
    </xf>
    <xf numFmtId="0" fontId="63" fillId="21" borderId="0" xfId="0" applyFont="1" applyFill="1" applyAlignment="1">
      <alignment horizontal="center" wrapText="1"/>
    </xf>
    <xf numFmtId="0" fontId="63" fillId="23" borderId="0" xfId="0" applyFont="1" applyFill="1" applyAlignment="1">
      <alignment horizontal="center" wrapText="1"/>
    </xf>
    <xf numFmtId="0" fontId="63" fillId="23" borderId="0" xfId="0" applyFont="1" applyFill="1" applyAlignment="1">
      <alignment horizontal="center" vertical="center" wrapText="1"/>
    </xf>
    <xf numFmtId="0" fontId="45" fillId="29" borderId="0" xfId="0" applyFont="1" applyFill="1" applyAlignment="1">
      <alignment wrapText="1"/>
    </xf>
    <xf numFmtId="0" fontId="40" fillId="33" borderId="0" xfId="0" applyFont="1" applyFill="1" applyAlignment="1">
      <alignment wrapText="1"/>
    </xf>
    <xf numFmtId="0" fontId="40" fillId="35" borderId="0" xfId="0" applyFont="1" applyFill="1" applyAlignment="1">
      <alignment wrapText="1"/>
    </xf>
    <xf numFmtId="0" fontId="45" fillId="0" borderId="0" xfId="0" applyFont="1" applyAlignment="1">
      <alignment horizontal="center" vertical="center" wrapText="1"/>
    </xf>
    <xf numFmtId="0" fontId="39" fillId="28" borderId="0" xfId="0" applyFont="1" applyFill="1" applyAlignment="1">
      <alignment horizontal="center" vertical="center"/>
    </xf>
    <xf numFmtId="0" fontId="38" fillId="0" borderId="0" xfId="0" applyFont="1" applyAlignment="1">
      <alignment wrapText="1"/>
    </xf>
    <xf numFmtId="0" fontId="65" fillId="53" borderId="40" xfId="0" applyFont="1" applyFill="1" applyBorder="1" applyAlignment="1">
      <alignment horizontal="center" vertical="center"/>
    </xf>
    <xf numFmtId="0" fontId="65" fillId="53" borderId="29" xfId="0" applyFont="1" applyFill="1" applyBorder="1" applyAlignment="1">
      <alignment horizontal="center" vertical="center"/>
    </xf>
    <xf numFmtId="0" fontId="39" fillId="32" borderId="41" xfId="0" applyFont="1" applyFill="1" applyBorder="1" applyAlignment="1">
      <alignment horizontal="center" vertical="center"/>
    </xf>
    <xf numFmtId="0" fontId="39" fillId="32" borderId="34" xfId="0" applyFont="1" applyFill="1" applyBorder="1" applyAlignment="1">
      <alignment horizontal="center" vertical="center"/>
    </xf>
    <xf numFmtId="0" fontId="39" fillId="31" borderId="0" xfId="0" applyFont="1" applyFill="1" applyAlignment="1">
      <alignment horizontal="center" vertical="center"/>
    </xf>
    <xf numFmtId="0" fontId="39" fillId="30" borderId="0" xfId="0" applyFont="1" applyFill="1" applyAlignment="1">
      <alignment horizontal="center" vertical="center"/>
    </xf>
    <xf numFmtId="0" fontId="10" fillId="0" borderId="0" xfId="0" applyFont="1" applyAlignment="1">
      <alignment horizontal="left" vertical="top" wrapText="1"/>
    </xf>
    <xf numFmtId="0" fontId="10" fillId="0" borderId="0" xfId="0" applyFont="1" applyAlignment="1">
      <alignment horizontal="left" vertical="center" wrapText="1"/>
    </xf>
    <xf numFmtId="0" fontId="1" fillId="0" borderId="0" xfId="0" applyFont="1" applyAlignment="1">
      <alignment wrapText="1"/>
    </xf>
    <xf numFmtId="0" fontId="1" fillId="0" borderId="0" xfId="0" applyFont="1" applyAlignment="1">
      <alignment horizontal="left" wrapText="1"/>
    </xf>
    <xf numFmtId="0" fontId="1" fillId="0" borderId="16" xfId="0" applyFont="1" applyBorder="1" applyAlignment="1">
      <alignment horizontal="center" wrapText="1"/>
    </xf>
    <xf numFmtId="0" fontId="1" fillId="0" borderId="7" xfId="0" applyFont="1" applyBorder="1" applyAlignment="1">
      <alignmen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897">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rgb="FFF58383"/>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rgb="FFFFE1FF"/>
        </patternFill>
      </fill>
    </dxf>
    <dxf>
      <fill>
        <patternFill>
          <bgColor theme="6"/>
        </patternFill>
      </fill>
    </dxf>
    <dxf>
      <fill>
        <patternFill>
          <bgColor rgb="FFFFE1FF"/>
        </patternFill>
      </fill>
    </dxf>
    <dxf>
      <fill>
        <patternFill>
          <bgColor rgb="FFF58383"/>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7" tint="0.79998168889431442"/>
        </patternFill>
      </fill>
    </dxf>
    <dxf>
      <fill>
        <patternFill>
          <bgColor theme="6"/>
        </patternFill>
      </fill>
    </dxf>
    <dxf>
      <fill>
        <patternFill>
          <bgColor rgb="FFFFE1FF"/>
        </patternFill>
      </fill>
    </dxf>
    <dxf>
      <fill>
        <patternFill>
          <bgColor rgb="FFF58383"/>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9"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rgb="FFFFE1FF"/>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7"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5" tint="0.79998168889431442"/>
        </patternFill>
      </fill>
    </dxf>
    <dxf>
      <fill>
        <patternFill>
          <bgColor theme="6"/>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rgb="FFFFE1FF"/>
        </patternFill>
      </fill>
    </dxf>
    <dxf>
      <fill>
        <patternFill>
          <bgColor theme="5" tint="0.79998168889431442"/>
        </patternFill>
      </fill>
    </dxf>
    <dxf>
      <fill>
        <patternFill>
          <bgColor theme="6"/>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5" tint="0.79998168889431442"/>
        </patternFill>
      </fill>
    </dxf>
    <dxf>
      <fill>
        <patternFill>
          <bgColor rgb="FFFFE1FF"/>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rgb="FFF58383"/>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patternFill>
      </fill>
    </dxf>
    <dxf>
      <fill>
        <patternFill>
          <bgColor rgb="FFFFE1FF"/>
        </patternFill>
      </fill>
    </dxf>
    <dxf>
      <fill>
        <patternFill>
          <bgColor theme="7" tint="0.79998168889431442"/>
        </patternFill>
      </fill>
    </dxf>
    <dxf>
      <fill>
        <patternFill>
          <bgColor rgb="FFF58383"/>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rgb="FFF58383"/>
        </patternFill>
      </fill>
    </dxf>
    <dxf>
      <fill>
        <patternFill>
          <bgColor theme="5" tint="0.79998168889431442"/>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rgb="FFF58383"/>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rgb="FFFFE1FF"/>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FE1FF"/>
        </patternFill>
      </fill>
    </dxf>
    <dxf>
      <fill>
        <patternFill>
          <bgColor rgb="FFF58383"/>
        </patternFill>
      </fill>
    </dxf>
    <dxf>
      <fill>
        <patternFill>
          <bgColor theme="5" tint="0.79998168889431442"/>
        </patternFill>
      </fill>
    </dxf>
    <dxf>
      <fill>
        <patternFill>
          <bgColor rgb="FFFFE1FF"/>
        </patternFill>
      </fill>
    </dxf>
    <dxf>
      <fill>
        <patternFill>
          <bgColor rgb="FFFFE1FF"/>
        </patternFill>
      </fill>
    </dxf>
    <dxf>
      <fill>
        <patternFill>
          <bgColor rgb="FFFFE1FF"/>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rgb="FFF58383"/>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58383"/>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rgb="FFF58383"/>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rgb="FFF58383"/>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CC00CC"/>
      <color rgb="FF757171"/>
      <color rgb="FFEC7524"/>
      <color rgb="FFFF9933"/>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38"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esantegouv.sharepoint.com/Users/romainfouilland/Downloads/model%20(1).xlsx" TargetMode="External"/><Relationship Id="rId1" Type="http://schemas.openxmlformats.org/officeDocument/2006/relationships/externalLinkPath" Target="/Users/romainfouilland/Downloads/model%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nnées_attributaires"/>
      <sheetName val="Processus_CISU"/>
      <sheetName val="Type_de_message"/>
      <sheetName val="Distribution"/>
      <sheetName val="Sommaire"/>
      <sheetName val="Mode d'emploi"/>
      <sheetName val="RC-DE"/>
      <sheetName val="RC-COM"/>
      <sheetName val="Modèle ExosRRAMU"/>
      <sheetName val="RC-EDA"/>
      <sheetName val="EMSI"/>
      <sheetName val="RS-RI"/>
      <sheetName val="RS-DR"/>
      <sheetName val="RS-RR"/>
      <sheetName val="RS-BPV"/>
      <sheetName val="RS-BPV-WIP"/>
      <sheetName val="RC-DEC"/>
      <sheetName val="RS-SR"/>
      <sheetName val="MAINT"/>
      <sheetName val="GEO-POS"/>
      <sheetName val="GEO-REQ"/>
      <sheetName val="GEO-RES"/>
      <sheetName val="RS-ERROR"/>
      <sheetName val="RS-INFO"/>
      <sheetName val="RC-REF"/>
      <sheetName val="customContent"/>
      <sheetName val="Conditional format rules"/>
      <sheetName val="Documents_sour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1896" dataDxfId="1895">
  <autoFilter ref="A8:AD20" xr:uid="{EF99425A-BF7C-494D-843B-A436A28F1D50}"/>
  <tableColumns count="30">
    <tableColumn id="26" xr3:uid="{F6E0102F-6A62-4676-8743-12C78DFD5AAE}" name="ID" totalsRowFunction="count" dataDxfId="1894" totalsRowDxfId="1893"/>
    <tableColumn id="34" xr3:uid="{C5C184C6-181D-45CF-A63D-7AEDCADFA43B}" name="Donnée (Niveau 1)" dataDxfId="1892" totalsRowDxfId="1891"/>
    <tableColumn id="1" xr3:uid="{48BA0677-2A51-4516-901D-245A32C9EF11}" name="Donnée (Niveau 2)" totalsRowFunction="count" dataDxfId="1890" totalsRowDxfId="1889"/>
    <tableColumn id="2" xr3:uid="{22B866D0-1B5E-4581-93E5-86229BC69C02}" name="Donnée (Niveau 3)" totalsRowFunction="count" dataDxfId="1888" totalsRowDxfId="1887"/>
    <tableColumn id="3" xr3:uid="{888BC815-3A76-4EEA-B68B-9A9CFFA21AC6}" name="Donnée (Niveau 4)" totalsRowFunction="count" dataDxfId="1886" totalsRowDxfId="1885"/>
    <tableColumn id="4" xr3:uid="{A1D31B95-E51B-44D1-A7C2-8E42F9D33E13}" name="Donnée (Niveau 5)" totalsRowFunction="count" dataDxfId="1884" totalsRowDxfId="1883"/>
    <tableColumn id="5" xr3:uid="{EA6D57DD-52EF-4D70-B539-0505DC6517EC}" name="Donnée (Niveau 6)" totalsRowFunction="count" dataDxfId="1882" totalsRowDxfId="1881"/>
    <tableColumn id="6" xr3:uid="{3FE552E2-2FEF-4E1A-B5DE-F4C21C13A296}" name="Description" totalsRowFunction="count" dataDxfId="1880" totalsRowDxfId="1879"/>
    <tableColumn id="14" xr3:uid="{BE5AEDCA-1CC5-4938-964E-9C68E6A07DC7}" name="Exemples" totalsRowFunction="count" dataDxfId="1878" totalsRowDxfId="1877"/>
    <tableColumn id="13" xr3:uid="{ED5FE47C-9997-4511-9856-83AF83A90171}" name="Fichier XSD" totalsRowFunction="count" dataDxfId="1876" totalsRowDxfId="1875"/>
    <tableColumn id="32" xr3:uid="{5C8C2495-D269-4E47-88B5-00584EF6B484}" name="Balise EMSI" dataDxfId="1874" totalsRowDxfId="1873"/>
    <tableColumn id="7" xr3:uid="{5C4F4C1E-17D3-4C4E-9650-A41F0BBB82B0}" name="Balise NexSIS" totalsRowFunction="count" dataDxfId="1872" totalsRowDxfId="1871"/>
    <tableColumn id="21" xr3:uid="{D8470834-C8F8-4F70-9302-7A4C602B72E6}" name="Nouvelle balise" totalsRowFunction="count" dataDxfId="1870" totalsRowDxfId="1869"/>
    <tableColumn id="8" xr3:uid="{D4E41060-B282-4AE5-8C87-3716CFB70625}" name="Nantes - balise" totalsRowFunction="count" dataDxfId="1868" totalsRowDxfId="1867"/>
    <tableColumn id="15" xr3:uid="{BB0E9A10-45CE-44DE-802C-D3A58D081A2F}" name="Nantes - description" totalsRowFunction="count" dataDxfId="1866" totalsRowDxfId="1865"/>
    <tableColumn id="18" xr3:uid="{8FE17C2A-E229-4B7F-B204-F356EEB4AE45}" name="GT399" totalsRowFunction="count" dataDxfId="1864" totalsRowDxfId="1863"/>
    <tableColumn id="9" xr3:uid="{4C9E2B92-3A78-454F-B9FF-8B97A2EAE3ED}" name="GT399 description" totalsRowFunction="count" dataDxfId="1862" totalsRowDxfId="1861"/>
    <tableColumn id="10" xr3:uid="{CCF33634-CF25-46BD-8DE3-12B24D24D5F8}" name="Priorisation" totalsRowFunction="count" dataDxfId="1860" totalsRowDxfId="1859"/>
    <tableColumn id="11" xr3:uid="{85B3828E-8687-4AA3-88CE-D610FCBDCFDE}" name="Cardinalité" dataDxfId="1858" totalsRowDxfId="1857"/>
    <tableColumn id="27" xr3:uid="{CF8F2F83-80E1-4F34-8CA4-101022C31379}" name="Objet" totalsRowFunction="count" dataDxfId="1856" totalsRowDxfId="1855"/>
    <tableColumn id="12" xr3:uid="{9491E93A-73C3-4214-8227-2A99EABCA3C1}" name="Format (ou type)" totalsRowFunction="count" dataDxfId="1854" totalsRowDxfId="1853"/>
    <tableColumn id="31" xr3:uid="{97801A1D-505C-4F61-ACF5-6EE844F5E23A}" name="Détails de format" dataDxfId="1852" totalsRowDxfId="1851"/>
    <tableColumn id="36" xr3:uid="{62248724-3AC6-48C6-B62F-D3C050A5A08F}" name="15-18" dataDxfId="1850" totalsRowDxfId="1849"/>
    <tableColumn id="35" xr3:uid="{2A6F94A4-B86B-4A8C-8862-6337DBF190B2}" name="15-15" dataDxfId="1848" totalsRowDxfId="1847"/>
    <tableColumn id="37" xr3:uid="{01782744-2942-D140-994A-3D343B0E0342}" name="CUT" dataDxfId="1846" totalsRowDxfId="1845"/>
    <tableColumn id="19" xr3:uid="{B112D546-E236-4723-880E-6D39731D2093}" name="Commentaire Hub Santé" totalsRowFunction="count" dataDxfId="1844" totalsRowDxfId="1843"/>
    <tableColumn id="16" xr3:uid="{E6CB6828-8B65-4F12-95B0-B9304BA135D8}" name="Commentaire Philippe Dreyfus" totalsRowFunction="count" dataDxfId="1842" totalsRowDxfId="1841"/>
    <tableColumn id="33" xr3:uid="{9AEA7D2D-C467-4E16-9414-C9877028EA11}" name="Commentaire FBE" dataDxfId="1840" totalsRowDxfId="1839"/>
    <tableColumn id="17" xr3:uid="{ACE48C56-220E-4341-8BEC-04B45FF1F728}" name="Commentaire Yann Penverne" totalsRowFunction="count" dataDxfId="1838" totalsRowDxfId="1837"/>
    <tableColumn id="20" xr3:uid="{A0AF1313-269D-4060-8F91-417D2F081DEB}" name="NexSIS" totalsRowFunction="custom" dataDxfId="1836" totalsRowDxfId="1835">
      <totalsRowFormula>SUBTOTAL(103,createCase8[NexSIS])-COUNTIFS(createCase8[NexSIS],"=X")</totalsRow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AF65" totalsRowCount="1" headerRowDxfId="1422" dataDxfId="1421" totalsRowDxfId="1420">
  <autoFilter ref="A8:AF64" xr:uid="{35EA0160-5939-4AFE-BAAE-8243018C4F97}"/>
  <tableColumns count="32">
    <tableColumn id="26" xr3:uid="{12D8CEB3-E681-43DF-BEC0-6C291A8D8329}" name="ID" totalsRowFunction="count" dataDxfId="1419" totalsRowDxfId="1418"/>
    <tableColumn id="34" xr3:uid="{9EE009C3-D24E-469A-A94A-F3A00D5DDB8B}" name="Donnée (Niveau 1)" dataDxfId="1417" totalsRowDxfId="1416"/>
    <tableColumn id="1" xr3:uid="{B7EC5B63-675D-4F31-B76D-3E5B9E37F078}" name="Donnée (Niveau 2)" totalsRowFunction="count" dataDxfId="1415" totalsRowDxfId="1414"/>
    <tableColumn id="2" xr3:uid="{5B57BF21-F87F-460E-ACB7-9BCE55E6C176}" name="Donnée (Niveau 3)" totalsRowFunction="count" dataDxfId="1413" totalsRowDxfId="1412"/>
    <tableColumn id="3" xr3:uid="{8520709C-ABA8-4102-B671-D70267716998}" name="Donnée (Niveau 4)" totalsRowFunction="count" dataDxfId="1411" totalsRowDxfId="1410"/>
    <tableColumn id="4" xr3:uid="{94B80BD7-3514-45E7-8B9D-A5DC5D37E118}" name="Donnée (Niveau 5)" totalsRowFunction="count" dataDxfId="1409" totalsRowDxfId="1408"/>
    <tableColumn id="5" xr3:uid="{F774375F-2786-4A73-8C43-B5EB8D703C0F}" name="Donnée (Niveau 6)" totalsRowFunction="count" dataDxfId="1407" totalsRowDxfId="1406"/>
    <tableColumn id="23" xr3:uid="{338CDAC6-AC89-46E4-AF8E-187CA0315B6E}" name="Colonne2" dataDxfId="1405" totalsRowDxfId="1404"/>
    <tableColumn id="13" xr3:uid="{5043CFEE-E3A2-40E9-89E2-B8C2A1E632D2}" name="Colonne1" dataDxfId="1403" totalsRowDxfId="1402"/>
    <tableColumn id="6" xr3:uid="{C95E5171-3260-402B-86BF-C67DF056D407}" name="Description" totalsRowFunction="count" dataDxfId="1401" totalsRowDxfId="1400"/>
    <tableColumn id="14" xr3:uid="{067837E0-4917-486E-9C27-F725A2C59FCC}" name="Exemples" totalsRowFunction="count" dataDxfId="1399" totalsRowDxfId="1398"/>
    <tableColumn id="7" xr3:uid="{47E5D71A-AC82-4F55-8E27-563593D3B2F2}" name="Balise NexSIS" totalsRowFunction="count" dataDxfId="1397" totalsRowDxfId="1396"/>
    <tableColumn id="21" xr3:uid="{48DFB3FE-D2A7-4950-A487-0263E812B718}" name="Nouvelle balise" totalsRowFunction="count" dataDxfId="1395" totalsRowDxfId="1394"/>
    <tableColumn id="8" xr3:uid="{23093890-1C60-4E05-B2F8-363E069FD671}" name="Nantes - balise" totalsRowFunction="count" dataDxfId="1393" totalsRowDxfId="1392"/>
    <tableColumn id="15" xr3:uid="{8DC442E9-7D57-46C9-A861-01C2491324E2}" name="Nantes - description" totalsRowFunction="count" dataDxfId="1391" totalsRowDxfId="1390"/>
    <tableColumn id="18" xr3:uid="{57F2ED8D-3700-461C-82A4-8C8C841C0155}" name="GT399" totalsRowFunction="count" dataDxfId="1389" totalsRowDxfId="1388"/>
    <tableColumn id="9" xr3:uid="{45CB5E5C-D372-4A26-AF5B-2DA6114D7886}" name="GT399 description" totalsRowFunction="count" dataDxfId="1387" totalsRowDxfId="1386"/>
    <tableColumn id="10" xr3:uid="{00C96956-9EC8-4735-8013-245FC44ED807}" name="Priorisation" totalsRowFunction="count" dataDxfId="1385" totalsRowDxfId="1384"/>
    <tableColumn id="11" xr3:uid="{EF3C732C-A2D6-463A-85FD-D8AA0C9B50F6}" name="Cardinalité" dataDxfId="1383" totalsRowDxfId="1382"/>
    <tableColumn id="27" xr3:uid="{1B7324D2-64BE-4C9B-A6EE-8283085CB7EC}" name="Objet" totalsRowFunction="count" dataDxfId="1381" totalsRowDxfId="1380"/>
    <tableColumn id="12" xr3:uid="{346BC643-C741-4ED3-B94E-9C4FB69ED0A9}" name="Format (ou type)" totalsRowFunction="count" dataDxfId="1379" totalsRowDxfId="1378"/>
    <tableColumn id="37" xr3:uid="{BE51494B-A6D7-451B-9A84-3ECED33214DA}" name="Nomenclature/ énumération" dataDxfId="1377" totalsRowDxfId="1376"/>
    <tableColumn id="31" xr3:uid="{6BD336ED-7D35-4C80-AE8F-19525394188D}" name="Détails de format" dataDxfId="1375" totalsRowDxfId="1374"/>
    <tableColumn id="36" xr3:uid="{E5F8BD0D-97FB-4023-B64F-B4F8A90F6ADA}" name="15-SMUR" dataDxfId="1373" totalsRowDxfId="1372"/>
    <tableColumn id="35" xr3:uid="{45734523-870D-44C5-B243-A03765CD1CDD}" name="15-XX" dataDxfId="1371" totalsRowDxfId="1370"/>
    <tableColumn id="39" xr3:uid="{F8B31559-1068-4F01-BFEB-663EA0804A93}" name="CUT" dataDxfId="1369" totalsRowDxfId="1368"/>
    <tableColumn id="19" xr3:uid="{B4C5005C-0D3A-4440-A4BD-B2D49E8D7DD6}" name="Commentaire Hub Santé" totalsRowFunction="count" dataDxfId="1367" totalsRowDxfId="1366"/>
    <tableColumn id="16" xr3:uid="{8AC22362-8626-468F-AB79-BB4DB6E31CD3}" name="Commentaire Philippe Dreyfus" totalsRowFunction="count" dataDxfId="1365" totalsRowDxfId="1364"/>
    <tableColumn id="33" xr3:uid="{D9D4C6BB-6562-473E-8C63-13A3EDF78820}" name="Commentaire FBE" dataDxfId="1363" totalsRowDxfId="1362"/>
    <tableColumn id="17" xr3:uid="{11394A71-F820-4495-9AD4-2BF85E5B2920}" name="Commentaire Yann Penverne" totalsRowFunction="count" dataDxfId="1361" totalsRowDxfId="1360"/>
    <tableColumn id="20" xr3:uid="{036A98E5-4C02-415A-989D-802A776C391D}" name="NexSIS" totalsRowFunction="custom" dataDxfId="1359" totalsRowDxfId="1358">
      <totalsRowFormula>SUBTOTAL(103,createCase16[NexSIS])-COUNTIFS(createCase16[NexSIS],"=X")</totalsRowFormula>
    </tableColumn>
    <tableColumn id="22" xr3:uid="{307F1363-FE7C-48AC-ADD9-C3A2A561630D}" name="Métier" totalsRowFunction="custom" dataDxfId="1357" totalsRowDxfId="1356">
      <totalsRowFormula>SUBTOTAL(103,createCase16[Métier])-COUNTIFS(createCase16[Métier],"=X")</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Y16" totalsRowCount="1" headerRowDxfId="1355" dataDxfId="1354" totalsRowDxfId="1353">
  <autoFilter ref="A8:Y15" xr:uid="{F3595FED-2D23-43E0-82AA-4A679D9E25EC}"/>
  <tableColumns count="25">
    <tableColumn id="26" xr3:uid="{1FA9DD08-C96F-4AE2-8207-3C37C2625ABE}" name="ID" totalsRowFunction="count" dataDxfId="1352" totalsRowDxfId="1351"/>
    <tableColumn id="34" xr3:uid="{795EBD09-E696-417D-A399-6AF56CB38FFE}" name="Donnée (Niveau 1)" dataDxfId="1350" totalsRowDxfId="1349"/>
    <tableColumn id="1" xr3:uid="{5D55C6A7-D3C8-4B4F-962B-D684CC469CD7}" name="Donnée (Niveau 2)" totalsRowFunction="count" dataDxfId="1348" totalsRowDxfId="1347"/>
    <tableColumn id="2" xr3:uid="{6064AA15-6125-4E52-A059-BCD0F891AC4D}" name="Donnée (Niveau 3)" totalsRowFunction="count" dataDxfId="1346" totalsRowDxfId="1345"/>
    <tableColumn id="3" xr3:uid="{C4094AB5-565D-4563-9A98-4BAC24C8C03F}" name="Donnée (Niveau 4)" totalsRowFunction="count" dataDxfId="1344" totalsRowDxfId="1343"/>
    <tableColumn id="4" xr3:uid="{FDFD5534-55B3-462C-A013-1AF4EEFC7A0E}" name="Donnée (Niveau 5)" totalsRowFunction="count" dataDxfId="1342" totalsRowDxfId="1341"/>
    <tableColumn id="5" xr3:uid="{4C7DDDEF-FB5D-40CE-A24D-1069A6180C9C}" name="Donnée (Niveau 6)" totalsRowFunction="count" dataDxfId="1340" totalsRowDxfId="1339"/>
    <tableColumn id="6" xr3:uid="{BDC8426F-031A-4500-84AD-15FC39F3F6CE}" name="Description" totalsRowFunction="count" dataDxfId="1338" totalsRowDxfId="1337"/>
    <tableColumn id="14" xr3:uid="{1BD518AA-08F2-4CB0-853F-ED4258E389B3}" name="Exemples" totalsRowFunction="count" dataDxfId="1336" totalsRowDxfId="1335"/>
    <tableColumn id="7" xr3:uid="{954A4923-6D69-4D9C-96C3-B805F09BB0D2}" name="Balise NexSIS" dataDxfId="1334" totalsRowDxfId="1333"/>
    <tableColumn id="21" xr3:uid="{773DD795-C5AD-4B15-84FB-8DE01F1F60C4}" name="Nouvelle balise" totalsRowFunction="count" dataDxfId="1332" totalsRowDxfId="1331"/>
    <tableColumn id="11" xr3:uid="{CF28EC3A-4C91-435F-AC27-1982AA8ADD1D}" name="Cardinalité" dataDxfId="1330" totalsRowDxfId="1329"/>
    <tableColumn id="27" xr3:uid="{A2A017CB-AD8E-44B3-8642-D11115614E70}" name="Objet" totalsRowFunction="count" dataDxfId="1328" totalsRowDxfId="1327"/>
    <tableColumn id="12" xr3:uid="{66EFD264-E68A-4187-98CB-316B01B4417B}" name="Format (ou type)" totalsRowFunction="count" dataDxfId="1326" totalsRowDxfId="1325"/>
    <tableColumn id="37" xr3:uid="{EE16CD08-1554-426C-9970-EB455A6E91CE}" name="Nomenclature/ énumération" dataDxfId="1324" totalsRowDxfId="1323"/>
    <tableColumn id="31" xr3:uid="{2C55E942-315D-4196-88AC-22B3956DA9E4}" name="Détails de format" dataDxfId="1322" totalsRowDxfId="1321"/>
    <tableColumn id="36" xr3:uid="{4457D8CC-EA04-48F7-94E1-5038866A5C40}" name="15-18" dataDxfId="1320" totalsRowDxfId="1319"/>
    <tableColumn id="35" xr3:uid="{DE6F3E1D-4E7D-4614-B0F4-FBCC8B26E17F}" name="15-15" dataDxfId="1318" totalsRowDxfId="1317"/>
    <tableColumn id="39" xr3:uid="{ED0D760B-A01B-4FCE-968A-DF8FB318720F}" name="CUT" dataDxfId="1316" totalsRowDxfId="1315"/>
    <tableColumn id="19" xr3:uid="{13987337-997C-423C-8C6C-CD2A636B3191}" name="Commentaire Hub Santé" totalsRowFunction="count" dataDxfId="1314" totalsRowDxfId="1313"/>
    <tableColumn id="16" xr3:uid="{2E666105-7978-4AB4-BD35-48C364391E38}" name="Commentaire Philippe Dreyfus" totalsRowFunction="count" dataDxfId="1312" totalsRowDxfId="1311"/>
    <tableColumn id="33" xr3:uid="{59ED82FB-9F32-4B0C-92AF-B11030B269C4}" name="Commentaire FBE" dataDxfId="1310" totalsRowDxfId="1309"/>
    <tableColumn id="17" xr3:uid="{FF32A60F-0401-427C-85E9-AF6C668D67E5}" name="Commentaire Yann Penverne" totalsRowFunction="count" dataDxfId="1308" totalsRowDxfId="1307"/>
    <tableColumn id="20" xr3:uid="{4C3C4242-9715-4D3F-8678-E2DF7E298B48}" name="NexSIS" totalsRowFunction="custom" dataDxfId="1306" totalsRowDxfId="1305">
      <totalsRowFormula>SUBTOTAL(103,createCase291217[NexSIS])-COUNTIFS(createCase291217[NexSIS],"=X")</totalsRowFormula>
    </tableColumn>
    <tableColumn id="22" xr3:uid="{89A21B40-369F-479D-8124-13571B8DC460}" name="Métier" totalsRowFunction="custom" dataDxfId="1304" totalsRowDxfId="1303">
      <totalsRowFormula>SUBTOTAL(103,createCase291217[Métier])-COUNTIFS(createCase291217[Métier],"=X")</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32ADEA-DC88-4A0F-8DAC-A587FD7E4148}" name="createCase29" displayName="createCase29" ref="A8:AD19" totalsRowCount="1" headerRowDxfId="1302" dataDxfId="1301" totalsRowDxfId="1300">
  <autoFilter ref="A8:AD18" xr:uid="{3932ADEA-DC88-4A0F-8DAC-A587FD7E4148}"/>
  <tableColumns count="30">
    <tableColumn id="26" xr3:uid="{3299B1BE-9E8D-4297-8D33-E8B4E6314998}" name="ID" totalsRowFunction="count" dataDxfId="1299" totalsRowDxfId="1298"/>
    <tableColumn id="34" xr3:uid="{943EB1AA-FC87-47D8-9208-417FE7A33ACF}" name="Donnée (Niveau 1)" dataDxfId="1297" totalsRowDxfId="1296"/>
    <tableColumn id="1" xr3:uid="{9AB0B7F6-617C-49F5-8E21-C93976E9DCDA}" name="Donnée (Niveau 2)" totalsRowFunction="count" dataDxfId="1295" totalsRowDxfId="1294"/>
    <tableColumn id="2" xr3:uid="{A48A81EF-3C17-489D-BCD8-5B425E174DCF}" name="Donnée (Niveau 3)" totalsRowFunction="count" dataDxfId="1293" totalsRowDxfId="1292"/>
    <tableColumn id="3" xr3:uid="{AEF972B8-4C2B-48DE-9661-295612B8D9D4}" name="Donnée (Niveau 4)" totalsRowFunction="count" dataDxfId="1291" totalsRowDxfId="1290"/>
    <tableColumn id="4" xr3:uid="{3788DC23-8937-4CF6-BF8E-302839D5FFDD}" name="Donnée (Niveau 5)" totalsRowFunction="count" dataDxfId="1289" totalsRowDxfId="1288"/>
    <tableColumn id="5" xr3:uid="{52D81477-ABE6-4966-B95A-C02F570AE73A}" name="Donnée (Niveau 6)" totalsRowFunction="count" dataDxfId="1287" totalsRowDxfId="1286"/>
    <tableColumn id="6" xr3:uid="{8CBF540E-BEA4-4436-8262-A7C687CE3E2D}" name="Description" totalsRowFunction="count" dataDxfId="1285" totalsRowDxfId="1284"/>
    <tableColumn id="14" xr3:uid="{64D795F4-1995-494F-810E-260DF2C5085A}" name="Exemples" totalsRowFunction="count" dataDxfId="1283" totalsRowDxfId="1282"/>
    <tableColumn id="7" xr3:uid="{D6B3F761-7C6E-417A-9BDD-696632C9F5FF}" name="Balise NexSIS" totalsRowFunction="count" dataDxfId="1281" totalsRowDxfId="1280"/>
    <tableColumn id="21" xr3:uid="{9DFC9AE6-5781-4CF5-9259-45DCFD672294}" name="Nouvelle balise" totalsRowFunction="count" dataDxfId="1279" totalsRowDxfId="1278"/>
    <tableColumn id="8" xr3:uid="{01EECBEF-753B-4F59-99A4-4790E47E73EE}" name="Nantes - balise" totalsRowFunction="count" dataDxfId="1277" totalsRowDxfId="1276"/>
    <tableColumn id="15" xr3:uid="{0A856445-1DFB-47A0-8F98-1BB704EBE9BB}" name="Nantes - description" totalsRowFunction="count" dataDxfId="1275" totalsRowDxfId="1274"/>
    <tableColumn id="18" xr3:uid="{C7281F1D-46DF-4F03-B261-CAA071B10445}" name="GT399" totalsRowFunction="count" dataDxfId="1273" totalsRowDxfId="1272"/>
    <tableColumn id="9" xr3:uid="{8F75A270-1699-45B9-AEE8-46DC9C103E9A}" name="GT399 description" totalsRowFunction="count" dataDxfId="1271" totalsRowDxfId="1270"/>
    <tableColumn id="10" xr3:uid="{C4EF9828-8BEA-45BA-9358-37C041F8BE93}" name="Priorisation" totalsRowFunction="count" dataDxfId="1269" totalsRowDxfId="1268"/>
    <tableColumn id="11" xr3:uid="{C8A1EB70-9D5E-41CB-888E-94DB682F73EE}" name="Cardinalité" dataDxfId="1267" totalsRowDxfId="1266"/>
    <tableColumn id="27" xr3:uid="{CA1C1D4B-6AA0-4DEB-8946-D2D88578F7E3}" name="Objet" totalsRowFunction="count" dataDxfId="1265" totalsRowDxfId="1264"/>
    <tableColumn id="12" xr3:uid="{DE654E76-8FBA-4354-9CF8-6E6A462E6409}" name="Format (ou type)" totalsRowFunction="count" dataDxfId="1263" totalsRowDxfId="1262"/>
    <tableColumn id="37" xr3:uid="{C96CA3D7-42EC-4F04-A68A-7444B82822C8}" name="Nomenclature/ énumération" dataDxfId="1261" totalsRowDxfId="1260"/>
    <tableColumn id="31" xr3:uid="{D0A863DE-C408-4007-8ED1-035E6F8C1949}" name="Détails de format" dataDxfId="1259" totalsRowDxfId="1258"/>
    <tableColumn id="36" xr3:uid="{4FBDDCB5-6890-404E-AF57-163DA21D490D}" name="15-18" dataDxfId="1257" totalsRowDxfId="1256"/>
    <tableColumn id="35" xr3:uid="{31AA9CC8-C176-428C-BF54-6A11D6D81BB2}" name="15-15" dataDxfId="1255" totalsRowDxfId="1254"/>
    <tableColumn id="39" xr3:uid="{8866D17E-800C-4E85-BE99-1E028619BE67}" name="CUT" dataDxfId="1253" totalsRowDxfId="1252"/>
    <tableColumn id="19" xr3:uid="{89AE86E7-D981-4E55-B036-1545CE5A0149}" name="Commentaire Hub Santé" totalsRowFunction="count" dataDxfId="1251" totalsRowDxfId="1250"/>
    <tableColumn id="16" xr3:uid="{ACDAA173-B451-4B80-A3E5-E5A1D928393F}" name="Commentaire Philippe Dreyfus" totalsRowFunction="count" dataDxfId="1249" totalsRowDxfId="1248"/>
    <tableColumn id="33" xr3:uid="{9B4758BD-1388-4079-8A50-1F8C39538EDF}" name="Commentaire FBE" dataDxfId="1247" totalsRowDxfId="1246"/>
    <tableColumn id="17" xr3:uid="{BF13D23C-C019-4EEE-96CD-540F8E568157}" name="Commentaire Yann Penverne" totalsRowFunction="count" dataDxfId="1245" totalsRowDxfId="1244"/>
    <tableColumn id="20" xr3:uid="{CA95465C-6ED7-43BD-96F7-66CA68FFA6DF}" name="NexSIS" totalsRowFunction="custom" dataDxfId="1243" totalsRowDxfId="1242">
      <totalsRowFormula>SUBTOTAL(103,createCase29[NexSIS])-COUNTIFS(createCase29[NexSIS],"=X")</totalsRowFormula>
    </tableColumn>
    <tableColumn id="22" xr3:uid="{A91321AB-D5A1-492C-80AF-94204824579D}" name="Métier" totalsRowFunction="custom" dataDxfId="1241" totalsRowDxfId="1240">
      <totalsRowFormula>SUBTOTAL(103,createCase29[Métier])-COUNTIFS(createCase29[Métier],"=X")</totalsRow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1239">
  <autoFilter ref="A8:W23" xr:uid="{EEF68223-2157-47F6-9133-264D671F0942}"/>
  <tableColumns count="23">
    <tableColumn id="1" xr3:uid="{0308532B-296F-49D7-B76E-23948A2F1FAE}" name="ID" totalsRowFunction="count" dataDxfId="1238" totalsRowDxfId="1237"/>
    <tableColumn id="2" xr3:uid="{4E5CA3CD-74C0-41D7-A064-93B29A44F6EA}" name="Donnée (Niveau 1)" totalsRowFunction="custom" dataDxfId="1236" totalsRowDxfId="1235">
      <totalsRowFormula>SUBTOTAL(103,Tableau3[Donnée (Niveau 1)])</totalsRowFormula>
    </tableColumn>
    <tableColumn id="3" xr3:uid="{099F4D11-28E8-482A-B443-FA0B35F69A5A}" name="Donnée (Niveau 2)" totalsRowFunction="custom" dataDxfId="1234" totalsRowDxfId="1233">
      <totalsRowFormula>SUBTOTAL(103,Tableau3[Donnée (Niveau 2)])</totalsRowFormula>
    </tableColumn>
    <tableColumn id="4" xr3:uid="{894FFF8F-C344-436B-8995-6D977D9EE845}" name="Donnée (Niveau 3)" totalsRowFunction="custom" dataDxfId="1232" totalsRowDxfId="1231">
      <totalsRowFormula>SUBTOTAL(103,Tableau3[Donnée (Niveau 3)])</totalsRowFormula>
    </tableColumn>
    <tableColumn id="5" xr3:uid="{AB815DDF-5ECF-4083-A621-45835C8FE42C}" name="Donnée (Niveau 4)" totalsRowFunction="custom" dataDxfId="1230" totalsRowDxfId="1229">
      <totalsRowFormula>SUBTOTAL(103,Tableau3[Donnée (Niveau 4)])</totalsRowFormula>
    </tableColumn>
    <tableColumn id="6" xr3:uid="{20F05C10-E73C-4ECE-95CB-368439F635A4}" name="Donnée (Niveau 5)" totalsRowFunction="custom" dataDxfId="1228" totalsRowDxfId="1227">
      <totalsRowFormula>SUBTOTAL(103,Tableau3[Donnée (Niveau 5)])</totalsRowFormula>
    </tableColumn>
    <tableColumn id="7" xr3:uid="{CD2D80B3-AFB4-4A43-A25F-9936020F0A33}" name="Donnée (Niveau 6)" totalsRowFunction="custom" dataDxfId="1226" totalsRowDxfId="1225">
      <totalsRowFormula>SUBTOTAL(103,Tableau3[Donnée (Niveau 6)])</totalsRowFormula>
    </tableColumn>
    <tableColumn id="8" xr3:uid="{6D534A97-72D3-4D26-ACDA-1E36EFF5A5D1}" name="Description" totalsRowFunction="custom" totalsRowDxfId="1224">
      <totalsRowFormula>SUBTOTAL(103,Tableau3[Description])</totalsRowFormula>
    </tableColumn>
    <tableColumn id="9" xr3:uid="{1C7F0F41-E26E-4A31-99F7-36DA6F587FD4}" name="Exemples" totalsRowFunction="custom" totalsRowDxfId="1223">
      <totalsRowFormula>SUBTOTAL(103,Tableau3[Exemples])</totalsRowFormula>
    </tableColumn>
    <tableColumn id="10" xr3:uid="{16E03419-7018-452F-85C4-FD235A5FD831}" name="Balise NexSIS" totalsRowFunction="custom" totalsRowDxfId="1222">
      <totalsRowFormula>SUBTOTAL(103,Tableau3[Balise NexSIS])</totalsRowFormula>
    </tableColumn>
    <tableColumn id="11" xr3:uid="{B07E8B63-480E-4E4D-B3C9-5480DBD4EBFD}" name="Nouvelle balise" totalsRowFunction="custom" totalsRowDxfId="1221">
      <totalsRowFormula>SUBTOTAL(103,Tableau3[Nouvelle balise])</totalsRowFormula>
    </tableColumn>
    <tableColumn id="12" xr3:uid="{580E514F-043D-4789-9329-386B22D4622D}" name="Nantes - balise" totalsRowFunction="custom" totalsRowDxfId="1220">
      <totalsRowFormula>SUBTOTAL(103,Tableau3[Nantes - balise])</totalsRowFormula>
    </tableColumn>
    <tableColumn id="13" xr3:uid="{0C60FD75-9B70-4899-B643-430300539392}" name="Nantes - description" totalsRowFunction="custom" totalsRowDxfId="1219">
      <totalsRowFormula>SUBTOTAL(103,Tableau3[Nantes - description])</totalsRowFormula>
    </tableColumn>
    <tableColumn id="14" xr3:uid="{A80B0132-E4A5-41BF-9151-A57B2C45E16D}" name="GT399" totalsRowFunction="custom" totalsRowDxfId="1218">
      <totalsRowFormula>SUBTOTAL(103,Tableau3[GT399])</totalsRowFormula>
    </tableColumn>
    <tableColumn id="15" xr3:uid="{8E187925-974B-4A24-81D7-AB82144912F1}" name="GT399 description" totalsRowFunction="custom" totalsRowDxfId="1217">
      <totalsRowFormula>SUBTOTAL(103,Tableau3[GT399 description])</totalsRowFormula>
    </tableColumn>
    <tableColumn id="16" xr3:uid="{42F38D08-76CB-4B3A-A731-4207FB6FBE23}" name="Priorisation" totalsRowFunction="custom" totalsRowDxfId="1216">
      <totalsRowFormula>SUBTOTAL(103,Tableau3[Priorisation])</totalsRowFormula>
    </tableColumn>
    <tableColumn id="17" xr3:uid="{9F68F1ED-1480-436C-8BC5-AA551A9025A4}" name="Cardinalité" totalsRowFunction="custom" dataDxfId="1215" totalsRowDxfId="1214">
      <totalsRowFormula>SUBTOTAL(103,Tableau3[Cardinalité])</totalsRowFormula>
    </tableColumn>
    <tableColumn id="18" xr3:uid="{8D71687D-B67F-4FBE-A91C-E3D7AF1CF7CE}" name="Objet" totalsRowFunction="custom" dataDxfId="1213" totalsRowDxfId="1212">
      <totalsRowFormula>SUBTOTAL(103,Tableau3[Objet])</totalsRowFormula>
    </tableColumn>
    <tableColumn id="19" xr3:uid="{3997D7F5-733D-4A1D-97E2-3BDAED2B9FE3}" name="Format (ou type)" totalsRowFunction="custom" dataDxfId="1211" totalsRowDxfId="1210">
      <totalsRowFormula>SUBTOTAL(103,Tableau3[Format (ou type)])</totalsRowFormula>
    </tableColumn>
    <tableColumn id="20" xr3:uid="{33562809-70DE-436A-940D-49F45D5F14A8}" name="Nomenclature/ énumération" totalsRowFunction="custom" totalsRowDxfId="1209">
      <totalsRowFormula>SUBTOTAL(103,Tableau3[Nomenclature/ énumération])</totalsRowFormula>
    </tableColumn>
    <tableColumn id="21" xr3:uid="{0FBF9953-AE08-41BF-9CDE-EA27950F10D4}" name="Détails de format" totalsRowFunction="custom" totalsRowDxfId="1208">
      <totalsRowFormula>SUBTOTAL(103,Tableau3[Détails de format])</totalsRowFormula>
    </tableColumn>
    <tableColumn id="22" xr3:uid="{9F868D8D-588A-4128-8291-ABF86AE38F9A}" name="15-18" totalsRowFunction="custom" dataDxfId="1207" totalsRowDxfId="1206">
      <totalsRowFormula>SUBTOTAL(103,Tableau3[15-18])</totalsRowFormula>
    </tableColumn>
    <tableColumn id="23" xr3:uid="{87B18F95-525A-4A9B-860F-C7A99278233D}" name="15-15" totalsRowFunction="custom" dataDxfId="1205" totalsRowDxfId="1204">
      <totalsRowFormula>SUBTOTAL(103,Tableau3[15-15])</totalsRow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1203">
  <autoFilter ref="A8:W9" xr:uid="{75253F3A-254C-4618-A5FE-BEE9E9C3C612}"/>
  <tableColumns count="23">
    <tableColumn id="1" xr3:uid="{B9312955-B2A3-439B-98E2-35497FC3B9CD}" name="ID" totalsRowFunction="count" dataDxfId="1202" totalsRowDxfId="1201"/>
    <tableColumn id="2" xr3:uid="{A41A30AA-1973-446D-97F1-BB8048C22A4F}" name="Donnée (Niveau 1)" totalsRowFunction="custom" dataDxfId="1200" totalsRowDxfId="1199">
      <totalsRowFormula>SUBTOTAL(103,Tableau35[Donnée (Niveau 1)])</totalsRowFormula>
    </tableColumn>
    <tableColumn id="3" xr3:uid="{DFE7CE8D-9D20-4AEF-A0BD-66C619A3B39A}" name="Donnée (Niveau 2)" totalsRowFunction="custom" dataDxfId="1198" totalsRowDxfId="1197">
      <totalsRowFormula>SUBTOTAL(103,Tableau35[Donnée (Niveau 2)])</totalsRowFormula>
    </tableColumn>
    <tableColumn id="4" xr3:uid="{D4BCA6FB-BEEB-4675-B373-97CA3247D3B3}" name="Donnée (Niveau 3)" totalsRowFunction="custom" dataDxfId="1196" totalsRowDxfId="1195">
      <totalsRowFormula>SUBTOTAL(103,Tableau35[Donnée (Niveau 3)])</totalsRowFormula>
    </tableColumn>
    <tableColumn id="5" xr3:uid="{98330C77-3D56-4BE0-94A2-82DDC5827C96}" name="Donnée (Niveau 4)" totalsRowFunction="custom" dataDxfId="1194" totalsRowDxfId="1193">
      <totalsRowFormula>SUBTOTAL(103,Tableau35[Donnée (Niveau 4)])</totalsRowFormula>
    </tableColumn>
    <tableColumn id="6" xr3:uid="{3D011196-6587-48FF-87E2-AE1D56773EE7}" name="Donnée (Niveau 5)" totalsRowFunction="custom" dataDxfId="1192" totalsRowDxfId="1191">
      <totalsRowFormula>SUBTOTAL(103,Tableau35[Donnée (Niveau 5)])</totalsRowFormula>
    </tableColumn>
    <tableColumn id="7" xr3:uid="{9EBCC79E-BB78-43E2-8390-99AED4817490}" name="Donnée (Niveau 6)" totalsRowFunction="custom" dataDxfId="1190" totalsRowDxfId="1189">
      <totalsRowFormula>SUBTOTAL(103,Tableau35[Donnée (Niveau 6)])</totalsRowFormula>
    </tableColumn>
    <tableColumn id="8" xr3:uid="{E26B9737-D2F7-4253-9691-0FAB27540899}" name="Description" totalsRowFunction="custom" totalsRowDxfId="1188">
      <totalsRowFormula>SUBTOTAL(103,Tableau35[Description])</totalsRowFormula>
    </tableColumn>
    <tableColumn id="9" xr3:uid="{CD269DAD-CD7B-426A-8623-52708A75A9F3}" name="Exemples" totalsRowFunction="custom" totalsRowDxfId="1187">
      <totalsRowFormula>SUBTOTAL(103,Tableau35[Exemples])</totalsRowFormula>
    </tableColumn>
    <tableColumn id="10" xr3:uid="{20924355-7D5C-49E1-BBA9-453A972E5FD5}" name="Balise NexSIS" totalsRowFunction="custom" totalsRowDxfId="1186">
      <totalsRowFormula>SUBTOTAL(103,Tableau35[Balise NexSIS])</totalsRowFormula>
    </tableColumn>
    <tableColumn id="11" xr3:uid="{E6886C03-3B0D-46D0-99EE-5173E67D42D5}" name="Nouvelle balise" totalsRowFunction="custom" totalsRowDxfId="1185">
      <totalsRowFormula>SUBTOTAL(103,Tableau35[Nouvelle balise])</totalsRowFormula>
    </tableColumn>
    <tableColumn id="12" xr3:uid="{FC0A1304-6D18-4479-8A8D-40E1640CC417}" name="Nantes - balise" totalsRowFunction="custom" totalsRowDxfId="1184">
      <totalsRowFormula>SUBTOTAL(103,Tableau35[Nantes - balise])</totalsRowFormula>
    </tableColumn>
    <tableColumn id="13" xr3:uid="{F13FED84-5993-4B0F-9596-BB54F03D8CD2}" name="Nantes - description" totalsRowFunction="custom" totalsRowDxfId="1183">
      <totalsRowFormula>SUBTOTAL(103,Tableau35[Nantes - description])</totalsRowFormula>
    </tableColumn>
    <tableColumn id="14" xr3:uid="{D10C28EC-5A2B-4C5A-9DF5-FA610DC16AB7}" name="GT399" totalsRowFunction="custom" totalsRowDxfId="1182">
      <totalsRowFormula>SUBTOTAL(103,Tableau35[GT399])</totalsRowFormula>
    </tableColumn>
    <tableColumn id="15" xr3:uid="{BEB12139-7DD8-42F5-B1E1-2ECBC4C5542E}" name="GT399 description" totalsRowFunction="custom" totalsRowDxfId="1181">
      <totalsRowFormula>SUBTOTAL(103,Tableau35[GT399 description])</totalsRowFormula>
    </tableColumn>
    <tableColumn id="16" xr3:uid="{188B779B-92B8-4FEF-8EED-51C2A38708D0}" name="Priorisation" totalsRowFunction="custom" totalsRowDxfId="1180">
      <totalsRowFormula>SUBTOTAL(103,Tableau35[Priorisation])</totalsRowFormula>
    </tableColumn>
    <tableColumn id="17" xr3:uid="{F4CC96EB-6D1D-4960-BCD8-CD461F381ED8}" name="Cardinalité" totalsRowFunction="custom" dataDxfId="1179" totalsRowDxfId="1178">
      <totalsRowFormula>SUBTOTAL(103,Tableau35[Cardinalité])</totalsRowFormula>
    </tableColumn>
    <tableColumn id="18" xr3:uid="{B0090839-6783-4E0E-8106-4E6A56CCAFD2}" name="Objet" totalsRowFunction="custom" dataDxfId="1177" totalsRowDxfId="1176">
      <totalsRowFormula>SUBTOTAL(103,Tableau35[Objet])</totalsRowFormula>
    </tableColumn>
    <tableColumn id="19" xr3:uid="{A81D9ACE-1BA2-42E2-A7BF-AD6A21D051B7}" name="Format (ou type)" totalsRowFunction="custom" dataDxfId="1175" totalsRowDxfId="1174">
      <totalsRowFormula>SUBTOTAL(103,Tableau35[Format (ou type)])</totalsRowFormula>
    </tableColumn>
    <tableColumn id="20" xr3:uid="{395551A0-AF3E-4BCA-A2D1-B5B3AFE7BB0F}" name="Nomenclature/ énumération" totalsRowFunction="custom" totalsRowDxfId="1173">
      <totalsRowFormula>SUBTOTAL(103,Tableau35[Nomenclature/ énumération])</totalsRowFormula>
    </tableColumn>
    <tableColumn id="21" xr3:uid="{CA6C9852-2D54-43AF-A983-D0F4CF56B2B4}" name="Détails de format" totalsRowFunction="custom" totalsRowDxfId="1172">
      <totalsRowFormula>SUBTOTAL(103,Tableau35[Détails de format])</totalsRowFormula>
    </tableColumn>
    <tableColumn id="22" xr3:uid="{15560D52-4B8E-408C-878A-EEE9AFD8D183}" name="15-18" totalsRowFunction="custom" totalsRowDxfId="1171">
      <totalsRowFormula>SUBTOTAL(103,Tableau35[15-18])</totalsRowFormula>
    </tableColumn>
    <tableColumn id="23" xr3:uid="{F8085B3C-2A10-48F6-B2F1-428BF4D2A4F6}" name="15-15" totalsRowFunction="custom" totalsRowDxfId="1170">
      <totalsRowFormula>SUBTOTAL(103,Tableau35[15-15])</totalsRow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1169">
  <autoFilter ref="A8:W19" xr:uid="{1FE8A3AF-4E94-4B60-8D0F-BDD2D3ECE80A}"/>
  <tableColumns count="23">
    <tableColumn id="1" xr3:uid="{2194A6A9-978B-49BF-92EC-24BA1F982865}" name="ID" totalsRowFunction="count" dataDxfId="1168" totalsRowDxfId="1167"/>
    <tableColumn id="2" xr3:uid="{7639722A-2F33-4FF5-974B-AF23A0A6AFB1}" name="Donnée (Niveau 1)" totalsRowFunction="custom" dataDxfId="1166" totalsRowDxfId="1165">
      <totalsRowFormula>SUBTOTAL(103,Tableau357[Donnée (Niveau 1)])</totalsRowFormula>
    </tableColumn>
    <tableColumn id="3" xr3:uid="{9BD64E43-D2AF-489F-A571-5D02F069CB5A}" name="Donnée (Niveau 2)" totalsRowFunction="custom" dataDxfId="1164" totalsRowDxfId="1163">
      <totalsRowFormula>SUBTOTAL(103,Tableau357[Donnée (Niveau 2)])</totalsRowFormula>
    </tableColumn>
    <tableColumn id="4" xr3:uid="{3A15C35A-E24A-431E-9B0F-5AA03F1DEC65}" name="Donnée (Niveau 3)" totalsRowFunction="custom" dataDxfId="1162" totalsRowDxfId="1161">
      <totalsRowFormula>SUBTOTAL(103,Tableau357[Donnée (Niveau 3)])</totalsRowFormula>
    </tableColumn>
    <tableColumn id="5" xr3:uid="{30450838-7269-4B21-AED9-DE744E6D7BE7}" name="Donnée (Niveau 4)" totalsRowFunction="custom" dataDxfId="1160" totalsRowDxfId="1159">
      <totalsRowFormula>SUBTOTAL(103,Tableau357[Donnée (Niveau 4)])</totalsRowFormula>
    </tableColumn>
    <tableColumn id="6" xr3:uid="{3660E566-E514-413D-B57E-5899D7E2C97A}" name="Donnée (Niveau 5)" totalsRowFunction="custom" dataDxfId="1158" totalsRowDxfId="1157">
      <totalsRowFormula>SUBTOTAL(103,Tableau357[Donnée (Niveau 5)])</totalsRowFormula>
    </tableColumn>
    <tableColumn id="7" xr3:uid="{9C7BB915-267A-4C5A-AA02-029048F4DC4E}" name="Donnée (Niveau 6)" totalsRowFunction="custom" dataDxfId="1156" totalsRowDxfId="1155">
      <totalsRowFormula>SUBTOTAL(103,Tableau357[Donnée (Niveau 6)])</totalsRowFormula>
    </tableColumn>
    <tableColumn id="8" xr3:uid="{E5B15786-B76A-4BEA-9067-9613FD29334F}" name="Description" totalsRowFunction="custom" totalsRowDxfId="1154">
      <totalsRowFormula>SUBTOTAL(103,Tableau357[Description])</totalsRowFormula>
    </tableColumn>
    <tableColumn id="9" xr3:uid="{8DB05C06-6CE9-4263-BA6F-48CE0AE9983C}" name="Exemples" totalsRowFunction="custom" totalsRowDxfId="1153">
      <totalsRowFormula>SUBTOTAL(103,Tableau357[Exemples])</totalsRowFormula>
    </tableColumn>
    <tableColumn id="10" xr3:uid="{1837705E-85D2-43D6-9CDA-E6F77570DBBD}" name="Balise NexSIS" totalsRowFunction="custom" totalsRowDxfId="1152">
      <totalsRowFormula>SUBTOTAL(103,Tableau357[Balise NexSIS])</totalsRowFormula>
    </tableColumn>
    <tableColumn id="11" xr3:uid="{957F756D-730B-4641-8748-30510E6525C0}" name="Nouvelle balise" totalsRowFunction="custom" dataDxfId="1151" totalsRowDxfId="1150">
      <totalsRowFormula>SUBTOTAL(103,Tableau357[Nouvelle balise])</totalsRowFormula>
    </tableColumn>
    <tableColumn id="12" xr3:uid="{3169EF9C-BB85-4FFA-B5E7-A3B8B73FC3A2}" name="Nantes - balise" totalsRowFunction="custom" totalsRowDxfId="1149">
      <totalsRowFormula>SUBTOTAL(103,Tableau357[Nantes - balise])</totalsRowFormula>
    </tableColumn>
    <tableColumn id="13" xr3:uid="{E548F095-B313-42ED-B82E-D4F99D2C0A04}" name="Nantes - description" totalsRowFunction="custom" totalsRowDxfId="1148">
      <totalsRowFormula>SUBTOTAL(103,Tableau357[Nantes - description])</totalsRowFormula>
    </tableColumn>
    <tableColumn id="14" xr3:uid="{CC704391-8DDA-45F3-B8AB-AE5DEBD43C11}" name="GT399" totalsRowFunction="custom" totalsRowDxfId="1147">
      <totalsRowFormula>SUBTOTAL(103,Tableau357[GT399])</totalsRowFormula>
    </tableColumn>
    <tableColumn id="15" xr3:uid="{A5BB6FA3-0492-4977-AD3E-CEAAE8366B7A}" name="GT399 description" totalsRowFunction="custom" totalsRowDxfId="1146">
      <totalsRowFormula>SUBTOTAL(103,Tableau357[GT399 description])</totalsRowFormula>
    </tableColumn>
    <tableColumn id="16" xr3:uid="{6BC9EA61-5862-4D25-B98C-EA9E88DF081C}" name="Priorisation" totalsRowFunction="custom" totalsRowDxfId="1145">
      <totalsRowFormula>SUBTOTAL(103,Tableau357[Priorisation])</totalsRowFormula>
    </tableColumn>
    <tableColumn id="17" xr3:uid="{F8CC7813-2529-4AB6-8673-B22D55F47970}" name="Cardinalité" totalsRowFunction="custom" dataDxfId="1144" totalsRowDxfId="1143">
      <totalsRowFormula>SUBTOTAL(103,Tableau357[Cardinalité])</totalsRowFormula>
    </tableColumn>
    <tableColumn id="18" xr3:uid="{F8AA89E9-3720-467E-92C2-F847AE5D62EB}" name="Objet" totalsRowFunction="custom" dataDxfId="1142" totalsRowDxfId="1141">
      <totalsRowFormula>SUBTOTAL(103,Tableau357[Objet])</totalsRowFormula>
    </tableColumn>
    <tableColumn id="19" xr3:uid="{044C8000-1042-455B-8904-0733131290E6}" name="Format (ou type)" totalsRowFunction="custom" dataDxfId="1140" totalsRowDxfId="1139">
      <totalsRowFormula>SUBTOTAL(103,Tableau357[Format (ou type)])</totalsRowFormula>
    </tableColumn>
    <tableColumn id="20" xr3:uid="{4C43F220-1FFF-4D6A-B274-6AC8F1923DC0}" name="Nomenclature/ énumération" totalsRowFunction="custom" dataDxfId="1138" totalsRowDxfId="1137">
      <totalsRowFormula>SUBTOTAL(103,Tableau357[Nomenclature/ énumération])</totalsRowFormula>
    </tableColumn>
    <tableColumn id="21" xr3:uid="{F3647E69-0E89-450A-AF38-B5627E006D73}" name="Détails de format" totalsRowFunction="custom" dataDxfId="1136" totalsRowDxfId="1135">
      <totalsRowFormula>SUBTOTAL(103,Tableau357[Détails de format])</totalsRowFormula>
    </tableColumn>
    <tableColumn id="22" xr3:uid="{BDA6CEC4-51B8-4CFB-B6B6-B7AF21F84DE9}" name="15-18" totalsRowFunction="custom" totalsRowDxfId="1134">
      <totalsRowFormula>SUBTOTAL(103,Tableau357[15-18])</totalsRowFormula>
    </tableColumn>
    <tableColumn id="23" xr3:uid="{A7D9FC89-3D3C-442A-BF60-2B5E8CAB8757}" name="15-15" totalsRowFunction="custom" totalsRowDxfId="1133">
      <totalsRowFormula>SUBTOTAL(103,Tableau357[15-15])</totalsRow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1132" totalsRowDxfId="1129" headerRowBorderDxfId="1131" tableBorderDxfId="1130" totalsRowBorderDxfId="1128">
  <autoFilter ref="A8:W14" xr:uid="{E931F4C5-87AC-4B70-ADC3-93962301DA67}"/>
  <tableColumns count="23">
    <tableColumn id="1" xr3:uid="{1E224984-052D-4A13-B622-AE0F71DD159A}" name="ID" totalsRowFunction="custom" dataDxfId="1127" totalsRowDxfId="1126">
      <totalsRowFormula>SUBTOTAL(103, Tableau9[ID])</totalsRowFormula>
    </tableColumn>
    <tableColumn id="2" xr3:uid="{C0689F99-92F2-497E-8FC9-D5C9893BC7E9}" name="Donnée (Niveau 1)" totalsRowFunction="custom" dataDxfId="1125" totalsRowDxfId="1124">
      <totalsRowFormula>SUBTOTAL(103, Tableau9[Donnée (Niveau 1)])</totalsRowFormula>
    </tableColumn>
    <tableColumn id="3" xr3:uid="{415D4766-C4FA-4EA5-814E-1F0F00B07B37}" name="Donnée (Niveau 2)" totalsRowFunction="custom" dataDxfId="1123" totalsRowDxfId="1122">
      <totalsRowFormula>SUBTOTAL(103, Tableau9[Donnée (Niveau 2)])</totalsRowFormula>
    </tableColumn>
    <tableColumn id="4" xr3:uid="{3376F3F3-12CC-4AD9-9955-3EC68C5C3DD9}" name="Donnée (Niveau 3)" totalsRowFunction="custom" dataDxfId="1121" totalsRowDxfId="1120">
      <totalsRowFormula>SUBTOTAL(103, Tableau9[Donnée (Niveau 3)])</totalsRowFormula>
    </tableColumn>
    <tableColumn id="5" xr3:uid="{541A98F6-3A3C-473C-86A3-80321C6E2798}" name="Donnée (Niveau 4)" totalsRowFunction="custom" dataDxfId="1119" totalsRowDxfId="1118">
      <totalsRowFormula>SUBTOTAL(103, Tableau9[Donnée (Niveau 4)])</totalsRowFormula>
    </tableColumn>
    <tableColumn id="6" xr3:uid="{9860160A-69B0-43CC-ACC3-513CC21BBCC9}" name="Donnée (Niveau 5)" totalsRowFunction="custom" dataDxfId="1117" totalsRowDxfId="1116">
      <totalsRowFormula>SUBTOTAL(103, Tableau9[Donnée (Niveau 5)])</totalsRowFormula>
    </tableColumn>
    <tableColumn id="7" xr3:uid="{A283BE6B-5F72-4E28-A1D0-C3CEFC3A3203}" name="Donnée (Niveau 6)" totalsRowFunction="custom" dataDxfId="1115" totalsRowDxfId="1114">
      <totalsRowFormula>SUBTOTAL(103, Tableau9[Donnée (Niveau 6)])</totalsRowFormula>
    </tableColumn>
    <tableColumn id="8" xr3:uid="{19DF1CAC-A34E-4D6F-9152-7E372105A411}" name="Description" totalsRowFunction="custom" totalsRowDxfId="1113">
      <totalsRowFormula>SUBTOTAL(103, Tableau9[Description])</totalsRowFormula>
    </tableColumn>
    <tableColumn id="9" xr3:uid="{19C7F4C5-FBF2-4DDF-8C18-64844C80A068}" name="Exemples" totalsRowFunction="custom" totalsRowDxfId="1112">
      <totalsRowFormula>SUBTOTAL(103, Tableau9[Exemples])</totalsRowFormula>
    </tableColumn>
    <tableColumn id="10" xr3:uid="{25BE0A12-B3F7-4026-80D6-5AED0D62F912}" name="Balise NexSIS" totalsRowFunction="custom" totalsRowDxfId="1111">
      <totalsRowFormula>SUBTOTAL(103, Tableau9[Balise NexSIS])</totalsRowFormula>
    </tableColumn>
    <tableColumn id="11" xr3:uid="{7578B8D2-C435-4424-9B0B-FE7DB8E3AC98}" name="Nouvelle balise" totalsRowFunction="custom" totalsRowDxfId="1110">
      <totalsRowFormula>SUBTOTAL(103, Tableau9[Nouvelle balise])</totalsRowFormula>
    </tableColumn>
    <tableColumn id="12" xr3:uid="{BED9B1DE-1D7A-44E1-B55A-77D8F2867832}" name="Nantes - balise" totalsRowFunction="custom" totalsRowDxfId="1109">
      <totalsRowFormula>SUBTOTAL(103, Tableau9[Nantes - balise])</totalsRowFormula>
    </tableColumn>
    <tableColumn id="13" xr3:uid="{0A269333-965B-47E6-A39A-3828EC8525D7}" name="Nantes - description" totalsRowFunction="custom" totalsRowDxfId="1108">
      <totalsRowFormula>SUBTOTAL(103, Tableau9[Nantes - description])</totalsRowFormula>
    </tableColumn>
    <tableColumn id="14" xr3:uid="{9551F7F9-F22B-4AE0-8C95-D6D0EABBF631}" name="GT399" totalsRowFunction="custom" totalsRowDxfId="1107">
      <totalsRowFormula>SUBTOTAL(103, Tableau9[GT399])</totalsRowFormula>
    </tableColumn>
    <tableColumn id="15" xr3:uid="{B250F388-C8B6-4941-A85E-C23834348517}" name="GT399 description" totalsRowFunction="custom" totalsRowDxfId="1106">
      <totalsRowFormula>SUBTOTAL(103, Tableau9[GT399 description])</totalsRowFormula>
    </tableColumn>
    <tableColumn id="16" xr3:uid="{A477B070-59A8-4A28-9E4D-9B4503B0FCDC}" name="Priorisation" totalsRowFunction="custom" totalsRowDxfId="1105">
      <totalsRowFormula>SUBTOTAL(103, Tableau9[Priorisation])</totalsRowFormula>
    </tableColumn>
    <tableColumn id="17" xr3:uid="{8D44E1CE-FB68-4E9B-AE44-0ADF0DFE048B}" name="Cardinalité" totalsRowFunction="custom" dataDxfId="1104" totalsRowDxfId="1103">
      <totalsRowFormula>SUBTOTAL(103, Tableau9[Cardinalité])</totalsRowFormula>
    </tableColumn>
    <tableColumn id="18" xr3:uid="{F5551B1C-1DCC-4580-B858-E095724B74EC}" name="Objet" totalsRowFunction="custom" totalsRowDxfId="1102">
      <totalsRowFormula>SUBTOTAL(103, Tableau9[Objet])</totalsRowFormula>
    </tableColumn>
    <tableColumn id="19" xr3:uid="{836B344A-EF05-48E1-9A56-678F7B1B5ECF}" name="Format (ou type)" totalsRowFunction="custom" totalsRowDxfId="1101">
      <totalsRowFormula>SUBTOTAL(103, Tableau9[Format (ou type)])</totalsRowFormula>
    </tableColumn>
    <tableColumn id="20" xr3:uid="{622F58D5-8FA2-4261-957A-F5060FF0501F}" name="Nomenclature/ énumération" totalsRowFunction="custom" totalsRowDxfId="1100">
      <totalsRowFormula>SUBTOTAL(103, Tableau9[Nomenclature/ énumération])</totalsRowFormula>
    </tableColumn>
    <tableColumn id="21" xr3:uid="{EE4A67A2-A8BB-40C5-B66B-2C677A555E0D}" name="Détails de format" totalsRowFunction="custom" totalsRowDxfId="1099">
      <totalsRowFormula>SUBTOTAL(103, Tableau9[Détails de format])</totalsRowFormula>
    </tableColumn>
    <tableColumn id="22" xr3:uid="{74252E4D-4A09-4C3D-A70C-71232233BE99}" name="15-18" totalsRowFunction="custom" totalsRowDxfId="1098">
      <totalsRowFormula>SUBTOTAL(103, Tableau9[15-18])</totalsRowFormula>
    </tableColumn>
    <tableColumn id="23" xr3:uid="{9A825B74-72E7-4083-95A6-ADAB0B83FA51}" name="15-15" totalsRowFunction="custom" totalsRowDxfId="1097">
      <totalsRowFormula>SUBTOTAL(103, Tableau9[15-15])</totalsRow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1096" headerRowBorderDxfId="1095" tableBorderDxfId="1094">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1093">
      <totalsRowFormula>SUBTOTAL(103,Tableau911[Nantes - balise])</totalsRowFormula>
    </tableColumn>
    <tableColumn id="24" xr3:uid="{B812F9CB-695C-4233-9210-247EE7E30D5C}" name="Nantes - description" totalsRowFunction="custom" dataDxfId="1092">
      <totalsRowFormula>SUBTOTAL(103,Tableau911[Nantes - description])</totalsRowFormula>
    </tableColumn>
    <tableColumn id="23" xr3:uid="{369A7FC9-8210-45F8-B7CE-7CA66D94704C}" name="GT399" totalsRowFunction="custom" dataDxfId="1091">
      <totalsRowFormula>SUBTOTAL(103,Tableau911[GT399])</totalsRowFormula>
    </tableColumn>
    <tableColumn id="22" xr3:uid="{CC0C4430-85CE-4749-B0EF-01F38758D213}" name="GT399 description" totalsRowFunction="custom" dataDxfId="1090">
      <totalsRowFormula>SUBTOTAL(103,Tableau911[GT399 description])</totalsRowFormula>
    </tableColumn>
    <tableColumn id="21" xr3:uid="{C8812723-9205-4252-A00F-7EA4ABD87E9F}" name="Priorisation" totalsRowFunction="custom" dataDxfId="1089">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1088" headerRowBorderDxfId="1087" tableBorderDxfId="1086">
  <autoFilter ref="A8:W11" xr:uid="{4F62EADF-21E3-48F1-8B6F-5A3984C01C34}"/>
  <tableColumns count="23">
    <tableColumn id="1" xr3:uid="{B6643D7A-4C2D-4D5B-82CD-9FB6A5509A72}" name="ID" totalsRowFunction="count"/>
    <tableColumn id="2" xr3:uid="{D8AD65B6-1FCA-4B50-9A1E-843B91A13A63}" name="Donnée (Niveau 1)" totalsRowFunction="custom" dataDxfId="1085">
      <totalsRowFormula>SUBTOTAL(103,Tableau12[Donnée (Niveau 1)])</totalsRowFormula>
    </tableColumn>
    <tableColumn id="3" xr3:uid="{C51845AD-B914-429D-B634-E93F9EB2C6E2}" name="Donnée (Niveau 2)" totalsRowFunction="custom" dataDxfId="1084">
      <totalsRowFormula>SUBTOTAL(103,Tableau12[Donnée (Niveau 2)])</totalsRowFormula>
    </tableColumn>
    <tableColumn id="4" xr3:uid="{708D3FF7-D497-49D4-A121-91CEB536EDC0}" name="Donnée (Niveau 3)" totalsRowFunction="custom" dataDxfId="1083">
      <totalsRowFormula>SUBTOTAL(103,Tableau12[Donnée (Niveau 3)])</totalsRowFormula>
    </tableColumn>
    <tableColumn id="5" xr3:uid="{36BBF4F3-B871-4924-B1DF-09F52BEC9A84}" name="Donnée (Niveau 4)" totalsRowFunction="custom" dataDxfId="1082">
      <totalsRowFormula>SUBTOTAL(103,Tableau12[Donnée (Niveau 4)])</totalsRowFormula>
    </tableColumn>
    <tableColumn id="6" xr3:uid="{912708D6-C037-4264-88D3-7DEB49F9D269}" name="Donnée (Niveau 5)" totalsRowFunction="custom" dataDxfId="1081">
      <totalsRowFormula>SUBTOTAL(103,Tableau12[Donnée (Niveau 5)])</totalsRowFormula>
    </tableColumn>
    <tableColumn id="7" xr3:uid="{AEB42A44-4C97-42F7-968F-F3445075B977}" name="Donnée (Niveau 6)" totalsRowFunction="custom" dataDxfId="1080">
      <totalsRowFormula>SUBTOTAL(103,Tableau12[Donnée (Niveau 6)])</totalsRowFormula>
    </tableColumn>
    <tableColumn id="8" xr3:uid="{05104B7E-48BC-48C5-B4C9-B0719BA33344}" name="Description" totalsRowFunction="custom" dataDxfId="1079">
      <totalsRowFormula>SUBTOTAL(103,Tableau12[Description])</totalsRowFormula>
    </tableColumn>
    <tableColumn id="9" xr3:uid="{614AAED4-0FFF-4312-9849-5269BBACA5F4}" name="Exemples" totalsRowFunction="custom" dataDxfId="1078">
      <totalsRowFormula>SUBTOTAL(103,Tableau12[Exemples])</totalsRowFormula>
    </tableColumn>
    <tableColumn id="24" xr3:uid="{E4AE869A-0CB6-491F-A644-3F5631849EE2}" name="Balise NexSIS" totalsRowFunction="custom" dataDxfId="1077">
      <totalsRowFormula>SUBTOTAL(103,Tableau12[Balise NexSIS])</totalsRowFormula>
    </tableColumn>
    <tableColumn id="10" xr3:uid="{591036EA-D7D7-4CDB-9E72-F34570B08579}" name="Nouvelle balise" totalsRowFunction="custom" dataDxfId="1076">
      <totalsRowFormula>SUBTOTAL(103,Tableau12[Nouvelle balise])</totalsRowFormula>
    </tableColumn>
    <tableColumn id="23" xr3:uid="{17E8B19F-5463-4A93-9375-F25F24920A06}" name="Nantes - balise" totalsRowFunction="custom" dataDxfId="1075">
      <totalsRowFormula>SUBTOTAL(103,Tableau12[Nantes - balise])</totalsRowFormula>
    </tableColumn>
    <tableColumn id="22" xr3:uid="{752C5DB9-CA47-4947-BC51-EA0AB6CAF178}" name="Nantes - description" totalsRowFunction="custom" dataDxfId="1074">
      <totalsRowFormula>SUBTOTAL(103,Tableau12[Nantes - description])</totalsRowFormula>
    </tableColumn>
    <tableColumn id="21" xr3:uid="{3086C8B1-9331-471D-85E4-DFE9ECD0778B}" name="GT399" totalsRowFunction="custom" dataDxfId="1073">
      <totalsRowFormula>SUBTOTAL(103,Tableau12[GT399])</totalsRowFormula>
    </tableColumn>
    <tableColumn id="20" xr3:uid="{7161B64A-7444-47C0-A0EB-FBE31CB32883}" name="GT399 description" totalsRowFunction="custom" dataDxfId="1072">
      <totalsRowFormula>SUBTOTAL(103,Tableau12[GT399 description])</totalsRowFormula>
    </tableColumn>
    <tableColumn id="19" xr3:uid="{7B7F428D-98DE-48C1-B4C7-1B8FEF343340}" name="Priorisation" totalsRowFunction="custom" dataDxfId="1071">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1834" dataDxfId="1833" totalsRowDxfId="1832">
  <autoFilter ref="A8:AD14" xr:uid="{EF99425A-BF7C-494D-843B-A436A28F1D50}"/>
  <tableColumns count="30">
    <tableColumn id="26" xr3:uid="{D5B2518C-6D8E-6147-8C4F-B866728B3834}" name="ID" totalsRowFunction="count" dataDxfId="1831" totalsRowDxfId="1830"/>
    <tableColumn id="34" xr3:uid="{87148819-B7A5-7947-82EE-7CD825960AED}" name="Donnée (Niveau 1)" dataDxfId="1829" totalsRowDxfId="1828"/>
    <tableColumn id="1" xr3:uid="{D13C8DA4-A6E7-6647-83BF-735A36445504}" name="Donnée (Niveau 2)" totalsRowFunction="count" dataDxfId="1827" totalsRowDxfId="1826"/>
    <tableColumn id="2" xr3:uid="{9844E3D8-484C-674F-A6FE-C5E74C0BECD7}" name="Donnée (Niveau 3)" totalsRowFunction="count" dataDxfId="1825" totalsRowDxfId="1824"/>
    <tableColumn id="3" xr3:uid="{EDEAC3BB-E6E5-6D4A-81D4-0D53BDE32BE7}" name="Donnée (Niveau 4)" totalsRowFunction="count" dataDxfId="1823" totalsRowDxfId="1822"/>
    <tableColumn id="4" xr3:uid="{02D62420-0C0A-4A42-BF62-D538EE277DA2}" name="Donnée (Niveau 5)" totalsRowFunction="count" dataDxfId="1821" totalsRowDxfId="1820"/>
    <tableColumn id="5" xr3:uid="{AEDF2332-EB8E-3F47-A30F-62F4B295DC6E}" name="Donnée (Niveau 6)" totalsRowFunction="count" dataDxfId="1819" totalsRowDxfId="1818"/>
    <tableColumn id="6" xr3:uid="{6B82679A-C79E-B942-87C2-2A9AC62DFE61}" name="Description" totalsRowFunction="count" dataDxfId="1817" totalsRowDxfId="1816"/>
    <tableColumn id="14" xr3:uid="{64EB0DE7-7110-B649-B47F-39D14AB54769}" name="Exemples" totalsRowFunction="count" dataDxfId="1815" totalsRowDxfId="1814"/>
    <tableColumn id="7" xr3:uid="{30859462-25E2-6C4B-8D3C-5F2310CF2710}" name="Balise NexSIS" totalsRowFunction="count" dataDxfId="1813" totalsRowDxfId="1812"/>
    <tableColumn id="21" xr3:uid="{C7789C87-5B0F-9240-95BB-36A6DBBF16F7}" name="Nouvelle balise" totalsRowFunction="count" dataDxfId="1811" totalsRowDxfId="1810"/>
    <tableColumn id="8" xr3:uid="{56A311D2-6944-B44A-BA90-1B44FB783B25}" name="Nantes - balise" totalsRowFunction="count" dataDxfId="1809" totalsRowDxfId="1808"/>
    <tableColumn id="15" xr3:uid="{CC481BC4-1ACF-7849-B03D-7121652EE416}" name="Nantes - description" totalsRowFunction="count" dataDxfId="1807" totalsRowDxfId="1806"/>
    <tableColumn id="18" xr3:uid="{DA3EC825-B94E-6142-B1D1-58F763F6812E}" name="GT399" totalsRowFunction="count" dataDxfId="1805" totalsRowDxfId="1804"/>
    <tableColumn id="9" xr3:uid="{A60F6B9F-CF7A-6F48-A3FD-7FC591506696}" name="GT399 description" totalsRowFunction="count" dataDxfId="1803" totalsRowDxfId="1802"/>
    <tableColumn id="10" xr3:uid="{F183E99A-8936-D242-9E2F-7DF202579449}" name="Priorisation" totalsRowFunction="count" dataDxfId="1801" totalsRowDxfId="1800"/>
    <tableColumn id="11" xr3:uid="{0C55DBEB-B030-EB40-8778-44C43E402B7D}" name="Cardinalité" dataDxfId="1799" totalsRowDxfId="1798"/>
    <tableColumn id="27" xr3:uid="{3EA0014F-1F9E-3346-86AA-D19E79E32F71}" name="Objet" totalsRowFunction="count" dataDxfId="1797" totalsRowDxfId="1796"/>
    <tableColumn id="12" xr3:uid="{A3CD3B4C-97D3-9741-9A73-087C7A9F8936}" name="Format (ou type)" totalsRowFunction="count" dataDxfId="1795" totalsRowDxfId="1794"/>
    <tableColumn id="37" xr3:uid="{3FE45E5F-AD1E-7B48-BE25-BC7327DD16EC}" name="Nomenclature/ énumération" dataDxfId="1793" totalsRowDxfId="1792"/>
    <tableColumn id="31" xr3:uid="{9CB46CA4-597C-5148-8480-F8796E3C5AFD}" name="Détails de format" dataDxfId="1791" totalsRowDxfId="1790"/>
    <tableColumn id="36" xr3:uid="{97A47004-218F-7749-B82B-5B2AEE40A23C}" name="15-18" dataDxfId="1789" totalsRowDxfId="1788"/>
    <tableColumn id="35" xr3:uid="{544CEA0F-DCB5-C64C-9CDE-A40F1906888F}" name="15-15" dataDxfId="1787" totalsRowDxfId="1786"/>
    <tableColumn id="39" xr3:uid="{6DB8C4C4-E592-DA4D-B502-CA1F3A98FF18}" name="CUT" dataDxfId="1785" totalsRowDxfId="1784"/>
    <tableColumn id="19" xr3:uid="{F48E57B7-0080-CD4F-8CC0-D9866BEEABEE}" name="Commentaire Hub Santé" totalsRowFunction="count" dataDxfId="1783" totalsRowDxfId="1782"/>
    <tableColumn id="16" xr3:uid="{93611743-80E2-3A49-9F47-6E81E63C36BC}" name="Commentaire Philippe Dreyfus" totalsRowFunction="count" dataDxfId="1781" totalsRowDxfId="1780"/>
    <tableColumn id="33" xr3:uid="{E8582012-E1AA-5C48-84F3-81E85831EA3D}" name="Commentaire FBE" dataDxfId="1779" totalsRowDxfId="1778"/>
    <tableColumn id="17" xr3:uid="{10CD9342-79AA-B840-BD59-F6A02345EC01}" name="Commentaire Yann Penverne" totalsRowFunction="count" dataDxfId="1777" totalsRowDxfId="1776"/>
    <tableColumn id="20" xr3:uid="{36DD8A92-EC42-2849-A047-5EE0AABF1132}" name="NexSIS" totalsRowFunction="custom" dataDxfId="1775" totalsRowDxfId="1774">
      <totalsRowFormula>SUBTOTAL(103,createCase3[NexSIS])-COUNTIFS(createCase3[NexSIS],"=X")</totalsRowFormula>
    </tableColumn>
    <tableColumn id="22" xr3:uid="{055A2D99-D525-3349-A349-779652E6F495}" name="Métier" totalsRowFunction="custom" dataDxfId="1773" totalsRowDxfId="1772">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C2E237-CF17-49D4-BA3B-A5C3063E7BCB}" name="createCase142" displayName="createCase142" ref="A11:AD192" totalsRowCount="1" headerRowDxfId="1771" dataDxfId="1770" totalsRowDxfId="1769">
  <autoFilter ref="A11:AD191" xr:uid="{EF99425A-BF7C-494D-843B-A436A28F1D50}"/>
  <tableColumns count="30">
    <tableColumn id="26" xr3:uid="{ABF5D23D-E9BE-447B-A48E-850A8FE050AB}" name="ID" totalsRowFunction="count" dataDxfId="1768" totalsRowDxfId="1767"/>
    <tableColumn id="34" xr3:uid="{C603A664-BB7C-4E81-81F5-9AC771B920CE}" name="Donnée (Niveau 1)" dataDxfId="1766" totalsRowDxfId="1765"/>
    <tableColumn id="1" xr3:uid="{985EC22A-699F-4D1C-A0FF-90DCFB6591AE}" name="Donnée (Niveau 2)" totalsRowFunction="count" dataDxfId="1764" totalsRowDxfId="1763"/>
    <tableColumn id="2" xr3:uid="{9726EFFF-17E9-4567-9D61-3FDED4A1439C}" name="Donnée (Niveau 3)" totalsRowFunction="count" dataDxfId="1762" totalsRowDxfId="1761"/>
    <tableColumn id="3" xr3:uid="{DC2A9A2B-BD09-4CA3-892C-4DE6298A5712}" name="Donnée (Niveau 4)" totalsRowFunction="count" dataDxfId="1760" totalsRowDxfId="1759"/>
    <tableColumn id="4" xr3:uid="{B78C276D-8762-4642-9D7D-502A3706006F}" name="Donnée (Niveau 5)" totalsRowFunction="count" dataDxfId="1758" totalsRowDxfId="1757"/>
    <tableColumn id="5" xr3:uid="{E754A894-2972-4273-B6DD-CF0D8D93573D}" name="Donnée (Niveau 6)" totalsRowFunction="count" dataDxfId="1756" totalsRowDxfId="1755"/>
    <tableColumn id="6" xr3:uid="{24AAC4C6-656F-44C0-87E7-A586457237B4}" name="Description" totalsRowFunction="count" dataDxfId="1754" totalsRowDxfId="1753"/>
    <tableColumn id="14" xr3:uid="{5B142435-1C90-4234-8FB8-74C6ED9A57EB}" name="Exemples" totalsRowFunction="count" dataDxfId="1752" totalsRowDxfId="1751"/>
    <tableColumn id="7" xr3:uid="{23939F30-951A-4F60-A1C3-04B73AEA5803}" name="Balise NexSIS" totalsRowFunction="count" dataDxfId="1750" totalsRowDxfId="1749"/>
    <tableColumn id="21" xr3:uid="{DC207162-20F5-49F1-888F-349E9D3CC392}" name="Nouvelle balise" totalsRowFunction="count" dataDxfId="1748" totalsRowDxfId="1747"/>
    <tableColumn id="8" xr3:uid="{7556FAA0-1801-4DD7-900A-EE18363D5E82}" name="Nantes - balise" totalsRowFunction="count" dataDxfId="1746" totalsRowDxfId="1745"/>
    <tableColumn id="15" xr3:uid="{5FB127EE-7452-472C-AB5F-3281FCE1AA29}" name="Nantes - description" totalsRowFunction="count" dataDxfId="1744" totalsRowDxfId="1743"/>
    <tableColumn id="18" xr3:uid="{B55CBC10-E0E1-44C1-8A07-61AE2E43D1CB}" name="GT399" totalsRowFunction="count" dataDxfId="1742" totalsRowDxfId="1741"/>
    <tableColumn id="9" xr3:uid="{ED8CCBEC-AE8D-4416-B493-B3C4C06F7DE9}" name="GT399 description" totalsRowFunction="count" dataDxfId="1740" totalsRowDxfId="1739"/>
    <tableColumn id="10" xr3:uid="{46B3BCFD-A3E1-4528-930E-7787E8879562}" name="Priorisation" totalsRowFunction="count" dataDxfId="1738" totalsRowDxfId="1737"/>
    <tableColumn id="11" xr3:uid="{ABAA3778-8B61-4076-8B61-44A440D6CD31}" name="Cardinalité" dataDxfId="1736" totalsRowDxfId="1735"/>
    <tableColumn id="27" xr3:uid="{E5276C21-A4EF-4884-B4FB-C3E1823816EB}" name="Objet" totalsRowFunction="count" dataDxfId="1734" totalsRowDxfId="1733"/>
    <tableColumn id="12" xr3:uid="{5E7CF984-0D2D-4AB5-8857-24FA22847AFC}" name="Format (ou type)" totalsRowFunction="count" dataDxfId="1732" totalsRowDxfId="1731"/>
    <tableColumn id="37" xr3:uid="{2169D618-3BA4-45CD-952B-3014DC716E45}" name="Nomenclature/ énumération" dataDxfId="1730" totalsRowDxfId="1729"/>
    <tableColumn id="31" xr3:uid="{EC8DCE8F-9583-487D-94F2-441D28009773}" name="Détails de format" dataDxfId="1728" totalsRowDxfId="1727"/>
    <tableColumn id="36" xr3:uid="{2218AE1F-CDAB-423E-B754-D13BA6E01E7D}" name="Exos/RRAMU" dataDxfId="1726" totalsRowDxfId="1725"/>
    <tableColumn id="35" xr3:uid="{CF1EC0D3-4BCA-452A-AF26-36BE082E3351}" name="15-15" dataDxfId="1724" totalsRowDxfId="1723"/>
    <tableColumn id="39" xr3:uid="{4775AE16-DC68-4E34-8344-7B69CEBD7DD8}" name="CUT" dataDxfId="1722" totalsRowDxfId="1721"/>
    <tableColumn id="19" xr3:uid="{8FA91BE2-BC77-4525-BDE0-F6A9933290D7}" name="Commentaire Hub Santé" totalsRowFunction="count" dataDxfId="1720" totalsRowDxfId="1719"/>
    <tableColumn id="16" xr3:uid="{CFE0C64C-3AF3-4ED4-B261-757CDC0E4BAF}" name="Commentaire Philippe Dreyfus" totalsRowFunction="count" dataDxfId="1718" totalsRowDxfId="1717"/>
    <tableColumn id="33" xr3:uid="{DEAB7E62-6BC9-459A-9537-0973D7DAD581}" name="Commentaire FBE" dataDxfId="1716" totalsRowDxfId="1715"/>
    <tableColumn id="17" xr3:uid="{29D9B450-9ECA-42F9-BAF0-F3037CEEF915}" name="Commentaire Yann Penverne" totalsRowFunction="count" dataDxfId="1714" totalsRowDxfId="1713"/>
    <tableColumn id="20" xr3:uid="{DDA0A9DE-8EA2-4BC6-88A9-FC4FC0D98FFE}" name="NexSIS" totalsRowFunction="custom" dataDxfId="1712" totalsRowDxfId="1711">
      <totalsRowFormula>SUBTOTAL(103,createCase142[NexSIS])-COUNTIFS(createCase142[NexSIS],"=X")</totalsRowFormula>
    </tableColumn>
    <tableColumn id="22" xr3:uid="{1E79267D-7033-4469-BFCF-BBE2A69D6108}" name="Métier" totalsRowFunction="custom" dataDxfId="1710" totalsRowDxfId="1709">
      <totalsRowFormula>SUBTOTAL(103,createCase142[Métier])-COUNTIFS(createCase142[Métier],"=X")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E206" totalsRowCount="1" headerRowDxfId="1708" dataDxfId="1707" totalsRowDxfId="1706">
  <autoFilter ref="A8:AE205" xr:uid="{EF99425A-BF7C-494D-843B-A436A28F1D50}">
    <filterColumn colId="22">
      <customFilters>
        <customFilter operator="notEqual" val=" "/>
      </customFilters>
    </filterColumn>
  </autoFilter>
  <tableColumns count="31">
    <tableColumn id="26" xr3:uid="{F89F79B0-EC13-4626-8B8B-E72803CF8D7F}" name="ID" totalsRowFunction="count" dataDxfId="61" totalsRowDxfId="30">
      <calculatedColumnFormula>ROW()-8</calculatedColumnFormula>
    </tableColumn>
    <tableColumn id="34" xr3:uid="{82D9E408-6E89-6548-8064-32C2C1C49796}" name="Donnée (Niveau 1)" dataDxfId="60" totalsRowDxfId="29"/>
    <tableColumn id="1" xr3:uid="{A4D81CB2-5DBF-46A1-831A-3B0CB8713987}" name="Donnée (Niveau 2)" totalsRowFunction="count" dataDxfId="59" totalsRowDxfId="28"/>
    <tableColumn id="2" xr3:uid="{70FEA672-42A5-4D50-83E3-20F1DC99F826}" name="Donnée (Niveau 3)" totalsRowFunction="count" dataDxfId="58" totalsRowDxfId="27"/>
    <tableColumn id="3" xr3:uid="{E5F546D4-3F7C-49D3-ACAD-5C0AA86EEA72}" name="Donnée (Niveau 4)" totalsRowFunction="count" dataDxfId="57" totalsRowDxfId="26"/>
    <tableColumn id="4" xr3:uid="{C36F63D5-6F86-4068-8553-7E11F2FF2E34}" name="Donnée (Niveau 5)" totalsRowFunction="count" dataDxfId="56" totalsRowDxfId="25"/>
    <tableColumn id="5" xr3:uid="{BCD32C8B-1BF5-4152-A4E3-856EB454D41F}" name="Donnée (Niveau 6)" totalsRowFunction="count" dataDxfId="55" totalsRowDxfId="24"/>
    <tableColumn id="6" xr3:uid="{31AB271A-A79E-4AD6-A425-139013E5C0ED}" name="Description" totalsRowFunction="count" dataDxfId="54" totalsRowDxfId="23"/>
    <tableColumn id="14" xr3:uid="{42356E16-5C2C-47EF-96D9-1439EB52D654}" name="Exemples" totalsRowFunction="count" dataDxfId="53" totalsRowDxfId="22"/>
    <tableColumn id="7" xr3:uid="{05B3DFF6-BC4E-40A1-862A-0EBD5F2686D8}" name="Balise NexSIS" totalsRowFunction="custom" dataDxfId="33" totalsRowDxfId="21">
      <totalsRowFormula>SUBTOTAL(103,[1]!createCase[Balise NexSIS])</totalsRowFormula>
    </tableColumn>
    <tableColumn id="21" xr3:uid="{A67EAB5D-C889-4A87-AEDD-CB5D507B5224}" name="Nouvelle balise" totalsRowFunction="custom" dataDxfId="32" totalsRowDxfId="20">
      <totalsRowFormula>SUBTOTAL(103,[1]!createCase[Nouvelle balise])</totalsRowFormula>
    </tableColumn>
    <tableColumn id="8" xr3:uid="{142E6E6B-2EEA-41C0-969F-103EB7FEE77B}" name="Nantes - balise" totalsRowFunction="count" dataDxfId="52" totalsRowDxfId="19"/>
    <tableColumn id="15" xr3:uid="{4B3C95EC-2C41-42CE-9528-75F02E532B07}" name="Nantes - description" totalsRowFunction="count" dataDxfId="51" totalsRowDxfId="18"/>
    <tableColumn id="18" xr3:uid="{DD4C49C8-6EEB-4810-B6DF-F5EA0958E68F}" name="GT399" totalsRowFunction="count" dataDxfId="50" totalsRowDxfId="17"/>
    <tableColumn id="9" xr3:uid="{1EF347D1-5F3C-455F-B7CC-0411A0A13BA5}" name="GT399 description" totalsRowFunction="count" dataDxfId="49" totalsRowDxfId="16"/>
    <tableColumn id="10" xr3:uid="{A688C13F-43B2-4D38-AB61-5A8FA70F8877}" name="Priorisation" totalsRowFunction="count" dataDxfId="48" totalsRowDxfId="15"/>
    <tableColumn id="11" xr3:uid="{740E98DF-4145-4688-96B5-1DB2B4C65860}" name="Cardinalité" dataDxfId="47" totalsRowDxfId="14"/>
    <tableColumn id="27" xr3:uid="{5362BDCB-F398-463F-807C-5642BE8139A3}" name="Objet" totalsRowFunction="count" dataDxfId="46" totalsRowDxfId="13"/>
    <tableColumn id="12" xr3:uid="{F99D40B9-B75A-4B6D-AD14-A9CC94A67A94}" name="Format (ou type)" totalsRowFunction="custom" dataDxfId="31" totalsRowDxfId="12">
      <totalsRowFormula>SUBTOTAL(103,[1]!createCase[Format (ou type)])</totalsRowFormula>
    </tableColumn>
    <tableColumn id="37" xr3:uid="{C4249FC6-D549-4A35-98D7-D98FEFD604C7}" name="Nomenclature/ énumération" dataDxfId="45" totalsRowDxfId="11"/>
    <tableColumn id="31" xr3:uid="{165DCEEB-09D9-4414-9EB1-071322B65527}" name="Détails de format" dataDxfId="44" totalsRowDxfId="10"/>
    <tableColumn id="36" xr3:uid="{DFE77849-E589-4C00-A974-5EA32CAC9950}" name="15-18" dataDxfId="43" totalsRowDxfId="9"/>
    <tableColumn id="35" xr3:uid="{6F7422E5-A9F0-4CB5-94CC-23CADED3A1EA}" name="15-15" dataDxfId="42" totalsRowDxfId="8"/>
    <tableColumn id="24" xr3:uid="{84A6C4F7-D7B2-45A3-94D6-FA4C63F0BF6D}" name="15-SMUR" dataDxfId="41" totalsRowDxfId="7"/>
    <tableColumn id="39" xr3:uid="{D123E456-B227-404D-9075-2C12B6D79281}" name="CUT" dataDxfId="40" totalsRowDxfId="6"/>
    <tableColumn id="19" xr3:uid="{0E27CA97-E0CC-4707-8A95-C2EB8B822A50}" name="Commentaire Hub Santé" totalsRowFunction="count" dataDxfId="39" totalsRowDxfId="5"/>
    <tableColumn id="16" xr3:uid="{85C90A89-19FA-4640-8DE9-5BC81E29801A}" name="Commentaire Philippe Dreyfus" totalsRowFunction="count" dataDxfId="38" totalsRowDxfId="4"/>
    <tableColumn id="33" xr3:uid="{F9B7E469-F267-4217-89F6-2332B9BE9F00}" name="Commentaire FBE" dataDxfId="37" totalsRowDxfId="3"/>
    <tableColumn id="17" xr3:uid="{AF1719C0-5CFC-4F9F-8447-1E16DD154E8D}" name="Commentaire Yann Penverne" totalsRowFunction="count" dataDxfId="36" totalsRowDxfId="2"/>
    <tableColumn id="20" xr3:uid="{A1AC7405-8CAD-4797-ACD3-A6DB9BD4973A}" name="NexSIS" totalsRowFunction="custom" dataDxfId="35" totalsRowDxfId="1">
      <totalsRowFormula>SUBTOTAL(103,createCase[NexSIS])-COUNTIFS(createCase[NexSIS],"=X")</totalsRowFormula>
    </tableColumn>
    <tableColumn id="22" xr3:uid="{BFD15786-BC47-434A-8C58-1A07EC8D4305}" name="Métier" totalsRowFunction="custom" dataDxfId="34" totalsRowDxfId="0">
      <totalsRowFormula>SUBTOTAL(103,createCase[Métier])-COUNTIFS(createCase[Métier],"=X")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X91" totalsRowCount="1" headerRowDxfId="1705" dataDxfId="1704" totalsRowDxfId="1703">
  <autoFilter ref="A8:X90" xr:uid="{C92664FE-ED8F-46D7-9DD5-6F2E0861D6FF}">
    <filterColumn colId="17">
      <customFilters>
        <customFilter operator="notEqual" val=" "/>
      </customFilters>
    </filterColumn>
  </autoFilter>
  <tableColumns count="24">
    <tableColumn id="26" xr3:uid="{62D1D962-435E-445C-8176-6AFEE7ABB964}" name="ID" totalsRowFunction="count" dataDxfId="1702" totalsRowDxfId="1701"/>
    <tableColumn id="34" xr3:uid="{AF99D652-DA31-487A-8CE3-C43A9D0D0F82}" name="Donnée (Niveau 1)" dataDxfId="1700" totalsRowDxfId="1699"/>
    <tableColumn id="1" xr3:uid="{26624729-2378-4BE4-AF94-2AD83420E408}" name="Donnée (Niveau 2)" totalsRowFunction="count" dataDxfId="1698" totalsRowDxfId="1697"/>
    <tableColumn id="2" xr3:uid="{3DF2C155-D187-4F5C-A2F9-29CA2B2A18CC}" name="Donnée (Niveau 3)" totalsRowFunction="count" dataDxfId="1696" totalsRowDxfId="1695"/>
    <tableColumn id="3" xr3:uid="{DD16CD2E-7545-4983-AF64-50A47209731F}" name="Donnée (Niveau 4)" totalsRowFunction="count" dataDxfId="1694" totalsRowDxfId="1693"/>
    <tableColumn id="4" xr3:uid="{9201EFE0-C9BD-490F-B6AA-83311B09262F}" name="Donnée (Niveau 5)" totalsRowFunction="count" dataDxfId="1692" totalsRowDxfId="1691"/>
    <tableColumn id="5" xr3:uid="{20C32895-212D-4F26-B134-FBDF1FD4ED0E}" name="Donnée (Niveau 6)" totalsRowFunction="count" dataDxfId="1690" totalsRowDxfId="1689"/>
    <tableColumn id="6" xr3:uid="{036B2D7E-23E0-4814-B2FB-5C619B25F782}" name="Description" totalsRowFunction="count" dataDxfId="1688" totalsRowDxfId="1687"/>
    <tableColumn id="14" xr3:uid="{51A4E1A3-F3DC-4BAD-9F20-81B65F485A0D}" name="Exemples" totalsRowFunction="count" dataDxfId="1686" totalsRowDxfId="1685"/>
    <tableColumn id="7" xr3:uid="{E778FC69-A017-41C1-83AA-E451D575B2A3}" name="Balise NexSIS" dataDxfId="1684" totalsRowDxfId="1683"/>
    <tableColumn id="21" xr3:uid="{C6BE7A8E-F875-441C-BFA9-86D71B9EFF88}" name="Nouvelle balise" totalsRowFunction="count" dataDxfId="1682" totalsRowDxfId="1681"/>
    <tableColumn id="11" xr3:uid="{F10EE65F-1515-4AE2-9211-FD44F3EA5D3E}" name="Cardinalité" dataDxfId="1680" totalsRowDxfId="1679"/>
    <tableColumn id="27" xr3:uid="{B47DCBC0-7B24-497F-8892-323B08A42011}" name="Objet" totalsRowFunction="count" dataDxfId="1678" totalsRowDxfId="1677"/>
    <tableColumn id="12" xr3:uid="{15BDE3A9-E8A9-4EFC-A353-0269A66BC2B2}" name="Format (ou type)" totalsRowFunction="count" dataDxfId="1676" totalsRowDxfId="1675"/>
    <tableColumn id="37" xr3:uid="{046163B9-02C2-4347-B7FB-61E0432AAB68}" name="Nomenclature/ énumération" dataDxfId="1674" totalsRowDxfId="1673"/>
    <tableColumn id="31" xr3:uid="{20E92D64-29A1-4239-93C5-E8F762FFD8DE}" name="Détails de format" dataDxfId="1672" totalsRowDxfId="1671"/>
    <tableColumn id="36" xr3:uid="{636C128D-46D4-443D-9FB6-645B4E8390EC}" name="15-18" dataDxfId="1670" totalsRowDxfId="1669"/>
    <tableColumn id="35" xr3:uid="{3C17CD84-5847-4BD3-990E-46197D8D30CE}" name="15-15" dataDxfId="1668" totalsRowDxfId="1667"/>
    <tableColumn id="39" xr3:uid="{8F5DF9DE-3AC1-4BBF-B05B-904A5EB4D934}" name="CUT" dataDxfId="1666" totalsRowDxfId="1665"/>
    <tableColumn id="19" xr3:uid="{B90DC3CB-85F4-4D23-8DE4-7B4C05AC2236}" name="Commentaire Hub Santé" totalsRowFunction="count" dataDxfId="1664" totalsRowDxfId="1663"/>
    <tableColumn id="16" xr3:uid="{E17F6AB0-4FBD-425F-A071-573AD4BA0F3E}" name="Commentaire Philippe Dreyfus" totalsRowFunction="count" dataDxfId="1662" totalsRowDxfId="1661"/>
    <tableColumn id="33" xr3:uid="{7CFA00D6-8048-42E1-B541-BEA178D54E3E}" name="Commentaire FBE" dataDxfId="1660" totalsRowDxfId="1659"/>
    <tableColumn id="17" xr3:uid="{FC58F8C6-81B4-4955-A593-71BD7E5BDA7A}" name="Commentaire Yann Penverne" totalsRowFunction="count" dataDxfId="1658" totalsRowDxfId="1657"/>
    <tableColumn id="22" xr3:uid="{DB0180C0-781E-4165-87A4-8168655417AB}" name="Métier" totalsRowFunction="custom" dataDxfId="1656" totalsRowDxfId="1655">
      <totalsRowFormula>SUBTOTAL(103,createCase1418[Métier])-COUNTIFS(createCase1418[Métier],"=X")</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X62" totalsRowCount="1" headerRowDxfId="1654" dataDxfId="1653" totalsRowDxfId="1652">
  <autoFilter ref="A8:X61" xr:uid="{C92664FE-ED8F-46D7-9DD5-6F2E0861D6FF}"/>
  <tableColumns count="24">
    <tableColumn id="26" xr3:uid="{3D95D60D-4749-4205-B5A3-C40BC9083DDF}" name="ID" totalsRowFunction="count" dataDxfId="1651" totalsRowDxfId="1650"/>
    <tableColumn id="34" xr3:uid="{F55F9431-FBCC-4C37-BC99-DDE204E6AD66}" name="Donnée (Niveau 1)" dataDxfId="1649" totalsRowDxfId="1648"/>
    <tableColumn id="1" xr3:uid="{7BDE9DBC-8BFF-4962-94C8-303215EF6651}" name="Donnée (Niveau 2)" totalsRowFunction="count" dataDxfId="1647" totalsRowDxfId="1646"/>
    <tableColumn id="2" xr3:uid="{D40563B8-DCFF-4581-97D6-3BC1A593C4AB}" name="Donnée (Niveau 3)" totalsRowFunction="count" dataDxfId="1645" totalsRowDxfId="1644"/>
    <tableColumn id="3" xr3:uid="{25A7848B-AF8E-4993-88F6-92216A238470}" name="Donnée (Niveau 4)" totalsRowFunction="count" dataDxfId="1643" totalsRowDxfId="1642"/>
    <tableColumn id="4" xr3:uid="{AA50B053-891E-46D9-A92A-0E26EF075B7E}" name="Donnée (Niveau 5)" totalsRowFunction="count" dataDxfId="1641" totalsRowDxfId="1640"/>
    <tableColumn id="5" xr3:uid="{58A3E3FB-40F5-40E2-96F6-8C1C4AF04759}" name="Donnée (Niveau 6)" totalsRowFunction="count" dataDxfId="1639" totalsRowDxfId="1638"/>
    <tableColumn id="6" xr3:uid="{C62E45BF-811F-42E7-AB88-572B417F6150}" name="Description" totalsRowFunction="count" dataDxfId="1637" totalsRowDxfId="1636"/>
    <tableColumn id="14" xr3:uid="{F9F87B89-8446-4459-82BE-4CC3FDAE3D24}" name="Exemples" totalsRowFunction="count" dataDxfId="1635" totalsRowDxfId="1634"/>
    <tableColumn id="7" xr3:uid="{F4B052FA-031E-401E-BE7B-85F763764DFE}" name="Balise NexSIS" dataDxfId="1633" totalsRowDxfId="1632"/>
    <tableColumn id="21" xr3:uid="{48DE3666-C566-4CAB-B0A7-07A3209B6595}" name="Nouvelle balise" totalsRowFunction="count" dataDxfId="1631" totalsRowDxfId="1630"/>
    <tableColumn id="11" xr3:uid="{FD69FEBC-E70D-44C5-AD2D-C6CC2D1C0D06}" name="Cardinalité" dataDxfId="1629" totalsRowDxfId="1628"/>
    <tableColumn id="27" xr3:uid="{B5A842FA-9CEA-4996-A030-5CA520DDD42D}" name="Objet" totalsRowFunction="count" dataDxfId="1627" totalsRowDxfId="1626"/>
    <tableColumn id="12" xr3:uid="{A04D9211-F25C-4418-9545-A6F2966A3528}" name="Format (ou type)" totalsRowFunction="count" dataDxfId="1625" totalsRowDxfId="1624"/>
    <tableColumn id="37" xr3:uid="{4AA2533B-7EE3-47E8-A3C9-3721487911B2}" name="Nomenclature/ énumération" dataDxfId="1623" totalsRowDxfId="1622"/>
    <tableColumn id="31" xr3:uid="{5F33B9AF-8F57-40C0-B58A-2900055019D0}" name="Détails de format" dataDxfId="1621" totalsRowDxfId="1620"/>
    <tableColumn id="36" xr3:uid="{4350E4CE-9B26-491D-804C-0334C47A43C5}" name="15-18" dataDxfId="1619" totalsRowDxfId="1618"/>
    <tableColumn id="35" xr3:uid="{D25EA6AD-098C-4C6E-94BD-A321CF38C383}" name="15-15" dataDxfId="1617" totalsRowDxfId="1616"/>
    <tableColumn id="39" xr3:uid="{05BE7884-8749-4B81-B356-DDAA0EAB4864}" name="CUT" dataDxfId="1615" totalsRowDxfId="1614"/>
    <tableColumn id="19" xr3:uid="{6A104928-C33B-4AA9-A990-40B6C20E9D80}" name="Commentaire Hub Santé" totalsRowFunction="count" dataDxfId="1613" totalsRowDxfId="1612"/>
    <tableColumn id="16" xr3:uid="{712AA8BE-EBEC-4D34-9BE4-C551609D4A8E}" name="Commentaire Philippe Dreyfus" totalsRowFunction="count" dataDxfId="1611" totalsRowDxfId="1610"/>
    <tableColumn id="33" xr3:uid="{C7EF274F-4008-4396-97F1-6B640D914E6E}" name="Commentaire FBE" dataDxfId="1609" totalsRowDxfId="1608"/>
    <tableColumn id="17" xr3:uid="{BC6A7B64-7E37-4F83-AA3E-8E136D3C025C}" name="Commentaire Yann Penverne" totalsRowFunction="count" dataDxfId="1607" totalsRowDxfId="1606"/>
    <tableColumn id="22" xr3:uid="{FBAE91BA-4332-4036-98CF-545C9190993D}" name="Métier" totalsRowFunction="custom" dataDxfId="1605" totalsRowDxfId="1604">
      <totalsRowFormula>SUBTOTAL(103,createCase141814[Métier])-COUNTIFS(createCase141814[Métier],"=X")</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X43" totalsRowCount="1" headerRowDxfId="1603" dataDxfId="1602" totalsRowDxfId="1601">
  <autoFilter ref="A8:X42" xr:uid="{C92664FE-ED8F-46D7-9DD5-6F2E0861D6FF}"/>
  <tableColumns count="24">
    <tableColumn id="26" xr3:uid="{F0BBFE2C-91EC-4F63-8C42-7A13D8DB1773}" name="ID" totalsRowFunction="count" dataDxfId="1600" totalsRowDxfId="1599"/>
    <tableColumn id="34" xr3:uid="{D4146487-94AF-45AE-9337-108D3BA4CEB4}" name="Donnée (Niveau 1)" dataDxfId="1598" totalsRowDxfId="1597"/>
    <tableColumn id="1" xr3:uid="{6249CE60-4860-4AE5-B2FE-DC960F0E9986}" name="Donnée (Niveau 2)" totalsRowFunction="count" dataDxfId="1596" totalsRowDxfId="1595"/>
    <tableColumn id="2" xr3:uid="{C2D3DCAE-6928-4F1C-AF61-C37FEBF17CE7}" name="Donnée (Niveau 3)" totalsRowFunction="count" dataDxfId="1594" totalsRowDxfId="1593"/>
    <tableColumn id="3" xr3:uid="{33216364-1D3C-4C3A-9A87-FDF54DD48221}" name="Donnée (Niveau 4)" totalsRowFunction="count" dataDxfId="1592" totalsRowDxfId="1591"/>
    <tableColumn id="4" xr3:uid="{57EF9CD5-EC70-4A23-A60C-23D9F357C89F}" name="Donnée (Niveau 5)" totalsRowFunction="count" dataDxfId="1590" totalsRowDxfId="1589"/>
    <tableColumn id="5" xr3:uid="{9F84A053-8A83-4A58-AEB1-A4D4BC92B461}" name="Donnée (Niveau 6)" totalsRowFunction="count" dataDxfId="1588" totalsRowDxfId="1587"/>
    <tableColumn id="6" xr3:uid="{D1C161A6-6AE9-4A45-944C-37A17B71ECB9}" name="Description" totalsRowFunction="count" dataDxfId="1586" totalsRowDxfId="1585"/>
    <tableColumn id="14" xr3:uid="{B7506A0E-75D9-44A0-9C02-5DB0ECF2A955}" name="Exemples" totalsRowFunction="count" dataDxfId="1584" totalsRowDxfId="1583"/>
    <tableColumn id="7" xr3:uid="{75D58EAE-33E2-4457-BF72-961EB594E74F}" name="Balise NexSIS" dataDxfId="1582" totalsRowDxfId="1581"/>
    <tableColumn id="21" xr3:uid="{8064C132-A136-4348-BB46-3374B12E8118}" name="Nouvelle balise" totalsRowFunction="count" dataDxfId="1580" totalsRowDxfId="1579"/>
    <tableColumn id="11" xr3:uid="{07C5EC80-6F69-4BF2-A52F-A8DC0C68FDD5}" name="Cardinalité" dataDxfId="1578" totalsRowDxfId="1577"/>
    <tableColumn id="27" xr3:uid="{45AE51DB-A6BF-45B0-A5E3-450B57AFF1BE}" name="Objet" totalsRowFunction="count" dataDxfId="1576" totalsRowDxfId="1575"/>
    <tableColumn id="12" xr3:uid="{DDC6828F-2B6C-4E05-87D2-07F4D40557F4}" name="Format (ou type)" totalsRowFunction="count" dataDxfId="1574" totalsRowDxfId="1573"/>
    <tableColumn id="37" xr3:uid="{66657B31-D3ED-45B0-AFA9-C1A1912F21C1}" name="Nomenclature/ énumération" dataDxfId="1572" totalsRowDxfId="1571"/>
    <tableColumn id="31" xr3:uid="{FC0F3951-1CFE-4C1D-96D5-F355E8519DFE}" name="Détails de format" dataDxfId="1570" totalsRowDxfId="1569"/>
    <tableColumn id="36" xr3:uid="{E4D376D5-6C75-44C6-9C5A-2DB0ECCB6D64}" name="15-18" dataDxfId="1568" totalsRowDxfId="1567"/>
    <tableColumn id="35" xr3:uid="{EA11A1BC-8967-40FA-ADCD-0B84F05B4FB7}" name="15-15" dataDxfId="1566" totalsRowDxfId="1565"/>
    <tableColumn id="39" xr3:uid="{D31DD38F-C6EE-4749-A560-C7A57192A678}" name="CUT" dataDxfId="1564" totalsRowDxfId="1563"/>
    <tableColumn id="19" xr3:uid="{B19166B6-0C3E-4F4D-ADFE-C549689DAD0F}" name="Commentaire Hub Santé" totalsRowFunction="count" dataDxfId="1562" totalsRowDxfId="1561"/>
    <tableColumn id="16" xr3:uid="{4463EAB1-8B99-416B-81E7-7BF762EFF67F}" name="Commentaire Philippe Dreyfus" totalsRowFunction="count" dataDxfId="1560" totalsRowDxfId="1559"/>
    <tableColumn id="33" xr3:uid="{AEB9EA63-47DE-4EB1-98A2-28AF16C300B3}" name="Commentaire FBE" dataDxfId="1558" totalsRowDxfId="1557"/>
    <tableColumn id="17" xr3:uid="{A303D711-3B44-411C-AFCC-D94F65BB0726}" name="Commentaire Yann Penverne" totalsRowFunction="count" dataDxfId="1556" totalsRowDxfId="1555"/>
    <tableColumn id="22" xr3:uid="{05D5BA78-9525-42BB-9AA1-997AB030D68E}" name="Métier" totalsRowFunction="custom" dataDxfId="1554" totalsRowDxfId="1553">
      <totalsRowFormula>SUBTOTAL(103,createCase14181419[Métier])-COUNTIFS(createCase14181419[Métier],"=X")</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AF73" totalsRowCount="1" headerRowDxfId="1552" dataDxfId="1551" totalsRowDxfId="1550">
  <autoFilter ref="A8:AF72" xr:uid="{63D50B21-49FD-4724-931E-4B74BF8476B1}"/>
  <tableColumns count="32">
    <tableColumn id="26" xr3:uid="{8D5EDC39-215F-4E94-846A-3D4ACA1D2C53}" name="ID" totalsRowFunction="count" dataDxfId="1549" totalsRowDxfId="1548">
      <calculatedColumnFormula>ROW()-8</calculatedColumnFormula>
    </tableColumn>
    <tableColumn id="34" xr3:uid="{207093F4-4D8B-4CEB-9D2D-235D14641525}" name="Donnée (Niveau 1)" dataDxfId="1547" totalsRowDxfId="1546"/>
    <tableColumn id="1" xr3:uid="{9E73ABC5-269F-4BD3-9995-81E72371DAE3}" name="Donnée (Niveau 2)" totalsRowFunction="count" dataDxfId="1545" totalsRowDxfId="1544"/>
    <tableColumn id="2" xr3:uid="{2161A585-4F28-44FE-A023-7DB4D8C14776}" name="Donnée (Niveau 3)" totalsRowFunction="count" dataDxfId="1543" totalsRowDxfId="1542"/>
    <tableColumn id="3" xr3:uid="{B4AC3C84-E90A-41BE-8D7E-B00512446AA0}" name="Donnée (Niveau 4)" totalsRowFunction="count" dataDxfId="1541" totalsRowDxfId="1540"/>
    <tableColumn id="4" xr3:uid="{7625C9EB-D58E-42FE-879B-9F8F2027D9BC}" name="Donnée (Niveau 5)" totalsRowFunction="count" dataDxfId="1539" totalsRowDxfId="1538"/>
    <tableColumn id="5" xr3:uid="{F9A74558-8C8F-45C8-835B-46F0B31B479D}" name="Donnée (Niveau 6)" totalsRowFunction="count" dataDxfId="1537" totalsRowDxfId="1536"/>
    <tableColumn id="6" xr3:uid="{09509801-3591-48A7-8985-CCEA3490DE3C}" name="Description" totalsRowFunction="count" dataDxfId="1535" totalsRowDxfId="1534"/>
    <tableColumn id="14" xr3:uid="{8545E83F-C13A-48FC-82C5-4A224D3A6106}" name="Exemples" totalsRowFunction="count" dataDxfId="1533" totalsRowDxfId="1532"/>
    <tableColumn id="7" xr3:uid="{F7282465-AB67-4D8A-90B4-CAF4CDB5007B}" name="Balise NexSIS" totalsRowFunction="count" dataDxfId="1531" totalsRowDxfId="1530"/>
    <tableColumn id="21" xr3:uid="{44DD35C0-3D58-465E-82FF-70ABB11F29EF}" name="Nouvelle balise" totalsRowFunction="count" dataDxfId="1529" totalsRowDxfId="1528"/>
    <tableColumn id="8" xr3:uid="{8F87BED5-B74C-4B7A-B29D-D91C208A9F73}" name="Nantes - balise" totalsRowFunction="count" dataDxfId="1527" totalsRowDxfId="1526"/>
    <tableColumn id="15" xr3:uid="{718CC66C-29F4-4C63-B0E0-D70789F55F8F}" name="Nantes - description" totalsRowFunction="count" dataDxfId="1525" totalsRowDxfId="1524"/>
    <tableColumn id="18" xr3:uid="{65F92B88-E7A2-45E5-8796-E162FAED8248}" name="GT399" totalsRowFunction="count" dataDxfId="1523" totalsRowDxfId="1522"/>
    <tableColumn id="9" xr3:uid="{A24D6524-4257-4D93-94F9-A3667397DDBA}" name="GT399 description" totalsRowFunction="count" dataDxfId="1521" totalsRowDxfId="1520"/>
    <tableColumn id="10" xr3:uid="{E016D53B-CB5B-4F83-A1DA-7C210BE8E926}" name="Priorisation" totalsRowFunction="count" dataDxfId="1519" totalsRowDxfId="1518"/>
    <tableColumn id="11" xr3:uid="{17AE5B25-E42A-4545-AF36-AE2BF5D231F1}" name="Cardinalité" dataDxfId="1517" totalsRowDxfId="1516"/>
    <tableColumn id="27" xr3:uid="{0646FC2D-E448-497F-9566-96B9E754D7B3}" name="Objet" totalsRowFunction="count" dataDxfId="1515" totalsRowDxfId="1514"/>
    <tableColumn id="12" xr3:uid="{9F463A79-A8A7-456D-BC30-1910D14EEA3A}" name="Format (ou type)" totalsRowFunction="count" dataDxfId="1513" totalsRowDxfId="1512"/>
    <tableColumn id="37" xr3:uid="{B034C9F4-78BE-4F4D-9B79-BA9F5DAB2826}" name="Nomenclature/ énumération" dataDxfId="1511" totalsRowDxfId="1510"/>
    <tableColumn id="31" xr3:uid="{3158C7A2-A99D-4EF2-8BAE-8667747DCF73}" name="Détails de format" dataDxfId="1509" totalsRowDxfId="1508"/>
    <tableColumn id="36" xr3:uid="{89279DA3-D94C-4AAB-B817-DF00FFBA9888}" name="15-RPIS" dataDxfId="1507" totalsRowDxfId="1506"/>
    <tableColumn id="13" xr3:uid="{A70D290D-71CE-4BB5-8E04-3E3B951B7729}" name="15-SMUR" dataDxfId="1505" totalsRowDxfId="1504"/>
    <tableColumn id="23" xr3:uid="{FB137A89-375F-455A-9ADB-F409CB7B19B9}" name="15-18" dataDxfId="1503" totalsRowDxfId="1502"/>
    <tableColumn id="35" xr3:uid="{EE84F553-FEE7-4CD0-89C0-C8DD492F4429}" name="15-TSU" dataDxfId="1501" totalsRowDxfId="1500"/>
    <tableColumn id="39" xr3:uid="{DA320A45-45B6-4963-91DD-917A38D8DF49}" name="CUT" dataDxfId="1499" totalsRowDxfId="1498"/>
    <tableColumn id="19" xr3:uid="{FF109D4E-4787-4AB3-9E15-478656FCDADF}" name="Commentaire Hub Santé" totalsRowFunction="count" dataDxfId="1497" totalsRowDxfId="1496"/>
    <tableColumn id="16" xr3:uid="{642C8AF9-3354-4F6C-A37B-363B64C9780B}" name="Commentaire Philippe Dreyfus" totalsRowFunction="count" dataDxfId="1495" totalsRowDxfId="1494"/>
    <tableColumn id="33" xr3:uid="{44001357-ED08-4953-9C2E-B2302A17E223}" name="Commentaire FBE" dataDxfId="1493" totalsRowDxfId="1492"/>
    <tableColumn id="17" xr3:uid="{D9CE2245-CA19-44A0-94CC-CE702DFB5445}" name="Commentaire Yann Penverne" totalsRowFunction="count" dataDxfId="1491" totalsRowDxfId="1490"/>
    <tableColumn id="20" xr3:uid="{2A0BBAC6-9A77-4C1A-BA6E-777232E44EA6}" name="NexSIS" totalsRowFunction="custom" dataDxfId="1489" totalsRowDxfId="1488">
      <totalsRowFormula>SUBTOTAL(103,createCase2912[NexSIS])-COUNTIFS(createCase2912[NexSIS],"=X")</totalsRowFormula>
    </tableColumn>
    <tableColumn id="22" xr3:uid="{2D3A15A0-662A-48E8-A3A3-1095AE1804CC}" name="Métier" totalsRowFunction="custom" dataDxfId="1487" totalsRowDxfId="1486">
      <totalsRowFormula>SUBTOTAL(103,createCase2912[Métier])-COUNTIFS(createCase2912[Métier],"=X")</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AD93" totalsRowCount="1" headerRowDxfId="1485" dataDxfId="1484" totalsRowDxfId="1483">
  <autoFilter ref="A8:AD92" xr:uid="{61BCAC55-9BDD-436A-8C43-43FA10A8A29F}"/>
  <tableColumns count="30">
    <tableColumn id="26" xr3:uid="{588455DD-C3D5-4460-AC26-09BB83302193}" name="ID" totalsRowFunction="count" dataDxfId="1482" totalsRowDxfId="1481"/>
    <tableColumn id="34" xr3:uid="{75617E3F-38B8-498E-B488-E5382B8D8E59}" name="Donnée (Niveau 1)" dataDxfId="1480" totalsRowDxfId="1479"/>
    <tableColumn id="1" xr3:uid="{90A61A2B-B1CF-4E5B-AC63-E218B3506FE1}" name="Donnée (Niveau 2)" totalsRowFunction="count" dataDxfId="1478" totalsRowDxfId="1477"/>
    <tableColumn id="2" xr3:uid="{40B5ED06-C233-4300-B851-9639491A20EA}" name="Donnée (Niveau 3)" totalsRowFunction="count" dataDxfId="1476" totalsRowDxfId="1475"/>
    <tableColumn id="3" xr3:uid="{FE650810-91F2-43FA-A1A9-4ADEDDF019D9}" name="Donnée (Niveau 4)" totalsRowFunction="count" dataDxfId="1474" totalsRowDxfId="1473"/>
    <tableColumn id="4" xr3:uid="{67B0AC35-FCE9-4B98-A5B5-F79242422DED}" name="Donnée (Niveau 5)" totalsRowFunction="count" dataDxfId="1472" totalsRowDxfId="1471"/>
    <tableColumn id="5" xr3:uid="{5584FBA0-8C9A-4B74-996C-489E5B6D8B31}" name="Donnée (Niveau 6)" totalsRowFunction="count" dataDxfId="1470" totalsRowDxfId="1469"/>
    <tableColumn id="6" xr3:uid="{B561E47E-0EF4-4741-9318-11ED52CE2081}" name="Description" totalsRowFunction="count" dataDxfId="1468" totalsRowDxfId="1467"/>
    <tableColumn id="14" xr3:uid="{BCB241CF-864B-404B-9457-5CFCE283A52E}" name="Exemples" totalsRowFunction="count" dataDxfId="1466" totalsRowDxfId="1465"/>
    <tableColumn id="7" xr3:uid="{EAF17525-FE29-430A-A520-5F864853ED00}" name="Balise NexSIS" totalsRowFunction="count" dataDxfId="1464" totalsRowDxfId="1463"/>
    <tableColumn id="21" xr3:uid="{D0BFFE6C-4225-46D0-B895-F3676779BA23}" name="Nouvelle balise" totalsRowFunction="count" dataDxfId="1462" totalsRowDxfId="1461"/>
    <tableColumn id="8" xr3:uid="{3895610D-D4D5-42BF-BCF9-30A1A3C697D5}" name="Nantes - balise" totalsRowFunction="count" dataDxfId="1460" totalsRowDxfId="1459"/>
    <tableColumn id="15" xr3:uid="{A4C3AF04-789D-45AA-AF75-181EE5D3C889}" name="Nantes - description" totalsRowFunction="count" dataDxfId="1458" totalsRowDxfId="1457"/>
    <tableColumn id="18" xr3:uid="{0B319C5E-2B1A-48A1-AB5B-565B289E8E5A}" name="GT399" totalsRowFunction="count" dataDxfId="1456" totalsRowDxfId="1455"/>
    <tableColumn id="9" xr3:uid="{3270362B-AE6D-4A4F-9B53-9B4705420332}" name="GT399 description" totalsRowFunction="count" dataDxfId="1454" totalsRowDxfId="1453"/>
    <tableColumn id="10" xr3:uid="{7DFD36C3-C87A-40C8-A097-E0E6D15F31FF}" name="Priorisation" totalsRowFunction="count" dataDxfId="1452" totalsRowDxfId="1451"/>
    <tableColumn id="11" xr3:uid="{830A5A92-5BDB-4DBC-B7BB-71ACF59E0F86}" name="Cardinalité" dataDxfId="1450" totalsRowDxfId="1449"/>
    <tableColumn id="27" xr3:uid="{84308AE7-7DC0-4DF5-B1F2-D62629FB9721}" name="Objet" totalsRowFunction="count" dataDxfId="1448" totalsRowDxfId="1447"/>
    <tableColumn id="12" xr3:uid="{BC7634C4-D51C-4D1D-A74D-CA61CA757208}" name="Format (ou type)" totalsRowFunction="count" dataDxfId="1446" totalsRowDxfId="1445"/>
    <tableColumn id="37" xr3:uid="{66BD417D-8F82-43EE-8B74-84DF4CC46C92}" name="Nomenclature/ énumération" dataDxfId="1444" totalsRowDxfId="1443"/>
    <tableColumn id="31" xr3:uid="{57E65586-98BD-4335-934F-A093282E1FEE}" name="Détails de format" dataDxfId="1442" totalsRowDxfId="1441"/>
    <tableColumn id="36" xr3:uid="{8151D5CE-9DBC-4230-BFCD-A109E5501497}" name="15-18" dataDxfId="1440" totalsRowDxfId="1439"/>
    <tableColumn id="35" xr3:uid="{B2C9F5A2-91F5-468B-AE17-940BE1DE3870}" name="15-SMUR" dataDxfId="1438" totalsRowDxfId="1437"/>
    <tableColumn id="39" xr3:uid="{81AAA84E-9D2F-4ADE-9D78-C7DB3A5A2ACF}" name="15-ATSU" dataDxfId="1436" totalsRowDxfId="1435"/>
    <tableColumn id="19" xr3:uid="{0F82E793-70E1-4AE5-ACE7-7E8EB5091B93}" name="Commentaire Hub Santé" totalsRowFunction="count" dataDxfId="1434" totalsRowDxfId="1433"/>
    <tableColumn id="16" xr3:uid="{C59347C9-5FCC-40A9-8926-CA2A963211D3}" name="Commentaire Philippe Dreyfus" totalsRowFunction="count" dataDxfId="1432" totalsRowDxfId="1431"/>
    <tableColumn id="33" xr3:uid="{61C64199-FD5A-477C-9F67-38D22581EECF}" name="Commentaire FBE" dataDxfId="1430" totalsRowDxfId="1429"/>
    <tableColumn id="17" xr3:uid="{E78A9C85-C797-4A18-8685-52FDE2B659CA}" name="Commentaire Yann Penverne" totalsRowFunction="count" dataDxfId="1428" totalsRowDxfId="1427"/>
    <tableColumn id="20" xr3:uid="{F9D1F989-7BDE-4BE2-8178-8D906FAA358D}" name="NexSIS" totalsRowFunction="custom" dataDxfId="1426" totalsRowDxfId="1425">
      <totalsRowFormula>SUBTOTAL(103,createCase215[NexSIS])-COUNTIFS(createCase215[NexSIS],"=X")</totalsRowFormula>
    </tableColumn>
    <tableColumn id="22" xr3:uid="{736803F3-8344-4B8F-A1B7-881CC3FA1483}" name="Métier" totalsRowFunction="custom" dataDxfId="1424" totalsRowDxfId="1423">
      <totalsRowFormula>SUBTOTAL(103,createCase215[Métier])-COUNTIFS(createCase215[Métier],"=X")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U16" dT="2024-06-26T15:06:28.35" personId="{D6952652-30E5-479A-9FFE-AD0BC8CBB562}" id="{2571C809-1ED4-4A87-9436-BA6B734BA972}">
    <text>NOMENCLATURE : TBD</text>
  </threadedComment>
  <threadedComment ref="C17" dT="2024-03-27T13:51:12.15" personId="{D6952652-30E5-479A-9FFE-AD0BC8CBB562}" id="{0CE8A59F-6C67-4E3A-891B-3EA2B5782CF2}">
    <text>Type déduit par rapport à la localisation de l'intervention vs de la destination (ex. Si hospitalier alors sorite SMUR secondaire), et pour les TIH : idem plus niveau de médicalisation (=paramédical)</text>
  </threadedComment>
  <threadedComment ref="U23" dT="2024-06-26T15:06:45.74" personId="{D6952652-30E5-479A-9FFE-AD0BC8CBB562}" id="{406B982B-221E-4B6F-805E-FCD2C619A9DE}">
    <text>NOMENCLATURE : CISU-Code_Nature_de_fait</text>
  </threadedComment>
  <threadedComment ref="D24" dT="2024-03-26T14:48:00.56" personId="{D6952652-30E5-479A-9FFE-AD0BC8CBB562}" id="{AFBC43DC-22DD-45A7-94DB-0652D4386677}">
    <text xml:space="preserve">Quel libellé/code prendre ? </text>
  </threadedComment>
  <threadedComment ref="D24" dT="2024-03-26T14:50:37.20" personId="{D6952652-30E5-479A-9FFE-AD0BC8CBB562}" id="{12D414B6-9197-442F-966B-F11238AB8098}" parentId="{AFBC43DC-22DD-45A7-94DB-0652D4386677}">
    <text xml:space="preserve">Exemple : si accident routier entre un piéton et camion de marchandise, quel est le code à retenir ? AVPAR ? AVPARCAM ? AVPARPIE ? </text>
  </threadedComment>
  <threadedComment ref="D24" dT="2024-03-26T14:50:53.56" personId="{D6952652-30E5-479A-9FFE-AD0BC8CBB562}" id="{7123B02D-79C1-4AE4-A452-1757A424ABF5}" parentId="{AFBC43DC-22DD-45A7-94DB-0652D4386677}">
    <text>Ou est-ce à préciser dans le commentaire ?</text>
  </threadedComment>
  <threadedComment ref="U24" dT="2024-06-26T15:07:03.26" personId="{D6952652-30E5-479A-9FFE-AD0BC8CBB562}" id="{E265549A-6D43-4574-8B69-569761A7601F}">
    <text>NOMENCLATURE : CISU-Code_Nature_de_fait</text>
  </threadedComment>
  <threadedComment ref="U26" dT="2024-06-26T15:07:09.91" personId="{D6952652-30E5-479A-9FFE-AD0BC8CBB562}" id="{E00BA074-3AFE-4535-A9E3-0BC0993B7755}">
    <text>NOMENCLATURE : CISU-Code_Motif_patient-victime</text>
  </threadedComment>
  <threadedComment ref="U27" dT="2024-06-26T15:07:20.88" personId="{D6952652-30E5-479A-9FFE-AD0BC8CBB562}" id="{FFDEA987-EC4E-4898-B7F8-0077A5145849}">
    <text>NOMENCLATURE : CISU-Code_Motif_patient-victime</text>
  </threadedComment>
  <threadedComment ref="U28" dT="2024-06-26T15:07:32.04" personId="{D6952652-30E5-479A-9FFE-AD0BC8CBB562}" id="{C5123DED-92B6-4270-B0EF-6AA4935B6DB7}">
    <text>NOMENCLATURE : SI-SAMU-NIVSOIN</text>
  </threadedComment>
  <threadedComment ref="C31" dT="2024-03-27T13:59:13.40" personId="{D6952652-30E5-479A-9FFE-AD0BC8CBB562}" id="{E217C0E1-E310-4516-9319-75E49215DCA3}">
    <text xml:space="preserve">Comment gérer le fait que la date de naissance n'est pas toujours connu, et que seul un âge est saisi ? </text>
  </threadedComment>
  <threadedComment ref="U32" dT="2024-06-26T15:07:55.88" personId="{D6952652-30E5-479A-9FFE-AD0BC8CBB562}" id="{D8507318-6C1E-42B9-91CC-02C097D143E6}">
    <text>NOMENCLATURE : SI-SAMU-NOMENC_SEXE</text>
  </threadedComment>
  <threadedComment ref="U39" dT="2024-06-26T15:08:08.20" personId="{D6952652-30E5-479A-9FFE-AD0BC8CBB562}" id="{3DD4CD4B-707C-45BC-B514-5DA68504E19E}">
    <text>NOMENCLATURE : CISU-Code_Type_de_lieu</text>
  </threadedComment>
  <threadedComment ref="U49" dT="2024-06-26T15:08:18.83" personId="{D6952652-30E5-479A-9FFE-AD0BC8CBB562}" id="{B0D80B79-8784-4074-B675-37516A78DEF3}">
    <text>NOMENCLATURE : TBD</text>
  </threadedComment>
  <threadedComment ref="U50" dT="2024-06-26T15:08:22.64" personId="{D6952652-30E5-479A-9FFE-AD0BC8CBB562}" id="{B6052CF4-31B2-42CA-A477-580F46F4CDB6}">
    <text>NOMENCLATURE : TBD</text>
  </threadedComment>
  <threadedComment ref="U51" dT="2024-06-26T15:08:26.45" personId="{D6952652-30E5-479A-9FFE-AD0BC8CBB562}" id="{6533153D-D1CF-4709-ACD4-DF00DD64857E}">
    <text>NOMENCLATURE : TBD</text>
  </threadedComment>
  <threadedComment ref="C61" dT="2024-03-25T16:05:53.08" personId="{D6952652-30E5-479A-9FFE-AD0BC8CBB562}" id="{CA9F7116-A69A-49A4-A9FD-112B11A9100E}">
    <text>Correspond également au motif de sans transport (soins sur place, refus de soins, refus de transport, décédé)</text>
  </threadedComment>
  <threadedComment ref="U61" dT="2024-06-26T15:08:38.02" personId="{D6952652-30E5-479A-9FFE-AD0BC8CBB562}" id="{63B3099B-A4CF-4BA7-9481-E0169EF14FC8}">
    <text>NOMENCLATURE : SI SAMU-NOMENC_DEVENIR_PAT</text>
  </threadedComment>
  <threadedComment ref="H64" dT="2024-03-27T14:38:41.61" personId="{D6952652-30E5-479A-9FFE-AD0BC8CBB562}" id="{91C7B266-0E0A-4462-A600-2FC08026D2AA}">
    <text>Pas de nomenclature dispo dans l'Excel partagé</text>
  </threadedComment>
  <threadedComment ref="U64" dT="2024-06-26T15:09:18.10" personId="{D6952652-30E5-479A-9FFE-AD0BC8CBB562}" id="{8206532D-FD3D-4673-8249-DF06EA04A8C5}">
    <text>NOMENCLATURE : TBD</text>
  </threadedComment>
  <threadedComment ref="U65" dT="2024-06-26T15:09:22.69" personId="{D6952652-30E5-479A-9FFE-AD0BC8CBB562}" id="{19827C95-BDF2-4B80-8428-C6F43454D705}">
    <text>NOMENCLATURE : TBD</text>
  </threadedComment>
  <threadedComment ref="D70" dT="2024-03-26T17:03:39.38" personId="{D6952652-30E5-479A-9FFE-AD0BC8CBB562}" id="{B49C2831-535E-4572-A161-4566AA17433A}">
    <text>Obligatoire si transport du patient vers une destination, facultatif si aucun transport</text>
  </threadedComment>
  <threadedComment ref="U70" dT="2024-06-26T15:09:42.75" personId="{D6952652-30E5-479A-9FFE-AD0BC8CBB562}" id="{C603E3B6-B536-4A6C-83B5-CED1B2AA960F}">
    <text>NOMENCLATURE : SI SAMU-TYPE_MOYEN</text>
  </threadedComment>
  <threadedComment ref="U71" dT="2024-06-26T15:09:54.60" personId="{D6952652-30E5-479A-9FFE-AD0BC8CBB562}" id="{AD69C5A2-53A5-45D3-BBCF-64FEB40BEEE9}">
    <text>NOMENCLATURE : CISU-TYPE_VECTEUR</text>
  </threadedComment>
  <threadedComment ref="U72" dT="2024-06-26T15:10:04.33" personId="{D6952652-30E5-479A-9FFE-AD0BC8CBB562}" id="{619C1B67-557E-4D65-84E3-7E6E30F47C7B}">
    <text>NOMENCLATURE : SI-SAMU-NIVSOIN</text>
  </threadedComment>
</ThreadedComments>
</file>

<file path=xl/threadedComments/threadedComment11.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2.xml><?xml version="1.0" encoding="utf-8"?>
<ThreadedComments xmlns="http://schemas.microsoft.com/office/spreadsheetml/2018/threadedcomments" xmlns:x="http://schemas.openxmlformats.org/spreadsheetml/2006/main">
  <threadedComment ref="J1" dT="2023-09-21T15:05:23.74" personId="{C9A89B3A-A5FD-6849-8E65-1CD4E6C7CFF2}" id="{479F015F-54AC-4C4B-A571-D82C1DB25F24}" done="1">
    <text>Valider avec NexSIS les noms des balises racines !! (message, createCase, emsi)</text>
  </threadedComment>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3.xml><?xml version="1.0" encoding="utf-8"?>
<ThreadedComments xmlns="http://schemas.microsoft.com/office/spreadsheetml/2018/threadedcomments" xmlns:x="http://schemas.openxmlformats.org/spreadsheetml/2006/main">
  <threadedComment ref="B9" dT="2023-09-25T11:44:28.72" personId="{C9A89B3A-A5FD-6849-8E65-1CD4E6C7CFF2}" id="{AE96FC88-5D60-4603-9229-530322B9B8F0}">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8E2736CB-164B-4485-9D32-152B7F6AF5B2}" parentId="{AE96FC88-5D60-4603-9229-530322B9B8F0}">
    <text>=&gt; A traiter ultérieurement avec le sujet de rapprochement de dossier/affaire</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4-04-19T13:17:48.56" personId="{E9A6DF60-F9B3-4BD0-BB8A-DE1D37E26830}" id="{9C816C17-63F7-4443-898B-193E759904F6}">
    <text>= priorité de régulation médicale dans le modèle actuel</text>
  </threadedComment>
  <threadedComment ref="H1" dT="2023-09-21T15:05:23.74" personId="{C9A89B3A-A5FD-6849-8E65-1CD4E6C7CFF2}" id="{4570E3BC-C741-489A-A78A-421EBE0A2EB1}" done="1">
    <text>Valider avec NexSIS les noms des balises racines !! (message, createCase, emsi)</text>
  </threadedComment>
  <threadedComment ref="B11" dT="2023-10-17T14:10:14.10" personId="{C9A89B3A-A5FD-6849-8E65-1CD4E6C7CFF2}" id="{450D2339-A705-4808-865A-DE47F86A9ED0}">
    <text xml:space="preserve">Le champs de ‘signalement’ a été supprimé finalement ? </text>
  </threadedComment>
  <threadedComment ref="B11" dT="2023-10-23T11:26:27.60" personId="{C9A89B3A-A5FD-6849-8E65-1CD4E6C7CFF2}" id="{32654A26-F1C3-4340-92DA-C6177612D8A6}" parentId="{450D2339-A705-4808-865A-DE47F86A9ED0}">
    <text>Ajouter un champs de statut local global du dossier ? Ou message de clôture ? Ou règle "après 24h clôt" ?</text>
  </threadedComment>
  <threadedComment ref="B11" dT="2023-11-08T13:34:34.60" personId="{ABFB0C52-AC18-4406-B6D7-B9BCF5A2A0D7}" id="{4C2AEB01-7D19-4253-B5A8-573136EDFC25}" parentId="{450D2339-A705-4808-865A-DE47F86A9ED0}">
    <text>A traiter avec NexSIS. Pour l'instant obligé de passer par un RC-EDA pour la gestion du statut</text>
  </threadedComment>
  <threadedComment ref="B12" dT="2023-09-25T11:44:28.72" personId="{C9A89B3A-A5FD-6849-8E65-1CD4E6C7CFF2}" id="{7AA19D51-1D33-4B9B-BE52-A2E51A3B53B1}">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12" dT="2023-11-08T13:35:34.96" personId="{ABFB0C52-AC18-4406-B6D7-B9BCF5A2A0D7}" id="{1791E887-9471-48C4-AE76-BABD5F205052}" parentId="{7AA19D51-1D33-4B9B-BE52-A2E51A3B53B1}">
    <text>=&gt; A traiter ultérieurement avec le sujet de rapprochement de dossier/affaire</text>
  </threadedComment>
  <threadedComment ref="H12" dT="2023-09-07T08:01:23.57" personId="{C9A89B3A-A5FD-6849-8E65-1CD4E6C7CFF2}" id="{542F91E3-E69C-4326-B2BD-75A564CC87B0}" done="1">
    <text>Bien clarifier comment on identifie le SAMU émetteur (SAMU76A ou SAMU761)</text>
  </threadedComment>
  <threadedComment ref="H12" dT="2023-09-07T09:36:20.81" personId="{ABFB0C52-AC18-4406-B6D7-B9BCF5A2A0D7}" id="{08BCB5EC-CD30-45DE-9195-D48EC53BBC01}" parentId="{542F91E3-E69C-4326-B2BD-75A564CC87B0}">
    <text># Références
Format NF399 : pays + CTA + date + # unique
Format NexSIS : SC-20211105-077-cga-AF18 (SC-AAAAMMJJ-{codeCGA}-AL|AF{SEQUENCE}) (toutes les alertes créent pas des affaires, affaires peuvent avoir plusieurs alertes)</text>
  </threadedComment>
  <threadedComment ref="H12" dT="2023-09-07T09:42:45.96" personId="{ABFB0C52-AC18-4406-B6D7-B9BCF5A2A0D7}" id="{918672B9-3755-4814-AFCB-FC84E4845240}" parentId="{542F91E3-E69C-4326-B2BD-75A564CC87B0}">
    <text>2 remarques : quand est-ce qu'on utilise AL ou AF ?
Id sur 4 digits, a priori ok vu le volume mais pas mega large =&gt; cout de passer à 6 digits par exemple ?</text>
  </threadedComment>
  <threadedComment ref="H12" dT="2023-09-18T13:00:04.67" personId="{C9A89B3A-A5FD-6849-8E65-1CD4E6C7CFF2}" id="{19D07C5F-6EE4-43EE-8675-FDCA04E1977A}" parentId="{542F91E3-E69C-4326-B2BD-75A564CC87B0}">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12" dT="2023-09-18T14:07:24.05" personId="{ABFB0C52-AC18-4406-B6D7-B9BCF5A2A0D7}" id="{A14E1466-9701-404C-B9E2-BFA6E6F5C5FE}" parentId="{542F91E3-E69C-4326-B2BD-75A564CC87B0}">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12" dT="2023-09-19T07:07:28.84" personId="{C9A89B3A-A5FD-6849-8E65-1CD4E6C7CFF2}" id="{D240442F-11DD-4176-ABFD-C04065DF37AE}" parentId="{542F91E3-E69C-4326-B2BD-75A564CC87B0}">
    <text>Voir avec NexSIS si c’est vraiment nécessaire où si on peut juste faire idStructure_idLocale ?</text>
  </threadedComment>
  <threadedComment ref="H12" dT="2023-09-21T14:49:44.43" personId="{ABFB0C52-AC18-4406-B6D7-B9BCF5A2A0D7}" id="{74F7897D-9B91-4CA8-8B09-E8C1567B6CD0}" parentId="{542F91E3-E69C-4326-B2BD-75A564CC87B0}">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12" dT="2023-09-22T08:17:55.35" personId="{ABFB0C52-AC18-4406-B6D7-B9BCF5A2A0D7}" id="{D1783902-3926-4F35-A11C-16633ED18D7B}" parentId="{542F91E3-E69C-4326-B2BD-75A564CC87B0}">
    <text>Remarque Olivier : contrainte sur le français</text>
  </threadedComment>
  <threadedComment ref="H12" dT="2023-09-22T08:30:01.21" personId="{ABFB0C52-AC18-4406-B6D7-B9BCF5A2A0D7}" id="{C898D658-0D76-4BB9-B205-210D9CDAD135}" parentId="{542F91E3-E69C-4326-B2BD-75A564CC87B0}">
    <text>Ajouter une explication sur l'utilité de la clé unique et pourquoi elle doit être intelligible</text>
  </threadedComment>
  <threadedComment ref="H12" dT="2023-09-22T08:31:56.77" personId="{ABFB0C52-AC18-4406-B6D7-B9BCF5A2A0D7}" id="{24F17CA9-15E9-4057-98CE-96FAAC7EF019}" parentId="{542F91E3-E69C-4326-B2BD-75A564CC87B0}">
    <text>Définir le concept de clé conventionnelle</text>
  </threadedComment>
  <threadedComment ref="C18" dT="2024-03-28T15:29:48.96" personId="{15E60E5B-8F12-4B01-8E2A-D3C877CDBAC1}" id="{427501DC-94D6-40AC-AB53-69343E8D716D}">
    <text>Main courante des ARM =&gt; liste</text>
  </threadedComment>
  <threadedComment ref="C19" dT="2024-04-19T13:17:48.56" personId="{E9A6DF60-F9B3-4BD0-BB8A-DE1D37E26830}" id="{2F3C1B5F-AE01-4255-B450-2BAE36EE9967}">
    <text>= priorité de régulation médicale dans le modèle actuel</text>
  </threadedComment>
  <threadedComment ref="C36" dT="2024-04-19T13:28:20.49" personId="{E9A6DF60-F9B3-4BD0-BB8A-DE1D37E26830}" id="{E589D130-0254-4A06-B0D4-786737C54D9C}">
    <text xml:space="preserve">Voir si ce n'est pas retrouvable dans Initial alert, via le centre de l'agent ? </text>
  </threadedComment>
  <threadedComment ref="D46" dT="2024-03-28T15:43:47.91" personId="{15E60E5B-8F12-4B01-8E2A-D3C877CDBAC1}" id="{35F4687D-6275-4358-8182-C47F7638BBD5}">
    <text>Exos gère pas les PK comme ça !</text>
  </threadedComment>
  <threadedComment ref="D46" dT="2024-03-28T15:44:06.37" personId="{15E60E5B-8F12-4B01-8E2A-D3C877CDBAC1}" id="{A5FE075D-D87E-4603-8086-A2C05FCDF476}" parentId="{35F4687D-6275-4358-8182-C47F7638BBD5}">
    <text>Sujet sur l’autoroute… comment on passe cette localisation (pas d’adresse)</text>
  </threadedComment>
  <threadedComment ref="C88" dT="2024-03-28T15:27:12.86" personId="{15E60E5B-8F12-4B01-8E2A-D3C877CDBAC1}" id="{A4803FCF-E02E-4083-84FC-92B40E7A9D5D}">
    <text>Exos a une liste de numéros avec en champs libre pour le type + un “numéro principal”</text>
  </threadedComment>
  <threadedComment ref="B165" dT="2024-03-28T15:39:50.94" personId="{15E60E5B-8F12-4B01-8E2A-D3C877CDBAC1}" id="{6D45BC39-07B8-4875-A22D-5F8881A6780E}">
    <text>Hors du périmètre Appel Limitrophe</text>
  </threadedComment>
  <threadedComment ref="B165" dT="2024-03-28T15:40:29.55" personId="{15E60E5B-8F12-4B01-8E2A-D3C877CDBAC1}" id="{C217A1BC-5A68-460F-A6D0-25E004350BC1}" parentId="{6D45BC39-07B8-4875-A22D-5F8881A6780E}">
    <text>A voir… Car ça permet de mettre dans le même cas d’embrayer sur la demande d’engagement de vecteur du SMAU d’en face</text>
  </threadedComment>
  <threadedComment ref="B165" dT="2024-03-28T15:41:27.88" personId="{15E60E5B-8F12-4B01-8E2A-D3C877CDBAC1}" id="{8E537B9A-9EE4-406F-8179-B6525B82450B}" parentId="{6D45BC39-07B8-4875-A22D-5F8881A6780E}">
    <text>Liste de textes libres déjà pour le moment</text>
  </threadedComment>
  <threadedComment ref="B173" dT="2024-03-28T15:39:05.51" personId="{15E60E5B-8F12-4B01-8E2A-D3C877CDBAC1}" id="{D4248A5B-AD83-4934-B056-EAEDD6CF723A}">
    <text>A rediscuter !!! Mais au de la de la création</text>
  </threadedComment>
  <threadedComment ref="C176" dT="2024-03-28T15:38:48.42" personId="{15E60E5B-8F12-4B01-8E2A-D3C877CDBAC1}" id="{DBE9B7AD-3774-41D9-9ECE-8156E962B9EF}">
    <text>Pompiers ont 2 missions : aller au chevet + faire transport.
Mais donc pas adapté…</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U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7" dT="2024-02-13T08:52:55.35" personId="{15E60E5B-8F12-4B01-8E2A-D3C877CDBAC1}" id="{B48A7EC2-5765-D74D-8FD6-A72604DA4537}">
    <text>Format : codeLabelComment
Détails : référence vers la nomenclature
Type Java : name</text>
  </threadedComment>
  <threadedComment ref="U17" dT="2023-12-20T16:35:44.18" personId="{9D129102-2382-4ACD-99FE-0A45F267AA1A}" id="{95402D26-313F-48EA-8BE2-DDC426A476B2}" done="1">
    <text>Voir nomenclature CISU Type de Lieu</text>
  </threadedComment>
  <threadedComment ref="U18" dT="2023-12-20T16:35:01.71" personId="{9D129102-2382-4ACD-99FE-0A45F267AA1A}" id="{D4A6E809-E116-4F43-AB47-04D882212A95}">
    <text>NOMENCLATURE: CISU-Code_Nature_de_fait</text>
  </threadedComment>
  <threadedComment ref="U20" dT="2023-12-20T16:35:44.18" personId="{9D129102-2382-4ACD-99FE-0A45F267AA1A}" id="{309DA0AD-08A5-48B1-8181-1F2CF88AD9D6}" done="1">
    <text>Voir nomenclature CISU Type de Lieu</text>
  </threadedComment>
  <threadedComment ref="U21" dT="2023-12-20T16:36:14.68" personId="{9D129102-2382-4ACD-99FE-0A45F267AA1A}" id="{69DA961E-023F-4CCC-87B8-5E0165FCFF9B}" done="1">
    <text>Voir nomenclature CISU Risque, menace et sensibilité</text>
  </threadedComment>
  <threadedComment ref="C22" dT="2023-11-24T15:15:04.35" personId="{E9A6DF60-F9B3-4BD0-BB8A-DE1D37E26830}" id="{77ED2E6B-DD8D-4E8A-8AF3-5F8BE44D831E}">
    <text>A l'étude  pour voir si on le sort de la qualification de l'affaire et on le met dans patient/victime ?</text>
  </threadedComment>
  <threadedComment ref="C22"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2"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2" dT="2023-12-20T16:36:51.39" personId="{9D129102-2382-4ACD-99FE-0A45F267AA1A}" id="{1B18AEB3-0A07-4B62-BA73-C6715D37DD3F}" parentId="{5B87F3E0-42AE-40C0-BFFC-2EB08FD229EA}">
    <text>Voir nomenclature CISU Motif de recours médico-secouriste</text>
  </threadedComment>
  <threadedComment ref="C23" dT="2023-11-24T15:48:08.70" personId="{E9A6DF60-F9B3-4BD0-BB8A-DE1D37E26830}" id="{C407DBF8-A3A1-42F8-99B5-D8013FA36506}">
    <text xml:space="preserve">Est-ce vraiment utile de s'échanger l'état du dossier ? Faut-il y ajouter le type ?  </text>
  </threadedComment>
  <threadedComment ref="C23"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3" dT="2023-12-21T16:51:07.27" personId="{C9A89B3A-A5FD-6849-8E65-1CD4E6C7CFF2}" id="{503E1939-9AA8-9C41-89C0-EFC69AC79A10}">
    <text>J’ai migré tous les champs dans case.details, ça te semble OK ?</text>
  </threadedComment>
  <threadedComment ref="U24" dT="2023-11-23T09:09:36.07" personId="{E9A6DF60-F9B3-4BD0-BB8A-DE1D37E26830}" id="{0CF29C07-A470-4C7E-BB1B-C82F21208545}" done="1">
    <text>Juste une énumération pour l'instant, pas de nomenclature dispo.</text>
  </threadedComment>
  <threadedComment ref="D25" dT="2024-06-05T16:01:43.92" personId="{E9A6DF60-F9B3-4BD0-BB8A-DE1D37E26830}" id="{015E6B0C-9481-45DD-953B-0C69799561A8}">
    <text>Totalement redondant avec le devenir du patient</text>
  </threadedComment>
  <threadedComment ref="K26" dT="2023-12-21T16:52:13.97" personId="{C9A89B3A-A5FD-6849-8E65-1CD4E6C7CFF2}" id="{B235209A-7B9D-8E41-9B21-8FAE478F4F5E}">
    <text>J’ai du mal à voir si les LRM où ont vraiment cette info !</text>
  </threadedComment>
  <threadedComment ref="U26" dT="2024-01-23T14:26:41.32" personId="{E9A6DF60-F9B3-4BD0-BB8A-DE1D37E26830}" id="{3163C301-BF45-42AC-9B93-9FA29CCC4160}" done="1">
    <text>Nomenclature SI-SAMU DEVENIRD</text>
  </threadedComment>
  <threadedComment ref="D27" dT="2023-12-13T14:39:37.97" personId="{E9A6DF60-F9B3-4BD0-BB8A-DE1D37E26830}" id="{E4B924E1-C80E-F54A-9F2A-990A48DF3558}">
    <text>L'info est-elle obligatoire pou les échanges 15-15</text>
  </threadedComment>
  <threadedComment ref="K27" dT="2023-12-21T16:52:53.15" personId="{C9A89B3A-A5FD-6849-8E65-1CD4E6C7CFF2}" id="{2D861FDF-831C-374B-ABFF-7A27C557F59A}">
    <text>Les P c’est les priorités ARM normalement, les propriétés de régulation médicales c’est les R1, R2, … non ? Est-ce qu’on passe que les P ? On passe les autres aussi ?</text>
  </threadedComment>
  <threadedComment ref="U27" dT="2024-01-23T14:29:06.44" personId="{E9A6DF60-F9B3-4BD0-BB8A-DE1D37E26830}" id="{F63CD7B6-7D33-47AE-8986-700F3EE32D5A}" done="1">
    <text>Nomenclature PRIORITE (fichier SI-SAMU envoyé par Philippe)</text>
  </threadedComment>
  <threadedComment ref="U28" dT="2024-01-24T11:06:36.27" personId="{E9A6DF60-F9B3-4BD0-BB8A-DE1D37E26830}" id="{AFBD8163-21DB-4F2E-A156-57821D6A83BF}" done="1">
    <text>NOMENCLATURE: GRAVITE_SF21.csv</text>
  </threadedComment>
  <threadedComment ref="X30" dT="2024-05-23T16:10:04.59" personId="{15E60E5B-8F12-4B01-8E2A-D3C877CDBAC1}" id="{FF1AF53E-AE58-E849-A74B-33EB38D418D2}">
    <text>Vu l’ENUM je ne pense pas que ça corresponde à ce que veut le métier donc je pense qu’il faut mieux l’enlever !</text>
  </threadedComment>
  <threadedComment ref="X30" dT="2024-05-28T08:51:33.03" personId="{D6952652-30E5-479A-9FFE-AD0BC8CBB562}" id="{3292C369-F092-4CD6-9BFE-02038285674D}" parentId="{FF1AF53E-AE58-E849-A74B-33EB38D418D2}">
    <text>On l'avait bien précisé à Philippe et Bruno que ça ne serait pas des chiffres 4, 5, mais ils trouvaient le champ intéressant quand même</text>
  </threadedComment>
  <threadedComment ref="C35"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5" dT="2023-11-06T17:45:16.48" personId="{ABFB0C52-AC18-4406-B6D7-B9BCF5A2A0D7}" id="{CB35003D-B559-4C2C-B525-CBD55DFD6D30}" parentId="{85B1EF9F-47F0-CE46-887A-E909D7720A3B}">
    <text>fait</text>
  </threadedComment>
  <threadedComment ref="S35" dT="2023-10-06T15:52:24.74" personId="{6D908C62-98CE-5042-81E4-8ACAD1B880FE}" id="{549DE6E2-3511-C04B-8E4F-68D4D815B7F2}" done="1">
    <text>Nader veut passer le nombre max de caractères de 80 à 255</text>
  </threadedComment>
  <threadedComment ref="C36" dT="2023-10-31T09:38:04.74" personId="{ABFB0C52-AC18-4406-B6D7-B9BCF5A2A0D7}" id="{925BDB3E-FDC8-4AE9-BBEA-7ACEF4FDDB2C}">
    <text>Revu avec NexSIS =&gt; à passer en optionnel</text>
  </threadedComment>
  <threadedComment ref="C36" dT="2023-11-08T13:43:03.47" personId="{ABFB0C52-AC18-4406-B6D7-B9BCF5A2A0D7}" id="{D4536E1A-F569-483C-9E68-8149326DCE2D}" parentId="{925BDB3E-FDC8-4AE9-BBEA-7ACEF4FDDB2C}">
    <text>A voir avec NexSIS</text>
  </threadedComment>
  <threadedComment ref="C36"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6" dT="2023-11-06T12:45:17.60" personId="{E9A6DF60-F9B3-4BD0-BB8A-DE1D37E26830}" id="{8AEC1623-DDE1-47FA-B84D-C6A42BA263BB}" done="1">
    <text>Ici il faut mettre uniquement le nom du lieu. Lieu-dit / quartier et le reste vont dans compléments de commune</text>
  </threadedComment>
  <threadedComment ref="H36" dT="2023-11-06T12:54:13.77" personId="{E9A6DF60-F9B3-4BD0-BB8A-DE1D37E26830}" id="{BA23A14C-1B94-4147-B3A7-F4DE0375E586}" parentId="{8AEC1623-DDE1-47FA-B84D-C6A42BA263BB}">
    <text>Lac / foret sont plutôt des types de lieu ? Sauf si spécifique, par exemple Foret de Fontainebleau</text>
  </threadedComment>
  <threadedComment ref="K39" dT="2024-06-27T10:08:17.66" personId="{15E60E5B-8F12-4B01-8E2A-D3C877CDBAC1}" id="{8E205FAD-EC7F-CB4F-A2BB-B0DB29358552}">
    <text>Migrer vers ID</text>
  </threadedComment>
  <threadedComment ref="U43" dT="2024-06-27T09:38:17.21" personId="{15E60E5B-8F12-4B01-8E2A-D3C877CDBAC1}" id="{E02762B5-82E6-5440-B82E-11E23C871FE9}">
    <text>@Elodie FALCIONI (EXT) Mettre une regex ?</text>
    <mentions>
      <mention mentionpersonId="{7BE279B9-8F27-BC45-83B6-868A8619E873}" mentionId="{DF58125E-301F-BD4B-B892-83AEA0924DEB}" startIndex="0" length="22"/>
    </mentions>
  </threadedComment>
  <threadedComment ref="U43"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U44" dT="2024-06-27T09:38:29.37" personId="{15E60E5B-8F12-4B01-8E2A-D3C877CDBAC1}" id="{163F467C-493A-FF4B-9552-51468A23F970}">
    <text>@Elodie FALCIONI (EXT) Mettre une ENUM ?</text>
    <mentions>
      <mention mentionpersonId="{7BE279B9-8F27-BC45-83B6-868A8619E873}" mentionId="{C74FA150-CC05-3B42-991D-A3FE86679F69}" startIndex="0" length="22"/>
    </mentions>
  </threadedComment>
  <threadedComment ref="U44" dT="2024-06-27T09:52:39.18" personId="{DF4F572D-2211-4D3A-83E1-5495966E637E}" id="{432E4FDA-7A74-4218-9B0D-749A31BFBD3B}" parentId="{163F467C-493A-FF4B-9552-51468A23F970}">
    <text>J'ai pas l'impression que y'en ai une : idem, sujet à creuser cet été</text>
  </threadedComment>
  <threadedComment ref="D5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5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5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51" dT="2023-06-15T08:20:05.47" personId="{C9A89B3A-A5FD-6849-8E65-1CD4E6C7CFF2}" id="{62D969EF-9883-4543-B543-50F15B16ED43}" parentId="{8DE310B9-0615-45CC-A644-35176EC52B6C}">
    <text>Rq : lieu-dits permettent aussi de séparer 2 rives</text>
  </threadedComment>
  <threadedComment ref="D5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51" dT="2023-06-15T08:21:45.68" personId="{C9A89B3A-A5FD-6849-8E65-1CD4E6C7CFF2}" id="{29E0E845-8D17-4F32-BBCA-3117A62A82CF}" parentId="{8DE310B9-0615-45CC-A644-35176EC52B6C}">
    <text>Pas sûr qu'on puisse les exploiter...</text>
  </threadedComment>
  <threadedComment ref="D51" dT="2023-06-15T08:22:12.60" personId="{C9A89B3A-A5FD-6849-8E65-1CD4E6C7CFF2}" id="{E22B87A0-3BCA-4E15-AB4D-3E7D7E799EF9}" parentId="{8DE310B9-0615-45CC-A644-35176EC52B6C}">
    <text xml:space="preserve">Autoroute dans un sens = 1 commune et lieu-dits pour les tronçons </text>
  </threadedComment>
  <threadedComment ref="D5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51" dT="2023-06-15T08:23:09.21" personId="{C9A89B3A-A5FD-6849-8E65-1CD4E6C7CFF2}" id="{3CC5A5F7-7E87-4EEE-8B8C-05E635D40FC7}" parentId="{8DE310B9-0615-45CC-A644-35176EC52B6C}">
    <text>Pas de dictionnaire opérationnel commun...</text>
  </threadedComment>
  <threadedComment ref="D5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W53" dT="2024-06-04T12:56:58.94" personId="{15E60E5B-8F12-4B01-8E2A-D3C877CDBAC1}" id="{75588454-9F61-0E44-BD9B-A83C2445A9CD}">
    <text>Passe aussi l’information du pays en 99XXX</text>
  </threadedComment>
  <threadedComment ref="C5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55" dT="2023-09-21T08:26:59.23" personId="{ABFB0C52-AC18-4406-B6D7-B9BCF5A2A0D7}" id="{DADC5CF8-F488-411A-AE3B-4C5106A577E2}" parentId="{49FC8FAC-1BAF-45B2-887C-3878DB0CEBFB}">
    <text>On peut limiter le nombre de détails à 20 par exemple</text>
  </threadedComment>
  <threadedComment ref="D64" dT="2023-11-28T09:23:33.55" personId="{E9A6DF60-F9B3-4BD0-BB8A-DE1D37E26830}" id="{8B068B41-6738-4D89-AE95-7DBE47687C8B}">
    <text xml:space="preserve">Faut-il utiliser un autre objet, déjà existant ? </text>
  </threadedComment>
  <threadedComment ref="Q67" dT="2023-10-26T21:36:55.27" personId="{C9A89B3A-A5FD-6849-8E65-1CD4E6C7CFF2}" id="{82E4F400-D3A9-2343-9417-D338A272253E}" done="1">
    <text>Nécessaire de le passer obligatoire pour NexSIS (retour Scriptal) ?</text>
  </threadedComment>
  <threadedComment ref="H76" dT="2023-06-15T08:29:05.80" personId="{C9A89B3A-A5FD-6849-8E65-1CD4E6C7CFF2}" id="{4ED4D63E-99DA-4C40-8B3F-74484A91486A}" done="1">
    <text>Pourquoi passer par EPSG-4326 et pas dire WGS-84 direct ?</text>
  </threadedComment>
  <threadedComment ref="H76" dT="2023-06-15T08:29:45.24" personId="{C9A89B3A-A5FD-6849-8E65-1CD4E6C7CFF2}" id="{7B030752-5833-4DC9-AD05-3BBB102E62CA}" parentId="{4ED4D63E-99DA-4C40-8B3F-74484A91486A}">
    <text>WGS système de projection et EPSG système de coordonnées ?</text>
  </threadedComment>
  <threadedComment ref="D77" dT="2023-09-21T18:09:18.83" personId="{ABFB0C52-AC18-4406-B6D7-B9BCF5A2A0D7}" id="{F2C29A76-9B08-4696-A7FF-552A24CA01B1}">
    <text xml:space="preserve">En attente précision NexSIS
</text>
  </threadedComment>
  <threadedComment ref="H77" dT="2023-11-06T15:00:23.61" personId="{ABFB0C52-AC18-4406-B6D7-B9BCF5A2A0D7}" id="{A443D7D1-FE76-42EE-B140-98BBD5AEDCB9}">
    <text>Attention, pas d'équivalent strict du GML en json</text>
  </threadedComment>
  <threadedComment ref="S77" dT="2023-09-15T20:46:47.38" personId="{C9A89B3A-A5FD-6849-8E65-1CD4E6C7CFF2}" id="{012A24E5-1C61-C948-94EB-DA71996DDD0A}">
    <text>Pourquoi est-ce une string ?</text>
  </threadedComment>
  <threadedComment ref="S77" dT="2023-09-19T08:55:24.63" personId="{ABFB0C52-AC18-4406-B6D7-B9BCF5A2A0D7}" id="{2CE0A4D5-A9D0-B446-954D-7A2E3627826C}" parentId="{012A24E5-1C61-C948-94EB-DA71996DDD0A}">
    <text>À confirmer avec NexSIS, est-ce qu'on passe bien un fichier .sketch via une string ?</text>
  </threadedComment>
  <threadedComment ref="S77" dT="2023-10-11T16:20:12.31" personId="{ABFB0C52-AC18-4406-B6D7-B9BCF5A2A0D7}" id="{8C0C028E-3F13-6B4C-A4F7-B631D9774BA4}" parentId="{012A24E5-1C61-C948-94EB-DA71996DDD0A}">
    <text>En attente exemple NexSIS</text>
  </threadedComment>
  <threadedComment ref="D78"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78"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78"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K78" dT="2024-06-27T10:08:58.07" personId="{15E60E5B-8F12-4B01-8E2A-D3C877CDBAC1}" id="{038EEFBA-873D-BF4F-BC98-82BD5944D394}">
    <text>Migrer vers externalAddressId</text>
  </threadedComment>
  <threadedComment ref="K79" dT="2024-06-27T10:08:47.06" personId="{15E60E5B-8F12-4B01-8E2A-D3C877CDBAC1}" id="{B4579BF8-D5A6-954A-AF8B-D211E912E114}">
    <text>Migrer vers source</text>
  </threadedComment>
  <threadedComment ref="K81" dT="2024-06-27T10:08:33.87" personId="{15E60E5B-8F12-4B01-8E2A-D3C877CDBAC1}" id="{15C8D4A9-7DA5-7B4D-998E-FB4B7E3D200B}">
    <text>Migrer vers ID</text>
  </threadedComment>
  <threadedComment ref="C82" dT="2024-03-26T16:28:29.15" personId="{C9A89B3A-A5FD-6849-8E65-1CD4E6C7CFF2}" id="{7BED2FAB-053B-044B-A4B2-EA939D9441D5}">
    <text>A enlever car géré dans le code INSEE -&gt; le spécifier dans la description de la balise du code INSEE</text>
  </threadedComment>
  <threadedComment ref="C82" dT="2024-03-26T16:29:50.91" personId="{C9A89B3A-A5FD-6849-8E65-1CD4E6C7CFF2}" id="{BFF9CC2C-E454-FC4D-83AA-267C05549E2E}" parentId="{7BED2FAB-053B-044B-A4B2-EA939D9441D5}">
    <text>Etranger : 99 + code pays https://medecine.univ-lorraine.fr/sites/medecine.univ-lorraine.fr/files/users/DU_DIU/03_codes_pays.pdf</text>
  </threadedComment>
  <threadedComment ref="H82" dT="2023-09-21T10:47:24.82" personId="{ABFB0C52-AC18-4406-B6D7-B9BCF5A2A0D7}" id="{F6DBF483-4352-48F3-A605-280A47B8FAE1}" done="1">
    <text>Voir si il y'a une nomenclature NexSIS</text>
  </threadedComment>
  <threadedComment ref="H82" dT="2023-10-11T16:20:34.55" personId="{ABFB0C52-AC18-4406-B6D7-B9BCF5A2A0D7}" id="{3D1BFA56-129F-4F59-AEC8-B2129F29C6DE}" parentId="{F6DBF483-4352-48F3-A605-280A47B8FAE1}">
    <text>=&gt; se rapprocher d'ISO</text>
  </threadedComment>
  <threadedComment ref="X82" dT="2024-05-16T10:06:42.41" personId="{D6952652-30E5-479A-9FFE-AD0BC8CBB562}" id="{9EEEA36D-4CCB-4E28-A80B-46F1DF7D5A2C}">
    <text>Le RS-EDA-SMUR n'a pas le champ Pays comme il peut être déterminé via le code INSEE plus haut</text>
  </threadedComment>
  <threadedComment ref="X82" dT="2024-05-23T16:09:31.21" personId="{15E60E5B-8F12-4B01-8E2A-D3C877CDBAC1}" id="{ED118667-D91C-5D46-B3F3-5BA58786F3FA}" parentId="{9EEEA36D-4CCB-4E28-A80B-46F1DF7D5A2C}">
    <text>Ca serait plutôt à répercuter partout que faire des exceptions !</text>
  </threadedComment>
  <threadedComment ref="X82" dT="2024-05-28T08:50:40.23" personId="{D6952652-30E5-479A-9FFE-AD0BC8CBB562}" id="{49547F39-D9E3-404F-ACDA-02AF63297224}" parentId="{9EEEA36D-4CCB-4E28-A80B-46F1DF7D5A2C}">
    <text>Je le mets</text>
  </threadedComment>
  <threadedComment ref="X83" dT="2024-05-23T16:10:29.53" personId="{15E60E5B-8F12-4B01-8E2A-D3C877CDBAC1}" id="{81700F22-8DFB-6A4A-BE92-3A0EE1C56D87}">
    <text>Pas nécessaire ???!!!</text>
  </threadedComment>
  <threadedComment ref="X83" dT="2024-05-28T08:50:31.42" personId="{D6952652-30E5-479A-9FFE-AD0BC8CBB562}" id="{8C76F549-1931-4EBA-9AD1-6FD559289C15}" parentId="{81700F22-8DFB-6A4A-BE92-3A0EE1C56D87}">
    <text>Si c'est un oubli je pense</text>
  </threadedComment>
  <threadedComment ref="B84"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84"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84"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84"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84" dT="2023-09-22T09:00:11.92" personId="{C9A89B3A-A5FD-6849-8E65-1CD4E6C7CFF2}" id="{E4DBF580-F695-1240-B403-399ED7FC597D}" parentId="{36EBE513-9CB4-3348-B010-D39B51DF2455}">
    <text>-&gt; Dans tous les cas, les LRM doivent prendre la plus récente !</text>
  </threadedComment>
  <threadedComment ref="Q84"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84" dT="2023-09-22T09:03:47.31" personId="{C9A89B3A-A5FD-6849-8E65-1CD4E6C7CFF2}" id="{864DEDA1-82F2-BE42-883E-A0DE68C6DABF}" parentId="{36EBE513-9CB4-3348-B010-D39B51DF2455}">
    <text>Nader creuse le sujet côté NexSIS pour voir comment c’est fait / modifiable côté NexSIS</text>
  </threadedComment>
  <threadedComment ref="Q84"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85" dT="2023-09-21T09:46:56.60" personId="{ABFB0C52-AC18-4406-B6D7-B9BCF5A2A0D7}" id="{2185076E-A743-4FEC-950F-43630CD6417E}" done="1">
    <text>REGEX à définir</text>
  </threadedComment>
  <threadedComment ref="Q85" dT="2023-10-16T11:55:16.89" personId="{C9A89B3A-A5FD-6849-8E65-1CD4E6C7CFF2}" id="{2A6A195C-5D26-FA4B-91BD-34DAEC1D051C}" done="1">
    <text>Pas vraiment géré côté Santé, possible de passer la cardinalité à 0..1 ?</text>
  </threadedComment>
  <threadedComment ref="C86" dT="2023-09-22T09:00:43.88" personId="{ABFB0C52-AC18-4406-B6D7-B9BCF5A2A0D7}" id="{C5B6241A-BACF-47B3-9FCB-3D62B0208AEB}" done="1">
    <text>Pour savoir quelle alerte utiliser dans une affaire :
=&gt; Regarder cette date de réception</text>
  </threadedComment>
  <threadedComment ref="D88" dT="2023-07-03T14:32:04.26" personId="{6D908C62-98CE-5042-81E4-8ACAD1B880FE}" id="{849D9658-5404-49CC-A650-D8E23CF68C04}">
    <text>Comment on gère le fait que des informations médicales et personnelles peuvent être saisies dans ce champs par le SAMU</text>
  </threadedComment>
  <threadedComment ref="D88" dT="2023-09-25T11:53:05.92" personId="{C9A89B3A-A5FD-6849-8E65-1CD4E6C7CFF2}" id="{7E857887-808A-2345-B2BE-7D90DB86AB49}" parentId="{849D9658-5404-49CC-A650-D8E23CF68C04}">
    <text>Quelle politique HDS côté NexSIS ?</text>
  </threadedComment>
  <threadedComment ref="J88" dT="2023-09-21T09:49:59.10" personId="{ABFB0C52-AC18-4406-B6D7-B9BCF5A2A0D7}" id="{2A4824BB-D066-2140-83DE-B56414A54146}" done="1">
    <text>Passer tous les champs dans un style freetext avec un label freetext</text>
  </threadedComment>
  <threadedComment ref="X88" dT="2024-05-23T16:11:09.54" personId="{15E60E5B-8F12-4B01-8E2A-D3C877CDBAC1}" id="{0E967918-B0FF-874A-A786-2C84A1372A97}">
    <text>Idem je pense que ça vaut le coup en 15-SMUR ! Par contre, je ne pense pas que ça doive être présent en 15-18 !</text>
  </threadedComment>
  <threadedComment ref="X88" dT="2024-05-28T08:52:53.86" personId="{D6952652-30E5-479A-9FFE-AD0BC8CBB562}" id="{A7DC5A76-4F13-4C60-AD87-A25CBA0CAEBC}" parentId="{0E967918-B0FF-874A-A786-2C84A1372A97}">
    <text>En 15-18 c'est le commentaire de l'alerte initiale (il est presque indispensable), je ne sais plus pourquoi Philippe et Bruno n'ont pas conservé ces champs, je peux les ajouter</text>
  </threadedComment>
  <threadedComment ref="D90" dT="2024-05-22T08:34:11.46" personId="{E9A6DF60-F9B3-4BD0-BB8A-DE1D37E26830}" id="{9C971BC8-B630-4062-8B21-00AD945C0670}">
    <text xml:space="preserve">Permet de passer les informations spécifiques à l' ARM sur le dossier </text>
  </threadedComment>
  <threadedComment ref="H92" dT="2023-09-20T13:13:53.48" personId="{ABFB0C52-AC18-4406-B6D7-B9BCF5A2A0D7}" id="{1045B670-B272-44B0-BDBC-183806654ACA}" done="1">
    <text>Un peu flou sur les valeurs autorisées pour le type canal, prévoir quelques grands types ? (style "tel", "mail", "other" etc)</text>
  </threadedComment>
  <threadedComment ref="H92" dT="2023-09-26T16:55:36.18" personId="{ABFB0C52-AC18-4406-B6D7-B9BCF5A2A0D7}" id="{E209311C-A599-460D-B95A-FD0D555846ED}" parentId="{1045B670-B272-44B0-BDBC-183806654ACA}">
    <text>Reprendre la nomenclature CHANNEL d'EMSI ?</text>
  </threadedComment>
  <threadedComment ref="H92" dT="2023-09-26T17:04:41.07" personId="{ABFB0C52-AC18-4406-B6D7-B9BCF5A2A0D7}" id="{51201774-5B67-4D66-A841-88BC6298DFB4}" parentId="{1045B670-B272-44B0-BDBC-183806654ACA}">
    <text>Pour aller au bout de la logique, le passer en objet CONTACT</text>
  </threadedComment>
  <threadedComment ref="U93" dT="2024-06-04T12:58:46.90" personId="{15E60E5B-8F12-4B01-8E2A-D3C877CDBAC1}" id="{B9304D63-9F9D-964F-8F86-CF50B77BBC82}">
    <text>Mettre une ENUM</text>
  </threadedComment>
  <threadedComment ref="U94" dT="2024-01-08T13:02:05.69" personId="{C9A89B3A-A5FD-6849-8E65-1CD4E6C7CFF2}" id="{564332DB-ADA6-844E-907A-3843E012B57E}">
    <text>N’autoriser que les n° de tel (PHNADD) et mettre la regex du n° de tel de l’interface : REGEX: tel:([#\+\*]|37000|00+)?[0-9]{2,15} ?</text>
  </threadedComment>
  <threadedComment ref="U94"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94" dT="2024-01-24T17:33:12.16" personId="{C9A89B3A-A5FD-6849-8E65-1CD4E6C7CFF2}" id="{216B13EB-ECF4-43F3-81A9-C97B25053F33}" parentId="{564332DB-ADA6-844E-907A-3843E012B57E}">
    <text>OK pas de souci, qui peut le plus peut le moins</text>
  </threadedComment>
  <threadedComment ref="H96" dT="2023-09-20T13:13:53.48" personId="{ABFB0C52-AC18-4406-B6D7-B9BCF5A2A0D7}" id="{66A8A844-C989-4951-BC67-0C2CE4D72C41}" done="1">
    <text>Un peu flou sur les valeurs autorisées pour le type canal, prévoir quelques grands types ? (style "tel", "mail", "other" etc)</text>
  </threadedComment>
  <threadedComment ref="H96" dT="2023-09-26T16:55:36.18" personId="{ABFB0C52-AC18-4406-B6D7-B9BCF5A2A0D7}" id="{2CC3B374-4DA3-4924-B29D-9C3DC3476934}" parentId="{66A8A844-C989-4951-BC67-0C2CE4D72C41}">
    <text>Reprendre la nomenclature CHANNEL d'EMSI ?</text>
  </threadedComment>
  <threadedComment ref="H96" dT="2023-09-26T17:04:41.07" personId="{ABFB0C52-AC18-4406-B6D7-B9BCF5A2A0D7}" id="{A41A7BCE-8B3F-4373-95A0-C79FD31F6B56}" parentId="{66A8A844-C989-4951-BC67-0C2CE4D72C41}">
    <text>Pour aller au bout de la logique, le passer en objet CONTACT</text>
  </threadedComment>
  <threadedComment ref="Q96" dT="2023-09-18T14:50:47.97" personId="{ABFB0C52-AC18-4406-B6D7-B9BCF5A2A0D7}" id="{449D854F-D1BC-4874-A270-C7FBD5C53315}">
    <text>A priori un seul appelant à l'origine mais potentiellement plusieurs données de contact en retour ?</text>
  </threadedComment>
  <threadedComment ref="Q96" dT="2023-11-08T14:07:11.17" personId="{ABFB0C52-AC18-4406-B6D7-B9BCF5A2A0D7}" id="{4E0EDB80-0D0C-450A-A95B-31415A9B0896}" parentId="{449D854F-D1BC-4874-A270-C7FBD5C53315}">
    <text>Passer à 0..n</text>
  </threadedComment>
  <threadedComment ref="Q96"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96"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96"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96"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97" dT="2023-09-21T09:55:48.46" personId="{ABFB0C52-AC18-4406-B6D7-B9BCF5A2A0D7}" id="{D22EB006-FD31-4905-A0BA-E809AB322C44}" done="1">
    <text>Demander en annexe côté NexSIS si ils mettent une nomenclature</text>
  </threadedComment>
  <threadedComment ref="H97" dT="2023-09-25T11:54:42.17" personId="{ABFB0C52-AC18-4406-B6D7-B9BCF5A2A0D7}" id="{897F4059-91E9-4A21-9A63-505005BA3B7B}" parentId="{D22EB006-FD31-4905-A0BA-E809AB322C44}">
    <text>=&gt; Utiliser le référentiel SI-SAMU pour les langues</text>
  </threadedComment>
  <threadedComment ref="H97" dT="2023-10-11T16:22:12.70" personId="{ABFB0C52-AC18-4406-B6D7-B9BCF5A2A0D7}" id="{146C9C91-4F95-4CAD-B7CF-0D1625D0D9F0}" parentId="{D22EB006-FD31-4905-A0BA-E809AB322C44}">
    <text>=&gt; Plutôt ISO finalement</text>
  </threadedComment>
  <threadedComment ref="U98" dT="2024-01-23T14:38:54.44" personId="{E9A6DF60-F9B3-4BD0-BB8A-DE1D37E26830}" id="{EC4CA26B-FA56-44B7-9485-D7650DC1B372}" done="1">
    <text xml:space="preserve">NOMENCLATURE: 
fichier Nomenclatures EDA, 
onglet Type de requérant
Nom de la nomenclature : TYPAPPLT
Nomenclatures EDA.xlsx </text>
    <extLst>
      <x:ext xmlns:xltc2="http://schemas.microsoft.com/office/spreadsheetml/2020/threadedcomments2" uri="{F7C98A9C-CBB3-438F-8F68-D28B6AF4A901}">
        <xltc2:checksum>1538094397</xltc2:checksum>
        <xltc2:hyperlink startIndex="102" length="22" url="https://esantegouv.sharepoint.com/:x:/r/sites/GED-Calypso/espace-projets/Espace%20Programme%20SISAMU/01%20-%20Equipe%20projet/07%20-%20Innovation%20et%20prospectif/12%20-%20Hub%20Sant%C3%A9/17%20-%20MDD/Nomenclatures/01%20-%20Base%20interne/Nomenclatures%20EDA.xlsx?d=w039d53fd3150471687447ecde70ec132&amp;csf=1&amp;web=1&amp;e=31QlwB"/>
      </x:ext>
    </extLst>
  </threadedComment>
  <threadedComment ref="U99" dT="2024-01-23T14:40:43.03" personId="{E9A6DF60-F9B3-4BD0-BB8A-DE1D37E26830}" id="{0EC36618-96EE-478D-81B9-54F0CAEE9F88}" done="1">
    <text>NOMENCLATURE: PBAPL_v1r01a.csv</text>
  </threadedComment>
  <threadedComment ref="D100" dT="2023-10-17T14:05:10.67" personId="{C9A89B3A-A5FD-6849-8E65-1CD4E6C7CFF2}" id="{0700921D-3E22-E44A-B10A-66139D58EFD3}" done="1">
    <text>Inetum a une codification ! Pas possible de faire concordance sur du texte libre… Avoir une nomenclature + libre ?</text>
  </threadedComment>
  <threadedComment ref="D100"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100" dT="2023-06-15T07:45:15.69" personId="{C9A89B3A-A5FD-6849-8E65-1CD4E6C7CFF2}" id="{8B70DA13-018B-4BE7-9D85-CAD41DEDE16B}" done="1">
    <text>Avoir une nomenclature ?</text>
  </threadedComment>
  <threadedComment ref="E100" dT="2023-06-16T08:45:22.06" personId="{6D908C62-98CE-5042-81E4-8ACAD1B880FE}" id="{12BEE0B6-53B7-4B84-A323-4525B9F070DD}" parentId="{8B70DA13-018B-4BE7-9D85-CAD41DEDE16B}">
    <text>Champs libre côté NexSIS</text>
  </threadedComment>
  <threadedComment ref="E100"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100" dT="2023-06-22T17:50:55.63" personId="{C9A89B3A-A5FD-6849-8E65-1CD4E6C7CFF2}" id="{2D2C7BD2-8228-41A1-A494-53F903F3574F}" parentId="{8B70DA13-018B-4BE7-9D85-CAD41DEDE16B}">
    <text>https://ansforge.github.io/SAMU-interface-LRM/DST%20SI%20SAMU%20Interfa%C3%A7age%20LRM_V1.2.pdf</text>
  </threadedComment>
  <threadedComment ref="E100" dT="2023-06-23T08:39:19.32" personId="{C9A89B3A-A5FD-6849-8E65-1CD4E6C7CFF2}" id="{EC8F23F2-468E-44A3-AE50-6327E2B06555}" parentId="{8B70DA13-018B-4BE7-9D85-CAD41DEDE16B}">
    <text>=&gt; OK pour une approche “nomenclature libre”</text>
  </threadedComment>
  <threadedComment ref="J100" dT="2023-09-21T09:56:11.24" personId="{C9A89B3A-A5FD-6849-8E65-1CD4E6C7CFF2}" id="{7C96A85F-62E6-934A-BD5E-8CBADF54B117}" done="1">
    <text>freetext ?</text>
  </threadedComment>
  <threadedComment ref="E101" dT="2023-06-16T08:45:57.42" personId="{6D908C62-98CE-5042-81E4-8ACAD1B880FE}" id="{456C6261-46FE-47A3-ABE3-21780523066A}" done="1">
    <text>Réfléchir à une structure récursive / détaillée également</text>
  </threadedComment>
  <threadedComment ref="E101" dT="2023-06-22T17:55:16.22" personId="{C9A89B3A-A5FD-6849-8E65-1CD4E6C7CFF2}" id="{E99CE092-3BC0-4BC8-B207-43E0B20784D0}" parentId="{456C6261-46FE-47A3-ABE3-21780523066A}">
    <text>callerName 
- complete (basé sur un template {firstName} {lastName})
- firstName
- lastName</text>
  </threadedComment>
  <threadedComment ref="E101" dT="2023-06-23T08:42:43.54" personId="{C9A89B3A-A5FD-6849-8E65-1CD4E6C7CFF2}" id="{FAA64B8B-3383-4504-879B-0CFB30392649}" parentId="{456C6261-46FE-47A3-ABE3-21780523066A}">
    <text>Complete ? Aggregated ? Full ? 
-&gt; Nader regarde si le SitRep propose des trucs comme ça</text>
  </threadedComment>
  <threadedComment ref="E101" dT="2023-06-30T08:32:08.88" personId="{C9A89B3A-A5FD-6849-8E65-1CD4E6C7CFF2}" id="{26DEA5A2-F472-42AB-8F87-859012FF50F6}" parentId="{456C6261-46FE-47A3-ABE3-21780523066A}">
    <text>Ok de le présenter comme ça sur le 4 juillet, on avisera ensuite en fonction du SItrep</text>
  </threadedComment>
  <threadedComment ref="E104" dT="2023-09-25T11:56:28.41" personId="{ABFB0C52-AC18-4406-B6D7-B9BCF5A2A0D7}" id="{F862C684-B65A-4FC1-AEC4-870221995080}" done="1">
    <text>Règle sur les prénoms pour les prénoms composés</text>
  </threadedComment>
  <threadedComment ref="E104" dT="2023-10-11T14:32:18.84" personId="{E9A6DF60-F9B3-4BD0-BB8A-DE1D37E26830}" id="{B9E4C68E-9524-4FA5-84AF-6EF596D19BF3}" parentId="{F862C684-B65A-4FC1-AEC4-870221995080}">
    <text>De quelle règle parle-t-on ? 
Et pour les noms composés pas de règle ?</text>
  </threadedComment>
  <threadedComment ref="E104" dT="2023-10-11T16:23:17.75" personId="{ABFB0C52-AC18-4406-B6D7-B9BCF5A2A0D7}" id="{01379FDB-1840-4004-B244-23F1BA83A282}" parentId="{F862C684-B65A-4FC1-AEC4-870221995080}">
    <text>Pas de règle a date justement pour les prénoms composés =&gt; libre</text>
  </threadedComment>
  <threadedComment ref="F104" dT="2023-05-12T08:44:54.69" personId="{15E60E5B-8F12-4B01-8E2A-D3C877CDBAC1}" id="{6EB96170-F11A-4E55-BFF9-911EA46C448F}" done="1">
    <text>Pas possible de séparer dans l'interface. 
NexSIS regarde si la PFLAU envoie les 2 ensemble</text>
  </threadedComment>
  <threadedComment ref="C105" dT="2023-10-17T13:57:39.74" personId="{C9A89B3A-A5FD-6849-8E65-1CD4E6C7CFF2}" id="{F9DFBDFD-1215-9341-9E1E-3024F293D141}">
    <text>Localisation de l’appelant ? Ou d’intervention ?</text>
  </threadedComment>
  <threadedComment ref="C105" dT="2023-11-08T14:14:06.57" personId="{ABFB0C52-AC18-4406-B6D7-B9BCF5A2A0D7}" id="{EA2DA816-C4B8-4227-A75C-1BF943FC0D33}" parentId="{F9DFBDFD-1215-9341-9E1E-3024F293D141}">
    <text>Plutôt lieu ou se trouve l'appelant car lieu d'affaire renseigné en haut</text>
  </threadedComment>
  <threadedComment ref="D105" dT="2023-07-04T13:01:55.92" personId="{C9A89B3A-A5FD-6849-8E65-1CD4E6C7CFF2}" id="{A3B7AE35-2849-4423-8AE8-6B9911E6561D}" done="1">
    <text>Vont vraiment être différentes de la localisation de l’affaire ?</text>
  </threadedComment>
  <threadedComment ref="Q105" dT="2023-09-28T16:19:13.29" personId="{ABFB0C52-AC18-4406-B6D7-B9BCF5A2A0D7}" id="{902D6982-CF5B-4CB7-B9F4-E53F0BDFA27A}" done="1">
    <text>Obligatoire du coup vu qu'on a une location dans l'affaire ?</text>
  </threadedComment>
  <threadedComment ref="Q106" dT="2024-03-18T12:42:32.39" personId="{E9A6DF60-F9B3-4BD0-BB8A-DE1D37E26830}" id="{CC5C1D76-D97F-4BE5-B966-DD495B85204C}">
    <text>Retour de Philippe : peut-on le passer en optionnel, ce qui n'oblige pas les SAMU à répéter la qualification à chaque fois ?</text>
  </threadedComment>
  <threadedComment ref="D108" dT="2023-09-21T16:30:38.12" personId="{ABFB0C52-AC18-4406-B6D7-B9BCF5A2A0D7}" id="{663EEC70-25D1-4531-8E3C-8B803A28B6D5}" done="1">
    <text>Un concept emprunté au ROR est intéressant et transposable ici, parler d'unité de service pour décrire la plus petite maille</text>
  </threadedComment>
  <threadedComment ref="E108" dT="2023-06-15T07:50:06.13" personId="{C9A89B3A-A5FD-6849-8E65-1CD4E6C7CFF2}" id="{3BA75720-6FD7-4770-B19D-58D93FFDC9E8}" done="1">
    <text>Nomenclature sur ça ?</text>
  </threadedComment>
  <threadedComment ref="E108" dT="2023-06-22T21:24:05.20" personId="{C9A89B3A-A5FD-6849-8E65-1CD4E6C7CFF2}" id="{876E9C94-2532-4344-A05A-9DF2692B0ECD}" parentId="{3BA75720-6FD7-4770-B19D-58D93FFDC9E8}">
    <text>Juste réfléchir aux valeurs possibles : SDIS, SAMU, ... ?
Et les départements FRXXX en centre ?</text>
  </threadedComment>
  <threadedComment ref="D11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10" dT="2023-12-20T16:55:28.15" personId="{9D129102-2382-4ACD-99FE-0A45F267AA1A}" id="{32F7371F-532E-4483-BA02-85ED2898A502}">
    <text>je retire la croix tant que la nomenclature n'existe pas</text>
  </threadedComment>
  <threadedComment ref="U110" dT="2023-12-21T09:37:15.19" personId="{9D129102-2382-4ACD-99FE-0A45F267AA1A}" id="{17677DF8-67EB-4AE7-861C-BE96B97E6CBC}">
    <text>NOMENCLATURE: PERSO (nomenclature SI-SAMU)</text>
  </threadedComment>
  <threadedComment ref="U110" dT="2024-04-22T23:31:35.38" personId="{C9A89B3A-A5FD-6849-8E65-1CD4E6C7CFF2}" id="{71BCEEEF-3F43-C64A-A806-645F4875E0E2}" parentId="{17677DF8-67EB-4AE7-861C-BE96B97E6CBC}">
    <text xml:space="preserve">Pas trouvée https://github.com/ansforge/SAMU-Hub-Modeles/tree/auto/model_tracker/nomenclature_parser/out/latest/csv </text>
    <extLst>
      <x:ext xmlns:xltc2="http://schemas.microsoft.com/office/spreadsheetml/2020/threadedcomments2" uri="{F7C98A9C-CBB3-438F-8F68-D28B6AF4A901}">
        <xltc2:checksum>1645120837</xltc2:checksum>
        <xltc2:hyperlink startIndex="12" length="103" url="https://github.com/ansforge/SAMU-Hub-Modeles/tree/auto/model_tracker/nomenclature_parser/out/latest/csv"/>
      </x:ext>
    </extLst>
  </threadedComment>
  <threadedComment ref="H111" dT="2023-09-21T10:18:27.87" personId="{ABFB0C52-AC18-4406-B6D7-B9BCF5A2A0D7}" id="{7A1ACB5D-9506-421C-B92B-1CBD98910C4E}" done="1">
    <text>Aligner en mode URI</text>
  </threadedComment>
  <threadedComment ref="H111" dT="2023-09-26T17:04:33.97" personId="{ABFB0C52-AC18-4406-B6D7-B9BCF5A2A0D7}" id="{5E5E6B8C-D443-4F6F-8E17-7C83800DF187}" parentId="{7A1ACB5D-9506-421C-B92B-1CBD98910C4E}">
    <text>Pour aller au bout de la logique, le passer en objet CONTACT</text>
  </threadedComment>
  <threadedComment ref="H111" dT="2023-09-28T12:51:10.37" personId="{ABFB0C52-AC18-4406-B6D7-B9BCF5A2A0D7}" id="{28964279-F625-4E18-9B3A-1F4416C1598C}" parentId="{7A1ACB5D-9506-421C-B92B-1CBD98910C4E}">
    <text>Mettre attachement</text>
  </threadedComment>
  <threadedComment ref="X113" dT="2024-05-23T16:12:48.80" personId="{15E60E5B-8F12-4B01-8E2A-D3C877CDBAC1}" id="{7364402D-5058-2242-A016-E8B1E4183D63}">
    <text>A priori, peut-être plutôt le mettre partout pour le moment !</text>
  </threadedComment>
  <threadedComment ref="X113" dT="2024-05-28T08:53:31.04" personId="{D6952652-30E5-479A-9FFE-AD0BC8CBB562}" id="{E46131B4-BC1A-4AB3-9DEE-A10E46089C25}" parentId="{7364402D-5058-2242-A016-E8B1E4183D63}">
    <text>OK</text>
  </threadedComment>
  <threadedComment ref="T114" dT="2023-09-19T08:50:44.73" personId="{ABFB0C52-AC18-4406-B6D7-B9BCF5A2A0D7}" id="{07B5D5D0-B502-47B6-A891-DAEF39BCC4D8}" done="1">
    <text>Impose-t-on une liste de type de ressource ou est-ce laissé libre pour les éditeurs ?</text>
  </threadedComment>
  <threadedComment ref="U114" dT="2024-02-13T10:24:23.28" personId="{15E60E5B-8F12-4B01-8E2A-D3C877CDBAC1}" id="{8BCB09BF-A48C-8242-B3C8-18F71F97C7AD}">
    <text xml:space="preserve">Impose-t-on une liste de type de ressource ou est-ce laissé libre pour les éditeurs ?
</text>
  </threadedComment>
  <threadedComment ref="D119" dT="2023-09-21T10:23:46.33" personId="{ABFB0C52-AC18-4406-B6D7-B9BCF5A2A0D7}" id="{F7E40DD6-D14F-4AC4-95ED-C43838656AE4}">
    <text>Indiquer comment on fait le Hash =&gt; pas évident comme on fait le contrôle d'intégrité</text>
  </threadedComment>
  <threadedComment ref="D119" dT="2023-11-08T14:21:20.60" personId="{ABFB0C52-AC18-4406-B6D7-B9BCF5A2A0D7}" id="{1634B54C-DE58-48BE-B1A8-B8DC14E63DD3}" parentId="{F7E40DD6-D14F-4AC4-95ED-C43838656AE4}">
    <text>Sha-256</text>
  </threadedComment>
  <threadedComment ref="U120" dT="2024-01-24T10:54:29.36" personId="{E9A6DF60-F9B3-4BD0-BB8A-DE1D37E26830}" id="{3A4DE914-B324-41EC-B1CE-789615C59923}">
    <text>Implémenter ici la liste des valeurs fr.health.samu possible.</text>
  </threadedComment>
  <threadedComment ref="B121" dT="2023-11-14T15:29:39.07" personId="{E9A6DF60-F9B3-4BD0-BB8A-DE1D37E26830}" id="{A9F8EF48-108A-4EAB-A6C9-DAA6E6A1C56C}">
    <text>Objet Agent qui existe dans la qualification de l'affaire : à réutiliser ici ? Doit on ajouter nom prénom à l'objet ?</text>
  </threadedComment>
  <threadedComment ref="X121" dT="2024-05-23T16:13:26.77" personId="{15E60E5B-8F12-4B01-8E2A-D3C877CDBAC1}" id="{BACFA223-4DEE-A546-BEB9-1FAFD40935A9}">
    <text>Pourquoi pas ne le passer en 15-SMUR ? Ca peut permettre de savoir quel médecin régulateur a traité le dossier donc pratique lors du bilan/demande</text>
  </threadedComment>
  <threadedComment ref="B125" dT="2024-02-13T09:55:48.02" personId="{D6952652-30E5-479A-9FFE-AD0BC8CBB562}" id="{E40A2F45-E340-487F-9FD6-2404E4F5A700}">
    <text>A renvoyer dans le SGV</text>
  </threadedComment>
  <threadedComment ref="B12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25" dT="2023-07-06T14:47:40.47" personId="{ABFB0C52-AC18-4406-B6D7-B9BCF5A2A0D7}" id="{9EEB9362-90F5-494F-BB71-06EF0D54376B}" done="1">
    <text>Est-ce qu'il faut un objet Bilan qui incorpore les patients/victime ?</text>
  </threadedComment>
  <threadedComment ref="C125" dT="2023-07-12T08:35:36.42" personId="{ABFB0C52-AC18-4406-B6D7-B9BCF5A2A0D7}" id="{1D9D9BCA-BCEF-469D-983A-D2536F65A96C}" parentId="{9EEB9362-90F5-494F-BB71-06EF0D54376B}">
    <text>Il faudra à terme pouvoir faire le lien avec SGV</text>
  </threadedComment>
  <threadedComment ref="C125" dT="2023-11-14T20:28:23.68" personId="{E9A6DF60-F9B3-4BD0-BB8A-DE1D37E26830}" id="{8E067E92-BFB2-4B46-8AA0-21A22F61C7CC}" parentId="{9EEB9362-90F5-494F-BB71-06EF0D54376B}">
    <text>Le bilan se fait-il pour chaque patient/victime ? Si oui, le bilan est lié au patient</text>
  </threadedComment>
  <threadedComment ref="U129" dT="2023-07-04T15:19:48.30" personId="{C9A89B3A-A5FD-6849-8E65-1CD4E6C7CFF2}" id="{CB950F1D-7F07-43E1-850B-913CBE20F585}">
    <text>ENUM ?</text>
  </threadedComment>
  <threadedComment ref="U129" dT="2024-04-22T23:32:17.70" personId="{C9A89B3A-A5FD-6849-8E65-1CD4E6C7CFF2}" id="{A4261AF7-8ACA-E745-BB51-E7635EA12077}" parentId="{CB950F1D-7F07-43E1-850B-913CBE20F585}">
    <text>C’est quoi DOSSARD et PLACE ?</text>
  </threadedComment>
  <threadedComment ref="U129" dT="2024-06-27T09:49:08.89" personId="{15E60E5B-8F12-4B01-8E2A-D3C877CDBAC1}" id="{6D24BA93-7673-7E46-8BF5-A95473856B0D}" parentId="{CB950F1D-7F07-43E1-850B-913CBE20F585}">
    <text>@Elodie FALCIONI (EXT) Toujours la même question ? Ca vient de qui ?</text>
    <mentions>
      <mention mentionpersonId="{7BE279B9-8F27-BC45-83B6-868A8619E873}" mentionId="{52F217A2-2BCE-CE4A-B22B-A5933648F5FB}" startIndex="0" length="22"/>
    </mentions>
  </threadedComment>
  <threadedComment ref="U129" dT="2024-06-27T09:51:12.24" personId="{DF4F572D-2211-4D3A-83E1-5495966E637E}" id="{079B40F3-3953-4B6B-A2E6-B9AAC8E081F1}" parentId="{CB950F1D-7F07-43E1-850B-913CBE20F585}">
    <text>Ca vient du 15-18 avant que je sois là. Je pense que ça vient des pompiers ?</text>
  </threadedComment>
  <threadedComment ref="U129" dT="2024-06-27T09:54:05.64" personId="{DF4F572D-2211-4D3A-83E1-5495966E637E}" id="{716D1867-F6F6-4E02-BFD1-2A348386BFFE}" parentId="{CB950F1D-7F07-43E1-850B-913CBE20F585}">
    <text>Place c'est pour les crash d'avion ou de train ? 
et dossard pour les attentats pendant les marathons ?</text>
  </threadedComment>
  <threadedComment ref="H131" dT="2023-09-20T13:13:53.48" personId="{ABFB0C52-AC18-4406-B6D7-B9BCF5A2A0D7}" id="{258F99A5-CCAC-44B3-9CB2-E5E5FB7A031F}" done="1">
    <text>Un peu flou sur les valeurs autorisées pour le type canal, prévoir quelques grands types ? (style "tel", "mail", "other" etc)</text>
  </threadedComment>
  <threadedComment ref="H131" dT="2023-09-26T16:55:36.18" personId="{ABFB0C52-AC18-4406-B6D7-B9BCF5A2A0D7}" id="{2429CD2E-1350-4C77-B1E7-D9BF95D0DE0F}" parentId="{258F99A5-CCAC-44B3-9CB2-E5E5FB7A031F}">
    <text>Reprendre la nomenclature CHANNEL d'EMSI ?</text>
  </threadedComment>
  <threadedComment ref="H131" dT="2023-09-26T17:04:41.07" personId="{ABFB0C52-AC18-4406-B6D7-B9BCF5A2A0D7}" id="{1586761D-C2A8-459D-A734-E7C93943C0A9}" parentId="{258F99A5-CCAC-44B3-9CB2-E5E5FB7A031F}">
    <text>Pour aller au bout de la logique, le passer en objet CONTACT</text>
  </threadedComment>
  <threadedComment ref="Q13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37" dT="2024-01-23T15:00:16.04" personId="{E9A6DF60-F9B3-4BD0-BB8A-DE1D37E26830}" id="{47F99561-A768-4B9A-96FB-A8753B229875}">
    <text>vérifier le format du numéro RPPS seulement, ne pas implémenter la nomenclature complète</text>
  </threadedComment>
  <threadedComment ref="H139" dT="2023-09-20T13:13:53.48" personId="{ABFB0C52-AC18-4406-B6D7-B9BCF5A2A0D7}" id="{647A8527-7AF1-45AA-BB58-53C964C0E6F0}" done="1">
    <text>Un peu flou sur les valeurs autorisées pour le type canal, prévoir quelques grands types ? (style "tel", "mail", "other" etc)</text>
  </threadedComment>
  <threadedComment ref="H139" dT="2023-09-26T16:55:36.18" personId="{ABFB0C52-AC18-4406-B6D7-B9BCF5A2A0D7}" id="{FECFF266-C864-428C-9966-9B138242FB95}" parentId="{647A8527-7AF1-45AA-BB58-53C964C0E6F0}">
    <text>Reprendre la nomenclature CHANNEL d'EMSI ?</text>
  </threadedComment>
  <threadedComment ref="H139" dT="2023-09-26T17:04:41.07" personId="{ABFB0C52-AC18-4406-B6D7-B9BCF5A2A0D7}" id="{72BF1BA8-2AFF-404A-9193-020D6474E505}" parentId="{647A8527-7AF1-45AA-BB58-53C964C0E6F0}">
    <text>Pour aller au bout de la logique, le passer en objet CONTACT</text>
  </threadedComment>
  <threadedComment ref="Q13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4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45" dT="2024-01-23T15:05:32.39" personId="{E9A6DF60-F9B3-4BD0-BB8A-DE1D37E26830}" id="{63885E42-5898-4ECF-8108-E0BD8B826BE8}">
    <text>Vérifier uniquement le format du matricule INS : 13 caractères alphanumériques + une clé sur 2 chiffres</text>
  </threadedComment>
  <threadedComment ref="U145" dT="2024-04-22T23:33:31.78" personId="{C9A89B3A-A5FD-6849-8E65-1CD4E6C7CFF2}" id="{9001430A-1290-E045-AD12-FF39FE1F78E9}" parentId="{63885E42-5898-4ECF-8108-E0BD8B826BE8}">
    <text>Donc 15 chiffres ? Si oui: “REGEX: \d{15}”</text>
  </threadedComment>
  <threadedComment ref="U145" dT="2024-06-10T13:14:03.44" personId="{E9A6DF60-F9B3-4BD0-BB8A-DE1D37E26830}" id="{C1FF504D-B635-4ED9-B70D-0BFFF3171F1B}" parentId="{63885E42-5898-4ECF-8108-E0BD8B826BE8}">
    <text>Non potentiellement y'a des lettres, la Corse c'est 2A par ex</text>
  </threadedComment>
  <threadedComment ref="U145"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46" dT="2024-01-23T15:06:28.79" personId="{E9A6DF60-F9B3-4BD0-BB8A-DE1D37E26830}" id="{B64AB07A-CA5D-41C4-905E-0AFD3F67254F}">
    <text>Voir pour implémenter une énum, ou une simple vérification de format</text>
  </threadedComment>
  <threadedComment ref="U146" dT="2024-04-22T23:34:37.40" personId="{C9A89B3A-A5FD-6849-8E65-1CD4E6C7CFF2}" id="{50164C3D-687B-DA4C-850A-1713FF9F382C}" parentId="{B64AB07A-CA5D-41C4-905E-0AFD3F67254F}">
    <text>Ce sont que les 7 valeurs du PDF ? Si oui, directement une ENUM non ?</text>
  </threadedComment>
  <threadedComment ref="D14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V148" dT="2024-05-23T16:14:45.84" personId="{15E60E5B-8F12-4B01-8E2A-D3C877CDBAC1}" id="{D6A4834D-81B9-1044-9BF4-F87F74ACF5B3}">
    <text>Donc on passe pas les nom / prénom des victimes en 15-NexSIS ?</text>
  </threadedComment>
  <threadedComment ref="X149" dT="2024-05-23T16:15:41.60" personId="{15E60E5B-8F12-4B01-8E2A-D3C877CDBAC1}" id="{3D102970-2CAE-5747-9D73-A1FBE73590AC}">
    <text>Pas le prénom ??</text>
  </threadedComment>
  <threadedComment ref="U152" dT="2024-01-23T15:10:58.58" personId="{E9A6DF60-F9B3-4BD0-BB8A-DE1D37E26830}" id="{014DE198-64E2-4507-A3FC-DF421F511779}" done="1">
    <text>Implémenter la nomenclature CISU (cf. Fichier transmis par Philippe)</text>
  </threadedComment>
  <threadedComment ref="E15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53" dT="2024-01-23T15:12:26.27" personId="{E9A6DF60-F9B3-4BD0-BB8A-DE1D37E26830}" id="{BA91A5D4-B745-43C1-AD05-F9E9B9B84277}">
    <text>Trouver le format du code INSEE, et mettre une simple vérification</text>
  </threadedComment>
  <threadedComment ref="U153" dT="2024-04-22T23:35:57.74" personId="{C9A89B3A-A5FD-6849-8E65-1CD4E6C7CFF2}" id="{F03009A8-691E-5741-9602-77D12352F43D}" parentId="{BA91A5D4-B745-43C1-AD05-F9E9B9B84277}">
    <text>Juste 5 chiffres ou lettres non ? Si oui, “REGEX: \w{5}”</text>
  </threadedComment>
  <threadedComment ref="C15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55" dT="2024-01-24T10:30:46.17" personId="{E9A6DF60-F9B3-4BD0-BB8A-DE1D37E26830}" id="{FFA7F0E1-3845-469A-B7CF-A4621D3089F0}" done="1">
    <text>Idem nomenclature 15-18 car exactement le même objet</text>
  </threadedComment>
  <threadedComment ref="D15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60" dT="2024-01-24T11:06:36.27" personId="{E9A6DF60-F9B3-4BD0-BB8A-DE1D37E26830}" id="{2D9ECE82-3D73-4587-8C50-69F305FE6D3A}" done="1">
    <text>NOMENCLATURE: GRAVITE_SF21.csv</text>
  </threadedComment>
  <threadedComment ref="U162" dT="2024-01-24T10:39:46.13" personId="{E9A6DF60-F9B3-4BD0-BB8A-DE1D37E26830}" id="{000D1EF5-EA8D-4028-887E-09B730402CB5}">
    <text>CIM11 : récupérer le format des codes, et ne vérifier que le format</text>
  </threadedComment>
  <threadedComment ref="U162" dT="2024-04-22T23:42:27.41" personId="{C9A89B3A-A5FD-6849-8E65-1CD4E6C7CFF2}" id="{EDF59458-8D7A-764E-B370-2D1C00EFD2AA}" parentId="{000D1EF5-EA8D-4028-887E-09B730402CB5}">
    <text>A confirmer mais j’ai l’impression que c’est XXXX.X =&gt; “REGEX: \w{4}(\.\w)?”</text>
  </threadedComment>
  <threadedComment ref="Q163" dT="2023-06-15T08:43:45.62" personId="{C9A89B3A-A5FD-6849-8E65-1CD4E6C7CFF2}" id="{B2A46742-7986-49EC-BFF2-E5B137820840}" done="1">
    <text>Vraiment 0..n ??? Plutôt 0..1 !</text>
  </threadedComment>
  <threadedComment ref="Q163" dT="2023-06-15T08:44:13.57" personId="{C9A89B3A-A5FD-6849-8E65-1CD4E6C7CFF2}" id="{0A6061F6-9572-4E76-8A7E-B49B7B3754F0}" parentId="{B2A46742-7986-49EC-BFF2-E5B137820840}">
    <text>Quid des autres alertes ultérieures ? -&gt; pas ici ! Pas 0..n</text>
  </threadedComment>
  <threadedComment ref="Q163" dT="2023-06-15T08:47:32.60" personId="{C9A89B3A-A5FD-6849-8E65-1CD4E6C7CFF2}" id="{B4482AEB-107B-477C-8801-43834D34BA26}" parentId="{B2A46742-7986-49EC-BFF2-E5B137820840}">
    <text>Pourquoi faire initiale et nouvelle alerte ??? Juste partager une liste de n alertes non ?</text>
  </threadedComment>
  <threadedComment ref="Q16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63" dT="2024-01-24T10:39:49.44" personId="{E9A6DF60-F9B3-4BD0-BB8A-DE1D37E26830}" id="{55DD76D7-71AA-4415-B5EF-4C960C6C5F04}">
    <text>CIM11 : récupérer le format des codes, et ne vérifier que le format</text>
  </threadedComment>
  <threadedComment ref="C164" dT="2023-11-28T10:26:59.01" personId="{E9A6DF60-F9B3-4BD0-BB8A-DE1D37E26830}" id="{DC749AE9-4EDB-4A7F-8A7B-0D009E03AED0}">
    <text xml:space="preserve">Quelle nomenclature  + est-ce un objet code + libellé ? </text>
  </threadedComment>
  <threadedComment ref="U164" dT="2024-01-24T10:40:00.12" personId="{E9A6DF60-F9B3-4BD0-BB8A-DE1D37E26830}" id="{522C021E-FCFD-4A22-8243-F9B9E8F1567F}">
    <text>CIM11 : récupérer le format des codes, et ne vérifier que le format</text>
  </threadedComment>
  <threadedComment ref="D168" dT="2023-11-14T15:29:39.07" personId="{E9A6DF60-F9B3-4BD0-BB8A-DE1D37E26830}" id="{A01A1601-D876-42A1-B7E1-CAFC7CAE43BD}">
    <text>Objet Agent qui existe dans la qualification de l'affaire : à réutiliser ici ? Doit on ajouter nom prénom à l'objet ?</text>
  </threadedComment>
  <threadedComment ref="B178" dT="2024-02-13T09:57:22.61" personId="{D6952652-30E5-479A-9FFE-AD0BC8CBB562}" id="{6542F462-2A54-48A5-9A62-7E7CFBDF2B9A}">
    <text>A envoyer au SGV (qui fait le lien vers la tablette du SIS)</text>
  </threadedComment>
  <threadedComment ref="B178" dT="2024-02-13T09:58:10.72" personId="{D6952652-30E5-479A-9FFE-AD0BC8CBB562}" id="{143643F3-D10F-401E-A876-4CA32200C2A3}" parentId="{6542F462-2A54-48A5-9A62-7E7CFBDF2B9A}">
    <text xml:space="preserve">Le véhicule en partant vers la destination, crée une mission fille dans le SGO </text>
  </threadedComment>
  <threadedComment ref="B178" dT="2024-04-02T12:06:44.16" personId="{D6952652-30E5-479A-9FFE-AD0BC8CBB562}" id="{649483CA-BA3D-46C0-A6F1-F3ED50DEAA09}" parentId="{6542F462-2A54-48A5-9A62-7E7CFBDF2B9A}">
    <text>Faut-il un ID technique par décision prise?</text>
  </threadedComment>
  <threadedComment ref="U181" dT="2024-01-24T10:43:18.99" personId="{E9A6DF60-F9B3-4BD0-BB8A-DE1D37E26830}" id="{4DB9FC1B-FE92-4AA7-B2F3-BFF17D976413}" done="1">
    <text>Implémenter nomenclature SI-SAMU : type_dec</text>
  </threadedComment>
  <threadedComment ref="K193" dT="2023-11-24T17:15:01.30" personId="{E9A6DF60-F9B3-4BD0-BB8A-DE1D37E26830}" id="{9492776C-BD80-A948-A725-AF6FDE3618AF}">
    <text>Il faut que ce soit idem EMSI ?</text>
  </threadedComment>
  <threadedComment ref="W193" dT="2024-06-04T13:29:28.52" personId="{15E60E5B-8F12-4B01-8E2A-D3C877CDBAC1}" id="{7956E747-37D5-1E41-A985-638079B0C38D}">
    <text>A revoir plus tard où est passé ce type d’information (s’il est passé)</text>
  </threadedComment>
  <threadedComment ref="E196" dT="2024-03-11T08:28:41.81" personId="{D6952652-30E5-479A-9FFE-AD0BC8CBB562}" id="{C8748D8D-BB3A-4C14-BADE-D16F62306724}">
    <text>Ajouté suite au retour de Philippe</text>
  </threadedComment>
  <threadedComment ref="U196" dT="2024-06-04T13:32:27.93" personId="{15E60E5B-8F12-4B01-8E2A-D3C877CDBAC1}" id="{A20A2C1A-91AD-C74B-9B6E-BAA04D2F7B3E}" done="1">
    <text>A nettoyer ! Il faut une nomenclature propre derrière pas une liste à la Prévert</text>
  </threadedComment>
  <threadedComment ref="U196" dT="2024-06-10T13:12:00.40" personId="{E9A6DF60-F9B3-4BD0-BB8A-DE1D37E26830}" id="{F15F1857-9A82-4DF4-B41D-6E5D88A31ABE}" parentId="{A20A2C1A-91AD-C74B-9B6E-BAA04D2F7B3E}">
    <text>Demandé, et en cours.</text>
  </threadedComment>
  <threadedComment ref="C198" dT="2023-07-04T13:01:55.92" personId="{C9A89B3A-A5FD-6849-8E65-1CD4E6C7CFF2}" id="{3E4494E4-4D0B-482E-8C44-6CA902FCAA01}" done="1">
    <text>Vont vraiment être différentes de la localisation de l’affaire ?</text>
  </threadedComment>
  <threadedComment ref="Q198" dT="2023-06-15T08:43:45.62" personId="{C9A89B3A-A5FD-6849-8E65-1CD4E6C7CFF2}" id="{12397E16-0DD2-4B81-8BEC-31510D881B5D}" done="1">
    <text>Vraiment 0..n ??? Plutôt 0..1 !</text>
  </threadedComment>
  <threadedComment ref="Q198" dT="2023-06-15T08:44:13.57" personId="{C9A89B3A-A5FD-6849-8E65-1CD4E6C7CFF2}" id="{874C3690-704A-4135-9A27-9126AC7954EF}" parentId="{12397E16-0DD2-4B81-8BEC-31510D881B5D}">
    <text>Quid des autres alertes ultérieures ? -&gt; pas ici ! Pas 0..n</text>
  </threadedComment>
  <threadedComment ref="Q198" dT="2023-06-15T08:47:32.60" personId="{C9A89B3A-A5FD-6849-8E65-1CD4E6C7CFF2}" id="{C595C92E-EE11-44EA-80CE-6225C1299968}" parentId="{12397E16-0DD2-4B81-8BEC-31510D881B5D}">
    <text>Pourquoi faire initiale et nouvelle alerte ??? Juste partager une liste de n alertes non ?</text>
  </threadedComment>
  <threadedComment ref="Q198"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A199" dT="2023-11-10T16:14:36.81" personId="{74379435-529A-4754-96FF-EF4318F87F1A}" id="{D6BBFD18-B7C3-44E9-AAAF-C0520A0384D3}">
    <text>doublon avec l'ID 5. Pourquoi ne pas avoir une donnée (niveau 2) "Informations supplémentaires" en freetext ?</text>
  </threadedComment>
  <threadedComment ref="B199" dT="2024-04-26T09:57:36.54" personId="{E9A6DF60-F9B3-4BD0-BB8A-DE1D37E26830}" id="{3792C7C2-9F65-4E58-AF0D-9CB49954D7C2}">
    <text>Différent en inter-force : contient des infos sur l'affaire de type 'la voiture est retourné', 'forcené sur les lieux'. C'est donc différent des info purement patient/victime.</text>
  </threadedComment>
  <threadedComment ref="Q201" dT="2024-03-26T09:12:42.22" personId="{C9A89B3A-A5FD-6849-8E65-1CD4E6C7CFF2}" id="{56075946-9C3F-8345-89AE-75C567E0E491}">
    <text>Bien 0..3</text>
  </threadedComment>
</ThreadedComments>
</file>

<file path=xl/threadedComments/threadedComment6.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4FC34D19-52DE-449A-AEA2-BE9696950733}" done="1">
    <text>Valider avec NexSIS les noms des balises racines !! (message, createCase, emsi)</text>
  </threadedComment>
  <threadedComment ref="B8" dT="2023-10-17T14:10:14.10" personId="{C9A89B3A-A5FD-6849-8E65-1CD4E6C7CFF2}" id="{5C2C82CE-4819-4786-825F-A15C43C07BD1}">
    <text xml:space="preserve">Le champs de ‘signalement’ a été supprimé finalement ? </text>
  </threadedComment>
  <threadedComment ref="B8" dT="2023-10-23T11:26:27.60" personId="{C9A89B3A-A5FD-6849-8E65-1CD4E6C7CFF2}" id="{B499CCE7-666B-440C-962B-74F42F8F55DF}" parentId="{5C2C82CE-4819-4786-825F-A15C43C07BD1}">
    <text>Ajouter un champs de statut local global du dossier ? Ou message de clôture ? Ou règle "après 24h clôt" ?</text>
  </threadedComment>
  <threadedComment ref="B8" dT="2023-11-08T13:34:34.60" personId="{ABFB0C52-AC18-4406-B6D7-B9BCF5A2A0D7}" id="{BA038442-5879-4927-8D99-7E175119A7DD}" parentId="{5C2C82CE-4819-4786-825F-A15C43C07BD1}">
    <text>A traiter avec NexSIS. Pour l'instant obligé de passer par un RC-EDA pour la gestion du statut</text>
  </threadedComment>
  <threadedComment ref="B9" dT="2023-09-25T11:44:28.72" personId="{C9A89B3A-A5FD-6849-8E65-1CD4E6C7CFF2}" id="{2B8BB9CF-F24E-4529-8CF6-DE80AE8CF1AA}">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BA502C1A-1AD7-4549-83AD-6884A4B90E42}" parentId="{2B8BB9CF-F24E-4529-8CF6-DE80AE8CF1AA}">
    <text>=&gt; A traiter ultérieurement avec le sujet de rapprochement de dossier/affaire</text>
  </threadedComment>
  <threadedComment ref="H9" dT="2023-09-07T08:01:23.57" personId="{C9A89B3A-A5FD-6849-8E65-1CD4E6C7CFF2}" id="{953CCFA9-18F1-49C4-ABCE-A8F9A60BE853}" done="1">
    <text>Bien clarifier comment on identifie le SAMU émetteur (SAMU76A ou SAMU761)</text>
  </threadedComment>
  <threadedComment ref="H9" dT="2023-09-07T09:36:20.81" personId="{ABFB0C52-AC18-4406-B6D7-B9BCF5A2A0D7}" id="{3D054C53-AFC2-40BC-BEC8-2764EABCBF59}" parentId="{953CCFA9-18F1-49C4-ABCE-A8F9A60BE853}">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83BBC93-D5DB-4E23-9BE9-E752EFD02831}" parentId="{953CCFA9-18F1-49C4-ABCE-A8F9A60BE853}">
    <text>2 remarques : quand est-ce qu'on utilise AL ou AF ?
Id sur 4 digits, a priori ok vu le volume mais pas mega large =&gt; cout de passer à 6 digits par exemple ?</text>
  </threadedComment>
  <threadedComment ref="H9" dT="2023-09-18T13:00:04.67" personId="{C9A89B3A-A5FD-6849-8E65-1CD4E6C7CFF2}" id="{4A2526C3-58A5-4086-A656-F25B14C66687}" parentId="{953CCFA9-18F1-49C4-ABCE-A8F9A60BE853}">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DE57C21-B891-4AF6-928B-C8B67775C761}" parentId="{953CCFA9-18F1-49C4-ABCE-A8F9A60BE853}">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5517E1F1-A129-4E40-86DE-CC457FE65853}" parentId="{953CCFA9-18F1-49C4-ABCE-A8F9A60BE853}">
    <text>Voir avec NexSIS si c’est vraiment nécessaire où si on peut juste faire idStructure_idLocale ?</text>
  </threadedComment>
  <threadedComment ref="H9" dT="2023-09-21T14:49:44.43" personId="{ABFB0C52-AC18-4406-B6D7-B9BCF5A2A0D7}" id="{668BA10D-27E0-4CBD-9924-9009790708D1}" parentId="{953CCFA9-18F1-49C4-ABCE-A8F9A60BE853}">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2F15002A-8A36-478E-8C1F-598AE161CA0D}" parentId="{953CCFA9-18F1-49C4-ABCE-A8F9A60BE853}">
    <text>Remarque Olivier : contrainte sur le français</text>
  </threadedComment>
  <threadedComment ref="H9" dT="2023-09-22T08:30:01.21" personId="{ABFB0C52-AC18-4406-B6D7-B9BCF5A2A0D7}" id="{2E7546D8-5D75-4A70-A779-B3F1B01DD558}" parentId="{953CCFA9-18F1-49C4-ABCE-A8F9A60BE853}">
    <text>Ajouter une explication sur l'utilité de la clé unique et pourquoi elle doit être intelligible</text>
  </threadedComment>
  <threadedComment ref="H9" dT="2023-09-22T08:31:56.77" personId="{ABFB0C52-AC18-4406-B6D7-B9BCF5A2A0D7}" id="{97D6AEE3-EC69-40B8-8929-44F00A8C0D9D}" parentId="{953CCFA9-18F1-49C4-ABCE-A8F9A60BE853}">
    <text>Définir le concept de clé conventionnelle</text>
  </threadedComment>
  <threadedComment ref="B10" dT="2024-06-06T12:03:46.58" personId="{E9A6DF60-F9B3-4BD0-BB8A-DE1D37E26830}" id="{EB99A250-0835-4FCD-8985-4DBA667A0067}">
    <text>A-t-on vraiment besoin d'un ID de mission partagée ? Puisqu'on rattache déjà le dossier à un dossier partagé ?</text>
  </threadedComment>
  <threadedComment ref="B11" dT="2024-04-22T12:25:51.13" personId="{15E60E5B-8F12-4B01-8E2A-D3C877CDBAC1}" id="{22BD1288-E0C6-964D-8449-E80317449401}"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1" dT="2024-04-22T12:33:09.63" personId="{E9A6DF60-F9B3-4BD0-BB8A-DE1D37E26830}" id="{D9C249F5-C0BB-42BB-BD44-999027E6C8BB}" parentId="{22BD1288-E0C6-964D-8449-E80317449401}">
    <text xml:space="preserve">Oui mais là, je fais macro. Honnetement la marque, le modèle, etc ça interesse personne en 15-15. 
</text>
  </threadedComment>
  <threadedComment ref="B11" dT="2024-04-23T14:17:25.43" personId="{E9A6DF60-F9B3-4BD0-BB8A-DE1D37E26830}" id="{15658B98-5850-448A-BD56-04DD13A4C004}" parentId="{22BD1288-E0C6-964D-8449-E80317449401}">
    <text>J'ai ajouté la plupart des champs demandé par philippe. A part l'équipement supplémentaires, ou je pense que le commentaire freetext suffit</text>
  </threadedComment>
  <threadedComment ref="P42" dT="2024-01-08T13:02:05.69" personId="{C9A89B3A-A5FD-6849-8E65-1CD4E6C7CFF2}" id="{E2DB24A4-1E97-4CF6-8E77-B121328CAC25}" done="1">
    <text>N’autoriser que les n° de tel (PHNADD) et mettre la regex du n° de tel de l’interface : REGEX: tel:([#\+\*]|37000|00+)?[0-9]{2,15} ?</text>
  </threadedComment>
  <threadedComment ref="P42" dT="2024-01-23T14:51:41.35" personId="{E9A6DF60-F9B3-4BD0-BB8A-DE1D37E26830}" id="{0A225696-4C3D-414B-BBCA-FACA3145E45D}" parentId="{E2DB24A4-1E97-4CF6-8E77-B121328CAC25}">
    <text>@Daphné LECCIA (EXT) @Romain FOUILLAND : Philippe souhaite ici remettre la nomenclature EMSI complète correspondante (point 15-15 du 220124). Je reprends l'objet dans le 15-15.</text>
    <mentions>
      <mention mentionpersonId="{DF480BA0-C840-4713-8568-FE1A645D605C}" mentionId="{47A74A0F-28B1-47D4-BBD4-B4AA9EE1CE8D}" startIndex="0" length="20"/>
      <mention mentionpersonId="{8A877495-E9BF-4545-8586-47BB0F221908}" mentionId="{1B2D8DB4-4904-4531-8492-26E4B195EC0D}" startIndex="21" length="17"/>
    </mentions>
  </threadedComment>
  <threadedComment ref="P42" dT="2024-01-24T17:33:12.16" personId="{C9A89B3A-A5FD-6849-8E65-1CD4E6C7CFF2}" id="{7BD3D21C-E37E-4C72-8757-3A84AECF2C97}" parentId="{E2DB24A4-1E97-4CF6-8E77-B121328CAC25}">
    <text>OK pas de souci, qui peut le plus peut le moins</text>
  </threadedComment>
  <threadedComment ref="P47" dT="2024-06-04T13:32:27.93" personId="{15E60E5B-8F12-4B01-8E2A-D3C877CDBAC1}" id="{E80AFE3B-8130-4DEB-9395-FB04C70212E3}" done="1">
    <text>A nettoyer ! Il faut une nomenclature propre derrière pas une liste à la Prévert</text>
  </threadedComment>
  <threadedComment ref="P47" dT="2024-06-10T13:12:00.40" personId="{E9A6DF60-F9B3-4BD0-BB8A-DE1D37E26830}" id="{AF5A3C7C-9E07-46F9-A567-E9C0AA0FEEF8}" parentId="{E80AFE3B-8130-4DEB-9395-FB04C70212E3}">
    <text>Demandé, et en cours.</text>
  </threadedComment>
  <threadedComment ref="N48" dT="2023-10-06T15:52:24.74" personId="{6D908C62-98CE-5042-81E4-8ACAD1B880FE}" id="{EDD2F26A-0557-4900-A890-3DE1CD3F9206}" done="1">
    <text>Nader veut passer le nombre max de caractères de 80 à 255</text>
  </threadedComment>
  <threadedComment ref="L76" dT="2023-10-26T21:36:55.27" personId="{C9A89B3A-A5FD-6849-8E65-1CD4E6C7CFF2}" id="{38D22A15-7BA4-4C71-9C64-E58F628C4E93}" done="1">
    <text>Nécessaire de le passer obligatoire pour NexSIS (retour Scriptal) ?</text>
  </threadedComment>
</ThreadedComments>
</file>

<file path=xl/threadedComments/threadedComment8.xml><?xml version="1.0" encoding="utf-8"?>
<ThreadedComments xmlns="http://schemas.microsoft.com/office/spreadsheetml/2018/threadedcomments" xmlns:x="http://schemas.openxmlformats.org/spreadsheetml/2006/main">
  <threadedComment ref="B8" dT="2023-10-17T14:10:14.10" personId="{C9A89B3A-A5FD-6849-8E65-1CD4E6C7CFF2}" id="{2A3E4B9B-5881-4B0A-8BC9-E70E8861F387}">
    <text xml:space="preserve">Le champs de ‘signalement’ a été supprimé finalement ? </text>
  </threadedComment>
  <threadedComment ref="B8" dT="2023-10-23T11:26:27.60" personId="{C9A89B3A-A5FD-6849-8E65-1CD4E6C7CFF2}" id="{33DFF6DA-9895-412B-916E-67AEA5C0797D}" parentId="{2A3E4B9B-5881-4B0A-8BC9-E70E8861F387}">
    <text>Ajouter un champs de statut local global du dossier ? Ou message de clôture ? Ou règle "après 24h clôt" ?</text>
  </threadedComment>
  <threadedComment ref="B8" dT="2023-11-08T13:34:34.60" personId="{ABFB0C52-AC18-4406-B6D7-B9BCF5A2A0D7}" id="{B3DC22AD-C07A-4DAA-AA5C-C0D6F3E37933}" parentId="{2A3E4B9B-5881-4B0A-8BC9-E70E8861F387}">
    <text>A traiter avec NexSIS. Pour l'instant obligé de passer par un RC-EDA pour la gestion du statut</text>
  </threadedComment>
  <threadedComment ref="C14" dT="2024-06-07T12:15:08.14" personId="{E9A6DF60-F9B3-4BD0-BB8A-DE1D37E26830}" id="{490AA5DC-643D-4479-A3E9-8CF54FBA8A3D}">
    <text>Définir unité (heure / minutes, etc.)</text>
  </threadedComment>
  <threadedComment ref="C15" dT="2024-06-07T12:14:24.74" personId="{E9A6DF60-F9B3-4BD0-BB8A-DE1D37E26830}" id="{03BECA0F-0C96-480B-BD92-5AE9B88EB0A7}">
    <text>Liste + codes associés (pas EMSI)</text>
  </threadedComment>
  <threadedComment ref="P15" dT="2024-01-24T10:43:18.99" personId="{E9A6DF60-F9B3-4BD0-BB8A-DE1D37E26830}" id="{D249D2FC-70B5-4233-9E6E-B511D09AF254}" done="1">
    <text>Implémenter nomenclature SI-SAMU : type_dec</text>
  </threadedComment>
  <threadedComment ref="P18" dT="2024-06-04T13:32:27.93" personId="{15E60E5B-8F12-4B01-8E2A-D3C877CDBAC1}" id="{1B373D99-75B5-4C99-897C-231F6E0144FE}" done="1">
    <text>A nettoyer ! Il faut une nomenclature propre derrière pas une liste à la Prévert</text>
  </threadedComment>
  <threadedComment ref="P18" dT="2024-06-10T13:12:00.40" personId="{E9A6DF60-F9B3-4BD0-BB8A-DE1D37E26830}" id="{B3423EBB-A733-4A6A-8B0C-AEB4F0575DF8}" parentId="{1B373D99-75B5-4C99-897C-231F6E0144FE}">
    <text>Demandé, et en cours.</text>
  </threadedComment>
  <threadedComment ref="N19" dT="2023-10-06T15:52:24.74" personId="{6D908C62-98CE-5042-81E4-8ACAD1B880FE}" id="{B34685CE-7E85-4538-A295-D11534BA03B8}" done="1">
    <text>Nader veut passer le nombre max de caractères de 80 à 255</text>
  </threadedComment>
  <threadedComment ref="L47" dT="2023-10-26T21:36:55.27" personId="{C9A89B3A-A5FD-6849-8E65-1CD4E6C7CFF2}" id="{4DA601C9-6AF5-499E-857A-82256D1E8538}" done="1">
    <text>Nécessaire de le passer obligatoire pour NexSIS (retour Scriptal) ?</text>
  </threadedComment>
</ThreadedComments>
</file>

<file path=xl/threadedComments/threadedComment9.xml><?xml version="1.0" encoding="utf-8"?>
<ThreadedComments xmlns="http://schemas.microsoft.com/office/spreadsheetml/2018/threadedcomments" xmlns:x="http://schemas.openxmlformats.org/spreadsheetml/2006/main">
  <threadedComment ref="H1" dT="2023-09-21T15:05:23.74" personId="{C9A89B3A-A5FD-6849-8E65-1CD4E6C7CFF2}" id="{6FE43FAC-640B-4B23-AE30-C5EC003889C6}" done="1">
    <text>Valider avec NexSIS les noms des balises racines !! (message, createCase, emsi)</text>
  </threadedComment>
  <threadedComment ref="B8" dT="2023-10-17T14:10:14.10" personId="{C9A89B3A-A5FD-6849-8E65-1CD4E6C7CFF2}" id="{F655AB1D-01D7-439F-A55F-44DB596DD0AC}">
    <text xml:space="preserve">Le champs de ‘signalement’ a été supprimé finalement ? </text>
  </threadedComment>
  <threadedComment ref="B8" dT="2023-10-23T11:26:27.60" personId="{C9A89B3A-A5FD-6849-8E65-1CD4E6C7CFF2}" id="{6B0AF44A-DE75-4662-B4E1-EA6A5474DA11}" parentId="{F655AB1D-01D7-439F-A55F-44DB596DD0AC}">
    <text>Ajouter un champs de statut local global du dossier ? Ou message de clôture ? Ou règle "après 24h clôt" ?</text>
  </threadedComment>
  <threadedComment ref="B8" dT="2023-11-08T13:34:34.60" personId="{ABFB0C52-AC18-4406-B6D7-B9BCF5A2A0D7}" id="{DC7E52F5-F5FF-4F87-9910-5CF9BADE28E9}" parentId="{F655AB1D-01D7-439F-A55F-44DB596DD0AC}">
    <text>A traiter avec NexSIS. Pour l'instant obligé de passer par un RC-EDA pour la gestion du statut</text>
  </threadedComment>
  <threadedComment ref="B9" dT="2023-09-25T11:44:28.72" personId="{C9A89B3A-A5FD-6849-8E65-1CD4E6C7CFF2}" id="{E48E6C14-8065-49AA-9716-94F0B7E75F37}">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7401A5FE-8648-4792-9EF7-6CF6B819FCC0}" parentId="{E48E6C14-8065-49AA-9716-94F0B7E75F37}">
    <text>=&gt; A traiter ultérieurement avec le sujet de rapprochement de dossier/affaire</text>
  </threadedComment>
  <threadedComment ref="C14" dT="2024-06-25T15:45:18.83" personId="{E9A6DF60-F9B3-4BD0-BB8A-DE1D37E26830}" id="{7B4ADB05-75CF-49BA-8B56-02C693943B77}">
    <text xml:space="preserve">Insérer ici motif de non execution. 
Modalités d'exécution (nommage à changer, et fusionner les 2 nomenclatures)
</text>
  </threadedComment>
  <threadedComment ref="P40" dT="2024-01-08T13:02:05.69" personId="{C9A89B3A-A5FD-6849-8E65-1CD4E6C7CFF2}" id="{DF2AA6CA-FC70-4347-B614-9ADC9E1E6905}">
    <text>N’autoriser que les n° de tel (PHNADD) et mettre la regex du n° de tel de l’interface : REGEX: tel:([#\+\*]|37000|00+)?[0-9]{2,15} ?</text>
  </threadedComment>
  <threadedComment ref="P40" dT="2024-01-23T14:51:41.35" personId="{E9A6DF60-F9B3-4BD0-BB8A-DE1D37E26830}" id="{E35D3C10-22C9-486B-A925-AA29092B25F9}" parentId="{DF2AA6CA-FC70-4347-B614-9ADC9E1E6905}">
    <text>@Daphné LECCIA (EXT) @Romain FOUILLAND : Philippe souhaite ici remettre la nomenclature EMSI complète correspondante (point 15-15 du 220124). Je reprends l'objet dans le 15-15.</text>
    <mentions>
      <mention mentionpersonId="{DF480BA0-C840-4713-8568-FE1A645D605C}" mentionId="{198DCAAA-6D1B-4B58-9078-E4161230EEBD}" startIndex="0" length="20"/>
      <mention mentionpersonId="{8A877495-E9BF-4545-8586-47BB0F221908}" mentionId="{5B359BC8-F619-4AA9-ADD6-77ED4E21F54B}" startIndex="21" length="17"/>
    </mentions>
  </threadedComment>
  <threadedComment ref="P40" dT="2024-01-24T17:33:12.16" personId="{C9A89B3A-A5FD-6849-8E65-1CD4E6C7CFF2}" id="{4074043F-CF5E-4B2A-9BDC-B16900668588}" parentId="{DF2AA6CA-FC70-4347-B614-9ADC9E1E6905}">
    <text>OK pas de souci, qui peut le plus peut le moins</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4.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5.xml"/><Relationship Id="rId5" Type="http://schemas.openxmlformats.org/officeDocument/2006/relationships/comments" Target="../comments5.xml"/><Relationship Id="rId4"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0.vml"/><Relationship Id="rId1" Type="http://schemas.openxmlformats.org/officeDocument/2006/relationships/printerSettings" Target="../printerSettings/printerSettings5.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table" Target="../tables/table9.xml"/><Relationship Id="rId1" Type="http://schemas.openxmlformats.org/officeDocument/2006/relationships/vmlDrawing" Target="../drawings/vmlDrawing11.vml"/><Relationship Id="rId4" Type="http://schemas.microsoft.com/office/2017/10/relationships/threadedComment" Target="../threadedComments/threadedComment1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0.xml"/><Relationship Id="rId1" Type="http://schemas.openxmlformats.org/officeDocument/2006/relationships/vmlDrawing" Target="../drawings/vmlDrawing12.vml"/><Relationship Id="rId4" Type="http://schemas.microsoft.com/office/2017/10/relationships/threadedComment" Target="../threadedComments/threadedComment1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1.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14.vml"/><Relationship Id="rId1" Type="http://schemas.openxmlformats.org/officeDocument/2006/relationships/printerSettings" Target="../printerSettings/printerSettings6.bin"/><Relationship Id="rId5" Type="http://schemas.microsoft.com/office/2017/10/relationships/threadedComment" Target="../threadedComments/threadedComment14.xml"/><Relationship Id="rId4" Type="http://schemas.openxmlformats.org/officeDocument/2006/relationships/comments" Target="../comments14.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4.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16.vml"/><Relationship Id="rId1" Type="http://schemas.openxmlformats.org/officeDocument/2006/relationships/printerSettings" Target="../printerSettings/printerSettings7.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779"/>
      <c r="K1" s="779"/>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56"/>
  <sheetViews>
    <sheetView tabSelected="1" zoomScaleNormal="100" workbookViewId="0">
      <pane xSplit="7" ySplit="8" topLeftCell="H55" activePane="bottomRight" state="frozen"/>
      <selection pane="topRight" activeCell="H1" sqref="H1"/>
      <selection pane="bottomLeft" activeCell="A9" sqref="A9"/>
      <selection pane="bottomRight" activeCell="Q4" sqref="Q4"/>
    </sheetView>
  </sheetViews>
  <sheetFormatPr baseColWidth="10" defaultColWidth="9.5" defaultRowHeight="12" customHeight="1"/>
  <cols>
    <col min="1" max="1" width="4.6640625" style="128" customWidth="1"/>
    <col min="2" max="2" width="19.33203125" style="128" customWidth="1"/>
    <col min="3" max="3" width="18.1640625" style="128" customWidth="1"/>
    <col min="4" max="4" width="25" style="128" customWidth="1"/>
    <col min="5" max="5" width="20" style="128" customWidth="1"/>
    <col min="6" max="6" width="8.6640625" style="128" customWidth="1"/>
    <col min="7" max="7" width="14.6640625" style="96" customWidth="1"/>
    <col min="8" max="8" width="52.5" style="96" customWidth="1"/>
    <col min="9" max="9" width="33.5" style="225" customWidth="1"/>
    <col min="10" max="10" width="12" style="96" customWidth="1"/>
    <col min="11" max="11" width="17.83203125" style="159" customWidth="1"/>
    <col min="12" max="13" width="4.83203125" style="96" hidden="1" customWidth="1"/>
    <col min="14" max="15" width="6.1640625" style="96" hidden="1" customWidth="1"/>
    <col min="16" max="16" width="6.6640625" style="173" hidden="1" customWidth="1"/>
    <col min="17" max="17" width="10.5" style="96" customWidth="1"/>
    <col min="18" max="18" width="6" style="173" customWidth="1"/>
    <col min="19" max="19" width="18.5" style="96" customWidth="1"/>
    <col min="20" max="20" width="12.6640625" style="277" customWidth="1"/>
    <col min="21" max="24" width="9.5" style="96" customWidth="1"/>
    <col min="25" max="25" width="2.33203125" customWidth="1"/>
    <col min="26" max="26" width="22.6640625" style="179" customWidth="1"/>
    <col min="27" max="27" width="24.33203125" style="96" customWidth="1"/>
    <col min="28" max="28" width="24.5" style="159" customWidth="1"/>
    <col min="29" max="29" width="17.5" style="96" customWidth="1"/>
    <col min="30" max="30" width="9.5" customWidth="1"/>
    <col min="31" max="31" width="8" style="96" customWidth="1"/>
    <col min="32" max="32" width="9"/>
    <col min="33" max="1013" width="9.5" style="128"/>
    <col min="1014" max="1014" width="9" style="128" customWidth="1"/>
    <col min="1015" max="1016" width="9" customWidth="1"/>
  </cols>
  <sheetData>
    <row r="1" spans="1:1014" ht="13.5" customHeight="1">
      <c r="A1" s="228" t="s">
        <v>1610</v>
      </c>
      <c r="C1" s="129" t="s">
        <v>813</v>
      </c>
      <c r="E1" s="150" t="s">
        <v>814</v>
      </c>
      <c r="F1" s="157">
        <f>createCase[[#Totals],[Métier]] / createCase[[#Totals],[ID]]</f>
        <v>0.99145299145299148</v>
      </c>
      <c r="G1" s="128"/>
      <c r="H1" s="793" t="s">
        <v>911</v>
      </c>
      <c r="I1" s="793"/>
      <c r="J1" s="793"/>
      <c r="O1" s="794" t="s">
        <v>816</v>
      </c>
      <c r="P1" s="794"/>
      <c r="AD1" s="96"/>
      <c r="AF1" s="128"/>
      <c r="ALZ1"/>
    </row>
    <row r="2" spans="1:1014" ht="13.5" customHeight="1">
      <c r="C2" s="141" t="s">
        <v>818</v>
      </c>
      <c r="D2" s="284"/>
      <c r="E2" s="152" t="s">
        <v>819</v>
      </c>
      <c r="F2" s="157">
        <f>createCase[[#Totals],[NexSIS]] / createCase[[#Totals],[ID]]</f>
        <v>0.47008547008547008</v>
      </c>
      <c r="G2" s="128"/>
      <c r="H2" s="793"/>
      <c r="I2" s="793"/>
      <c r="J2" s="793"/>
      <c r="AD2" s="96"/>
      <c r="AF2" s="128"/>
      <c r="ALZ2"/>
    </row>
    <row r="3" spans="1:1014" ht="13.5" customHeight="1">
      <c r="C3" s="142" t="s">
        <v>821</v>
      </c>
      <c r="E3" s="151" t="s">
        <v>822</v>
      </c>
      <c r="G3" s="128"/>
      <c r="AD3" s="96"/>
      <c r="AF3" s="128"/>
      <c r="ALZ3"/>
    </row>
    <row r="4" spans="1:1014" ht="13.5" customHeight="1">
      <c r="C4" s="143" t="s">
        <v>824</v>
      </c>
      <c r="E4" s="153" t="s">
        <v>825</v>
      </c>
      <c r="G4" s="137"/>
      <c r="AD4" s="96"/>
      <c r="AF4" s="128"/>
      <c r="ALZ4"/>
    </row>
    <row r="5" spans="1:1014" s="149" customFormat="1" ht="13.5" customHeight="1">
      <c r="A5" s="128"/>
      <c r="B5" s="128"/>
      <c r="C5" s="145" t="s">
        <v>826</v>
      </c>
      <c r="D5" s="146"/>
      <c r="E5" s="290" t="s">
        <v>912</v>
      </c>
      <c r="F5" s="146"/>
      <c r="G5" s="148"/>
      <c r="H5" s="148"/>
      <c r="I5" s="275"/>
      <c r="J5" s="148"/>
      <c r="K5" s="160"/>
      <c r="L5" s="148"/>
      <c r="M5" s="148"/>
      <c r="N5" s="148"/>
      <c r="O5" s="148"/>
      <c r="P5" s="186"/>
      <c r="Q5" s="148"/>
      <c r="R5" s="186"/>
      <c r="S5" s="148"/>
      <c r="T5" s="279"/>
      <c r="U5" s="148"/>
      <c r="V5" s="148"/>
      <c r="W5" s="148"/>
      <c r="X5" s="148"/>
      <c r="Y5"/>
      <c r="Z5" s="181"/>
      <c r="AA5" s="148"/>
      <c r="AB5" s="160"/>
      <c r="AC5" s="148"/>
      <c r="AD5" s="148"/>
      <c r="AE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D6" s="96"/>
      <c r="AF6" s="128"/>
      <c r="ALZ6"/>
    </row>
    <row r="7" spans="1:1014" ht="13.5" customHeight="1">
      <c r="A7"/>
      <c r="B7"/>
      <c r="C7" s="138"/>
      <c r="D7" s="377"/>
      <c r="E7" s="138"/>
      <c r="F7" s="138"/>
      <c r="L7" s="795" t="s">
        <v>828</v>
      </c>
      <c r="M7" s="795"/>
      <c r="N7" s="795"/>
      <c r="O7" s="795"/>
      <c r="V7" s="702" t="s">
        <v>829</v>
      </c>
      <c r="W7" s="702" t="s">
        <v>829</v>
      </c>
      <c r="X7" s="702" t="s">
        <v>829</v>
      </c>
      <c r="AD7" s="795" t="s">
        <v>830</v>
      </c>
      <c r="AE7" s="795"/>
      <c r="AF7" s="128"/>
      <c r="ALZ7"/>
    </row>
    <row r="8" spans="1:1014" s="238" customFormat="1" ht="55.5" customHeight="1">
      <c r="A8" s="233" t="s">
        <v>831</v>
      </c>
      <c r="B8" s="381" t="s">
        <v>832</v>
      </c>
      <c r="C8" s="278" t="s">
        <v>833</v>
      </c>
      <c r="D8" s="278" t="s">
        <v>834</v>
      </c>
      <c r="E8" s="278" t="s">
        <v>835</v>
      </c>
      <c r="F8" s="278" t="s">
        <v>836</v>
      </c>
      <c r="G8" s="278"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3" t="s">
        <v>914</v>
      </c>
      <c r="U8" s="234" t="s">
        <v>849</v>
      </c>
      <c r="V8" s="229" t="s">
        <v>850</v>
      </c>
      <c r="W8" s="229" t="s">
        <v>851</v>
      </c>
      <c r="X8" s="229" t="s">
        <v>1611</v>
      </c>
      <c r="Y8" s="230" t="s">
        <v>852</v>
      </c>
      <c r="Z8" s="235" t="s">
        <v>853</v>
      </c>
      <c r="AA8" s="235" t="s">
        <v>854</v>
      </c>
      <c r="AB8" s="236" t="s">
        <v>855</v>
      </c>
      <c r="AC8" s="235" t="s">
        <v>856</v>
      </c>
      <c r="AD8" s="235" t="s">
        <v>857</v>
      </c>
      <c r="AE8" s="237" t="s">
        <v>915</v>
      </c>
    </row>
    <row r="9" spans="1:1014" s="224" customFormat="1" ht="13.5" customHeight="1">
      <c r="A9" s="225">
        <f>ROW()-8</f>
        <v>1</v>
      </c>
      <c r="B9" s="217" t="s">
        <v>916</v>
      </c>
      <c r="C9" s="240"/>
      <c r="D9" s="727"/>
      <c r="E9" s="727"/>
      <c r="F9" s="727"/>
      <c r="G9" s="727"/>
      <c r="H9" s="812" t="s">
        <v>2832</v>
      </c>
      <c r="I9" s="316" t="s">
        <v>1612</v>
      </c>
      <c r="J9" s="812" t="s">
        <v>952</v>
      </c>
      <c r="K9" s="813" t="s">
        <v>919</v>
      </c>
      <c r="L9" s="728" t="s">
        <v>953</v>
      </c>
      <c r="M9" s="728" t="s">
        <v>954</v>
      </c>
      <c r="N9" s="728"/>
      <c r="O9" s="728"/>
      <c r="P9" s="730">
        <v>1</v>
      </c>
      <c r="Q9" s="728" t="s">
        <v>820</v>
      </c>
      <c r="R9" s="730"/>
      <c r="S9" s="812" t="s">
        <v>863</v>
      </c>
      <c r="T9" s="731"/>
      <c r="U9" s="728"/>
      <c r="V9" s="732" t="s">
        <v>864</v>
      </c>
      <c r="W9" s="732" t="s">
        <v>864</v>
      </c>
      <c r="X9" s="732" t="s">
        <v>864</v>
      </c>
      <c r="Y9" s="232"/>
      <c r="Z9" s="733"/>
      <c r="AA9" s="728" t="s">
        <v>920</v>
      </c>
      <c r="AB9" s="734" t="s">
        <v>921</v>
      </c>
      <c r="AC9" s="728"/>
      <c r="AD9" s="731">
        <v>1</v>
      </c>
      <c r="AE9" s="731">
        <v>1</v>
      </c>
    </row>
    <row r="10" spans="1:1014" s="224" customFormat="1" ht="13.5" customHeight="1">
      <c r="A10" s="225">
        <f t="shared" ref="A10:A46" si="0">ROW()-8</f>
        <v>2</v>
      </c>
      <c r="B10" s="253" t="s">
        <v>955</v>
      </c>
      <c r="C10" s="221"/>
      <c r="D10" s="221"/>
      <c r="E10" s="221"/>
      <c r="F10" s="221"/>
      <c r="G10" s="221"/>
      <c r="H10" s="773" t="s">
        <v>2721</v>
      </c>
      <c r="I10" s="131" t="s">
        <v>957</v>
      </c>
      <c r="J10" s="812"/>
      <c r="K10" s="813" t="s">
        <v>925</v>
      </c>
      <c r="L10" s="728" t="s">
        <v>926</v>
      </c>
      <c r="M10" s="728" t="s">
        <v>927</v>
      </c>
      <c r="N10" s="728"/>
      <c r="O10" s="728"/>
      <c r="P10" s="730"/>
      <c r="Q10" s="728" t="s">
        <v>817</v>
      </c>
      <c r="R10" s="730"/>
      <c r="S10" s="812" t="s">
        <v>863</v>
      </c>
      <c r="T10" s="731"/>
      <c r="U10" s="728"/>
      <c r="V10" s="732" t="s">
        <v>864</v>
      </c>
      <c r="W10" s="732" t="s">
        <v>864</v>
      </c>
      <c r="X10" s="732" t="s">
        <v>864</v>
      </c>
      <c r="Y10" s="232"/>
      <c r="Z10" s="733"/>
      <c r="AA10" s="728"/>
      <c r="AB10" s="734"/>
      <c r="AC10" s="728"/>
      <c r="AD10" s="731">
        <v>1</v>
      </c>
      <c r="AE10" s="731">
        <v>1</v>
      </c>
    </row>
    <row r="11" spans="1:1014" s="224" customFormat="1" ht="13.5" customHeight="1">
      <c r="A11" s="225">
        <f t="shared" si="0"/>
        <v>3</v>
      </c>
      <c r="B11" s="217" t="s">
        <v>958</v>
      </c>
      <c r="C11" s="240"/>
      <c r="D11" s="241"/>
      <c r="E11" s="241"/>
      <c r="F11" s="241"/>
      <c r="G11" s="241"/>
      <c r="H11" s="773" t="s">
        <v>2722</v>
      </c>
      <c r="I11" s="729" t="s">
        <v>930</v>
      </c>
      <c r="J11" s="812" t="s">
        <v>960</v>
      </c>
      <c r="K11" s="813" t="s">
        <v>931</v>
      </c>
      <c r="L11" s="728"/>
      <c r="M11" s="728"/>
      <c r="N11" s="728"/>
      <c r="O11" s="728"/>
      <c r="P11" s="730">
        <v>1</v>
      </c>
      <c r="Q11" s="728" t="s">
        <v>820</v>
      </c>
      <c r="R11" s="730"/>
      <c r="S11" s="812" t="s">
        <v>879</v>
      </c>
      <c r="T11" s="731"/>
      <c r="U11" s="728" t="s">
        <v>932</v>
      </c>
      <c r="V11" s="732" t="s">
        <v>864</v>
      </c>
      <c r="W11" s="732" t="s">
        <v>864</v>
      </c>
      <c r="X11" s="732" t="s">
        <v>864</v>
      </c>
      <c r="Y11" s="232"/>
      <c r="Z11" s="733"/>
      <c r="AA11" s="728"/>
      <c r="AB11" s="734"/>
      <c r="AC11" s="728"/>
      <c r="AD11" s="731">
        <v>1</v>
      </c>
      <c r="AE11" s="731">
        <v>1</v>
      </c>
    </row>
    <row r="12" spans="1:1014" s="224" customFormat="1" ht="13.5" hidden="1" customHeight="1">
      <c r="A12" s="225">
        <f t="shared" si="0"/>
        <v>4</v>
      </c>
      <c r="B12" s="217" t="s">
        <v>1613</v>
      </c>
      <c r="C12" s="240"/>
      <c r="D12" s="241"/>
      <c r="E12" s="241"/>
      <c r="F12" s="241"/>
      <c r="G12" s="241"/>
      <c r="H12" s="728" t="s">
        <v>1614</v>
      </c>
      <c r="I12" s="729" t="s">
        <v>935</v>
      </c>
      <c r="J12" s="812" t="s">
        <v>1615</v>
      </c>
      <c r="K12" s="813" t="s">
        <v>1616</v>
      </c>
      <c r="L12" s="728"/>
      <c r="M12" s="728"/>
      <c r="N12" s="728"/>
      <c r="O12" s="728"/>
      <c r="P12" s="730"/>
      <c r="Q12" s="728" t="s">
        <v>820</v>
      </c>
      <c r="R12" s="730"/>
      <c r="S12" s="812" t="s">
        <v>863</v>
      </c>
      <c r="T12" s="731"/>
      <c r="U12" s="728"/>
      <c r="V12" s="732" t="s">
        <v>864</v>
      </c>
      <c r="W12" s="732"/>
      <c r="X12" s="732"/>
      <c r="Y12" s="232"/>
      <c r="Z12" s="733"/>
      <c r="AA12" s="728"/>
      <c r="AB12" s="734"/>
      <c r="AC12" s="728"/>
      <c r="AD12" s="731">
        <v>1</v>
      </c>
      <c r="AE12" s="731">
        <v>1</v>
      </c>
    </row>
    <row r="13" spans="1:1014" s="224" customFormat="1" ht="13.5" customHeight="1">
      <c r="A13" s="225">
        <f t="shared" si="0"/>
        <v>5</v>
      </c>
      <c r="B13" s="217" t="s">
        <v>961</v>
      </c>
      <c r="C13" s="240"/>
      <c r="D13" s="241"/>
      <c r="E13" s="241"/>
      <c r="F13" s="241"/>
      <c r="G13" s="241"/>
      <c r="H13" s="263" t="s">
        <v>2720</v>
      </c>
      <c r="I13" s="264" t="s">
        <v>963</v>
      </c>
      <c r="J13" s="263"/>
      <c r="K13" s="264" t="s">
        <v>964</v>
      </c>
      <c r="L13" s="263"/>
      <c r="M13" s="263"/>
      <c r="N13" s="263"/>
      <c r="O13" s="263"/>
      <c r="P13" s="265"/>
      <c r="Q13" s="263" t="s">
        <v>817</v>
      </c>
      <c r="R13" s="265"/>
      <c r="S13" s="263" t="s">
        <v>863</v>
      </c>
      <c r="T13" s="268"/>
      <c r="U13" s="263" t="s">
        <v>1617</v>
      </c>
      <c r="V13" s="732"/>
      <c r="W13" s="732" t="s">
        <v>864</v>
      </c>
      <c r="X13" s="732" t="s">
        <v>864</v>
      </c>
      <c r="Y13" s="232"/>
      <c r="Z13" s="733"/>
      <c r="AA13" s="728"/>
      <c r="AB13" s="734"/>
      <c r="AC13" s="728"/>
      <c r="AD13" s="731"/>
      <c r="AE13" s="731">
        <v>1</v>
      </c>
    </row>
    <row r="14" spans="1:1014" s="224" customFormat="1" ht="13.5" customHeight="1">
      <c r="A14" s="225">
        <f t="shared" si="0"/>
        <v>6</v>
      </c>
      <c r="B14" s="217" t="s">
        <v>1618</v>
      </c>
      <c r="C14" s="240"/>
      <c r="D14" s="241"/>
      <c r="E14" s="241"/>
      <c r="F14" s="241"/>
      <c r="G14" s="241"/>
      <c r="H14" s="263" t="s">
        <v>2723</v>
      </c>
      <c r="I14" s="264" t="s">
        <v>2833</v>
      </c>
      <c r="J14" s="263"/>
      <c r="K14" s="264" t="s">
        <v>1619</v>
      </c>
      <c r="L14" s="263"/>
      <c r="M14" s="263"/>
      <c r="N14" s="263"/>
      <c r="O14" s="263"/>
      <c r="P14" s="265"/>
      <c r="Q14" s="263" t="s">
        <v>817</v>
      </c>
      <c r="R14" s="265"/>
      <c r="S14" s="263" t="s">
        <v>863</v>
      </c>
      <c r="T14" s="268"/>
      <c r="U14" s="263" t="s">
        <v>1620</v>
      </c>
      <c r="V14" s="732"/>
      <c r="W14" s="732" t="s">
        <v>864</v>
      </c>
      <c r="X14" s="732" t="s">
        <v>864</v>
      </c>
      <c r="Y14" s="232"/>
      <c r="Z14" s="733"/>
      <c r="AA14" s="728"/>
      <c r="AB14" s="734"/>
      <c r="AC14" s="728"/>
      <c r="AD14" s="731"/>
      <c r="AE14" s="731">
        <v>1</v>
      </c>
    </row>
    <row r="15" spans="1:1014" s="224" customFormat="1" ht="13.5" customHeight="1">
      <c r="A15" s="225">
        <f t="shared" si="0"/>
        <v>7</v>
      </c>
      <c r="B15" s="217" t="s">
        <v>972</v>
      </c>
      <c r="C15" s="727"/>
      <c r="D15" s="241"/>
      <c r="E15" s="241"/>
      <c r="F15" s="241"/>
      <c r="G15" s="241"/>
      <c r="H15" s="812" t="s">
        <v>2834</v>
      </c>
      <c r="I15" s="729"/>
      <c r="J15" s="812" t="s">
        <v>974</v>
      </c>
      <c r="K15" s="813" t="s">
        <v>975</v>
      </c>
      <c r="L15" s="728"/>
      <c r="M15" s="728"/>
      <c r="N15" s="728"/>
      <c r="O15" s="728"/>
      <c r="P15" s="730"/>
      <c r="Q15" s="728" t="s">
        <v>820</v>
      </c>
      <c r="R15" s="730" t="s">
        <v>864</v>
      </c>
      <c r="S15" s="243" t="s">
        <v>975</v>
      </c>
      <c r="T15" s="731"/>
      <c r="U15" s="728"/>
      <c r="V15" s="732" t="s">
        <v>864</v>
      </c>
      <c r="W15" s="732" t="s">
        <v>864</v>
      </c>
      <c r="X15" s="732" t="s">
        <v>864</v>
      </c>
      <c r="Y15" s="232"/>
      <c r="Z15" s="733"/>
      <c r="AA15" s="728"/>
      <c r="AB15" s="734"/>
      <c r="AC15" s="728"/>
      <c r="AD15" s="731">
        <v>1</v>
      </c>
      <c r="AE15" s="731">
        <v>1</v>
      </c>
    </row>
    <row r="16" spans="1:1014" s="224" customFormat="1" ht="13.5" customHeight="1">
      <c r="A16" s="225">
        <f>ROW()-8</f>
        <v>8</v>
      </c>
      <c r="B16" s="217"/>
      <c r="C16" s="727" t="s">
        <v>1048</v>
      </c>
      <c r="D16" s="241"/>
      <c r="E16" s="241"/>
      <c r="F16" s="241"/>
      <c r="G16" s="241"/>
      <c r="H16" s="773" t="s">
        <v>2724</v>
      </c>
      <c r="I16" s="729" t="s">
        <v>1621</v>
      </c>
      <c r="J16" s="812"/>
      <c r="K16" s="813" t="s">
        <v>1622</v>
      </c>
      <c r="L16" s="728"/>
      <c r="M16" s="728"/>
      <c r="N16" s="728"/>
      <c r="O16" s="728"/>
      <c r="P16" s="730"/>
      <c r="Q16" s="263" t="s">
        <v>817</v>
      </c>
      <c r="R16" s="730"/>
      <c r="S16" s="812" t="s">
        <v>863</v>
      </c>
      <c r="T16" s="731"/>
      <c r="U16" s="263" t="s">
        <v>1623</v>
      </c>
      <c r="V16" s="732"/>
      <c r="W16" s="732" t="s">
        <v>864</v>
      </c>
      <c r="X16" s="732"/>
      <c r="Y16" s="232"/>
      <c r="Z16" s="733" t="s">
        <v>1624</v>
      </c>
      <c r="AA16" s="728"/>
      <c r="AB16" s="734"/>
      <c r="AC16" s="728"/>
      <c r="AD16" s="731"/>
      <c r="AE16" s="731">
        <v>1</v>
      </c>
    </row>
    <row r="17" spans="1:31" s="224" customFormat="1" ht="13.5" customHeight="1">
      <c r="A17" s="225">
        <f t="shared" si="0"/>
        <v>9</v>
      </c>
      <c r="B17" s="217"/>
      <c r="C17" s="727" t="s">
        <v>985</v>
      </c>
      <c r="D17" s="241"/>
      <c r="E17" s="241"/>
      <c r="F17" s="241"/>
      <c r="G17" s="241"/>
      <c r="H17" s="773" t="s">
        <v>2729</v>
      </c>
      <c r="I17" s="729"/>
      <c r="J17" s="812" t="s">
        <v>988</v>
      </c>
      <c r="K17" s="813"/>
      <c r="L17" s="728" t="s">
        <v>996</v>
      </c>
      <c r="M17" s="728" t="s">
        <v>997</v>
      </c>
      <c r="N17" s="728"/>
      <c r="O17" s="728"/>
      <c r="P17" s="730">
        <v>1</v>
      </c>
      <c r="Q17" s="728" t="s">
        <v>820</v>
      </c>
      <c r="R17" s="730" t="s">
        <v>864</v>
      </c>
      <c r="S17" s="243" t="s">
        <v>1625</v>
      </c>
      <c r="T17" s="731"/>
      <c r="U17" s="728" t="s">
        <v>1626</v>
      </c>
      <c r="V17" s="732" t="s">
        <v>864</v>
      </c>
      <c r="W17" s="731" t="s">
        <v>817</v>
      </c>
      <c r="X17" s="732" t="s">
        <v>864</v>
      </c>
      <c r="Y17" s="232"/>
      <c r="Z17" s="733"/>
      <c r="AA17" s="728" t="s">
        <v>992</v>
      </c>
      <c r="AB17" s="734"/>
      <c r="AC17" s="728"/>
      <c r="AD17" s="731">
        <v>1</v>
      </c>
      <c r="AE17" s="731">
        <v>1</v>
      </c>
    </row>
    <row r="18" spans="1:31" s="224" customFormat="1" ht="13" customHeight="1">
      <c r="A18" s="225">
        <f t="shared" si="0"/>
        <v>10</v>
      </c>
      <c r="B18" s="217"/>
      <c r="C18" s="727"/>
      <c r="D18" s="241" t="s">
        <v>667</v>
      </c>
      <c r="E18" s="241"/>
      <c r="F18" s="241"/>
      <c r="G18" s="241"/>
      <c r="H18" s="773" t="s">
        <v>2725</v>
      </c>
      <c r="I18" s="729" t="s">
        <v>999</v>
      </c>
      <c r="J18" s="812" t="s">
        <v>1000</v>
      </c>
      <c r="K18" s="813"/>
      <c r="L18" s="728"/>
      <c r="M18" s="728"/>
      <c r="N18" s="728"/>
      <c r="O18" s="728"/>
      <c r="P18" s="730">
        <v>1</v>
      </c>
      <c r="Q18" s="728" t="s">
        <v>820</v>
      </c>
      <c r="R18" s="730"/>
      <c r="S18" s="812" t="s">
        <v>863</v>
      </c>
      <c r="T18" s="731"/>
      <c r="U18" s="728"/>
      <c r="V18" s="732" t="s">
        <v>864</v>
      </c>
      <c r="W18" s="732" t="s">
        <v>864</v>
      </c>
      <c r="X18" s="732" t="s">
        <v>864</v>
      </c>
      <c r="Y18" s="232"/>
      <c r="Z18" s="733"/>
      <c r="AA18" s="728" t="s">
        <v>992</v>
      </c>
      <c r="AB18" s="734"/>
      <c r="AC18" s="728"/>
      <c r="AD18" s="731">
        <v>1</v>
      </c>
      <c r="AE18" s="731">
        <v>1</v>
      </c>
    </row>
    <row r="19" spans="1:31" s="224" customFormat="1" ht="13.5" customHeight="1">
      <c r="A19" s="225">
        <f t="shared" si="0"/>
        <v>11</v>
      </c>
      <c r="B19" s="217"/>
      <c r="C19" s="727"/>
      <c r="D19" s="241" t="s">
        <v>1001</v>
      </c>
      <c r="E19" s="241"/>
      <c r="F19" s="241"/>
      <c r="G19" s="241"/>
      <c r="H19" s="773" t="s">
        <v>2726</v>
      </c>
      <c r="I19" s="729" t="s">
        <v>1003</v>
      </c>
      <c r="J19" s="812" t="s">
        <v>1004</v>
      </c>
      <c r="K19" s="813"/>
      <c r="L19" s="728"/>
      <c r="M19" s="728"/>
      <c r="N19" s="728"/>
      <c r="O19" s="728"/>
      <c r="P19" s="730">
        <v>1</v>
      </c>
      <c r="Q19" s="728" t="s">
        <v>820</v>
      </c>
      <c r="R19" s="730"/>
      <c r="S19" s="812" t="s">
        <v>863</v>
      </c>
      <c r="T19" s="731"/>
      <c r="U19" s="728"/>
      <c r="V19" s="732" t="s">
        <v>864</v>
      </c>
      <c r="W19" s="732" t="s">
        <v>864</v>
      </c>
      <c r="X19" s="732" t="s">
        <v>864</v>
      </c>
      <c r="Y19" s="232"/>
      <c r="Z19" s="733"/>
      <c r="AA19" s="728" t="s">
        <v>992</v>
      </c>
      <c r="AB19" s="734"/>
      <c r="AC19" s="728"/>
      <c r="AD19" s="731">
        <v>1</v>
      </c>
      <c r="AE19" s="731">
        <v>1</v>
      </c>
    </row>
    <row r="20" spans="1:31" s="224" customFormat="1" ht="13.5" customHeight="1">
      <c r="A20" s="225">
        <f t="shared" si="0"/>
        <v>12</v>
      </c>
      <c r="B20" s="217"/>
      <c r="C20" s="727" t="s">
        <v>993</v>
      </c>
      <c r="D20" s="241" t="s">
        <v>1627</v>
      </c>
      <c r="E20" s="241"/>
      <c r="F20" s="241"/>
      <c r="G20" s="241"/>
      <c r="H20" s="773" t="s">
        <v>2728</v>
      </c>
      <c r="I20" s="729"/>
      <c r="J20" s="812" t="s">
        <v>995</v>
      </c>
      <c r="K20" s="813"/>
      <c r="L20" s="728" t="s">
        <v>989</v>
      </c>
      <c r="M20" s="728" t="s">
        <v>990</v>
      </c>
      <c r="N20" s="728"/>
      <c r="O20" s="728"/>
      <c r="P20" s="730">
        <v>1</v>
      </c>
      <c r="Q20" s="728" t="s">
        <v>817</v>
      </c>
      <c r="R20" s="730" t="s">
        <v>864</v>
      </c>
      <c r="S20" s="243" t="s">
        <v>1625</v>
      </c>
      <c r="T20" s="731"/>
      <c r="U20" s="728" t="s">
        <v>1628</v>
      </c>
      <c r="V20" s="732" t="s">
        <v>864</v>
      </c>
      <c r="W20" s="732" t="s">
        <v>864</v>
      </c>
      <c r="X20" s="732" t="s">
        <v>864</v>
      </c>
      <c r="Y20" s="232"/>
      <c r="Z20" s="733"/>
      <c r="AA20" s="728" t="s">
        <v>992</v>
      </c>
      <c r="AB20" s="734"/>
      <c r="AC20" s="728"/>
      <c r="AD20" s="731">
        <v>1</v>
      </c>
      <c r="AE20" s="731">
        <v>1</v>
      </c>
    </row>
    <row r="21" spans="1:31" s="224" customFormat="1" ht="13.5" customHeight="1">
      <c r="A21" s="225">
        <f t="shared" si="0"/>
        <v>13</v>
      </c>
      <c r="B21" s="217"/>
      <c r="C21" s="727" t="s">
        <v>1006</v>
      </c>
      <c r="D21" s="241" t="s">
        <v>1627</v>
      </c>
      <c r="E21" s="241"/>
      <c r="F21" s="241"/>
      <c r="G21" s="241"/>
      <c r="H21" s="773" t="s">
        <v>2730</v>
      </c>
      <c r="I21" s="729"/>
      <c r="J21" s="812" t="s">
        <v>1008</v>
      </c>
      <c r="K21" s="813"/>
      <c r="L21" s="728"/>
      <c r="M21" s="728"/>
      <c r="N21" s="728"/>
      <c r="O21" s="728"/>
      <c r="P21" s="730">
        <v>1</v>
      </c>
      <c r="Q21" s="728" t="s">
        <v>823</v>
      </c>
      <c r="R21" s="730" t="s">
        <v>864</v>
      </c>
      <c r="S21" s="243" t="s">
        <v>1625</v>
      </c>
      <c r="T21" s="731"/>
      <c r="U21" s="728" t="s">
        <v>1629</v>
      </c>
      <c r="V21" s="732" t="s">
        <v>864</v>
      </c>
      <c r="W21" s="732" t="s">
        <v>864</v>
      </c>
      <c r="X21" s="732" t="s">
        <v>864</v>
      </c>
      <c r="Y21" s="232"/>
      <c r="Z21" s="733"/>
      <c r="AA21" s="728" t="s">
        <v>992</v>
      </c>
      <c r="AB21" s="734"/>
      <c r="AC21" s="728"/>
      <c r="AD21" s="731">
        <v>1</v>
      </c>
      <c r="AE21" s="731">
        <v>1</v>
      </c>
    </row>
    <row r="22" spans="1:31" s="224" customFormat="1" ht="13.5" customHeight="1">
      <c r="A22" s="225">
        <f t="shared" si="0"/>
        <v>14</v>
      </c>
      <c r="B22" s="217"/>
      <c r="C22" s="727" t="s">
        <v>1009</v>
      </c>
      <c r="D22" s="241" t="s">
        <v>1627</v>
      </c>
      <c r="E22" s="241"/>
      <c r="F22" s="241"/>
      <c r="G22" s="241"/>
      <c r="H22" s="773" t="s">
        <v>2731</v>
      </c>
      <c r="I22" s="729"/>
      <c r="J22" s="812" t="s">
        <v>1011</v>
      </c>
      <c r="K22" s="813"/>
      <c r="L22" s="728"/>
      <c r="M22" s="728"/>
      <c r="N22" s="728"/>
      <c r="O22" s="728"/>
      <c r="P22" s="730">
        <v>1</v>
      </c>
      <c r="Q22" s="728" t="s">
        <v>817</v>
      </c>
      <c r="R22" s="730" t="s">
        <v>864</v>
      </c>
      <c r="S22" s="243" t="s">
        <v>1625</v>
      </c>
      <c r="T22" s="731"/>
      <c r="U22" s="263" t="s">
        <v>1630</v>
      </c>
      <c r="V22" s="732" t="s">
        <v>864</v>
      </c>
      <c r="W22" s="732" t="s">
        <v>864</v>
      </c>
      <c r="X22" s="732" t="s">
        <v>864</v>
      </c>
      <c r="Y22" s="232"/>
      <c r="Z22" s="733"/>
      <c r="AA22" s="728" t="s">
        <v>992</v>
      </c>
      <c r="AB22" s="734"/>
      <c r="AC22" s="728"/>
      <c r="AD22" s="731">
        <v>1</v>
      </c>
      <c r="AE22" s="731">
        <v>1</v>
      </c>
    </row>
    <row r="23" spans="1:31" s="224" customFormat="1" ht="13.5" customHeight="1">
      <c r="A23" s="225">
        <f t="shared" si="0"/>
        <v>15</v>
      </c>
      <c r="B23" s="217"/>
      <c r="C23" s="727" t="s">
        <v>1012</v>
      </c>
      <c r="D23" s="241"/>
      <c r="E23" s="241"/>
      <c r="F23" s="241"/>
      <c r="G23" s="241"/>
      <c r="H23" s="263"/>
      <c r="I23" s="729"/>
      <c r="J23" s="812"/>
      <c r="K23" s="812" t="s">
        <v>1013</v>
      </c>
      <c r="L23" s="728"/>
      <c r="M23" s="728"/>
      <c r="N23" s="728"/>
      <c r="O23" s="728"/>
      <c r="P23" s="730"/>
      <c r="Q23" s="728" t="s">
        <v>817</v>
      </c>
      <c r="R23" s="730" t="s">
        <v>864</v>
      </c>
      <c r="S23" s="243" t="s">
        <v>1014</v>
      </c>
      <c r="T23" s="731"/>
      <c r="U23" s="728"/>
      <c r="V23" s="732"/>
      <c r="W23" s="732" t="s">
        <v>864</v>
      </c>
      <c r="X23" s="732"/>
      <c r="Y23" s="232"/>
      <c r="Z23" s="733"/>
      <c r="AA23" s="728" t="s">
        <v>1015</v>
      </c>
      <c r="AB23" s="734"/>
      <c r="AC23" s="728"/>
      <c r="AD23" s="731"/>
      <c r="AE23" s="731">
        <v>1</v>
      </c>
    </row>
    <row r="24" spans="1:31" s="224" customFormat="1" ht="13.5" hidden="1" customHeight="1">
      <c r="A24" s="225">
        <f t="shared" si="0"/>
        <v>16</v>
      </c>
      <c r="B24" s="217"/>
      <c r="C24" s="727"/>
      <c r="D24" s="241" t="s">
        <v>495</v>
      </c>
      <c r="E24" s="241"/>
      <c r="F24" s="241"/>
      <c r="G24" s="241"/>
      <c r="H24" s="263" t="s">
        <v>1016</v>
      </c>
      <c r="I24" s="729"/>
      <c r="J24" s="812"/>
      <c r="K24" s="812" t="s">
        <v>888</v>
      </c>
      <c r="L24" s="728"/>
      <c r="M24" s="728"/>
      <c r="N24" s="728"/>
      <c r="O24" s="728"/>
      <c r="P24" s="730"/>
      <c r="Q24" s="728" t="s">
        <v>817</v>
      </c>
      <c r="R24" s="730"/>
      <c r="S24" s="812" t="s">
        <v>863</v>
      </c>
      <c r="T24" s="731" t="s">
        <v>864</v>
      </c>
      <c r="U24" s="728" t="s">
        <v>1631</v>
      </c>
      <c r="V24" s="732"/>
      <c r="W24" s="732"/>
      <c r="X24" s="732"/>
      <c r="Y24" s="232"/>
      <c r="Z24" s="733"/>
      <c r="AA24" s="266" t="s">
        <v>1018</v>
      </c>
      <c r="AB24" s="734"/>
      <c r="AC24" s="728"/>
      <c r="AD24" s="731"/>
      <c r="AE24" s="731">
        <v>1</v>
      </c>
    </row>
    <row r="25" spans="1:31" s="224" customFormat="1" ht="13.5" hidden="1" customHeight="1">
      <c r="A25" s="225">
        <f t="shared" si="0"/>
        <v>17</v>
      </c>
      <c r="B25" s="217"/>
      <c r="C25" s="727"/>
      <c r="D25" s="241" t="s">
        <v>967</v>
      </c>
      <c r="E25" s="241"/>
      <c r="F25" s="241"/>
      <c r="G25" s="241"/>
      <c r="H25" s="728" t="s">
        <v>1019</v>
      </c>
      <c r="I25" s="729" t="s">
        <v>1020</v>
      </c>
      <c r="J25" s="812"/>
      <c r="K25" s="812" t="s">
        <v>970</v>
      </c>
      <c r="L25" s="728"/>
      <c r="M25" s="728"/>
      <c r="N25" s="728"/>
      <c r="O25" s="728"/>
      <c r="P25" s="730"/>
      <c r="Q25" s="728" t="s">
        <v>817</v>
      </c>
      <c r="R25" s="730"/>
      <c r="S25" s="812" t="s">
        <v>863</v>
      </c>
      <c r="T25" s="731" t="s">
        <v>864</v>
      </c>
      <c r="U25" s="728" t="s">
        <v>1632</v>
      </c>
      <c r="V25" s="732"/>
      <c r="W25" s="732"/>
      <c r="X25" s="732"/>
      <c r="Y25" s="232"/>
      <c r="Z25" s="733"/>
      <c r="AA25" s="266" t="s">
        <v>1022</v>
      </c>
      <c r="AB25" s="734"/>
      <c r="AC25" s="728"/>
      <c r="AD25" s="731"/>
      <c r="AE25" s="731">
        <v>1</v>
      </c>
    </row>
    <row r="26" spans="1:31" s="224" customFormat="1" ht="13.5" customHeight="1">
      <c r="A26" s="225">
        <f t="shared" si="0"/>
        <v>18</v>
      </c>
      <c r="B26" s="217"/>
      <c r="C26" s="727"/>
      <c r="D26" s="727" t="s">
        <v>1023</v>
      </c>
      <c r="E26" s="241"/>
      <c r="F26" s="241"/>
      <c r="G26" s="241"/>
      <c r="H26" s="263" t="s">
        <v>2727</v>
      </c>
      <c r="I26" s="131" t="s">
        <v>1025</v>
      </c>
      <c r="J26" s="812"/>
      <c r="K26" s="813" t="s">
        <v>1026</v>
      </c>
      <c r="L26" s="728"/>
      <c r="M26" s="728"/>
      <c r="N26" s="728"/>
      <c r="O26" s="728"/>
      <c r="P26" s="730"/>
      <c r="Q26" s="728" t="s">
        <v>817</v>
      </c>
      <c r="R26" s="730"/>
      <c r="S26" s="812" t="s">
        <v>863</v>
      </c>
      <c r="T26" s="373"/>
      <c r="U26" s="729" t="s">
        <v>1633</v>
      </c>
      <c r="V26" s="732"/>
      <c r="W26" s="732" t="s">
        <v>864</v>
      </c>
      <c r="X26" s="732"/>
      <c r="Y26" s="232"/>
      <c r="Z26" s="386" t="s">
        <v>1027</v>
      </c>
      <c r="AA26" s="728" t="s">
        <v>1028</v>
      </c>
      <c r="AB26" s="734"/>
      <c r="AC26" s="728"/>
      <c r="AD26" s="731"/>
      <c r="AE26" s="731">
        <v>1</v>
      </c>
    </row>
    <row r="27" spans="1:31" s="224" customFormat="1" ht="13.5" customHeight="1">
      <c r="A27" s="225">
        <f t="shared" si="0"/>
        <v>19</v>
      </c>
      <c r="B27" s="217"/>
      <c r="C27" s="727"/>
      <c r="D27" s="727" t="s">
        <v>1029</v>
      </c>
      <c r="E27" s="241"/>
      <c r="F27" s="241"/>
      <c r="G27" s="241"/>
      <c r="H27" s="728" t="s">
        <v>980</v>
      </c>
      <c r="I27" s="729" t="s">
        <v>981</v>
      </c>
      <c r="J27" s="812"/>
      <c r="K27" s="813" t="s">
        <v>982</v>
      </c>
      <c r="L27" s="728"/>
      <c r="M27" s="728"/>
      <c r="N27" s="728"/>
      <c r="O27" s="728"/>
      <c r="P27" s="730"/>
      <c r="Q27" s="728" t="s">
        <v>817</v>
      </c>
      <c r="R27" s="730"/>
      <c r="S27" s="812" t="s">
        <v>863</v>
      </c>
      <c r="T27" s="731"/>
      <c r="U27" s="263" t="s">
        <v>1634</v>
      </c>
      <c r="V27" s="732"/>
      <c r="W27" s="732" t="s">
        <v>864</v>
      </c>
      <c r="X27" s="732"/>
      <c r="Y27" s="232"/>
      <c r="Z27" s="391" t="s">
        <v>983</v>
      </c>
      <c r="AA27" s="263" t="s">
        <v>984</v>
      </c>
      <c r="AB27" s="734"/>
      <c r="AC27" s="728"/>
      <c r="AD27" s="731"/>
      <c r="AE27" s="731">
        <v>1</v>
      </c>
    </row>
    <row r="28" spans="1:31" s="224" customFormat="1" ht="13.5" customHeight="1">
      <c r="A28" s="225">
        <f t="shared" si="0"/>
        <v>20</v>
      </c>
      <c r="B28" s="217"/>
      <c r="C28" s="239"/>
      <c r="D28" s="241" t="s">
        <v>2836</v>
      </c>
      <c r="E28" s="241"/>
      <c r="F28" s="241"/>
      <c r="G28" s="241"/>
      <c r="H28" s="812" t="s">
        <v>2835</v>
      </c>
      <c r="I28" s="729" t="s">
        <v>1507</v>
      </c>
      <c r="J28" s="812"/>
      <c r="K28" s="813" t="s">
        <v>1508</v>
      </c>
      <c r="L28" s="728"/>
      <c r="M28" s="728"/>
      <c r="N28" s="728"/>
      <c r="O28" s="728"/>
      <c r="P28" s="730"/>
      <c r="Q28" s="728" t="s">
        <v>817</v>
      </c>
      <c r="R28" s="730"/>
      <c r="S28" s="812" t="s">
        <v>863</v>
      </c>
      <c r="T28" s="731" t="s">
        <v>864</v>
      </c>
      <c r="U28" s="728" t="s">
        <v>1635</v>
      </c>
      <c r="V28" s="732"/>
      <c r="W28" s="260" t="s">
        <v>864</v>
      </c>
      <c r="X28" s="260"/>
      <c r="Y28" s="232"/>
      <c r="Z28" s="386" t="s">
        <v>1509</v>
      </c>
      <c r="AA28" s="728"/>
      <c r="AB28" s="734"/>
      <c r="AC28" s="728"/>
      <c r="AD28" s="731"/>
      <c r="AE28" s="731">
        <v>1</v>
      </c>
    </row>
    <row r="29" spans="1:31" s="224" customFormat="1" ht="13.5" hidden="1" customHeight="1">
      <c r="A29" s="225">
        <f t="shared" si="0"/>
        <v>21</v>
      </c>
      <c r="B29" s="217"/>
      <c r="C29" s="727" t="s">
        <v>1030</v>
      </c>
      <c r="D29" s="241"/>
      <c r="E29" s="241"/>
      <c r="F29" s="241"/>
      <c r="G29" s="241"/>
      <c r="H29" s="728"/>
      <c r="I29" s="729"/>
      <c r="J29" s="812" t="s">
        <v>1031</v>
      </c>
      <c r="K29" s="813"/>
      <c r="L29" s="728"/>
      <c r="M29" s="728"/>
      <c r="N29" s="728"/>
      <c r="O29" s="728"/>
      <c r="P29" s="730"/>
      <c r="Q29" s="728" t="s">
        <v>817</v>
      </c>
      <c r="R29" s="730" t="s">
        <v>864</v>
      </c>
      <c r="S29" s="243" t="s">
        <v>1031</v>
      </c>
      <c r="T29" s="731"/>
      <c r="U29" s="728"/>
      <c r="V29" s="732" t="s">
        <v>864</v>
      </c>
      <c r="W29" s="732"/>
      <c r="X29" s="732" t="s">
        <v>864</v>
      </c>
      <c r="Y29" s="232"/>
      <c r="Z29" s="733"/>
      <c r="AA29" s="728"/>
      <c r="AB29" s="734"/>
      <c r="AC29" s="728"/>
      <c r="AD29" s="731">
        <v>1</v>
      </c>
      <c r="AE29" s="731">
        <v>1</v>
      </c>
    </row>
    <row r="30" spans="1:31" s="224" customFormat="1" ht="13.5" hidden="1" customHeight="1">
      <c r="A30" s="225">
        <f t="shared" si="0"/>
        <v>22</v>
      </c>
      <c r="B30" s="217"/>
      <c r="C30" s="727"/>
      <c r="D30" s="241" t="s">
        <v>1032</v>
      </c>
      <c r="E30" s="241"/>
      <c r="F30" s="241"/>
      <c r="G30" s="241"/>
      <c r="H30" s="728" t="s">
        <v>1033</v>
      </c>
      <c r="I30" s="729" t="s">
        <v>1034</v>
      </c>
      <c r="J30" s="812" t="s">
        <v>1035</v>
      </c>
      <c r="K30" s="813"/>
      <c r="L30" s="728" t="s">
        <v>1036</v>
      </c>
      <c r="M30" s="728" t="s">
        <v>1037</v>
      </c>
      <c r="N30" s="728"/>
      <c r="O30" s="728"/>
      <c r="P30" s="730"/>
      <c r="Q30" s="728" t="s">
        <v>817</v>
      </c>
      <c r="R30" s="730"/>
      <c r="S30" s="812" t="s">
        <v>863</v>
      </c>
      <c r="T30" s="731" t="s">
        <v>864</v>
      </c>
      <c r="U30" s="728" t="s">
        <v>1636</v>
      </c>
      <c r="V30" s="732" t="s">
        <v>864</v>
      </c>
      <c r="W30" s="732"/>
      <c r="X30" s="732" t="s">
        <v>864</v>
      </c>
      <c r="Y30" s="232"/>
      <c r="Z30" s="733"/>
      <c r="AA30" s="728"/>
      <c r="AB30" s="734"/>
      <c r="AC30" s="728"/>
      <c r="AD30" s="731">
        <v>1</v>
      </c>
      <c r="AE30" s="731">
        <v>1</v>
      </c>
    </row>
    <row r="31" spans="1:31" s="224" customFormat="1" ht="13.5" hidden="1" customHeight="1">
      <c r="A31" s="225">
        <f t="shared" si="0"/>
        <v>23</v>
      </c>
      <c r="B31" s="217"/>
      <c r="C31" s="727"/>
      <c r="D31" s="241" t="s">
        <v>1039</v>
      </c>
      <c r="E31" s="241"/>
      <c r="F31" s="241"/>
      <c r="G31" s="241"/>
      <c r="H31" s="728" t="s">
        <v>1040</v>
      </c>
      <c r="I31" s="729" t="s">
        <v>1041</v>
      </c>
      <c r="J31" s="812" t="s">
        <v>1042</v>
      </c>
      <c r="K31" s="813"/>
      <c r="L31" s="728"/>
      <c r="M31" s="728"/>
      <c r="N31" s="728"/>
      <c r="O31" s="728"/>
      <c r="P31" s="730"/>
      <c r="Q31" s="728" t="s">
        <v>817</v>
      </c>
      <c r="R31" s="730"/>
      <c r="S31" s="812" t="s">
        <v>863</v>
      </c>
      <c r="T31" s="731" t="s">
        <v>864</v>
      </c>
      <c r="U31" s="728" t="s">
        <v>1637</v>
      </c>
      <c r="V31" s="732" t="s">
        <v>864</v>
      </c>
      <c r="W31" s="732"/>
      <c r="X31" s="732"/>
      <c r="Y31" s="232"/>
      <c r="Z31" s="733"/>
      <c r="AA31" s="728"/>
      <c r="AB31" s="734" t="s">
        <v>1044</v>
      </c>
      <c r="AC31" s="728"/>
      <c r="AD31" s="731">
        <v>1</v>
      </c>
      <c r="AE31" s="731">
        <v>1</v>
      </c>
    </row>
    <row r="32" spans="1:31" s="224" customFormat="1" ht="13.5" hidden="1" customHeight="1">
      <c r="A32" s="225">
        <f t="shared" si="0"/>
        <v>24</v>
      </c>
      <c r="B32" s="217"/>
      <c r="C32" s="727"/>
      <c r="D32" s="241" t="s">
        <v>1045</v>
      </c>
      <c r="E32" s="241"/>
      <c r="F32" s="241"/>
      <c r="G32" s="241"/>
      <c r="H32" s="728" t="s">
        <v>1046</v>
      </c>
      <c r="I32" s="729" t="s">
        <v>1047</v>
      </c>
      <c r="J32" s="812" t="s">
        <v>939</v>
      </c>
      <c r="K32" s="813"/>
      <c r="L32" s="728"/>
      <c r="M32" s="728"/>
      <c r="N32" s="728"/>
      <c r="O32" s="728"/>
      <c r="P32" s="730"/>
      <c r="Q32" s="728" t="s">
        <v>817</v>
      </c>
      <c r="R32" s="730"/>
      <c r="S32" s="812" t="s">
        <v>863</v>
      </c>
      <c r="T32" s="731"/>
      <c r="U32" s="728"/>
      <c r="V32" s="732" t="s">
        <v>864</v>
      </c>
      <c r="W32" s="732"/>
      <c r="X32" s="732"/>
      <c r="Y32" s="232"/>
      <c r="Z32" s="733"/>
      <c r="AA32" s="728"/>
      <c r="AB32" s="734"/>
      <c r="AC32" s="728"/>
      <c r="AD32" s="731">
        <v>1</v>
      </c>
      <c r="AE32" s="731">
        <v>1</v>
      </c>
    </row>
    <row r="33" spans="1:31" s="224" customFormat="1" ht="13.5" customHeight="1">
      <c r="A33" s="225">
        <f t="shared" si="0"/>
        <v>25</v>
      </c>
      <c r="B33" s="217" t="s">
        <v>1638</v>
      </c>
      <c r="C33" s="216"/>
      <c r="D33" s="217"/>
      <c r="E33" s="217"/>
      <c r="F33" s="217"/>
      <c r="G33" s="217"/>
      <c r="H33" s="773" t="s">
        <v>2732</v>
      </c>
      <c r="I33" s="729"/>
      <c r="J33" s="812" t="s">
        <v>1053</v>
      </c>
      <c r="K33" s="813" t="s">
        <v>1054</v>
      </c>
      <c r="L33" s="728"/>
      <c r="M33" s="728"/>
      <c r="N33" s="728"/>
      <c r="O33" s="728"/>
      <c r="P33" s="730"/>
      <c r="Q33" s="728" t="s">
        <v>820</v>
      </c>
      <c r="R33" s="730" t="s">
        <v>864</v>
      </c>
      <c r="S33" s="243" t="s">
        <v>1054</v>
      </c>
      <c r="T33" s="280"/>
      <c r="U33" s="728"/>
      <c r="V33" s="732" t="s">
        <v>864</v>
      </c>
      <c r="W33" s="732" t="s">
        <v>864</v>
      </c>
      <c r="X33" s="732" t="s">
        <v>864</v>
      </c>
      <c r="Y33" s="232"/>
      <c r="Z33" s="733"/>
      <c r="AA33" s="728"/>
      <c r="AB33" s="734"/>
      <c r="AC33" s="728"/>
      <c r="AD33" s="731">
        <v>1</v>
      </c>
      <c r="AE33" s="731">
        <v>1</v>
      </c>
    </row>
    <row r="34" spans="1:31" s="224" customFormat="1" ht="13.5" hidden="1" customHeight="1">
      <c r="A34" s="225">
        <f t="shared" si="0"/>
        <v>26</v>
      </c>
      <c r="B34" s="217"/>
      <c r="C34" s="217" t="s">
        <v>1055</v>
      </c>
      <c r="D34" s="217"/>
      <c r="E34" s="217"/>
      <c r="F34" s="217"/>
      <c r="G34" s="217"/>
      <c r="H34" s="728" t="s">
        <v>1056</v>
      </c>
      <c r="I34" s="729" t="s">
        <v>1057</v>
      </c>
      <c r="J34" s="812" t="s">
        <v>1058</v>
      </c>
      <c r="K34" s="813"/>
      <c r="L34" s="728"/>
      <c r="M34" s="728"/>
      <c r="N34" s="728"/>
      <c r="O34" s="728"/>
      <c r="P34" s="730"/>
      <c r="Q34" s="728" t="s">
        <v>820</v>
      </c>
      <c r="R34" s="730"/>
      <c r="S34" s="812" t="s">
        <v>863</v>
      </c>
      <c r="T34" s="731"/>
      <c r="U34" s="728"/>
      <c r="V34" s="732" t="s">
        <v>864</v>
      </c>
      <c r="W34" s="732"/>
      <c r="X34" s="732" t="s">
        <v>864</v>
      </c>
      <c r="Y34" s="232"/>
      <c r="Z34" s="733"/>
      <c r="AA34" s="728"/>
      <c r="AB34" s="734"/>
      <c r="AC34" s="728"/>
      <c r="AD34" s="731">
        <v>1</v>
      </c>
      <c r="AE34" s="731">
        <v>1</v>
      </c>
    </row>
    <row r="35" spans="1:31" s="249" customFormat="1" ht="13.5" hidden="1" customHeight="1">
      <c r="A35" s="225">
        <f t="shared" si="0"/>
        <v>27</v>
      </c>
      <c r="B35" s="217"/>
      <c r="C35" s="219" t="s">
        <v>1059</v>
      </c>
      <c r="D35" s="219"/>
      <c r="E35" s="220"/>
      <c r="F35" s="220"/>
      <c r="G35" s="220"/>
      <c r="H35" s="728" t="s">
        <v>1639</v>
      </c>
      <c r="I35" s="729" t="s">
        <v>1061</v>
      </c>
      <c r="J35" s="812" t="s">
        <v>1062</v>
      </c>
      <c r="K35" s="813"/>
      <c r="L35" s="728"/>
      <c r="M35" s="728"/>
      <c r="N35" s="728"/>
      <c r="O35" s="728"/>
      <c r="P35" s="252"/>
      <c r="Q35" s="728" t="s">
        <v>817</v>
      </c>
      <c r="R35" s="730"/>
      <c r="S35" s="812" t="s">
        <v>863</v>
      </c>
      <c r="T35" s="731"/>
      <c r="U35" s="728"/>
      <c r="V35" s="732" t="s">
        <v>864</v>
      </c>
      <c r="W35" s="732"/>
      <c r="X35" s="732" t="s">
        <v>864</v>
      </c>
      <c r="Y35" s="232"/>
      <c r="Z35" s="733"/>
      <c r="AA35" s="728"/>
      <c r="AB35" s="734"/>
      <c r="AC35" s="728"/>
      <c r="AD35" s="731">
        <v>1</v>
      </c>
      <c r="AE35" s="731">
        <v>1</v>
      </c>
    </row>
    <row r="36" spans="1:31" s="224" customFormat="1" ht="13.5" customHeight="1">
      <c r="A36" s="225">
        <f t="shared" si="0"/>
        <v>28</v>
      </c>
      <c r="B36" s="217"/>
      <c r="C36" s="217" t="s">
        <v>1063</v>
      </c>
      <c r="D36" s="217"/>
      <c r="E36" s="217"/>
      <c r="F36" s="217"/>
      <c r="G36" s="217"/>
      <c r="H36" s="263" t="s">
        <v>2733</v>
      </c>
      <c r="I36" s="729" t="s">
        <v>1065</v>
      </c>
      <c r="J36" s="812" t="s">
        <v>871</v>
      </c>
      <c r="K36" s="813"/>
      <c r="L36" s="728" t="s">
        <v>1066</v>
      </c>
      <c r="M36" s="728" t="s">
        <v>1067</v>
      </c>
      <c r="N36" s="728"/>
      <c r="O36" s="728"/>
      <c r="P36" s="252"/>
      <c r="Q36" s="728" t="s">
        <v>817</v>
      </c>
      <c r="R36" s="730"/>
      <c r="S36" s="812" t="s">
        <v>863</v>
      </c>
      <c r="T36" s="731"/>
      <c r="U36" s="728"/>
      <c r="V36" s="732" t="s">
        <v>864</v>
      </c>
      <c r="W36" s="732" t="s">
        <v>864</v>
      </c>
      <c r="X36" s="732" t="s">
        <v>864</v>
      </c>
      <c r="Y36" s="232"/>
      <c r="Z36" s="733"/>
      <c r="AA36" s="728"/>
      <c r="AB36" s="734"/>
      <c r="AC36" s="728"/>
      <c r="AD36" s="731">
        <v>1</v>
      </c>
      <c r="AE36" s="731">
        <v>1</v>
      </c>
    </row>
    <row r="37" spans="1:31" s="224" customFormat="1" ht="13.5" customHeight="1">
      <c r="A37" s="225">
        <f t="shared" si="0"/>
        <v>29</v>
      </c>
      <c r="B37" s="217"/>
      <c r="C37" s="241" t="s">
        <v>1068</v>
      </c>
      <c r="D37" s="221"/>
      <c r="E37" s="221"/>
      <c r="F37" s="221"/>
      <c r="G37" s="221"/>
      <c r="H37" s="812" t="s">
        <v>2837</v>
      </c>
      <c r="I37" s="736"/>
      <c r="J37" s="812"/>
      <c r="K37" s="813" t="s">
        <v>1070</v>
      </c>
      <c r="L37" s="728"/>
      <c r="M37" s="728"/>
      <c r="N37" s="728"/>
      <c r="O37" s="728"/>
      <c r="P37" s="730"/>
      <c r="Q37" s="728" t="s">
        <v>823</v>
      </c>
      <c r="R37" s="730" t="s">
        <v>864</v>
      </c>
      <c r="S37" s="498" t="s">
        <v>1070</v>
      </c>
      <c r="T37" s="731"/>
      <c r="U37" s="731"/>
      <c r="V37" s="772" t="s">
        <v>864</v>
      </c>
      <c r="W37" s="374" t="s">
        <v>864</v>
      </c>
      <c r="X37" s="732" t="s">
        <v>864</v>
      </c>
      <c r="Y37" s="232"/>
      <c r="Z37" s="733"/>
      <c r="AA37" s="728"/>
      <c r="AB37" s="734"/>
      <c r="AC37" s="728"/>
      <c r="AD37" s="731"/>
      <c r="AE37" s="731">
        <v>1</v>
      </c>
    </row>
    <row r="38" spans="1:31" s="224" customFormat="1" ht="13.5" customHeight="1">
      <c r="A38" s="225">
        <f t="shared" si="0"/>
        <v>30</v>
      </c>
      <c r="B38" s="217"/>
      <c r="C38" s="241"/>
      <c r="D38" s="241" t="s">
        <v>1071</v>
      </c>
      <c r="E38" s="241"/>
      <c r="F38" s="241"/>
      <c r="G38" s="241"/>
      <c r="H38" s="728" t="s">
        <v>1072</v>
      </c>
      <c r="I38" s="736" t="s">
        <v>1073</v>
      </c>
      <c r="J38" s="812"/>
      <c r="K38" s="813" t="s">
        <v>908</v>
      </c>
      <c r="L38" s="728"/>
      <c r="M38" s="728"/>
      <c r="N38" s="728"/>
      <c r="O38" s="728"/>
      <c r="P38" s="730"/>
      <c r="Q38" s="728" t="s">
        <v>820</v>
      </c>
      <c r="R38" s="730"/>
      <c r="S38" s="812" t="s">
        <v>863</v>
      </c>
      <c r="T38" s="731" t="s">
        <v>864</v>
      </c>
      <c r="U38" s="729" t="s">
        <v>1640</v>
      </c>
      <c r="V38" s="772" t="s">
        <v>864</v>
      </c>
      <c r="W38" s="374" t="s">
        <v>864</v>
      </c>
      <c r="X38" s="732" t="s">
        <v>864</v>
      </c>
      <c r="Y38" s="232"/>
      <c r="Z38" s="266" t="s">
        <v>1075</v>
      </c>
      <c r="AA38" s="728" t="s">
        <v>1076</v>
      </c>
      <c r="AB38" s="245"/>
      <c r="AC38" s="728"/>
      <c r="AD38" s="731"/>
      <c r="AE38" s="731">
        <v>1</v>
      </c>
    </row>
    <row r="39" spans="1:31" s="224" customFormat="1" ht="13.5" customHeight="1">
      <c r="A39" s="225">
        <f t="shared" si="0"/>
        <v>31</v>
      </c>
      <c r="B39" s="217"/>
      <c r="C39" s="241"/>
      <c r="D39" s="241" t="s">
        <v>1077</v>
      </c>
      <c r="E39" s="241"/>
      <c r="F39" s="241"/>
      <c r="G39" s="241"/>
      <c r="H39" s="773" t="s">
        <v>1078</v>
      </c>
      <c r="I39" s="736" t="s">
        <v>1079</v>
      </c>
      <c r="J39" s="812"/>
      <c r="K39" s="813" t="s">
        <v>1080</v>
      </c>
      <c r="L39" s="728"/>
      <c r="M39" s="728"/>
      <c r="N39" s="728"/>
      <c r="O39" s="728"/>
      <c r="P39" s="730"/>
      <c r="Q39" s="728" t="s">
        <v>820</v>
      </c>
      <c r="R39" s="730"/>
      <c r="S39" s="812" t="s">
        <v>863</v>
      </c>
      <c r="T39" s="731"/>
      <c r="U39" s="731"/>
      <c r="V39" s="772" t="s">
        <v>864</v>
      </c>
      <c r="W39" s="374" t="s">
        <v>864</v>
      </c>
      <c r="X39" s="732" t="s">
        <v>864</v>
      </c>
      <c r="Y39" s="232"/>
      <c r="Z39" s="733"/>
      <c r="AA39" s="728"/>
      <c r="AB39" s="245"/>
      <c r="AC39" s="728"/>
      <c r="AD39" s="731"/>
      <c r="AE39" s="731">
        <v>1</v>
      </c>
    </row>
    <row r="40" spans="1:31" s="224" customFormat="1" ht="13.5" customHeight="1">
      <c r="A40" s="225">
        <f t="shared" si="0"/>
        <v>32</v>
      </c>
      <c r="B40" s="217"/>
      <c r="C40" s="217" t="s">
        <v>1081</v>
      </c>
      <c r="D40" s="221"/>
      <c r="E40" s="221"/>
      <c r="F40" s="221"/>
      <c r="G40" s="221"/>
      <c r="H40" s="728"/>
      <c r="I40" s="729"/>
      <c r="J40" s="812"/>
      <c r="K40" s="813" t="s">
        <v>1082</v>
      </c>
      <c r="L40" s="728"/>
      <c r="M40" s="728"/>
      <c r="N40" s="728"/>
      <c r="O40" s="728"/>
      <c r="P40" s="730"/>
      <c r="Q40" s="728" t="s">
        <v>817</v>
      </c>
      <c r="R40" s="730" t="s">
        <v>864</v>
      </c>
      <c r="S40" s="243" t="s">
        <v>1082</v>
      </c>
      <c r="T40" s="731"/>
      <c r="U40" s="728"/>
      <c r="V40" s="732" t="s">
        <v>864</v>
      </c>
      <c r="W40" s="732" t="s">
        <v>864</v>
      </c>
      <c r="X40" s="732" t="s">
        <v>864</v>
      </c>
      <c r="Y40" s="232"/>
      <c r="Z40" s="733"/>
      <c r="AA40" s="728"/>
      <c r="AB40" s="734"/>
      <c r="AC40" s="728"/>
      <c r="AD40" s="731">
        <v>1</v>
      </c>
      <c r="AE40" s="731">
        <v>1</v>
      </c>
    </row>
    <row r="41" spans="1:31" s="224" customFormat="1" ht="13.5" customHeight="1">
      <c r="A41" s="225">
        <f>ROW()-8</f>
        <v>33</v>
      </c>
      <c r="B41" s="217"/>
      <c r="C41" s="217"/>
      <c r="D41" s="241" t="s">
        <v>1641</v>
      </c>
      <c r="E41" s="241"/>
      <c r="F41" s="241"/>
      <c r="G41" s="241"/>
      <c r="H41" s="773" t="s">
        <v>2735</v>
      </c>
      <c r="I41" s="729"/>
      <c r="J41" s="812"/>
      <c r="K41" s="813" t="s">
        <v>1642</v>
      </c>
      <c r="L41" s="728"/>
      <c r="M41" s="728"/>
      <c r="N41" s="728"/>
      <c r="O41" s="728"/>
      <c r="P41" s="730"/>
      <c r="Q41" s="728" t="s">
        <v>817</v>
      </c>
      <c r="R41" s="730" t="s">
        <v>864</v>
      </c>
      <c r="S41" s="378" t="s">
        <v>1642</v>
      </c>
      <c r="T41" s="731"/>
      <c r="U41" s="728"/>
      <c r="V41" s="732"/>
      <c r="W41" s="732" t="s">
        <v>864</v>
      </c>
      <c r="X41" s="732"/>
      <c r="Y41" s="232"/>
      <c r="Z41" s="733"/>
      <c r="AA41" s="728"/>
      <c r="AB41" s="734"/>
      <c r="AC41" s="728"/>
      <c r="AD41" s="731"/>
      <c r="AE41" s="731">
        <v>1</v>
      </c>
    </row>
    <row r="42" spans="1:31" s="224" customFormat="1" ht="13.5" customHeight="1">
      <c r="A42" s="225">
        <f>ROW()-8</f>
        <v>34</v>
      </c>
      <c r="B42" s="217"/>
      <c r="C42" s="217"/>
      <c r="D42" s="241"/>
      <c r="E42" s="241" t="s">
        <v>1104</v>
      </c>
      <c r="F42" s="241"/>
      <c r="G42" s="241"/>
      <c r="H42" s="773" t="s">
        <v>2734</v>
      </c>
      <c r="I42" s="729" t="s">
        <v>1643</v>
      </c>
      <c r="J42" s="812"/>
      <c r="K42" s="813" t="s">
        <v>871</v>
      </c>
      <c r="L42" s="728"/>
      <c r="M42" s="728"/>
      <c r="N42" s="728"/>
      <c r="O42" s="728"/>
      <c r="P42" s="730"/>
      <c r="Q42" s="728" t="s">
        <v>817</v>
      </c>
      <c r="R42" s="730"/>
      <c r="S42" s="812" t="s">
        <v>863</v>
      </c>
      <c r="T42" s="731"/>
      <c r="U42" s="728"/>
      <c r="V42" s="732"/>
      <c r="W42" s="732" t="s">
        <v>864</v>
      </c>
      <c r="X42" s="732"/>
      <c r="Y42" s="232"/>
      <c r="Z42" s="733"/>
      <c r="AA42" s="728"/>
      <c r="AB42" s="734"/>
      <c r="AC42" s="728"/>
      <c r="AD42" s="731"/>
      <c r="AE42" s="731">
        <v>1</v>
      </c>
    </row>
    <row r="43" spans="1:31" s="224" customFormat="1" ht="13.5" customHeight="1">
      <c r="A43" s="225">
        <f>ROW()-8</f>
        <v>35</v>
      </c>
      <c r="B43" s="217"/>
      <c r="C43" s="217"/>
      <c r="D43" s="241"/>
      <c r="E43" s="241" t="s">
        <v>1644</v>
      </c>
      <c r="F43" s="241"/>
      <c r="G43" s="241"/>
      <c r="H43" s="774" t="s">
        <v>2736</v>
      </c>
      <c r="I43" s="729"/>
      <c r="J43" s="812"/>
      <c r="K43" s="813" t="s">
        <v>1645</v>
      </c>
      <c r="L43" s="728"/>
      <c r="M43" s="728"/>
      <c r="N43" s="728"/>
      <c r="O43" s="728"/>
      <c r="P43" s="730"/>
      <c r="Q43" s="728" t="s">
        <v>817</v>
      </c>
      <c r="R43" s="730"/>
      <c r="S43" s="812" t="s">
        <v>863</v>
      </c>
      <c r="T43" s="731"/>
      <c r="U43" s="728"/>
      <c r="V43" s="732"/>
      <c r="W43" s="732" t="s">
        <v>864</v>
      </c>
      <c r="X43" s="732"/>
      <c r="Y43" s="232"/>
      <c r="Z43" s="733"/>
      <c r="AA43" s="728"/>
      <c r="AB43" s="734"/>
      <c r="AC43" s="728"/>
      <c r="AD43" s="731"/>
      <c r="AE43" s="731">
        <v>1</v>
      </c>
    </row>
    <row r="44" spans="1:31" s="224" customFormat="1" ht="13.5" customHeight="1">
      <c r="A44" s="225">
        <f>ROW()-8</f>
        <v>36</v>
      </c>
      <c r="B44" s="217"/>
      <c r="C44" s="217"/>
      <c r="D44" s="241"/>
      <c r="E44" s="241" t="s">
        <v>1646</v>
      </c>
      <c r="F44" s="241"/>
      <c r="G44" s="241"/>
      <c r="H44" s="774" t="s">
        <v>2737</v>
      </c>
      <c r="I44" s="729"/>
      <c r="J44" s="812"/>
      <c r="K44" s="813" t="s">
        <v>1647</v>
      </c>
      <c r="L44" s="728"/>
      <c r="M44" s="728"/>
      <c r="N44" s="728"/>
      <c r="O44" s="728"/>
      <c r="P44" s="730"/>
      <c r="Q44" s="728" t="s">
        <v>817</v>
      </c>
      <c r="R44" s="730"/>
      <c r="S44" s="812" t="s">
        <v>863</v>
      </c>
      <c r="T44" s="731"/>
      <c r="U44" s="728"/>
      <c r="V44" s="732"/>
      <c r="W44" s="732" t="s">
        <v>864</v>
      </c>
      <c r="X44" s="732"/>
      <c r="Y44" s="232"/>
      <c r="Z44" s="733"/>
      <c r="AA44" s="728"/>
      <c r="AB44" s="734"/>
      <c r="AC44" s="728"/>
      <c r="AD44" s="731"/>
      <c r="AE44" s="731">
        <v>1</v>
      </c>
    </row>
    <row r="45" spans="1:31" s="224" customFormat="1" ht="13.5" customHeight="1">
      <c r="A45" s="225">
        <f t="shared" si="0"/>
        <v>37</v>
      </c>
      <c r="B45" s="217"/>
      <c r="C45" s="217"/>
      <c r="D45" s="727" t="s">
        <v>1083</v>
      </c>
      <c r="E45" s="253"/>
      <c r="F45" s="239"/>
      <c r="G45" s="239"/>
      <c r="H45" s="774" t="s">
        <v>2738</v>
      </c>
      <c r="I45" s="729" t="s">
        <v>1085</v>
      </c>
      <c r="J45" s="812" t="s">
        <v>1086</v>
      </c>
      <c r="K45" s="813" t="s">
        <v>1087</v>
      </c>
      <c r="L45" s="728"/>
      <c r="M45" s="728"/>
      <c r="N45" s="728"/>
      <c r="O45" s="728"/>
      <c r="P45" s="730"/>
      <c r="Q45" s="728" t="s">
        <v>820</v>
      </c>
      <c r="R45" s="730"/>
      <c r="S45" s="812" t="s">
        <v>863</v>
      </c>
      <c r="T45" s="731"/>
      <c r="U45" s="728" t="s">
        <v>1088</v>
      </c>
      <c r="V45" s="732" t="s">
        <v>864</v>
      </c>
      <c r="W45" s="732" t="s">
        <v>864</v>
      </c>
      <c r="X45" s="732" t="s">
        <v>864</v>
      </c>
      <c r="Y45" s="232"/>
      <c r="Z45" s="733"/>
      <c r="AA45" s="728"/>
      <c r="AB45" s="734"/>
      <c r="AC45" s="728"/>
      <c r="AD45" s="731">
        <v>1</v>
      </c>
      <c r="AE45" s="731">
        <v>1</v>
      </c>
    </row>
    <row r="46" spans="1:31" s="254" customFormat="1" ht="13.5" customHeight="1">
      <c r="A46" s="225">
        <f t="shared" si="0"/>
        <v>38</v>
      </c>
      <c r="B46" s="217"/>
      <c r="C46" s="222"/>
      <c r="D46" s="727" t="s">
        <v>1089</v>
      </c>
      <c r="E46" s="221"/>
      <c r="F46" s="221"/>
      <c r="G46" s="221"/>
      <c r="H46" s="773" t="s">
        <v>2739</v>
      </c>
      <c r="I46" s="729" t="s">
        <v>1091</v>
      </c>
      <c r="J46" s="812"/>
      <c r="K46" s="813" t="s">
        <v>1092</v>
      </c>
      <c r="L46" s="728" t="s">
        <v>1093</v>
      </c>
      <c r="M46" s="728" t="s">
        <v>254</v>
      </c>
      <c r="N46" s="728"/>
      <c r="O46" s="728"/>
      <c r="P46" s="730"/>
      <c r="Q46" s="728" t="s">
        <v>817</v>
      </c>
      <c r="R46" s="730"/>
      <c r="S46" s="812" t="s">
        <v>863</v>
      </c>
      <c r="T46" s="731"/>
      <c r="U46" s="728"/>
      <c r="V46" s="732" t="s">
        <v>864</v>
      </c>
      <c r="W46" s="732" t="s">
        <v>864</v>
      </c>
      <c r="X46" s="732" t="s">
        <v>864</v>
      </c>
      <c r="Y46" s="232"/>
      <c r="Z46" s="733"/>
      <c r="AA46" s="728"/>
      <c r="AB46" s="734"/>
      <c r="AC46" s="728"/>
      <c r="AD46" s="731">
        <v>1</v>
      </c>
      <c r="AE46" s="731">
        <v>1</v>
      </c>
    </row>
    <row r="47" spans="1:31" s="254" customFormat="1" ht="13.5" customHeight="1">
      <c r="A47" s="225">
        <f t="shared" ref="A47:A79" si="1">ROW()-8</f>
        <v>39</v>
      </c>
      <c r="B47" s="217"/>
      <c r="C47" s="222"/>
      <c r="D47" s="727" t="s">
        <v>1094</v>
      </c>
      <c r="E47" s="221"/>
      <c r="F47" s="221"/>
      <c r="G47" s="221"/>
      <c r="H47" s="773" t="s">
        <v>2740</v>
      </c>
      <c r="I47" s="729"/>
      <c r="J47" s="812"/>
      <c r="K47" s="813" t="s">
        <v>1095</v>
      </c>
      <c r="L47" s="728" t="s">
        <v>1096</v>
      </c>
      <c r="M47" s="728" t="s">
        <v>1097</v>
      </c>
      <c r="N47" s="728"/>
      <c r="O47" s="728"/>
      <c r="P47" s="730"/>
      <c r="Q47" s="728" t="s">
        <v>817</v>
      </c>
      <c r="R47" s="730" t="s">
        <v>864</v>
      </c>
      <c r="S47" s="243" t="s">
        <v>1095</v>
      </c>
      <c r="T47" s="731"/>
      <c r="U47" s="728"/>
      <c r="V47" s="732" t="s">
        <v>864</v>
      </c>
      <c r="W47" s="732" t="s">
        <v>864</v>
      </c>
      <c r="X47" s="732" t="s">
        <v>864</v>
      </c>
      <c r="Y47" s="232"/>
      <c r="Z47" s="733"/>
      <c r="AA47" s="728"/>
      <c r="AB47" s="734"/>
      <c r="AC47" s="728"/>
      <c r="AD47" s="731">
        <v>1</v>
      </c>
      <c r="AE47" s="731">
        <v>1</v>
      </c>
    </row>
    <row r="48" spans="1:31" s="254" customFormat="1" ht="13.5" customHeight="1">
      <c r="A48" s="225">
        <f t="shared" si="1"/>
        <v>40</v>
      </c>
      <c r="B48" s="217"/>
      <c r="C48" s="222"/>
      <c r="D48" s="241"/>
      <c r="E48" s="241" t="s">
        <v>1098</v>
      </c>
      <c r="F48" s="241"/>
      <c r="G48" s="241"/>
      <c r="H48" s="812" t="s">
        <v>2838</v>
      </c>
      <c r="I48" s="729" t="s">
        <v>1100</v>
      </c>
      <c r="J48" s="812"/>
      <c r="K48" s="813" t="s">
        <v>1087</v>
      </c>
      <c r="L48" s="728"/>
      <c r="M48" s="728"/>
      <c r="N48" s="728"/>
      <c r="O48" s="728"/>
      <c r="P48" s="730"/>
      <c r="Q48" s="728" t="s">
        <v>820</v>
      </c>
      <c r="R48" s="730"/>
      <c r="S48" s="812" t="s">
        <v>863</v>
      </c>
      <c r="T48" s="731"/>
      <c r="U48" s="728" t="s">
        <v>1101</v>
      </c>
      <c r="V48" s="732" t="s">
        <v>864</v>
      </c>
      <c r="W48" s="732" t="s">
        <v>864</v>
      </c>
      <c r="X48" s="732" t="s">
        <v>864</v>
      </c>
      <c r="Y48" s="232"/>
      <c r="Z48" s="733"/>
      <c r="AA48" s="728"/>
      <c r="AB48" s="734"/>
      <c r="AC48" s="728"/>
      <c r="AD48" s="731">
        <v>1</v>
      </c>
      <c r="AE48" s="731">
        <v>1</v>
      </c>
    </row>
    <row r="49" spans="1:1018" s="224" customFormat="1" ht="13.5" customHeight="1">
      <c r="A49" s="225">
        <f t="shared" si="1"/>
        <v>41</v>
      </c>
      <c r="B49" s="217"/>
      <c r="C49" s="217"/>
      <c r="D49" s="241"/>
      <c r="E49" s="241" t="s">
        <v>1102</v>
      </c>
      <c r="F49" s="241"/>
      <c r="G49" s="241"/>
      <c r="H49" s="773" t="s">
        <v>2741</v>
      </c>
      <c r="I49" s="729" t="s">
        <v>1103</v>
      </c>
      <c r="J49" s="812"/>
      <c r="K49" s="813" t="s">
        <v>970</v>
      </c>
      <c r="L49" s="728"/>
      <c r="M49" s="728"/>
      <c r="N49" s="728"/>
      <c r="O49" s="728"/>
      <c r="P49" s="730"/>
      <c r="Q49" s="728" t="s">
        <v>817</v>
      </c>
      <c r="R49" s="730"/>
      <c r="S49" s="812" t="s">
        <v>863</v>
      </c>
      <c r="T49" s="731"/>
      <c r="U49" s="728"/>
      <c r="V49" s="732" t="s">
        <v>864</v>
      </c>
      <c r="W49" s="732" t="s">
        <v>864</v>
      </c>
      <c r="X49" s="732" t="s">
        <v>864</v>
      </c>
      <c r="Y49" s="232"/>
      <c r="Z49" s="733"/>
      <c r="AA49" s="728"/>
      <c r="AB49" s="734"/>
      <c r="AC49" s="728"/>
      <c r="AD49" s="731">
        <v>1</v>
      </c>
      <c r="AE49" s="731">
        <v>1</v>
      </c>
    </row>
    <row r="50" spans="1:1018" s="224" customFormat="1" ht="13.5" customHeight="1">
      <c r="A50" s="225">
        <f t="shared" si="1"/>
        <v>42</v>
      </c>
      <c r="B50" s="217"/>
      <c r="C50" s="217"/>
      <c r="D50" s="241"/>
      <c r="E50" s="241" t="s">
        <v>1104</v>
      </c>
      <c r="F50" s="241"/>
      <c r="G50" s="241"/>
      <c r="H50" s="773" t="s">
        <v>2742</v>
      </c>
      <c r="I50" s="729" t="s">
        <v>1105</v>
      </c>
      <c r="J50" s="812"/>
      <c r="K50" s="813" t="s">
        <v>871</v>
      </c>
      <c r="L50" s="728"/>
      <c r="M50" s="728"/>
      <c r="N50" s="728"/>
      <c r="O50" s="728"/>
      <c r="P50" s="730"/>
      <c r="Q50" s="728" t="s">
        <v>817</v>
      </c>
      <c r="R50" s="730"/>
      <c r="S50" s="812" t="s">
        <v>863</v>
      </c>
      <c r="T50" s="731"/>
      <c r="U50" s="728"/>
      <c r="V50" s="732" t="s">
        <v>864</v>
      </c>
      <c r="W50" s="732" t="s">
        <v>864</v>
      </c>
      <c r="X50" s="732" t="s">
        <v>864</v>
      </c>
      <c r="Y50" s="232"/>
      <c r="Z50" s="733"/>
      <c r="AA50" s="728"/>
      <c r="AB50" s="734"/>
      <c r="AC50" s="728"/>
      <c r="AD50" s="731">
        <v>1</v>
      </c>
      <c r="AE50" s="731">
        <v>1</v>
      </c>
    </row>
    <row r="51" spans="1:1018" s="224" customFormat="1" ht="13.5" customHeight="1">
      <c r="A51" s="225">
        <f t="shared" si="1"/>
        <v>43</v>
      </c>
      <c r="B51" s="217"/>
      <c r="C51" s="217" t="s">
        <v>1106</v>
      </c>
      <c r="D51" s="221"/>
      <c r="E51" s="221"/>
      <c r="F51" s="221"/>
      <c r="G51" s="221"/>
      <c r="H51" s="728"/>
      <c r="I51" s="729"/>
      <c r="J51" s="812"/>
      <c r="K51" s="813" t="s">
        <v>1107</v>
      </c>
      <c r="L51" s="728"/>
      <c r="M51" s="728"/>
      <c r="N51" s="728"/>
      <c r="O51" s="728"/>
      <c r="P51" s="730"/>
      <c r="Q51" s="728" t="s">
        <v>817</v>
      </c>
      <c r="R51" s="730" t="s">
        <v>864</v>
      </c>
      <c r="S51" s="243" t="s">
        <v>1107</v>
      </c>
      <c r="T51" s="731"/>
      <c r="U51" s="728"/>
      <c r="V51" s="732" t="s">
        <v>864</v>
      </c>
      <c r="W51" s="732" t="s">
        <v>864</v>
      </c>
      <c r="X51" s="732" t="s">
        <v>864</v>
      </c>
      <c r="Y51" s="232"/>
      <c r="Z51" s="733"/>
      <c r="AA51" s="728"/>
      <c r="AB51" s="734"/>
      <c r="AC51" s="728"/>
      <c r="AD51" s="731"/>
      <c r="AE51" s="731">
        <v>1</v>
      </c>
    </row>
    <row r="52" spans="1:1018" s="231" customFormat="1" ht="13.5" customHeight="1">
      <c r="A52" s="225">
        <f t="shared" si="1"/>
        <v>44</v>
      </c>
      <c r="B52" s="217"/>
      <c r="C52" s="217"/>
      <c r="D52" s="241" t="s">
        <v>388</v>
      </c>
      <c r="E52" s="217"/>
      <c r="F52" s="217"/>
      <c r="G52" s="217"/>
      <c r="H52" s="773" t="s">
        <v>2743</v>
      </c>
      <c r="I52" s="729" t="s">
        <v>1109</v>
      </c>
      <c r="J52" s="812" t="s">
        <v>1107</v>
      </c>
      <c r="K52" s="813" t="s">
        <v>871</v>
      </c>
      <c r="L52" s="728" t="s">
        <v>1110</v>
      </c>
      <c r="M52" s="728" t="s">
        <v>388</v>
      </c>
      <c r="N52" s="728"/>
      <c r="O52" s="728"/>
      <c r="P52" s="252"/>
      <c r="Q52" s="728" t="s">
        <v>817</v>
      </c>
      <c r="R52" s="730"/>
      <c r="S52" s="812" t="s">
        <v>863</v>
      </c>
      <c r="T52" s="731"/>
      <c r="U52" s="728"/>
      <c r="V52" s="732" t="s">
        <v>864</v>
      </c>
      <c r="W52" s="732" t="s">
        <v>864</v>
      </c>
      <c r="X52" s="732" t="s">
        <v>864</v>
      </c>
      <c r="Y52" s="232"/>
      <c r="Z52" s="733"/>
      <c r="AA52" s="255"/>
      <c r="AB52" s="245" t="s">
        <v>1111</v>
      </c>
      <c r="AC52" s="728"/>
      <c r="AD52" s="731">
        <v>1</v>
      </c>
      <c r="AE52" s="731">
        <v>1</v>
      </c>
      <c r="AF52" s="738"/>
      <c r="AG52" s="738"/>
      <c r="AH52" s="738"/>
      <c r="AI52" s="738"/>
      <c r="AJ52" s="738"/>
      <c r="AK52" s="738"/>
      <c r="AL52" s="738"/>
      <c r="AM52" s="738"/>
      <c r="AN52" s="738"/>
      <c r="AO52" s="738"/>
      <c r="AP52" s="738"/>
      <c r="AQ52" s="738"/>
      <c r="AR52" s="738"/>
      <c r="AS52" s="738"/>
      <c r="AT52" s="738"/>
      <c r="AU52" s="738"/>
      <c r="AV52" s="738"/>
      <c r="AW52" s="738"/>
      <c r="AX52" s="738"/>
      <c r="AY52" s="738"/>
      <c r="AZ52" s="738"/>
      <c r="BA52" s="738"/>
      <c r="BB52" s="738"/>
      <c r="BC52" s="738"/>
      <c r="BD52" s="738"/>
      <c r="BE52" s="738"/>
      <c r="BF52" s="738"/>
      <c r="BG52" s="738"/>
      <c r="BH52" s="738"/>
      <c r="BI52" s="738"/>
      <c r="BJ52" s="738"/>
      <c r="BK52" s="738"/>
      <c r="BL52" s="738"/>
      <c r="BM52" s="738"/>
      <c r="BN52" s="738"/>
      <c r="BO52" s="738"/>
      <c r="BP52" s="738"/>
      <c r="BQ52" s="738"/>
      <c r="BR52" s="738"/>
      <c r="BS52" s="738"/>
      <c r="BT52" s="738"/>
      <c r="BU52" s="738"/>
      <c r="BV52" s="738"/>
      <c r="BW52" s="738"/>
      <c r="BX52" s="738"/>
      <c r="BY52" s="738"/>
      <c r="BZ52" s="738"/>
      <c r="CA52" s="738"/>
      <c r="CB52" s="738"/>
      <c r="CC52" s="738"/>
      <c r="CD52" s="738"/>
      <c r="CE52" s="738"/>
      <c r="CF52" s="738"/>
      <c r="CG52" s="738"/>
      <c r="CH52" s="738"/>
      <c r="CI52" s="738"/>
      <c r="CJ52" s="738"/>
      <c r="CK52" s="738"/>
      <c r="CL52" s="738"/>
      <c r="CM52" s="738"/>
      <c r="CN52" s="738"/>
      <c r="CO52" s="738"/>
      <c r="CP52" s="738"/>
      <c r="CQ52" s="738"/>
      <c r="CR52" s="738"/>
      <c r="CS52" s="738"/>
      <c r="CT52" s="738"/>
      <c r="CU52" s="738"/>
      <c r="CV52" s="738"/>
      <c r="CW52" s="738"/>
      <c r="CX52" s="738"/>
      <c r="CY52" s="738"/>
      <c r="CZ52" s="738"/>
      <c r="DA52" s="738"/>
      <c r="DB52" s="738"/>
      <c r="DC52" s="738"/>
      <c r="DD52" s="738"/>
      <c r="DE52" s="738"/>
      <c r="DF52" s="738"/>
      <c r="DG52" s="738"/>
      <c r="DH52" s="738"/>
      <c r="DI52" s="738"/>
      <c r="DJ52" s="738"/>
      <c r="DK52" s="738"/>
      <c r="DL52" s="738"/>
      <c r="DM52" s="738"/>
      <c r="DN52" s="738"/>
      <c r="DO52" s="738"/>
      <c r="DP52" s="738"/>
      <c r="DQ52" s="738"/>
      <c r="DR52" s="738"/>
      <c r="DS52" s="738"/>
      <c r="DT52" s="738"/>
      <c r="DU52" s="738"/>
      <c r="DV52" s="738"/>
      <c r="DW52" s="738"/>
      <c r="DX52" s="738"/>
      <c r="DY52" s="738"/>
      <c r="DZ52" s="738"/>
      <c r="EA52" s="738"/>
      <c r="EB52" s="738"/>
      <c r="EC52" s="738"/>
      <c r="ED52" s="738"/>
      <c r="EE52" s="738"/>
      <c r="EF52" s="738"/>
      <c r="EG52" s="738"/>
      <c r="EH52" s="738"/>
      <c r="EI52" s="738"/>
      <c r="EJ52" s="738"/>
      <c r="EK52" s="738"/>
      <c r="EL52" s="738"/>
      <c r="EM52" s="738"/>
      <c r="EN52" s="738"/>
      <c r="EO52" s="738"/>
      <c r="EP52" s="738"/>
      <c r="EQ52" s="738"/>
      <c r="ER52" s="738"/>
      <c r="ES52" s="738"/>
      <c r="ET52" s="738"/>
      <c r="EU52" s="738"/>
      <c r="EV52" s="738"/>
      <c r="EW52" s="738"/>
      <c r="EX52" s="738"/>
      <c r="EY52" s="738"/>
      <c r="EZ52" s="738"/>
      <c r="FA52" s="738"/>
      <c r="FB52" s="738"/>
      <c r="FC52" s="738"/>
      <c r="FD52" s="738"/>
      <c r="FE52" s="738"/>
      <c r="FF52" s="738"/>
      <c r="FG52" s="738"/>
      <c r="FH52" s="738"/>
      <c r="FI52" s="738"/>
      <c r="FJ52" s="738"/>
      <c r="FK52" s="738"/>
      <c r="FL52" s="738"/>
      <c r="FM52" s="738"/>
      <c r="FN52" s="738"/>
      <c r="FO52" s="738"/>
      <c r="FP52" s="738"/>
      <c r="FQ52" s="738"/>
      <c r="FR52" s="738"/>
      <c r="FS52" s="738"/>
      <c r="FT52" s="738"/>
      <c r="FU52" s="738"/>
      <c r="FV52" s="738"/>
      <c r="FW52" s="738"/>
      <c r="FX52" s="738"/>
      <c r="FY52" s="738"/>
      <c r="FZ52" s="738"/>
      <c r="GA52" s="738"/>
      <c r="GB52" s="738"/>
      <c r="GC52" s="738"/>
      <c r="GD52" s="738"/>
      <c r="GE52" s="738"/>
      <c r="GF52" s="738"/>
      <c r="GG52" s="738"/>
      <c r="GH52" s="738"/>
      <c r="GI52" s="738"/>
      <c r="GJ52" s="738"/>
      <c r="GK52" s="738"/>
      <c r="GL52" s="738"/>
      <c r="GM52" s="738"/>
      <c r="GN52" s="738"/>
      <c r="GO52" s="738"/>
      <c r="GP52" s="738"/>
      <c r="GQ52" s="738"/>
      <c r="GR52" s="738"/>
      <c r="GS52" s="738"/>
      <c r="GT52" s="738"/>
      <c r="GU52" s="738"/>
      <c r="GV52" s="738"/>
      <c r="GW52" s="738"/>
      <c r="GX52" s="738"/>
      <c r="GY52" s="738"/>
      <c r="GZ52" s="738"/>
      <c r="HA52" s="738"/>
      <c r="HB52" s="738"/>
      <c r="HC52" s="738"/>
      <c r="HD52" s="738"/>
      <c r="HE52" s="738"/>
      <c r="HF52" s="738"/>
      <c r="HG52" s="738"/>
      <c r="HH52" s="738"/>
      <c r="HI52" s="738"/>
      <c r="HJ52" s="738"/>
      <c r="HK52" s="738"/>
      <c r="HL52" s="738"/>
      <c r="HM52" s="738"/>
      <c r="HN52" s="738"/>
      <c r="HO52" s="738"/>
      <c r="HP52" s="738"/>
      <c r="HQ52" s="738"/>
      <c r="HR52" s="738"/>
      <c r="HS52" s="738"/>
      <c r="HT52" s="738"/>
      <c r="HU52" s="738"/>
      <c r="HV52" s="738"/>
      <c r="HW52" s="738"/>
      <c r="HX52" s="738"/>
      <c r="HY52" s="738"/>
      <c r="HZ52" s="738"/>
      <c r="IA52" s="738"/>
      <c r="IB52" s="738"/>
      <c r="IC52" s="738"/>
      <c r="ID52" s="738"/>
      <c r="IE52" s="738"/>
      <c r="IF52" s="738"/>
      <c r="IG52" s="738"/>
      <c r="IH52" s="738"/>
      <c r="II52" s="738"/>
      <c r="IJ52" s="738"/>
      <c r="IK52" s="738"/>
      <c r="IL52" s="738"/>
      <c r="IM52" s="738"/>
      <c r="IN52" s="738"/>
      <c r="IO52" s="738"/>
      <c r="IP52" s="738"/>
      <c r="IQ52" s="738"/>
      <c r="IR52" s="738"/>
      <c r="IS52" s="738"/>
      <c r="IT52" s="738"/>
      <c r="IU52" s="738"/>
      <c r="IV52" s="738"/>
      <c r="IW52" s="738"/>
      <c r="IX52" s="738"/>
      <c r="IY52" s="738"/>
      <c r="IZ52" s="738"/>
      <c r="JA52" s="738"/>
      <c r="JB52" s="738"/>
      <c r="JC52" s="738"/>
      <c r="JD52" s="738"/>
      <c r="JE52" s="738"/>
      <c r="JF52" s="738"/>
      <c r="JG52" s="738"/>
      <c r="JH52" s="738"/>
      <c r="JI52" s="738"/>
      <c r="JJ52" s="738"/>
      <c r="JK52" s="738"/>
      <c r="JL52" s="738"/>
      <c r="JM52" s="738"/>
      <c r="JN52" s="738"/>
      <c r="JO52" s="738"/>
      <c r="JP52" s="738"/>
      <c r="JQ52" s="738"/>
      <c r="JR52" s="738"/>
      <c r="JS52" s="738"/>
      <c r="JT52" s="738"/>
      <c r="JU52" s="738"/>
      <c r="JV52" s="738"/>
      <c r="JW52" s="738"/>
      <c r="JX52" s="738"/>
      <c r="JY52" s="738"/>
      <c r="JZ52" s="738"/>
      <c r="KA52" s="738"/>
      <c r="KB52" s="738"/>
      <c r="KC52" s="738"/>
      <c r="KD52" s="738"/>
      <c r="KE52" s="738"/>
      <c r="KF52" s="738"/>
      <c r="KG52" s="738"/>
      <c r="KH52" s="738"/>
      <c r="KI52" s="738"/>
      <c r="KJ52" s="738"/>
      <c r="KK52" s="738"/>
      <c r="KL52" s="738"/>
      <c r="KM52" s="738"/>
      <c r="KN52" s="738"/>
      <c r="KO52" s="738"/>
      <c r="KP52" s="738"/>
      <c r="KQ52" s="738"/>
      <c r="KR52" s="738"/>
      <c r="KS52" s="738"/>
      <c r="KT52" s="738"/>
      <c r="KU52" s="738"/>
      <c r="KV52" s="738"/>
      <c r="KW52" s="738"/>
      <c r="KX52" s="738"/>
      <c r="KY52" s="738"/>
      <c r="KZ52" s="738"/>
      <c r="LA52" s="738"/>
      <c r="LB52" s="738"/>
      <c r="LC52" s="738"/>
      <c r="LD52" s="738"/>
      <c r="LE52" s="738"/>
      <c r="LF52" s="738"/>
      <c r="LG52" s="738"/>
      <c r="LH52" s="738"/>
      <c r="LI52" s="738"/>
      <c r="LJ52" s="738"/>
      <c r="LK52" s="738"/>
      <c r="LL52" s="738"/>
      <c r="LM52" s="738"/>
      <c r="LN52" s="738"/>
      <c r="LO52" s="738"/>
      <c r="LP52" s="738"/>
      <c r="LQ52" s="738"/>
      <c r="LR52" s="738"/>
      <c r="LS52" s="738"/>
      <c r="LT52" s="738"/>
      <c r="LU52" s="738"/>
      <c r="LV52" s="738"/>
      <c r="LW52" s="738"/>
      <c r="LX52" s="738"/>
      <c r="LY52" s="738"/>
      <c r="LZ52" s="738"/>
      <c r="MA52" s="738"/>
      <c r="MB52" s="738"/>
      <c r="MC52" s="738"/>
      <c r="MD52" s="738"/>
      <c r="ME52" s="738"/>
      <c r="MF52" s="738"/>
      <c r="MG52" s="738"/>
      <c r="MH52" s="738"/>
      <c r="MI52" s="738"/>
      <c r="MJ52" s="738"/>
      <c r="MK52" s="738"/>
      <c r="ML52" s="738"/>
      <c r="MM52" s="738"/>
      <c r="MN52" s="738"/>
      <c r="MO52" s="738"/>
      <c r="MP52" s="738"/>
      <c r="MQ52" s="738"/>
      <c r="MR52" s="738"/>
      <c r="MS52" s="738"/>
      <c r="MT52" s="738"/>
      <c r="MU52" s="738"/>
      <c r="MV52" s="738"/>
      <c r="MW52" s="738"/>
      <c r="MX52" s="738"/>
      <c r="MY52" s="738"/>
      <c r="MZ52" s="738"/>
      <c r="NA52" s="738"/>
      <c r="NB52" s="738"/>
      <c r="NC52" s="738"/>
      <c r="ND52" s="738"/>
      <c r="NE52" s="738"/>
      <c r="NF52" s="738"/>
      <c r="NG52" s="738"/>
      <c r="NH52" s="738"/>
      <c r="NI52" s="738"/>
      <c r="NJ52" s="738"/>
      <c r="NK52" s="738"/>
      <c r="NL52" s="738"/>
      <c r="NM52" s="738"/>
      <c r="NN52" s="738"/>
      <c r="NO52" s="738"/>
      <c r="NP52" s="738"/>
      <c r="NQ52" s="738"/>
      <c r="NR52" s="738"/>
      <c r="NS52" s="738"/>
      <c r="NT52" s="738"/>
      <c r="NU52" s="738"/>
      <c r="NV52" s="738"/>
      <c r="NW52" s="738"/>
      <c r="NX52" s="738"/>
      <c r="NY52" s="738"/>
      <c r="NZ52" s="738"/>
      <c r="OA52" s="738"/>
      <c r="OB52" s="738"/>
      <c r="OC52" s="738"/>
      <c r="OD52" s="738"/>
      <c r="OE52" s="738"/>
      <c r="OF52" s="738"/>
      <c r="OG52" s="738"/>
      <c r="OH52" s="738"/>
      <c r="OI52" s="738"/>
      <c r="OJ52" s="738"/>
      <c r="OK52" s="738"/>
      <c r="OL52" s="738"/>
      <c r="OM52" s="738"/>
      <c r="ON52" s="738"/>
      <c r="OO52" s="738"/>
      <c r="OP52" s="738"/>
      <c r="OQ52" s="738"/>
      <c r="OR52" s="738"/>
      <c r="OS52" s="738"/>
      <c r="OT52" s="738"/>
      <c r="OU52" s="738"/>
      <c r="OV52" s="738"/>
      <c r="OW52" s="738"/>
      <c r="OX52" s="738"/>
      <c r="OY52" s="738"/>
      <c r="OZ52" s="738"/>
      <c r="PA52" s="738"/>
      <c r="PB52" s="738"/>
      <c r="PC52" s="738"/>
      <c r="PD52" s="738"/>
      <c r="PE52" s="738"/>
      <c r="PF52" s="738"/>
      <c r="PG52" s="738"/>
      <c r="PH52" s="738"/>
      <c r="PI52" s="738"/>
      <c r="PJ52" s="738"/>
      <c r="PK52" s="738"/>
      <c r="PL52" s="738"/>
      <c r="PM52" s="738"/>
      <c r="PN52" s="738"/>
      <c r="PO52" s="738"/>
      <c r="PP52" s="738"/>
      <c r="PQ52" s="738"/>
      <c r="PR52" s="738"/>
      <c r="PS52" s="738"/>
      <c r="PT52" s="738"/>
      <c r="PU52" s="738"/>
      <c r="PV52" s="738"/>
      <c r="PW52" s="738"/>
      <c r="PX52" s="738"/>
      <c r="PY52" s="738"/>
      <c r="PZ52" s="738"/>
      <c r="QA52" s="738"/>
      <c r="QB52" s="738"/>
      <c r="QC52" s="738"/>
      <c r="QD52" s="738"/>
      <c r="QE52" s="738"/>
      <c r="QF52" s="738"/>
      <c r="QG52" s="738"/>
      <c r="QH52" s="738"/>
      <c r="QI52" s="738"/>
      <c r="QJ52" s="738"/>
      <c r="QK52" s="738"/>
      <c r="QL52" s="738"/>
      <c r="QM52" s="738"/>
      <c r="QN52" s="738"/>
      <c r="QO52" s="738"/>
      <c r="QP52" s="738"/>
      <c r="QQ52" s="738"/>
      <c r="QR52" s="738"/>
      <c r="QS52" s="738"/>
      <c r="QT52" s="738"/>
      <c r="QU52" s="738"/>
      <c r="QV52" s="738"/>
      <c r="QW52" s="738"/>
      <c r="QX52" s="738"/>
      <c r="QY52" s="738"/>
      <c r="QZ52" s="738"/>
      <c r="RA52" s="738"/>
      <c r="RB52" s="738"/>
      <c r="RC52" s="738"/>
      <c r="RD52" s="738"/>
      <c r="RE52" s="738"/>
      <c r="RF52" s="738"/>
      <c r="RG52" s="738"/>
      <c r="RH52" s="738"/>
      <c r="RI52" s="738"/>
      <c r="RJ52" s="738"/>
      <c r="RK52" s="738"/>
      <c r="RL52" s="738"/>
      <c r="RM52" s="738"/>
      <c r="RN52" s="738"/>
      <c r="RO52" s="738"/>
      <c r="RP52" s="738"/>
      <c r="RQ52" s="738"/>
      <c r="RR52" s="738"/>
      <c r="RS52" s="738"/>
      <c r="RT52" s="738"/>
      <c r="RU52" s="738"/>
      <c r="RV52" s="738"/>
      <c r="RW52" s="738"/>
      <c r="RX52" s="738"/>
      <c r="RY52" s="738"/>
      <c r="RZ52" s="738"/>
      <c r="SA52" s="738"/>
      <c r="SB52" s="738"/>
      <c r="SC52" s="738"/>
      <c r="SD52" s="738"/>
      <c r="SE52" s="738"/>
      <c r="SF52" s="738"/>
      <c r="SG52" s="738"/>
      <c r="SH52" s="738"/>
      <c r="SI52" s="738"/>
      <c r="SJ52" s="738"/>
      <c r="SK52" s="738"/>
      <c r="SL52" s="738"/>
      <c r="SM52" s="738"/>
      <c r="SN52" s="738"/>
      <c r="SO52" s="738"/>
      <c r="SP52" s="738"/>
      <c r="SQ52" s="738"/>
      <c r="SR52" s="738"/>
      <c r="SS52" s="738"/>
      <c r="ST52" s="738"/>
      <c r="SU52" s="738"/>
      <c r="SV52" s="738"/>
      <c r="SW52" s="738"/>
      <c r="SX52" s="738"/>
      <c r="SY52" s="738"/>
      <c r="SZ52" s="738"/>
      <c r="TA52" s="738"/>
      <c r="TB52" s="738"/>
      <c r="TC52" s="738"/>
      <c r="TD52" s="738"/>
      <c r="TE52" s="738"/>
      <c r="TF52" s="738"/>
      <c r="TG52" s="738"/>
      <c r="TH52" s="738"/>
      <c r="TI52" s="738"/>
      <c r="TJ52" s="738"/>
      <c r="TK52" s="738"/>
      <c r="TL52" s="738"/>
      <c r="TM52" s="738"/>
      <c r="TN52" s="738"/>
      <c r="TO52" s="738"/>
      <c r="TP52" s="738"/>
      <c r="TQ52" s="738"/>
      <c r="TR52" s="738"/>
      <c r="TS52" s="738"/>
      <c r="TT52" s="738"/>
      <c r="TU52" s="738"/>
      <c r="TV52" s="738"/>
      <c r="TW52" s="738"/>
      <c r="TX52" s="738"/>
      <c r="TY52" s="738"/>
      <c r="TZ52" s="738"/>
      <c r="UA52" s="738"/>
      <c r="UB52" s="738"/>
      <c r="UC52" s="738"/>
      <c r="UD52" s="738"/>
      <c r="UE52" s="738"/>
      <c r="UF52" s="738"/>
      <c r="UG52" s="738"/>
      <c r="UH52" s="738"/>
      <c r="UI52" s="738"/>
      <c r="UJ52" s="738"/>
      <c r="UK52" s="738"/>
      <c r="UL52" s="738"/>
      <c r="UM52" s="738"/>
      <c r="UN52" s="738"/>
      <c r="UO52" s="738"/>
      <c r="UP52" s="738"/>
      <c r="UQ52" s="738"/>
      <c r="UR52" s="738"/>
      <c r="US52" s="738"/>
      <c r="UT52" s="738"/>
      <c r="UU52" s="738"/>
      <c r="UV52" s="738"/>
      <c r="UW52" s="738"/>
      <c r="UX52" s="738"/>
      <c r="UY52" s="738"/>
      <c r="UZ52" s="738"/>
      <c r="VA52" s="738"/>
      <c r="VB52" s="738"/>
      <c r="VC52" s="738"/>
      <c r="VD52" s="738"/>
      <c r="VE52" s="738"/>
      <c r="VF52" s="738"/>
      <c r="VG52" s="738"/>
      <c r="VH52" s="738"/>
      <c r="VI52" s="738"/>
      <c r="VJ52" s="738"/>
      <c r="VK52" s="738"/>
      <c r="VL52" s="738"/>
      <c r="VM52" s="738"/>
      <c r="VN52" s="738"/>
      <c r="VO52" s="738"/>
      <c r="VP52" s="738"/>
      <c r="VQ52" s="738"/>
      <c r="VR52" s="738"/>
      <c r="VS52" s="738"/>
      <c r="VT52" s="738"/>
      <c r="VU52" s="738"/>
      <c r="VV52" s="738"/>
      <c r="VW52" s="738"/>
      <c r="VX52" s="738"/>
      <c r="VY52" s="738"/>
      <c r="VZ52" s="738"/>
      <c r="WA52" s="738"/>
      <c r="WB52" s="738"/>
      <c r="WC52" s="738"/>
      <c r="WD52" s="738"/>
      <c r="WE52" s="738"/>
      <c r="WF52" s="738"/>
      <c r="WG52" s="738"/>
      <c r="WH52" s="738"/>
      <c r="WI52" s="738"/>
      <c r="WJ52" s="738"/>
      <c r="WK52" s="738"/>
      <c r="WL52" s="738"/>
      <c r="WM52" s="738"/>
      <c r="WN52" s="738"/>
      <c r="WO52" s="738"/>
      <c r="WP52" s="738"/>
      <c r="WQ52" s="738"/>
      <c r="WR52" s="738"/>
      <c r="WS52" s="738"/>
      <c r="WT52" s="738"/>
      <c r="WU52" s="738"/>
      <c r="WV52" s="738"/>
      <c r="WW52" s="738"/>
      <c r="WX52" s="738"/>
      <c r="WY52" s="738"/>
      <c r="WZ52" s="738"/>
      <c r="XA52" s="738"/>
      <c r="XB52" s="738"/>
      <c r="XC52" s="738"/>
      <c r="XD52" s="738"/>
      <c r="XE52" s="738"/>
      <c r="XF52" s="738"/>
      <c r="XG52" s="738"/>
      <c r="XH52" s="738"/>
      <c r="XI52" s="738"/>
      <c r="XJ52" s="738"/>
      <c r="XK52" s="738"/>
      <c r="XL52" s="738"/>
      <c r="XM52" s="738"/>
      <c r="XN52" s="738"/>
      <c r="XO52" s="738"/>
      <c r="XP52" s="738"/>
      <c r="XQ52" s="738"/>
      <c r="XR52" s="738"/>
      <c r="XS52" s="738"/>
      <c r="XT52" s="738"/>
      <c r="XU52" s="738"/>
      <c r="XV52" s="738"/>
      <c r="XW52" s="738"/>
      <c r="XX52" s="738"/>
      <c r="XY52" s="738"/>
      <c r="XZ52" s="738"/>
      <c r="YA52" s="738"/>
      <c r="YB52" s="738"/>
      <c r="YC52" s="738"/>
      <c r="YD52" s="738"/>
      <c r="YE52" s="738"/>
      <c r="YF52" s="738"/>
      <c r="YG52" s="738"/>
      <c r="YH52" s="738"/>
      <c r="YI52" s="738"/>
      <c r="YJ52" s="738"/>
      <c r="YK52" s="738"/>
      <c r="YL52" s="738"/>
      <c r="YM52" s="738"/>
      <c r="YN52" s="738"/>
      <c r="YO52" s="738"/>
      <c r="YP52" s="738"/>
      <c r="YQ52" s="738"/>
      <c r="YR52" s="738"/>
      <c r="YS52" s="738"/>
      <c r="YT52" s="738"/>
      <c r="YU52" s="738"/>
      <c r="YV52" s="738"/>
      <c r="YW52" s="738"/>
      <c r="YX52" s="738"/>
      <c r="YY52" s="738"/>
      <c r="YZ52" s="738"/>
      <c r="ZA52" s="738"/>
      <c r="ZB52" s="738"/>
      <c r="ZC52" s="738"/>
      <c r="ZD52" s="738"/>
      <c r="ZE52" s="738"/>
      <c r="ZF52" s="738"/>
      <c r="ZG52" s="738"/>
      <c r="ZH52" s="738"/>
      <c r="ZI52" s="738"/>
      <c r="ZJ52" s="738"/>
      <c r="ZK52" s="738"/>
      <c r="ZL52" s="738"/>
      <c r="ZM52" s="738"/>
      <c r="ZN52" s="738"/>
      <c r="ZO52" s="738"/>
      <c r="ZP52" s="738"/>
      <c r="ZQ52" s="738"/>
      <c r="ZR52" s="738"/>
      <c r="ZS52" s="738"/>
      <c r="ZT52" s="738"/>
      <c r="ZU52" s="738"/>
      <c r="ZV52" s="738"/>
      <c r="ZW52" s="738"/>
      <c r="ZX52" s="738"/>
      <c r="ZY52" s="738"/>
      <c r="ZZ52" s="738"/>
      <c r="AAA52" s="738"/>
      <c r="AAB52" s="738"/>
      <c r="AAC52" s="738"/>
      <c r="AAD52" s="738"/>
      <c r="AAE52" s="738"/>
      <c r="AAF52" s="738"/>
      <c r="AAG52" s="738"/>
      <c r="AAH52" s="738"/>
      <c r="AAI52" s="738"/>
      <c r="AAJ52" s="738"/>
      <c r="AAK52" s="738"/>
      <c r="AAL52" s="738"/>
      <c r="AAM52" s="738"/>
      <c r="AAN52" s="738"/>
      <c r="AAO52" s="738"/>
      <c r="AAP52" s="738"/>
      <c r="AAQ52" s="738"/>
      <c r="AAR52" s="738"/>
      <c r="AAS52" s="738"/>
      <c r="AAT52" s="738"/>
      <c r="AAU52" s="738"/>
      <c r="AAV52" s="738"/>
      <c r="AAW52" s="738"/>
      <c r="AAX52" s="738"/>
      <c r="AAY52" s="738"/>
      <c r="AAZ52" s="738"/>
      <c r="ABA52" s="738"/>
      <c r="ABB52" s="738"/>
      <c r="ABC52" s="738"/>
      <c r="ABD52" s="738"/>
      <c r="ABE52" s="738"/>
      <c r="ABF52" s="738"/>
      <c r="ABG52" s="738"/>
      <c r="ABH52" s="738"/>
      <c r="ABI52" s="738"/>
      <c r="ABJ52" s="738"/>
      <c r="ABK52" s="738"/>
      <c r="ABL52" s="738"/>
      <c r="ABM52" s="738"/>
      <c r="ABN52" s="738"/>
      <c r="ABO52" s="738"/>
      <c r="ABP52" s="738"/>
      <c r="ABQ52" s="738"/>
      <c r="ABR52" s="738"/>
      <c r="ABS52" s="738"/>
      <c r="ABT52" s="738"/>
      <c r="ABU52" s="738"/>
      <c r="ABV52" s="738"/>
      <c r="ABW52" s="738"/>
      <c r="ABX52" s="738"/>
      <c r="ABY52" s="738"/>
      <c r="ABZ52" s="738"/>
      <c r="ACA52" s="738"/>
      <c r="ACB52" s="738"/>
      <c r="ACC52" s="738"/>
      <c r="ACD52" s="738"/>
      <c r="ACE52" s="738"/>
      <c r="ACF52" s="738"/>
      <c r="ACG52" s="738"/>
      <c r="ACH52" s="738"/>
      <c r="ACI52" s="738"/>
      <c r="ACJ52" s="738"/>
      <c r="ACK52" s="738"/>
      <c r="ACL52" s="738"/>
      <c r="ACM52" s="738"/>
      <c r="ACN52" s="738"/>
      <c r="ACO52" s="738"/>
      <c r="ACP52" s="738"/>
      <c r="ACQ52" s="738"/>
      <c r="ACR52" s="738"/>
      <c r="ACS52" s="738"/>
      <c r="ACT52" s="738"/>
      <c r="ACU52" s="738"/>
      <c r="ACV52" s="738"/>
      <c r="ACW52" s="738"/>
      <c r="ACX52" s="738"/>
      <c r="ACY52" s="738"/>
      <c r="ACZ52" s="738"/>
      <c r="ADA52" s="738"/>
      <c r="ADB52" s="738"/>
      <c r="ADC52" s="738"/>
      <c r="ADD52" s="738"/>
      <c r="ADE52" s="738"/>
      <c r="ADF52" s="738"/>
      <c r="ADG52" s="738"/>
      <c r="ADH52" s="738"/>
      <c r="ADI52" s="738"/>
      <c r="ADJ52" s="738"/>
      <c r="ADK52" s="738"/>
      <c r="ADL52" s="738"/>
      <c r="ADM52" s="738"/>
      <c r="ADN52" s="738"/>
      <c r="ADO52" s="738"/>
      <c r="ADP52" s="738"/>
      <c r="ADQ52" s="738"/>
      <c r="ADR52" s="738"/>
      <c r="ADS52" s="738"/>
      <c r="ADT52" s="738"/>
      <c r="ADU52" s="738"/>
      <c r="ADV52" s="738"/>
      <c r="ADW52" s="738"/>
      <c r="ADX52" s="738"/>
      <c r="ADY52" s="738"/>
      <c r="ADZ52" s="738"/>
      <c r="AEA52" s="738"/>
      <c r="AEB52" s="738"/>
      <c r="AEC52" s="738"/>
      <c r="AED52" s="738"/>
      <c r="AEE52" s="738"/>
      <c r="AEF52" s="738"/>
      <c r="AEG52" s="738"/>
      <c r="AEH52" s="738"/>
      <c r="AEI52" s="738"/>
      <c r="AEJ52" s="738"/>
      <c r="AEK52" s="738"/>
      <c r="AEL52" s="738"/>
      <c r="AEM52" s="738"/>
      <c r="AEN52" s="738"/>
      <c r="AEO52" s="738"/>
      <c r="AEP52" s="738"/>
      <c r="AEQ52" s="738"/>
      <c r="AER52" s="738"/>
      <c r="AES52" s="738"/>
      <c r="AET52" s="738"/>
      <c r="AEU52" s="738"/>
      <c r="AEV52" s="738"/>
      <c r="AEW52" s="738"/>
      <c r="AEX52" s="738"/>
      <c r="AEY52" s="738"/>
      <c r="AEZ52" s="738"/>
      <c r="AFA52" s="738"/>
      <c r="AFB52" s="738"/>
      <c r="AFC52" s="738"/>
      <c r="AFD52" s="738"/>
      <c r="AFE52" s="738"/>
      <c r="AFF52" s="738"/>
      <c r="AFG52" s="738"/>
      <c r="AFH52" s="738"/>
      <c r="AFI52" s="738"/>
      <c r="AFJ52" s="738"/>
      <c r="AFK52" s="738"/>
      <c r="AFL52" s="738"/>
      <c r="AFM52" s="738"/>
      <c r="AFN52" s="738"/>
      <c r="AFO52" s="738"/>
      <c r="AFP52" s="738"/>
      <c r="AFQ52" s="738"/>
      <c r="AFR52" s="738"/>
      <c r="AFS52" s="738"/>
      <c r="AFT52" s="738"/>
      <c r="AFU52" s="738"/>
      <c r="AFV52" s="738"/>
      <c r="AFW52" s="738"/>
      <c r="AFX52" s="738"/>
      <c r="AFY52" s="738"/>
      <c r="AFZ52" s="738"/>
      <c r="AGA52" s="738"/>
      <c r="AGB52" s="738"/>
      <c r="AGC52" s="738"/>
      <c r="AGD52" s="738"/>
      <c r="AGE52" s="738"/>
      <c r="AGF52" s="738"/>
      <c r="AGG52" s="738"/>
      <c r="AGH52" s="738"/>
      <c r="AGI52" s="738"/>
      <c r="AGJ52" s="738"/>
      <c r="AGK52" s="738"/>
      <c r="AGL52" s="738"/>
      <c r="AGM52" s="738"/>
      <c r="AGN52" s="738"/>
      <c r="AGO52" s="738"/>
      <c r="AGP52" s="738"/>
      <c r="AGQ52" s="738"/>
      <c r="AGR52" s="738"/>
      <c r="AGS52" s="738"/>
      <c r="AGT52" s="738"/>
      <c r="AGU52" s="738"/>
      <c r="AGV52" s="738"/>
      <c r="AGW52" s="738"/>
      <c r="AGX52" s="738"/>
      <c r="AGY52" s="738"/>
      <c r="AGZ52" s="738"/>
      <c r="AHA52" s="738"/>
      <c r="AHB52" s="738"/>
      <c r="AHC52" s="738"/>
      <c r="AHD52" s="738"/>
      <c r="AHE52" s="738"/>
      <c r="AHF52" s="738"/>
      <c r="AHG52" s="738"/>
      <c r="AHH52" s="738"/>
      <c r="AHI52" s="738"/>
      <c r="AHJ52" s="738"/>
      <c r="AHK52" s="738"/>
      <c r="AHL52" s="738"/>
      <c r="AHM52" s="738"/>
      <c r="AHN52" s="738"/>
      <c r="AHO52" s="738"/>
      <c r="AHP52" s="738"/>
      <c r="AHQ52" s="738"/>
      <c r="AHR52" s="738"/>
      <c r="AHS52" s="738"/>
      <c r="AHT52" s="738"/>
      <c r="AHU52" s="738"/>
      <c r="AHV52" s="738"/>
      <c r="AHW52" s="738"/>
      <c r="AHX52" s="738"/>
      <c r="AHY52" s="738"/>
      <c r="AHZ52" s="738"/>
      <c r="AIA52" s="738"/>
      <c r="AIB52" s="738"/>
      <c r="AIC52" s="738"/>
      <c r="AID52" s="738"/>
      <c r="AIE52" s="738"/>
      <c r="AIF52" s="738"/>
      <c r="AIG52" s="738"/>
      <c r="AIH52" s="738"/>
      <c r="AII52" s="738"/>
      <c r="AIJ52" s="738"/>
      <c r="AIK52" s="738"/>
      <c r="AIL52" s="738"/>
      <c r="AIM52" s="738"/>
      <c r="AIN52" s="738"/>
      <c r="AIO52" s="738"/>
      <c r="AIP52" s="738"/>
      <c r="AIQ52" s="738"/>
      <c r="AIR52" s="738"/>
      <c r="AIS52" s="738"/>
      <c r="AIT52" s="738"/>
      <c r="AIU52" s="738"/>
      <c r="AIV52" s="738"/>
      <c r="AIW52" s="738"/>
      <c r="AIX52" s="738"/>
      <c r="AIY52" s="738"/>
      <c r="AIZ52" s="738"/>
      <c r="AJA52" s="738"/>
      <c r="AJB52" s="738"/>
      <c r="AJC52" s="738"/>
      <c r="AJD52" s="738"/>
      <c r="AJE52" s="738"/>
      <c r="AJF52" s="738"/>
      <c r="AJG52" s="738"/>
      <c r="AJH52" s="738"/>
      <c r="AJI52" s="738"/>
      <c r="AJJ52" s="738"/>
      <c r="AJK52" s="738"/>
      <c r="AJL52" s="738"/>
      <c r="AJM52" s="738"/>
      <c r="AJN52" s="738"/>
      <c r="AJO52" s="738"/>
      <c r="AJP52" s="738"/>
      <c r="AJQ52" s="738"/>
      <c r="AJR52" s="738"/>
      <c r="AJS52" s="738"/>
      <c r="AJT52" s="738"/>
      <c r="AJU52" s="738"/>
      <c r="AJV52" s="738"/>
      <c r="AJW52" s="738"/>
      <c r="AJX52" s="738"/>
      <c r="AJY52" s="738"/>
      <c r="AJZ52" s="738"/>
      <c r="AKA52" s="738"/>
      <c r="AKB52" s="738"/>
      <c r="AKC52" s="738"/>
      <c r="AKD52" s="738"/>
      <c r="AKE52" s="738"/>
      <c r="AKF52" s="738"/>
      <c r="AKG52" s="738"/>
      <c r="AKH52" s="738"/>
      <c r="AKI52" s="738"/>
      <c r="AKJ52" s="738"/>
      <c r="AKK52" s="738"/>
      <c r="AKL52" s="738"/>
      <c r="AKM52" s="738"/>
      <c r="AKN52" s="738"/>
      <c r="AKO52" s="738"/>
      <c r="AKP52" s="738"/>
      <c r="AKQ52" s="738"/>
      <c r="AKR52" s="738"/>
      <c r="AKS52" s="738"/>
      <c r="AKT52" s="738"/>
      <c r="AKU52" s="738"/>
      <c r="AKV52" s="738"/>
      <c r="AKW52" s="738"/>
      <c r="AKX52" s="738"/>
      <c r="AKY52" s="738"/>
      <c r="AKZ52" s="738"/>
      <c r="ALA52" s="738"/>
      <c r="ALB52" s="738"/>
      <c r="ALC52" s="738"/>
      <c r="ALD52" s="738"/>
      <c r="ALE52" s="738"/>
      <c r="ALF52" s="738"/>
      <c r="ALG52" s="738"/>
      <c r="ALH52" s="738"/>
      <c r="ALI52" s="738"/>
      <c r="ALJ52" s="738"/>
      <c r="ALK52" s="738"/>
      <c r="ALL52" s="738"/>
      <c r="ALM52" s="738"/>
      <c r="ALN52" s="738"/>
      <c r="ALO52" s="738"/>
      <c r="ALP52" s="738"/>
      <c r="ALQ52" s="738"/>
      <c r="ALR52" s="738"/>
      <c r="ALS52" s="738"/>
      <c r="ALT52" s="738"/>
      <c r="ALU52" s="738"/>
      <c r="ALV52" s="738"/>
      <c r="ALW52" s="738"/>
      <c r="ALX52" s="738"/>
      <c r="ALY52" s="738"/>
      <c r="ALZ52" s="738"/>
      <c r="AMA52" s="738"/>
      <c r="AMB52" s="738"/>
      <c r="AMC52" s="738"/>
      <c r="AMD52" s="738"/>
    </row>
    <row r="53" spans="1:1018" s="224" customFormat="1" ht="13.5" customHeight="1">
      <c r="A53" s="225">
        <f t="shared" si="1"/>
        <v>45</v>
      </c>
      <c r="B53" s="217"/>
      <c r="C53" s="217"/>
      <c r="D53" s="241" t="s">
        <v>392</v>
      </c>
      <c r="E53" s="217"/>
      <c r="F53" s="217"/>
      <c r="G53" s="217"/>
      <c r="H53" s="773" t="s">
        <v>2744</v>
      </c>
      <c r="I53" s="729">
        <v>59350</v>
      </c>
      <c r="J53" s="812" t="s">
        <v>1113</v>
      </c>
      <c r="K53" s="813" t="s">
        <v>1114</v>
      </c>
      <c r="L53" s="728" t="s">
        <v>1115</v>
      </c>
      <c r="M53" s="728" t="s">
        <v>392</v>
      </c>
      <c r="N53" s="728"/>
      <c r="O53" s="728"/>
      <c r="P53" s="252"/>
      <c r="Q53" s="728" t="s">
        <v>817</v>
      </c>
      <c r="R53" s="730"/>
      <c r="S53" s="812" t="s">
        <v>863</v>
      </c>
      <c r="T53" s="731"/>
      <c r="U53" s="728" t="s">
        <v>1116</v>
      </c>
      <c r="V53" s="732" t="s">
        <v>864</v>
      </c>
      <c r="W53" s="732" t="s">
        <v>864</v>
      </c>
      <c r="X53" s="732" t="s">
        <v>864</v>
      </c>
      <c r="Y53" s="232"/>
      <c r="Z53" s="733"/>
      <c r="AA53" s="728"/>
      <c r="AB53" s="734"/>
      <c r="AC53" s="728"/>
      <c r="AD53" s="731">
        <v>1</v>
      </c>
      <c r="AE53" s="731">
        <v>1</v>
      </c>
    </row>
    <row r="54" spans="1:1018" s="224" customFormat="1" ht="13.5" hidden="1" customHeight="1">
      <c r="A54" s="225">
        <f t="shared" si="1"/>
        <v>46</v>
      </c>
      <c r="B54" s="217"/>
      <c r="C54" s="217"/>
      <c r="D54" s="241" t="s">
        <v>1117</v>
      </c>
      <c r="E54" s="241"/>
      <c r="F54" s="241"/>
      <c r="G54" s="241"/>
      <c r="H54" s="263" t="s">
        <v>1651</v>
      </c>
      <c r="I54" s="729" t="s">
        <v>1119</v>
      </c>
      <c r="J54" s="812"/>
      <c r="K54" s="813" t="s">
        <v>1120</v>
      </c>
      <c r="L54" s="728"/>
      <c r="M54" s="728"/>
      <c r="N54" s="728"/>
      <c r="O54" s="728"/>
      <c r="P54" s="730"/>
      <c r="Q54" s="728" t="s">
        <v>817</v>
      </c>
      <c r="R54" s="730"/>
      <c r="S54" s="815" t="s">
        <v>863</v>
      </c>
      <c r="T54" s="281"/>
      <c r="U54" s="728"/>
      <c r="V54" s="732" t="s">
        <v>864</v>
      </c>
      <c r="W54" s="732"/>
      <c r="X54" s="732" t="s">
        <v>864</v>
      </c>
      <c r="Y54" s="232"/>
      <c r="Z54" s="733"/>
      <c r="AA54" s="728"/>
      <c r="AB54" s="734"/>
      <c r="AC54" s="728"/>
      <c r="AD54" s="731"/>
      <c r="AE54" s="731">
        <v>1</v>
      </c>
    </row>
    <row r="55" spans="1:1018" s="256" customFormat="1" ht="12.75" customHeight="1">
      <c r="A55" s="225">
        <f t="shared" si="1"/>
        <v>47</v>
      </c>
      <c r="B55" s="217"/>
      <c r="C55" s="217" t="s">
        <v>1121</v>
      </c>
      <c r="D55" s="221"/>
      <c r="E55" s="221"/>
      <c r="F55" s="221"/>
      <c r="G55" s="221"/>
      <c r="H55" s="812" t="s">
        <v>2839</v>
      </c>
      <c r="I55" s="729"/>
      <c r="J55" s="812"/>
      <c r="K55" s="813" t="s">
        <v>1123</v>
      </c>
      <c r="L55" s="728"/>
      <c r="M55" s="728"/>
      <c r="N55" s="728"/>
      <c r="O55" s="728"/>
      <c r="P55" s="730"/>
      <c r="Q55" s="728" t="s">
        <v>817</v>
      </c>
      <c r="R55" s="730" t="s">
        <v>864</v>
      </c>
      <c r="S55" s="243" t="s">
        <v>1123</v>
      </c>
      <c r="T55" s="731"/>
      <c r="U55" s="728"/>
      <c r="V55" s="732" t="s">
        <v>864</v>
      </c>
      <c r="W55" s="732" t="s">
        <v>864</v>
      </c>
      <c r="X55" s="732" t="s">
        <v>864</v>
      </c>
      <c r="Y55" s="232"/>
      <c r="Z55" s="733"/>
      <c r="AA55" s="728"/>
      <c r="AB55" s="734"/>
      <c r="AC55" s="728"/>
      <c r="AD55" s="731">
        <v>1</v>
      </c>
      <c r="AE55" s="731">
        <v>1</v>
      </c>
    </row>
    <row r="56" spans="1:1018" s="256" customFormat="1" ht="12.75" customHeight="1">
      <c r="A56" s="225">
        <f t="shared" si="1"/>
        <v>48</v>
      </c>
      <c r="B56" s="217"/>
      <c r="C56" s="217"/>
      <c r="D56" s="727" t="s">
        <v>415</v>
      </c>
      <c r="E56" s="221"/>
      <c r="F56" s="221"/>
      <c r="G56" s="221"/>
      <c r="H56" s="773" t="s">
        <v>2745</v>
      </c>
      <c r="I56" s="729" t="s">
        <v>1125</v>
      </c>
      <c r="J56" s="812"/>
      <c r="K56" s="813" t="s">
        <v>1126</v>
      </c>
      <c r="L56" s="728" t="s">
        <v>1127</v>
      </c>
      <c r="M56" s="728" t="s">
        <v>415</v>
      </c>
      <c r="N56" s="728"/>
      <c r="O56" s="728"/>
      <c r="P56" s="730"/>
      <c r="Q56" s="728" t="s">
        <v>817</v>
      </c>
      <c r="R56" s="730"/>
      <c r="S56" s="815" t="s">
        <v>863</v>
      </c>
      <c r="T56" s="281"/>
      <c r="U56" s="728"/>
      <c r="V56" s="732" t="s">
        <v>864</v>
      </c>
      <c r="W56" s="732" t="s">
        <v>864</v>
      </c>
      <c r="X56" s="732" t="s">
        <v>864</v>
      </c>
      <c r="Y56" s="232"/>
      <c r="Z56" s="733"/>
      <c r="AA56" s="728"/>
      <c r="AB56" s="734"/>
      <c r="AC56" s="728"/>
      <c r="AD56" s="731">
        <v>1</v>
      </c>
      <c r="AE56" s="731">
        <v>1</v>
      </c>
    </row>
    <row r="57" spans="1:1018" s="256" customFormat="1" ht="12.75" customHeight="1">
      <c r="A57" s="225">
        <f t="shared" si="1"/>
        <v>49</v>
      </c>
      <c r="B57" s="217"/>
      <c r="C57" s="217"/>
      <c r="D57" s="727" t="s">
        <v>1128</v>
      </c>
      <c r="E57" s="221"/>
      <c r="F57" s="221"/>
      <c r="G57" s="221"/>
      <c r="H57" s="773" t="s">
        <v>2746</v>
      </c>
      <c r="I57" s="729" t="s">
        <v>1130</v>
      </c>
      <c r="J57" s="812"/>
      <c r="K57" s="813" t="s">
        <v>1131</v>
      </c>
      <c r="L57" s="728" t="s">
        <v>1132</v>
      </c>
      <c r="M57" s="728" t="s">
        <v>424</v>
      </c>
      <c r="N57" s="728"/>
      <c r="O57" s="728"/>
      <c r="P57" s="730"/>
      <c r="Q57" s="728" t="s">
        <v>817</v>
      </c>
      <c r="R57" s="730"/>
      <c r="S57" s="815" t="s">
        <v>863</v>
      </c>
      <c r="T57" s="281"/>
      <c r="U57" s="728"/>
      <c r="V57" s="732" t="s">
        <v>864</v>
      </c>
      <c r="W57" s="732" t="s">
        <v>864</v>
      </c>
      <c r="X57" s="732" t="s">
        <v>864</v>
      </c>
      <c r="Y57" s="232"/>
      <c r="Z57" s="733"/>
      <c r="AA57" s="728"/>
      <c r="AB57" s="734"/>
      <c r="AC57" s="728"/>
      <c r="AD57" s="731">
        <v>1</v>
      </c>
      <c r="AE57" s="731">
        <v>1</v>
      </c>
    </row>
    <row r="58" spans="1:1018" s="244" customFormat="1" ht="12.75" customHeight="1">
      <c r="A58" s="225">
        <f t="shared" si="1"/>
        <v>50</v>
      </c>
      <c r="B58" s="217"/>
      <c r="C58" s="222"/>
      <c r="D58" s="727" t="s">
        <v>429</v>
      </c>
      <c r="E58" s="221"/>
      <c r="F58" s="221"/>
      <c r="G58" s="221"/>
      <c r="H58" s="773" t="s">
        <v>2747</v>
      </c>
      <c r="I58" s="729" t="s">
        <v>1134</v>
      </c>
      <c r="J58" s="812"/>
      <c r="K58" s="813" t="s">
        <v>1135</v>
      </c>
      <c r="L58" s="728"/>
      <c r="M58" s="728"/>
      <c r="N58" s="728"/>
      <c r="O58" s="728"/>
      <c r="P58" s="730"/>
      <c r="Q58" s="728" t="s">
        <v>817</v>
      </c>
      <c r="R58" s="730"/>
      <c r="S58" s="815" t="s">
        <v>863</v>
      </c>
      <c r="T58" s="281"/>
      <c r="U58" s="728"/>
      <c r="V58" s="732" t="s">
        <v>864</v>
      </c>
      <c r="W58" s="732" t="s">
        <v>864</v>
      </c>
      <c r="X58" s="732" t="s">
        <v>864</v>
      </c>
      <c r="Y58" s="232"/>
      <c r="Z58" s="733"/>
      <c r="AA58" s="728"/>
      <c r="AB58" s="734"/>
      <c r="AC58" s="728"/>
      <c r="AD58" s="731">
        <v>1</v>
      </c>
      <c r="AE58" s="731">
        <v>1</v>
      </c>
    </row>
    <row r="59" spans="1:1018" s="244" customFormat="1" ht="12.75" customHeight="1">
      <c r="A59" s="225">
        <f t="shared" si="1"/>
        <v>51</v>
      </c>
      <c r="B59" s="217"/>
      <c r="C59" s="222"/>
      <c r="D59" s="727" t="s">
        <v>426</v>
      </c>
      <c r="E59" s="221"/>
      <c r="F59" s="221"/>
      <c r="G59" s="221"/>
      <c r="H59" s="773" t="s">
        <v>2748</v>
      </c>
      <c r="I59" s="729" t="s">
        <v>1137</v>
      </c>
      <c r="J59" s="812"/>
      <c r="K59" s="813" t="s">
        <v>1138</v>
      </c>
      <c r="L59" s="728" t="s">
        <v>1139</v>
      </c>
      <c r="M59" s="728" t="s">
        <v>426</v>
      </c>
      <c r="N59" s="728"/>
      <c r="O59" s="728"/>
      <c r="P59" s="730"/>
      <c r="Q59" s="728" t="s">
        <v>823</v>
      </c>
      <c r="R59" s="730"/>
      <c r="S59" s="815" t="s">
        <v>863</v>
      </c>
      <c r="T59" s="281"/>
      <c r="U59" s="728"/>
      <c r="V59" s="732" t="s">
        <v>864</v>
      </c>
      <c r="W59" s="732" t="s">
        <v>864</v>
      </c>
      <c r="X59" s="732" t="s">
        <v>864</v>
      </c>
      <c r="Y59" s="232"/>
      <c r="Z59" s="733"/>
      <c r="AA59" s="728"/>
      <c r="AB59" s="734"/>
      <c r="AC59" s="728"/>
      <c r="AD59" s="731">
        <v>1</v>
      </c>
      <c r="AE59" s="731">
        <v>1</v>
      </c>
    </row>
    <row r="60" spans="1:1018" s="244" customFormat="1" ht="12.75" customHeight="1">
      <c r="A60" s="225">
        <f t="shared" si="1"/>
        <v>52</v>
      </c>
      <c r="B60" s="217"/>
      <c r="C60" s="222"/>
      <c r="D60" s="727" t="s">
        <v>1140</v>
      </c>
      <c r="E60" s="221"/>
      <c r="F60" s="221"/>
      <c r="G60" s="221"/>
      <c r="H60" s="773" t="s">
        <v>2749</v>
      </c>
      <c r="I60" s="729" t="s">
        <v>1142</v>
      </c>
      <c r="J60" s="812"/>
      <c r="K60" s="813" t="s">
        <v>1143</v>
      </c>
      <c r="L60" s="728"/>
      <c r="M60" s="728"/>
      <c r="N60" s="728"/>
      <c r="O60" s="728"/>
      <c r="P60" s="730"/>
      <c r="Q60" s="728" t="s">
        <v>817</v>
      </c>
      <c r="R60" s="730"/>
      <c r="S60" s="815" t="s">
        <v>863</v>
      </c>
      <c r="T60" s="281"/>
      <c r="U60" s="728"/>
      <c r="V60" s="732" t="s">
        <v>864</v>
      </c>
      <c r="W60" s="732" t="s">
        <v>864</v>
      </c>
      <c r="X60" s="732" t="s">
        <v>864</v>
      </c>
      <c r="Y60" s="232"/>
      <c r="Z60" s="733"/>
      <c r="AA60" s="728"/>
      <c r="AB60" s="734"/>
      <c r="AC60" s="728"/>
      <c r="AD60" s="731">
        <v>1</v>
      </c>
      <c r="AE60" s="731">
        <v>1</v>
      </c>
    </row>
    <row r="61" spans="1:1018" s="257" customFormat="1" ht="12.75" customHeight="1">
      <c r="A61" s="225">
        <f t="shared" si="1"/>
        <v>53</v>
      </c>
      <c r="B61" s="217"/>
      <c r="C61" s="222"/>
      <c r="D61" s="727" t="s">
        <v>1144</v>
      </c>
      <c r="E61" s="221"/>
      <c r="F61" s="221"/>
      <c r="G61" s="221"/>
      <c r="H61" s="773" t="s">
        <v>2750</v>
      </c>
      <c r="I61" s="729" t="s">
        <v>1145</v>
      </c>
      <c r="J61" s="812"/>
      <c r="K61" s="813" t="s">
        <v>1146</v>
      </c>
      <c r="L61" s="728"/>
      <c r="M61" s="728"/>
      <c r="N61" s="728"/>
      <c r="O61" s="728"/>
      <c r="P61" s="730"/>
      <c r="Q61" s="728" t="s">
        <v>817</v>
      </c>
      <c r="R61" s="730"/>
      <c r="S61" s="815" t="s">
        <v>863</v>
      </c>
      <c r="T61" s="281"/>
      <c r="U61" s="728"/>
      <c r="V61" s="732" t="s">
        <v>864</v>
      </c>
      <c r="W61" s="732" t="s">
        <v>864</v>
      </c>
      <c r="X61" s="732" t="s">
        <v>864</v>
      </c>
      <c r="Y61" s="232"/>
      <c r="Z61" s="733"/>
      <c r="AA61" s="728"/>
      <c r="AB61" s="734"/>
      <c r="AC61" s="728"/>
      <c r="AD61" s="731">
        <v>1</v>
      </c>
      <c r="AE61" s="731">
        <v>1</v>
      </c>
    </row>
    <row r="62" spans="1:1018" s="258" customFormat="1" ht="12.75" customHeight="1">
      <c r="A62" s="225">
        <f t="shared" si="1"/>
        <v>54</v>
      </c>
      <c r="B62" s="217"/>
      <c r="C62" s="218"/>
      <c r="D62" s="727" t="s">
        <v>1147</v>
      </c>
      <c r="E62" s="221"/>
      <c r="F62" s="221"/>
      <c r="G62" s="221"/>
      <c r="H62" s="773" t="s">
        <v>2751</v>
      </c>
      <c r="I62" s="729" t="s">
        <v>1148</v>
      </c>
      <c r="J62" s="812"/>
      <c r="K62" s="813" t="s">
        <v>1149</v>
      </c>
      <c r="L62" s="728"/>
      <c r="M62" s="728"/>
      <c r="N62" s="728"/>
      <c r="O62" s="728"/>
      <c r="P62" s="730"/>
      <c r="Q62" s="728" t="s">
        <v>817</v>
      </c>
      <c r="R62" s="730"/>
      <c r="S62" s="815" t="s">
        <v>863</v>
      </c>
      <c r="T62" s="281"/>
      <c r="U62" s="728"/>
      <c r="V62" s="732" t="s">
        <v>864</v>
      </c>
      <c r="W62" s="732" t="s">
        <v>864</v>
      </c>
      <c r="X62" s="732" t="s">
        <v>864</v>
      </c>
      <c r="Y62" s="232"/>
      <c r="Z62" s="733"/>
      <c r="AA62" s="728"/>
      <c r="AB62" s="734"/>
      <c r="AC62" s="728"/>
      <c r="AD62" s="731">
        <v>1</v>
      </c>
      <c r="AE62" s="731">
        <v>1</v>
      </c>
    </row>
    <row r="63" spans="1:1018" s="256" customFormat="1" ht="13" customHeight="1">
      <c r="A63" s="225">
        <f t="shared" si="1"/>
        <v>55</v>
      </c>
      <c r="B63" s="217"/>
      <c r="C63" s="218"/>
      <c r="D63" s="727" t="s">
        <v>178</v>
      </c>
      <c r="E63" s="221"/>
      <c r="F63" s="221"/>
      <c r="G63" s="221"/>
      <c r="H63" s="773" t="s">
        <v>2752</v>
      </c>
      <c r="I63" s="729" t="s">
        <v>1151</v>
      </c>
      <c r="J63" s="812"/>
      <c r="K63" s="813" t="s">
        <v>1152</v>
      </c>
      <c r="L63" s="728"/>
      <c r="M63" s="728"/>
      <c r="N63" s="728"/>
      <c r="O63" s="728"/>
      <c r="P63" s="730"/>
      <c r="Q63" s="728" t="s">
        <v>817</v>
      </c>
      <c r="R63" s="730"/>
      <c r="S63" s="815" t="s">
        <v>863</v>
      </c>
      <c r="T63" s="281"/>
      <c r="U63" s="728"/>
      <c r="V63" s="732" t="s">
        <v>864</v>
      </c>
      <c r="W63" s="732" t="s">
        <v>864</v>
      </c>
      <c r="X63" s="732" t="s">
        <v>864</v>
      </c>
      <c r="Y63" s="232"/>
      <c r="Z63" s="733"/>
      <c r="AA63" s="728"/>
      <c r="AB63" s="734"/>
      <c r="AC63" s="728"/>
      <c r="AD63" s="731">
        <v>1</v>
      </c>
      <c r="AE63" s="731">
        <v>1</v>
      </c>
    </row>
    <row r="64" spans="1:1018" s="256" customFormat="1" ht="13" customHeight="1">
      <c r="A64" s="225">
        <f t="shared" si="1"/>
        <v>56</v>
      </c>
      <c r="B64" s="217"/>
      <c r="C64" s="218"/>
      <c r="D64" s="241" t="s">
        <v>1153</v>
      </c>
      <c r="E64" s="241"/>
      <c r="F64" s="241"/>
      <c r="G64" s="241"/>
      <c r="H64" s="773" t="s">
        <v>2753</v>
      </c>
      <c r="I64" s="729">
        <v>33123452323</v>
      </c>
      <c r="J64" s="812"/>
      <c r="K64" s="813" t="s">
        <v>1155</v>
      </c>
      <c r="L64" s="728"/>
      <c r="M64" s="728"/>
      <c r="N64" s="728"/>
      <c r="O64" s="728"/>
      <c r="P64" s="730"/>
      <c r="Q64" s="728" t="s">
        <v>817</v>
      </c>
      <c r="R64" s="730"/>
      <c r="S64" s="812" t="s">
        <v>863</v>
      </c>
      <c r="T64" s="731"/>
      <c r="U64" s="728"/>
      <c r="V64" s="732" t="s">
        <v>864</v>
      </c>
      <c r="W64" s="732" t="s">
        <v>864</v>
      </c>
      <c r="X64" s="732" t="s">
        <v>864</v>
      </c>
      <c r="Y64" s="232"/>
      <c r="Z64" s="733"/>
      <c r="AA64" s="728" t="s">
        <v>1156</v>
      </c>
      <c r="AB64" s="734"/>
      <c r="AC64" s="728"/>
      <c r="AD64" s="731"/>
      <c r="AE64" s="731">
        <v>1</v>
      </c>
    </row>
    <row r="65" spans="1:31" s="224" customFormat="1" ht="13.5" customHeight="1">
      <c r="A65" s="225">
        <f t="shared" si="1"/>
        <v>57</v>
      </c>
      <c r="B65" s="217"/>
      <c r="C65" s="217" t="s">
        <v>1157</v>
      </c>
      <c r="D65" s="217"/>
      <c r="E65" s="217"/>
      <c r="F65" s="217"/>
      <c r="G65" s="217"/>
      <c r="H65" s="728"/>
      <c r="I65" s="729"/>
      <c r="J65" s="812" t="s">
        <v>1158</v>
      </c>
      <c r="K65" s="813" t="s">
        <v>1159</v>
      </c>
      <c r="L65" s="728"/>
      <c r="M65" s="728"/>
      <c r="N65" s="728"/>
      <c r="O65" s="728"/>
      <c r="P65" s="252"/>
      <c r="Q65" s="728" t="s">
        <v>817</v>
      </c>
      <c r="R65" s="730" t="s">
        <v>864</v>
      </c>
      <c r="S65" s="243" t="s">
        <v>1159</v>
      </c>
      <c r="T65" s="731"/>
      <c r="U65" s="728"/>
      <c r="V65" s="732" t="s">
        <v>864</v>
      </c>
      <c r="W65" s="732" t="s">
        <v>864</v>
      </c>
      <c r="X65" s="732" t="s">
        <v>864</v>
      </c>
      <c r="Y65" s="232"/>
      <c r="Z65" s="733"/>
      <c r="AA65" s="728"/>
      <c r="AB65" s="734"/>
      <c r="AC65" s="728"/>
      <c r="AD65" s="731">
        <v>1</v>
      </c>
      <c r="AE65" s="731"/>
    </row>
    <row r="66" spans="1:31" s="224" customFormat="1" ht="13.5" customHeight="1">
      <c r="A66" s="225">
        <f t="shared" si="1"/>
        <v>58</v>
      </c>
      <c r="B66" s="217"/>
      <c r="C66" s="217"/>
      <c r="D66" s="241" t="s">
        <v>1160</v>
      </c>
      <c r="E66" s="241"/>
      <c r="F66" s="241"/>
      <c r="G66" s="241"/>
      <c r="H66" s="773" t="s">
        <v>2754</v>
      </c>
      <c r="I66" s="729" t="s">
        <v>930</v>
      </c>
      <c r="J66" s="812"/>
      <c r="K66" s="813" t="s">
        <v>1162</v>
      </c>
      <c r="L66" s="728"/>
      <c r="M66" s="728"/>
      <c r="N66" s="728"/>
      <c r="O66" s="728"/>
      <c r="P66" s="730"/>
      <c r="Q66" s="728" t="s">
        <v>820</v>
      </c>
      <c r="R66" s="730"/>
      <c r="S66" s="812" t="s">
        <v>879</v>
      </c>
      <c r="T66" s="731"/>
      <c r="U66" s="728"/>
      <c r="V66" s="732" t="s">
        <v>864</v>
      </c>
      <c r="W66" s="732" t="s">
        <v>864</v>
      </c>
      <c r="X66" s="732" t="s">
        <v>864</v>
      </c>
      <c r="Y66" s="232"/>
      <c r="Z66" s="733"/>
      <c r="AA66" s="728" t="s">
        <v>1163</v>
      </c>
      <c r="AB66" s="734"/>
      <c r="AC66" s="728"/>
      <c r="AD66" s="731"/>
      <c r="AE66" s="731">
        <v>1</v>
      </c>
    </row>
    <row r="67" spans="1:31" s="224" customFormat="1" ht="13.5" customHeight="1">
      <c r="A67" s="225">
        <f t="shared" si="1"/>
        <v>59</v>
      </c>
      <c r="B67" s="217"/>
      <c r="C67" s="217"/>
      <c r="D67" s="217" t="s">
        <v>1164</v>
      </c>
      <c r="E67" s="217"/>
      <c r="F67" s="217"/>
      <c r="G67" s="217"/>
      <c r="H67" s="773" t="s">
        <v>2755</v>
      </c>
      <c r="I67" s="729"/>
      <c r="J67" s="812" t="s">
        <v>1166</v>
      </c>
      <c r="K67" s="813" t="s">
        <v>1166</v>
      </c>
      <c r="L67" s="728"/>
      <c r="M67" s="728"/>
      <c r="N67" s="728"/>
      <c r="O67" s="728"/>
      <c r="P67" s="252"/>
      <c r="Q67" s="728" t="s">
        <v>817</v>
      </c>
      <c r="R67" s="730" t="s">
        <v>864</v>
      </c>
      <c r="S67" s="243" t="s">
        <v>1166</v>
      </c>
      <c r="T67" s="731"/>
      <c r="U67" s="728"/>
      <c r="V67" s="732" t="s">
        <v>864</v>
      </c>
      <c r="W67" s="732" t="s">
        <v>864</v>
      </c>
      <c r="X67" s="732" t="s">
        <v>864</v>
      </c>
      <c r="Y67" s="232"/>
      <c r="Z67" s="733"/>
      <c r="AA67" s="728"/>
      <c r="AB67" s="734"/>
      <c r="AC67" s="728"/>
      <c r="AD67" s="731">
        <v>1</v>
      </c>
      <c r="AE67" s="731">
        <v>1</v>
      </c>
    </row>
    <row r="68" spans="1:31" s="224" customFormat="1" ht="13.5" customHeight="1">
      <c r="A68" s="225">
        <f t="shared" si="1"/>
        <v>60</v>
      </c>
      <c r="B68" s="217"/>
      <c r="C68" s="217"/>
      <c r="D68" s="217"/>
      <c r="E68" s="217" t="s">
        <v>1167</v>
      </c>
      <c r="F68" s="217"/>
      <c r="G68" s="217"/>
      <c r="H68" s="773" t="s">
        <v>2756</v>
      </c>
      <c r="I68" s="729"/>
      <c r="J68" s="812" t="s">
        <v>1169</v>
      </c>
      <c r="K68" s="813" t="s">
        <v>1169</v>
      </c>
      <c r="L68" s="728"/>
      <c r="M68" s="728"/>
      <c r="N68" s="728"/>
      <c r="O68" s="728"/>
      <c r="P68" s="252"/>
      <c r="Q68" s="728" t="s">
        <v>820</v>
      </c>
      <c r="R68" s="730" t="s">
        <v>864</v>
      </c>
      <c r="S68" s="243" t="s">
        <v>1169</v>
      </c>
      <c r="T68" s="731"/>
      <c r="U68" s="728"/>
      <c r="V68" s="732" t="s">
        <v>864</v>
      </c>
      <c r="W68" s="732" t="s">
        <v>864</v>
      </c>
      <c r="X68" s="732" t="s">
        <v>864</v>
      </c>
      <c r="Y68" s="232"/>
      <c r="Z68" s="733"/>
      <c r="AA68" s="728"/>
      <c r="AB68" s="734"/>
      <c r="AC68" s="728"/>
      <c r="AD68" s="731">
        <v>1</v>
      </c>
      <c r="AE68" s="731">
        <v>1</v>
      </c>
    </row>
    <row r="69" spans="1:31" s="224" customFormat="1" ht="13.5" customHeight="1">
      <c r="A69" s="225">
        <f t="shared" si="1"/>
        <v>61</v>
      </c>
      <c r="B69" s="217"/>
      <c r="C69" s="217"/>
      <c r="D69" s="217"/>
      <c r="E69" s="217"/>
      <c r="F69" s="217" t="s">
        <v>1170</v>
      </c>
      <c r="G69" s="217"/>
      <c r="H69" s="773" t="s">
        <v>2757</v>
      </c>
      <c r="I69" s="729" t="s">
        <v>1172</v>
      </c>
      <c r="J69" s="812" t="s">
        <v>1173</v>
      </c>
      <c r="K69" s="813" t="s">
        <v>1173</v>
      </c>
      <c r="L69" s="728"/>
      <c r="M69" s="728"/>
      <c r="N69" s="728"/>
      <c r="O69" s="728"/>
      <c r="P69" s="252"/>
      <c r="Q69" s="728" t="s">
        <v>820</v>
      </c>
      <c r="R69" s="730"/>
      <c r="S69" s="812" t="s">
        <v>1092</v>
      </c>
      <c r="T69" s="731"/>
      <c r="U69" s="728"/>
      <c r="V69" s="732" t="s">
        <v>864</v>
      </c>
      <c r="W69" s="732" t="s">
        <v>864</v>
      </c>
      <c r="X69" s="732" t="s">
        <v>864</v>
      </c>
      <c r="Y69" s="232"/>
      <c r="Z69" s="728" t="s">
        <v>1174</v>
      </c>
      <c r="AA69" s="728"/>
      <c r="AB69" s="245" t="s">
        <v>1175</v>
      </c>
      <c r="AC69" s="728"/>
      <c r="AD69" s="731">
        <v>1</v>
      </c>
      <c r="AE69" s="731">
        <v>1</v>
      </c>
    </row>
    <row r="70" spans="1:31" s="256" customFormat="1" ht="13.5" customHeight="1">
      <c r="A70" s="225">
        <f t="shared" si="1"/>
        <v>62</v>
      </c>
      <c r="B70" s="217"/>
      <c r="C70" s="217"/>
      <c r="D70" s="217"/>
      <c r="E70" s="217"/>
      <c r="F70" s="217" t="s">
        <v>1176</v>
      </c>
      <c r="G70" s="217"/>
      <c r="H70" s="773" t="s">
        <v>2758</v>
      </c>
      <c r="I70" s="729" t="s">
        <v>1178</v>
      </c>
      <c r="J70" s="812" t="s">
        <v>1179</v>
      </c>
      <c r="K70" s="813" t="s">
        <v>1179</v>
      </c>
      <c r="L70" s="728"/>
      <c r="M70" s="728"/>
      <c r="N70" s="728"/>
      <c r="O70" s="728"/>
      <c r="P70" s="252"/>
      <c r="Q70" s="728" t="s">
        <v>820</v>
      </c>
      <c r="R70" s="730"/>
      <c r="S70" s="812" t="s">
        <v>1092</v>
      </c>
      <c r="T70" s="731"/>
      <c r="U70" s="728"/>
      <c r="V70" s="732" t="s">
        <v>864</v>
      </c>
      <c r="W70" s="732" t="s">
        <v>864</v>
      </c>
      <c r="X70" s="732" t="s">
        <v>864</v>
      </c>
      <c r="Y70" s="232"/>
      <c r="Z70" s="728" t="s">
        <v>1174</v>
      </c>
      <c r="AA70" s="728"/>
      <c r="AB70" s="245" t="s">
        <v>1175</v>
      </c>
      <c r="AC70" s="728"/>
      <c r="AD70" s="731">
        <v>1</v>
      </c>
      <c r="AE70" s="731">
        <v>1</v>
      </c>
    </row>
    <row r="71" spans="1:31" s="244" customFormat="1" ht="13.5" customHeight="1">
      <c r="A71" s="225">
        <f t="shared" si="1"/>
        <v>63</v>
      </c>
      <c r="B71" s="217"/>
      <c r="C71" s="222"/>
      <c r="D71" s="222"/>
      <c r="E71" s="222"/>
      <c r="F71" s="222" t="s">
        <v>1180</v>
      </c>
      <c r="G71" s="221"/>
      <c r="H71" s="773" t="s">
        <v>2759</v>
      </c>
      <c r="I71" s="729">
        <v>120</v>
      </c>
      <c r="J71" s="812"/>
      <c r="K71" s="812" t="s">
        <v>1182</v>
      </c>
      <c r="L71" s="728"/>
      <c r="M71" s="728"/>
      <c r="N71" s="728"/>
      <c r="O71" s="728"/>
      <c r="P71" s="730"/>
      <c r="Q71" s="728" t="s">
        <v>817</v>
      </c>
      <c r="R71" s="730"/>
      <c r="S71" s="812" t="s">
        <v>1092</v>
      </c>
      <c r="T71" s="731"/>
      <c r="U71" s="728"/>
      <c r="V71" s="732" t="s">
        <v>864</v>
      </c>
      <c r="W71" s="732" t="s">
        <v>864</v>
      </c>
      <c r="X71" s="732" t="s">
        <v>864</v>
      </c>
      <c r="Y71" s="232"/>
      <c r="Z71" s="728" t="s">
        <v>1183</v>
      </c>
      <c r="AA71" s="728"/>
      <c r="AB71" s="734"/>
      <c r="AC71" s="728"/>
      <c r="AD71" s="731">
        <v>1</v>
      </c>
      <c r="AE71" s="731">
        <v>1</v>
      </c>
    </row>
    <row r="72" spans="1:31" s="256" customFormat="1" ht="13.5" hidden="1" customHeight="1">
      <c r="A72" s="225">
        <f t="shared" si="1"/>
        <v>64</v>
      </c>
      <c r="B72" s="217"/>
      <c r="C72" s="217"/>
      <c r="D72" s="241"/>
      <c r="E72" s="241"/>
      <c r="F72" s="241" t="s">
        <v>1184</v>
      </c>
      <c r="G72" s="221"/>
      <c r="H72" s="773" t="s">
        <v>2820</v>
      </c>
      <c r="I72" s="729">
        <v>96</v>
      </c>
      <c r="J72" s="812"/>
      <c r="K72" s="812" t="s">
        <v>1186</v>
      </c>
      <c r="L72" s="728"/>
      <c r="M72" s="728"/>
      <c r="N72" s="728"/>
      <c r="O72" s="728"/>
      <c r="P72" s="730"/>
      <c r="Q72" s="728" t="s">
        <v>817</v>
      </c>
      <c r="R72" s="730"/>
      <c r="S72" s="812" t="s">
        <v>1092</v>
      </c>
      <c r="T72" s="731"/>
      <c r="U72" s="728"/>
      <c r="V72" s="772" t="s">
        <v>864</v>
      </c>
      <c r="W72" s="732"/>
      <c r="X72" s="732" t="s">
        <v>864</v>
      </c>
      <c r="Y72" s="232"/>
      <c r="Z72" s="728" t="s">
        <v>1187</v>
      </c>
      <c r="AA72" s="728"/>
      <c r="AB72" s="734"/>
      <c r="AC72" s="728"/>
      <c r="AD72" s="731">
        <v>1</v>
      </c>
      <c r="AE72" s="731">
        <v>1</v>
      </c>
    </row>
    <row r="73" spans="1:31" s="256" customFormat="1" ht="13.5" hidden="1" customHeight="1">
      <c r="A73" s="225">
        <f t="shared" si="1"/>
        <v>65</v>
      </c>
      <c r="B73" s="217"/>
      <c r="C73" s="217"/>
      <c r="D73" s="241"/>
      <c r="E73" s="241"/>
      <c r="F73" s="241" t="s">
        <v>1188</v>
      </c>
      <c r="G73" s="221"/>
      <c r="H73" s="728" t="s">
        <v>1189</v>
      </c>
      <c r="I73" s="729">
        <v>34</v>
      </c>
      <c r="J73" s="812"/>
      <c r="K73" s="812" t="s">
        <v>1190</v>
      </c>
      <c r="L73" s="728"/>
      <c r="M73" s="728"/>
      <c r="N73" s="728"/>
      <c r="O73" s="728"/>
      <c r="P73" s="730"/>
      <c r="Q73" s="728" t="s">
        <v>817</v>
      </c>
      <c r="R73" s="730"/>
      <c r="S73" s="812" t="s">
        <v>1092</v>
      </c>
      <c r="T73" s="731"/>
      <c r="U73" s="728"/>
      <c r="V73" s="772" t="s">
        <v>864</v>
      </c>
      <c r="W73" s="732"/>
      <c r="X73" s="732" t="s">
        <v>864</v>
      </c>
      <c r="Y73" s="232"/>
      <c r="Z73" s="728" t="s">
        <v>1191</v>
      </c>
      <c r="AA73" s="728"/>
      <c r="AB73" s="734"/>
      <c r="AC73" s="728"/>
      <c r="AD73" s="731">
        <v>1</v>
      </c>
      <c r="AE73" s="731">
        <v>1</v>
      </c>
    </row>
    <row r="74" spans="1:31" s="244" customFormat="1" ht="13.5" customHeight="1">
      <c r="A74" s="225">
        <f t="shared" si="1"/>
        <v>66</v>
      </c>
      <c r="B74" s="217"/>
      <c r="C74" s="222"/>
      <c r="D74" s="241"/>
      <c r="E74" s="241"/>
      <c r="F74" s="241" t="s">
        <v>1192</v>
      </c>
      <c r="G74" s="241"/>
      <c r="H74" s="773" t="s">
        <v>2760</v>
      </c>
      <c r="I74" s="729" t="s">
        <v>2719</v>
      </c>
      <c r="J74" s="812"/>
      <c r="K74" s="813" t="s">
        <v>1195</v>
      </c>
      <c r="L74" s="728"/>
      <c r="M74" s="728"/>
      <c r="N74" s="728"/>
      <c r="O74" s="728"/>
      <c r="P74" s="730"/>
      <c r="Q74" s="728" t="s">
        <v>820</v>
      </c>
      <c r="R74" s="730"/>
      <c r="S74" s="812" t="s">
        <v>863</v>
      </c>
      <c r="T74" s="731" t="s">
        <v>864</v>
      </c>
      <c r="U74" s="728" t="s">
        <v>1653</v>
      </c>
      <c r="V74" s="732" t="s">
        <v>864</v>
      </c>
      <c r="W74" s="732" t="s">
        <v>864</v>
      </c>
      <c r="X74" s="732" t="s">
        <v>864</v>
      </c>
      <c r="Y74" s="232"/>
      <c r="Z74" s="733"/>
      <c r="AA74" s="728"/>
      <c r="AB74" s="734"/>
      <c r="AC74" s="728"/>
      <c r="AD74" s="731"/>
      <c r="AE74" s="731">
        <v>1</v>
      </c>
    </row>
    <row r="75" spans="1:31" s="244" customFormat="1" ht="13.5" customHeight="1">
      <c r="A75" s="225">
        <f>ROW()-8</f>
        <v>67</v>
      </c>
      <c r="B75" s="217"/>
      <c r="C75" s="222"/>
      <c r="D75" s="241"/>
      <c r="E75" s="241" t="s">
        <v>2845</v>
      </c>
      <c r="F75" s="241"/>
      <c r="G75" s="241"/>
      <c r="H75" s="812" t="s">
        <v>2840</v>
      </c>
      <c r="I75" s="729" t="s">
        <v>1654</v>
      </c>
      <c r="J75" s="812"/>
      <c r="K75" s="813" t="s">
        <v>2844</v>
      </c>
      <c r="L75" s="728"/>
      <c r="M75" s="728"/>
      <c r="N75" s="728"/>
      <c r="O75" s="728"/>
      <c r="P75" s="730"/>
      <c r="Q75" s="728" t="s">
        <v>817</v>
      </c>
      <c r="R75" s="730"/>
      <c r="S75" s="812" t="s">
        <v>1655</v>
      </c>
      <c r="T75" s="731"/>
      <c r="U75" s="728"/>
      <c r="V75" s="732"/>
      <c r="W75" s="732" t="s">
        <v>864</v>
      </c>
      <c r="X75" s="732"/>
      <c r="Y75" s="232"/>
      <c r="Z75" s="733"/>
      <c r="AA75" s="728"/>
      <c r="AB75" s="734"/>
      <c r="AC75" s="728"/>
      <c r="AD75" s="731"/>
      <c r="AE75" s="731">
        <v>1</v>
      </c>
    </row>
    <row r="76" spans="1:31" s="256" customFormat="1" ht="13.5" hidden="1" customHeight="1">
      <c r="A76" s="225">
        <f t="shared" si="1"/>
        <v>68</v>
      </c>
      <c r="B76" s="217"/>
      <c r="C76" s="217"/>
      <c r="D76" s="217"/>
      <c r="E76" s="217" t="s">
        <v>1197</v>
      </c>
      <c r="F76" s="217"/>
      <c r="G76" s="217"/>
      <c r="H76" s="728" t="s">
        <v>1656</v>
      </c>
      <c r="I76" s="729" t="s">
        <v>1199</v>
      </c>
      <c r="J76" s="812" t="s">
        <v>1200</v>
      </c>
      <c r="K76" s="813" t="s">
        <v>1201</v>
      </c>
      <c r="L76" s="728"/>
      <c r="M76" s="728"/>
      <c r="N76" s="728"/>
      <c r="O76" s="728"/>
      <c r="P76" s="730">
        <v>1</v>
      </c>
      <c r="Q76" s="728" t="s">
        <v>817</v>
      </c>
      <c r="R76" s="730"/>
      <c r="S76" s="812" t="s">
        <v>863</v>
      </c>
      <c r="T76" s="731" t="s">
        <v>864</v>
      </c>
      <c r="U76" s="728"/>
      <c r="V76" s="732"/>
      <c r="W76" s="732"/>
      <c r="X76" s="732"/>
      <c r="Y76" s="232"/>
      <c r="Z76" s="733"/>
      <c r="AA76" s="728"/>
      <c r="AB76" s="734"/>
      <c r="AC76" s="728"/>
      <c r="AD76" s="731">
        <v>1</v>
      </c>
      <c r="AE76" s="731">
        <v>1</v>
      </c>
    </row>
    <row r="77" spans="1:31" s="256" customFormat="1" ht="13" hidden="1" customHeight="1">
      <c r="A77" s="225">
        <f t="shared" si="1"/>
        <v>69</v>
      </c>
      <c r="B77" s="217"/>
      <c r="C77" s="217"/>
      <c r="D77" s="217" t="s">
        <v>1202</v>
      </c>
      <c r="E77" s="217"/>
      <c r="F77" s="217"/>
      <c r="G77" s="217"/>
      <c r="H77" s="728" t="s">
        <v>1203</v>
      </c>
      <c r="I77" s="729"/>
      <c r="J77" s="812" t="s">
        <v>1204</v>
      </c>
      <c r="K77" s="813" t="s">
        <v>1204</v>
      </c>
      <c r="L77" s="728"/>
      <c r="M77" s="728"/>
      <c r="N77" s="728"/>
      <c r="O77" s="728"/>
      <c r="P77" s="252"/>
      <c r="Q77" s="728" t="s">
        <v>817</v>
      </c>
      <c r="R77" s="730"/>
      <c r="S77" s="812" t="s">
        <v>863</v>
      </c>
      <c r="T77" s="731"/>
      <c r="U77" s="728"/>
      <c r="V77" s="732" t="s">
        <v>864</v>
      </c>
      <c r="W77" s="732"/>
      <c r="X77" s="732" t="s">
        <v>864</v>
      </c>
      <c r="Y77" s="232"/>
      <c r="Z77" s="733"/>
      <c r="AA77" s="728"/>
      <c r="AB77" s="734"/>
      <c r="AC77" s="728"/>
      <c r="AD77" s="731">
        <v>1</v>
      </c>
      <c r="AE77" s="731"/>
    </row>
    <row r="78" spans="1:31" s="224" customFormat="1" ht="13.5" customHeight="1">
      <c r="A78" s="225">
        <f t="shared" si="1"/>
        <v>70</v>
      </c>
      <c r="B78" s="217"/>
      <c r="C78" s="217" t="s">
        <v>1205</v>
      </c>
      <c r="D78" s="217"/>
      <c r="E78" s="217"/>
      <c r="F78" s="217"/>
      <c r="G78" s="217"/>
      <c r="H78" s="812" t="s">
        <v>2841</v>
      </c>
      <c r="I78" s="729"/>
      <c r="J78" s="812" t="s">
        <v>942</v>
      </c>
      <c r="K78" s="813" t="s">
        <v>1207</v>
      </c>
      <c r="L78" s="728"/>
      <c r="M78" s="728"/>
      <c r="N78" s="728"/>
      <c r="O78" s="728"/>
      <c r="P78" s="252"/>
      <c r="Q78" s="728" t="s">
        <v>823</v>
      </c>
      <c r="R78" s="730" t="s">
        <v>864</v>
      </c>
      <c r="S78" s="243" t="s">
        <v>1207</v>
      </c>
      <c r="T78" s="731"/>
      <c r="U78" s="728"/>
      <c r="V78" s="732" t="s">
        <v>864</v>
      </c>
      <c r="W78" s="374" t="s">
        <v>864</v>
      </c>
      <c r="X78" s="732" t="s">
        <v>864</v>
      </c>
      <c r="Y78" s="232"/>
      <c r="Z78" s="733"/>
      <c r="AA78" s="728"/>
      <c r="AB78" s="734"/>
      <c r="AC78" s="728"/>
      <c r="AD78" s="731">
        <v>1</v>
      </c>
      <c r="AE78" s="731">
        <v>1</v>
      </c>
    </row>
    <row r="79" spans="1:31" s="224" customFormat="1" ht="13.5" customHeight="1">
      <c r="A79" s="225">
        <f t="shared" si="1"/>
        <v>71</v>
      </c>
      <c r="B79" s="217"/>
      <c r="C79" s="217"/>
      <c r="D79" s="217" t="s">
        <v>1208</v>
      </c>
      <c r="E79" s="217"/>
      <c r="F79" s="217"/>
      <c r="G79" s="217"/>
      <c r="H79" s="812" t="s">
        <v>2842</v>
      </c>
      <c r="I79" s="813" t="s">
        <v>2843</v>
      </c>
      <c r="J79" s="812" t="s">
        <v>908</v>
      </c>
      <c r="K79" s="813" t="s">
        <v>2851</v>
      </c>
      <c r="L79" s="728"/>
      <c r="M79" s="728"/>
      <c r="N79" s="728"/>
      <c r="O79" s="728"/>
      <c r="P79" s="252"/>
      <c r="Q79" s="728" t="s">
        <v>820</v>
      </c>
      <c r="R79" s="730"/>
      <c r="S79" s="812" t="s">
        <v>863</v>
      </c>
      <c r="T79" s="731" t="s">
        <v>864</v>
      </c>
      <c r="U79" s="728" t="s">
        <v>1657</v>
      </c>
      <c r="V79" s="732" t="s">
        <v>864</v>
      </c>
      <c r="W79" s="374" t="s">
        <v>864</v>
      </c>
      <c r="X79" s="732" t="s">
        <v>864</v>
      </c>
      <c r="Y79" s="232"/>
      <c r="Z79" s="733"/>
      <c r="AA79" s="728"/>
      <c r="AB79" s="734"/>
      <c r="AC79" s="728"/>
      <c r="AD79" s="731">
        <v>1</v>
      </c>
      <c r="AE79" s="731">
        <v>1</v>
      </c>
    </row>
    <row r="80" spans="1:31" s="224" customFormat="1" ht="13.5" customHeight="1">
      <c r="A80" s="225">
        <f t="shared" ref="A80:A111" si="2">ROW()-8</f>
        <v>72</v>
      </c>
      <c r="B80" s="217"/>
      <c r="C80" s="217"/>
      <c r="D80" s="217" t="s">
        <v>1212</v>
      </c>
      <c r="E80" s="217"/>
      <c r="F80" s="217"/>
      <c r="G80" s="217"/>
      <c r="H80" s="255" t="s">
        <v>2846</v>
      </c>
      <c r="I80" s="774" t="s">
        <v>2772</v>
      </c>
      <c r="J80" s="812" t="s">
        <v>970</v>
      </c>
      <c r="K80" s="813" t="s">
        <v>970</v>
      </c>
      <c r="L80" s="728"/>
      <c r="M80" s="728"/>
      <c r="N80" s="728"/>
      <c r="O80" s="728"/>
      <c r="P80" s="252"/>
      <c r="Q80" s="812" t="s">
        <v>817</v>
      </c>
      <c r="R80" s="730"/>
      <c r="S80" s="812" t="s">
        <v>863</v>
      </c>
      <c r="T80" s="731" t="s">
        <v>864</v>
      </c>
      <c r="U80" s="773" t="s">
        <v>1658</v>
      </c>
      <c r="V80" s="814" t="s">
        <v>820</v>
      </c>
      <c r="W80" s="374" t="s">
        <v>864</v>
      </c>
      <c r="X80" s="732" t="s">
        <v>864</v>
      </c>
      <c r="Y80" s="232"/>
      <c r="Z80" s="733"/>
      <c r="AA80" s="728"/>
      <c r="AB80" s="734"/>
      <c r="AC80" s="728"/>
      <c r="AD80" s="731">
        <v>1</v>
      </c>
      <c r="AE80" s="731">
        <v>1</v>
      </c>
    </row>
    <row r="81" spans="1:1018" s="231" customFormat="1" ht="13" customHeight="1">
      <c r="A81" s="225">
        <f t="shared" si="2"/>
        <v>73</v>
      </c>
      <c r="B81" s="217"/>
      <c r="C81" s="217"/>
      <c r="D81" s="217" t="s">
        <v>1077</v>
      </c>
      <c r="E81" s="217"/>
      <c r="F81" s="217"/>
      <c r="G81" s="217"/>
      <c r="H81" s="812" t="s">
        <v>2847</v>
      </c>
      <c r="I81" s="813" t="s">
        <v>2848</v>
      </c>
      <c r="J81" s="812" t="s">
        <v>1218</v>
      </c>
      <c r="K81" s="813" t="s">
        <v>1219</v>
      </c>
      <c r="L81" s="728"/>
      <c r="M81" s="728"/>
      <c r="N81" s="728"/>
      <c r="O81" s="728"/>
      <c r="P81" s="252"/>
      <c r="Q81" s="728" t="s">
        <v>820</v>
      </c>
      <c r="R81" s="730"/>
      <c r="S81" s="815" t="s">
        <v>863</v>
      </c>
      <c r="T81" s="281"/>
      <c r="U81" s="728"/>
      <c r="V81" s="732" t="s">
        <v>864</v>
      </c>
      <c r="W81" s="374" t="s">
        <v>864</v>
      </c>
      <c r="X81" s="732" t="s">
        <v>864</v>
      </c>
      <c r="Y81" s="232"/>
      <c r="Z81" s="733"/>
      <c r="AA81" s="728"/>
      <c r="AB81" s="734"/>
      <c r="AC81" s="728"/>
      <c r="AD81" s="731">
        <v>1</v>
      </c>
      <c r="AE81" s="731">
        <v>1</v>
      </c>
      <c r="AF81" s="738"/>
      <c r="AG81" s="738"/>
      <c r="AH81" s="738"/>
      <c r="AI81" s="738"/>
      <c r="AJ81" s="738"/>
      <c r="AK81" s="738"/>
      <c r="AL81" s="738"/>
      <c r="AM81" s="738"/>
      <c r="AN81" s="738"/>
      <c r="AO81" s="738"/>
      <c r="AP81" s="738"/>
      <c r="AQ81" s="738"/>
      <c r="AR81" s="738"/>
      <c r="AS81" s="738"/>
      <c r="AT81" s="738"/>
      <c r="AU81" s="738"/>
      <c r="AV81" s="738"/>
      <c r="AW81" s="738"/>
      <c r="AX81" s="738"/>
      <c r="AY81" s="738"/>
      <c r="AZ81" s="738"/>
      <c r="BA81" s="738"/>
      <c r="BB81" s="738"/>
      <c r="BC81" s="738"/>
      <c r="BD81" s="738"/>
      <c r="BE81" s="738"/>
      <c r="BF81" s="738"/>
      <c r="BG81" s="738"/>
      <c r="BH81" s="738"/>
      <c r="BI81" s="738"/>
      <c r="BJ81" s="738"/>
      <c r="BK81" s="738"/>
      <c r="BL81" s="738"/>
      <c r="BM81" s="738"/>
      <c r="BN81" s="738"/>
      <c r="BO81" s="738"/>
      <c r="BP81" s="738"/>
      <c r="BQ81" s="738"/>
      <c r="BR81" s="738"/>
      <c r="BS81" s="738"/>
      <c r="BT81" s="738"/>
      <c r="BU81" s="738"/>
      <c r="BV81" s="738"/>
      <c r="BW81" s="738"/>
      <c r="BX81" s="738"/>
      <c r="BY81" s="738"/>
      <c r="BZ81" s="738"/>
      <c r="CA81" s="738"/>
      <c r="CB81" s="738"/>
      <c r="CC81" s="738"/>
      <c r="CD81" s="738"/>
      <c r="CE81" s="738"/>
      <c r="CF81" s="738"/>
      <c r="CG81" s="738"/>
      <c r="CH81" s="738"/>
      <c r="CI81" s="738"/>
      <c r="CJ81" s="738"/>
      <c r="CK81" s="738"/>
      <c r="CL81" s="738"/>
      <c r="CM81" s="738"/>
      <c r="CN81" s="738"/>
      <c r="CO81" s="738"/>
      <c r="CP81" s="738"/>
      <c r="CQ81" s="738"/>
      <c r="CR81" s="738"/>
      <c r="CS81" s="738"/>
      <c r="CT81" s="738"/>
      <c r="CU81" s="738"/>
      <c r="CV81" s="738"/>
      <c r="CW81" s="738"/>
      <c r="CX81" s="738"/>
      <c r="CY81" s="738"/>
      <c r="CZ81" s="738"/>
      <c r="DA81" s="738"/>
      <c r="DB81" s="738"/>
      <c r="DC81" s="738"/>
      <c r="DD81" s="738"/>
      <c r="DE81" s="738"/>
      <c r="DF81" s="738"/>
      <c r="DG81" s="738"/>
      <c r="DH81" s="738"/>
      <c r="DI81" s="738"/>
      <c r="DJ81" s="738"/>
      <c r="DK81" s="738"/>
      <c r="DL81" s="738"/>
      <c r="DM81" s="738"/>
      <c r="DN81" s="738"/>
      <c r="DO81" s="738"/>
      <c r="DP81" s="738"/>
      <c r="DQ81" s="738"/>
      <c r="DR81" s="738"/>
      <c r="DS81" s="738"/>
      <c r="DT81" s="738"/>
      <c r="DU81" s="738"/>
      <c r="DV81" s="738"/>
      <c r="DW81" s="738"/>
      <c r="DX81" s="738"/>
      <c r="DY81" s="738"/>
      <c r="DZ81" s="738"/>
      <c r="EA81" s="738"/>
      <c r="EB81" s="738"/>
      <c r="EC81" s="738"/>
      <c r="ED81" s="738"/>
      <c r="EE81" s="738"/>
      <c r="EF81" s="738"/>
      <c r="EG81" s="738"/>
      <c r="EH81" s="738"/>
      <c r="EI81" s="738"/>
      <c r="EJ81" s="738"/>
      <c r="EK81" s="738"/>
      <c r="EL81" s="738"/>
      <c r="EM81" s="738"/>
      <c r="EN81" s="738"/>
      <c r="EO81" s="738"/>
      <c r="EP81" s="738"/>
      <c r="EQ81" s="738"/>
      <c r="ER81" s="738"/>
      <c r="ES81" s="738"/>
      <c r="ET81" s="738"/>
      <c r="EU81" s="738"/>
      <c r="EV81" s="738"/>
      <c r="EW81" s="738"/>
      <c r="EX81" s="738"/>
      <c r="EY81" s="738"/>
      <c r="EZ81" s="738"/>
      <c r="FA81" s="738"/>
      <c r="FB81" s="738"/>
      <c r="FC81" s="738"/>
      <c r="FD81" s="738"/>
      <c r="FE81" s="738"/>
      <c r="FF81" s="738"/>
      <c r="FG81" s="738"/>
      <c r="FH81" s="738"/>
      <c r="FI81" s="738"/>
      <c r="FJ81" s="738"/>
      <c r="FK81" s="738"/>
      <c r="FL81" s="738"/>
      <c r="FM81" s="738"/>
      <c r="FN81" s="738"/>
      <c r="FO81" s="738"/>
      <c r="FP81" s="738"/>
      <c r="FQ81" s="738"/>
      <c r="FR81" s="738"/>
      <c r="FS81" s="738"/>
      <c r="FT81" s="738"/>
      <c r="FU81" s="738"/>
      <c r="FV81" s="738"/>
      <c r="FW81" s="738"/>
      <c r="FX81" s="738"/>
      <c r="FY81" s="738"/>
      <c r="FZ81" s="738"/>
      <c r="GA81" s="738"/>
      <c r="GB81" s="738"/>
      <c r="GC81" s="738"/>
      <c r="GD81" s="738"/>
      <c r="GE81" s="738"/>
      <c r="GF81" s="738"/>
      <c r="GG81" s="738"/>
      <c r="GH81" s="738"/>
      <c r="GI81" s="738"/>
      <c r="GJ81" s="738"/>
      <c r="GK81" s="738"/>
      <c r="GL81" s="738"/>
      <c r="GM81" s="738"/>
      <c r="GN81" s="738"/>
      <c r="GO81" s="738"/>
      <c r="GP81" s="738"/>
      <c r="GQ81" s="738"/>
      <c r="GR81" s="738"/>
      <c r="GS81" s="738"/>
      <c r="GT81" s="738"/>
      <c r="GU81" s="738"/>
      <c r="GV81" s="738"/>
      <c r="GW81" s="738"/>
      <c r="GX81" s="738"/>
      <c r="GY81" s="738"/>
      <c r="GZ81" s="738"/>
      <c r="HA81" s="738"/>
      <c r="HB81" s="738"/>
      <c r="HC81" s="738"/>
      <c r="HD81" s="738"/>
      <c r="HE81" s="738"/>
      <c r="HF81" s="738"/>
      <c r="HG81" s="738"/>
      <c r="HH81" s="738"/>
      <c r="HI81" s="738"/>
      <c r="HJ81" s="738"/>
      <c r="HK81" s="738"/>
      <c r="HL81" s="738"/>
      <c r="HM81" s="738"/>
      <c r="HN81" s="738"/>
      <c r="HO81" s="738"/>
      <c r="HP81" s="738"/>
      <c r="HQ81" s="738"/>
      <c r="HR81" s="738"/>
      <c r="HS81" s="738"/>
      <c r="HT81" s="738"/>
      <c r="HU81" s="738"/>
      <c r="HV81" s="738"/>
      <c r="HW81" s="738"/>
      <c r="HX81" s="738"/>
      <c r="HY81" s="738"/>
      <c r="HZ81" s="738"/>
      <c r="IA81" s="738"/>
      <c r="IB81" s="738"/>
      <c r="IC81" s="738"/>
      <c r="ID81" s="738"/>
      <c r="IE81" s="738"/>
      <c r="IF81" s="738"/>
      <c r="IG81" s="738"/>
      <c r="IH81" s="738"/>
      <c r="II81" s="738"/>
      <c r="IJ81" s="738"/>
      <c r="IK81" s="738"/>
      <c r="IL81" s="738"/>
      <c r="IM81" s="738"/>
      <c r="IN81" s="738"/>
      <c r="IO81" s="738"/>
      <c r="IP81" s="738"/>
      <c r="IQ81" s="738"/>
      <c r="IR81" s="738"/>
      <c r="IS81" s="738"/>
      <c r="IT81" s="738"/>
      <c r="IU81" s="738"/>
      <c r="IV81" s="738"/>
      <c r="IW81" s="738"/>
      <c r="IX81" s="738"/>
      <c r="IY81" s="738"/>
      <c r="IZ81" s="738"/>
      <c r="JA81" s="738"/>
      <c r="JB81" s="738"/>
      <c r="JC81" s="738"/>
      <c r="JD81" s="738"/>
      <c r="JE81" s="738"/>
      <c r="JF81" s="738"/>
      <c r="JG81" s="738"/>
      <c r="JH81" s="738"/>
      <c r="JI81" s="738"/>
      <c r="JJ81" s="738"/>
      <c r="JK81" s="738"/>
      <c r="JL81" s="738"/>
      <c r="JM81" s="738"/>
      <c r="JN81" s="738"/>
      <c r="JO81" s="738"/>
      <c r="JP81" s="738"/>
      <c r="JQ81" s="738"/>
      <c r="JR81" s="738"/>
      <c r="JS81" s="738"/>
      <c r="JT81" s="738"/>
      <c r="JU81" s="738"/>
      <c r="JV81" s="738"/>
      <c r="JW81" s="738"/>
      <c r="JX81" s="738"/>
      <c r="JY81" s="738"/>
      <c r="JZ81" s="738"/>
      <c r="KA81" s="738"/>
      <c r="KB81" s="738"/>
      <c r="KC81" s="738"/>
      <c r="KD81" s="738"/>
      <c r="KE81" s="738"/>
      <c r="KF81" s="738"/>
      <c r="KG81" s="738"/>
      <c r="KH81" s="738"/>
      <c r="KI81" s="738"/>
      <c r="KJ81" s="738"/>
      <c r="KK81" s="738"/>
      <c r="KL81" s="738"/>
      <c r="KM81" s="738"/>
      <c r="KN81" s="738"/>
      <c r="KO81" s="738"/>
      <c r="KP81" s="738"/>
      <c r="KQ81" s="738"/>
      <c r="KR81" s="738"/>
      <c r="KS81" s="738"/>
      <c r="KT81" s="738"/>
      <c r="KU81" s="738"/>
      <c r="KV81" s="738"/>
      <c r="KW81" s="738"/>
      <c r="KX81" s="738"/>
      <c r="KY81" s="738"/>
      <c r="KZ81" s="738"/>
      <c r="LA81" s="738"/>
      <c r="LB81" s="738"/>
      <c r="LC81" s="738"/>
      <c r="LD81" s="738"/>
      <c r="LE81" s="738"/>
      <c r="LF81" s="738"/>
      <c r="LG81" s="738"/>
      <c r="LH81" s="738"/>
      <c r="LI81" s="738"/>
      <c r="LJ81" s="738"/>
      <c r="LK81" s="738"/>
      <c r="LL81" s="738"/>
      <c r="LM81" s="738"/>
      <c r="LN81" s="738"/>
      <c r="LO81" s="738"/>
      <c r="LP81" s="738"/>
      <c r="LQ81" s="738"/>
      <c r="LR81" s="738"/>
      <c r="LS81" s="738"/>
      <c r="LT81" s="738"/>
      <c r="LU81" s="738"/>
      <c r="LV81" s="738"/>
      <c r="LW81" s="738"/>
      <c r="LX81" s="738"/>
      <c r="LY81" s="738"/>
      <c r="LZ81" s="738"/>
      <c r="MA81" s="738"/>
      <c r="MB81" s="738"/>
      <c r="MC81" s="738"/>
      <c r="MD81" s="738"/>
      <c r="ME81" s="738"/>
      <c r="MF81" s="738"/>
      <c r="MG81" s="738"/>
      <c r="MH81" s="738"/>
      <c r="MI81" s="738"/>
      <c r="MJ81" s="738"/>
      <c r="MK81" s="738"/>
      <c r="ML81" s="738"/>
      <c r="MM81" s="738"/>
      <c r="MN81" s="738"/>
      <c r="MO81" s="738"/>
      <c r="MP81" s="738"/>
      <c r="MQ81" s="738"/>
      <c r="MR81" s="738"/>
      <c r="MS81" s="738"/>
      <c r="MT81" s="738"/>
      <c r="MU81" s="738"/>
      <c r="MV81" s="738"/>
      <c r="MW81" s="738"/>
      <c r="MX81" s="738"/>
      <c r="MY81" s="738"/>
      <c r="MZ81" s="738"/>
      <c r="NA81" s="738"/>
      <c r="NB81" s="738"/>
      <c r="NC81" s="738"/>
      <c r="ND81" s="738"/>
      <c r="NE81" s="738"/>
      <c r="NF81" s="738"/>
      <c r="NG81" s="738"/>
      <c r="NH81" s="738"/>
      <c r="NI81" s="738"/>
      <c r="NJ81" s="738"/>
      <c r="NK81" s="738"/>
      <c r="NL81" s="738"/>
      <c r="NM81" s="738"/>
      <c r="NN81" s="738"/>
      <c r="NO81" s="738"/>
      <c r="NP81" s="738"/>
      <c r="NQ81" s="738"/>
      <c r="NR81" s="738"/>
      <c r="NS81" s="738"/>
      <c r="NT81" s="738"/>
      <c r="NU81" s="738"/>
      <c r="NV81" s="738"/>
      <c r="NW81" s="738"/>
      <c r="NX81" s="738"/>
      <c r="NY81" s="738"/>
      <c r="NZ81" s="738"/>
      <c r="OA81" s="738"/>
      <c r="OB81" s="738"/>
      <c r="OC81" s="738"/>
      <c r="OD81" s="738"/>
      <c r="OE81" s="738"/>
      <c r="OF81" s="738"/>
      <c r="OG81" s="738"/>
      <c r="OH81" s="738"/>
      <c r="OI81" s="738"/>
      <c r="OJ81" s="738"/>
      <c r="OK81" s="738"/>
      <c r="OL81" s="738"/>
      <c r="OM81" s="738"/>
      <c r="ON81" s="738"/>
      <c r="OO81" s="738"/>
      <c r="OP81" s="738"/>
      <c r="OQ81" s="738"/>
      <c r="OR81" s="738"/>
      <c r="OS81" s="738"/>
      <c r="OT81" s="738"/>
      <c r="OU81" s="738"/>
      <c r="OV81" s="738"/>
      <c r="OW81" s="738"/>
      <c r="OX81" s="738"/>
      <c r="OY81" s="738"/>
      <c r="OZ81" s="738"/>
      <c r="PA81" s="738"/>
      <c r="PB81" s="738"/>
      <c r="PC81" s="738"/>
      <c r="PD81" s="738"/>
      <c r="PE81" s="738"/>
      <c r="PF81" s="738"/>
      <c r="PG81" s="738"/>
      <c r="PH81" s="738"/>
      <c r="PI81" s="738"/>
      <c r="PJ81" s="738"/>
      <c r="PK81" s="738"/>
      <c r="PL81" s="738"/>
      <c r="PM81" s="738"/>
      <c r="PN81" s="738"/>
      <c r="PO81" s="738"/>
      <c r="PP81" s="738"/>
      <c r="PQ81" s="738"/>
      <c r="PR81" s="738"/>
      <c r="PS81" s="738"/>
      <c r="PT81" s="738"/>
      <c r="PU81" s="738"/>
      <c r="PV81" s="738"/>
      <c r="PW81" s="738"/>
      <c r="PX81" s="738"/>
      <c r="PY81" s="738"/>
      <c r="PZ81" s="738"/>
      <c r="QA81" s="738"/>
      <c r="QB81" s="738"/>
      <c r="QC81" s="738"/>
      <c r="QD81" s="738"/>
      <c r="QE81" s="738"/>
      <c r="QF81" s="738"/>
      <c r="QG81" s="738"/>
      <c r="QH81" s="738"/>
      <c r="QI81" s="738"/>
      <c r="QJ81" s="738"/>
      <c r="QK81" s="738"/>
      <c r="QL81" s="738"/>
      <c r="QM81" s="738"/>
      <c r="QN81" s="738"/>
      <c r="QO81" s="738"/>
      <c r="QP81" s="738"/>
      <c r="QQ81" s="738"/>
      <c r="QR81" s="738"/>
      <c r="QS81" s="738"/>
      <c r="QT81" s="738"/>
      <c r="QU81" s="738"/>
      <c r="QV81" s="738"/>
      <c r="QW81" s="738"/>
      <c r="QX81" s="738"/>
      <c r="QY81" s="738"/>
      <c r="QZ81" s="738"/>
      <c r="RA81" s="738"/>
      <c r="RB81" s="738"/>
      <c r="RC81" s="738"/>
      <c r="RD81" s="738"/>
      <c r="RE81" s="738"/>
      <c r="RF81" s="738"/>
      <c r="RG81" s="738"/>
      <c r="RH81" s="738"/>
      <c r="RI81" s="738"/>
      <c r="RJ81" s="738"/>
      <c r="RK81" s="738"/>
      <c r="RL81" s="738"/>
      <c r="RM81" s="738"/>
      <c r="RN81" s="738"/>
      <c r="RO81" s="738"/>
      <c r="RP81" s="738"/>
      <c r="RQ81" s="738"/>
      <c r="RR81" s="738"/>
      <c r="RS81" s="738"/>
      <c r="RT81" s="738"/>
      <c r="RU81" s="738"/>
      <c r="RV81" s="738"/>
      <c r="RW81" s="738"/>
      <c r="RX81" s="738"/>
      <c r="RY81" s="738"/>
      <c r="RZ81" s="738"/>
      <c r="SA81" s="738"/>
      <c r="SB81" s="738"/>
      <c r="SC81" s="738"/>
      <c r="SD81" s="738"/>
      <c r="SE81" s="738"/>
      <c r="SF81" s="738"/>
      <c r="SG81" s="738"/>
      <c r="SH81" s="738"/>
      <c r="SI81" s="738"/>
      <c r="SJ81" s="738"/>
      <c r="SK81" s="738"/>
      <c r="SL81" s="738"/>
      <c r="SM81" s="738"/>
      <c r="SN81" s="738"/>
      <c r="SO81" s="738"/>
      <c r="SP81" s="738"/>
      <c r="SQ81" s="738"/>
      <c r="SR81" s="738"/>
      <c r="SS81" s="738"/>
      <c r="ST81" s="738"/>
      <c r="SU81" s="738"/>
      <c r="SV81" s="738"/>
      <c r="SW81" s="738"/>
      <c r="SX81" s="738"/>
      <c r="SY81" s="738"/>
      <c r="SZ81" s="738"/>
      <c r="TA81" s="738"/>
      <c r="TB81" s="738"/>
      <c r="TC81" s="738"/>
      <c r="TD81" s="738"/>
      <c r="TE81" s="738"/>
      <c r="TF81" s="738"/>
      <c r="TG81" s="738"/>
      <c r="TH81" s="738"/>
      <c r="TI81" s="738"/>
      <c r="TJ81" s="738"/>
      <c r="TK81" s="738"/>
      <c r="TL81" s="738"/>
      <c r="TM81" s="738"/>
      <c r="TN81" s="738"/>
      <c r="TO81" s="738"/>
      <c r="TP81" s="738"/>
      <c r="TQ81" s="738"/>
      <c r="TR81" s="738"/>
      <c r="TS81" s="738"/>
      <c r="TT81" s="738"/>
      <c r="TU81" s="738"/>
      <c r="TV81" s="738"/>
      <c r="TW81" s="738"/>
      <c r="TX81" s="738"/>
      <c r="TY81" s="738"/>
      <c r="TZ81" s="738"/>
      <c r="UA81" s="738"/>
      <c r="UB81" s="738"/>
      <c r="UC81" s="738"/>
      <c r="UD81" s="738"/>
      <c r="UE81" s="738"/>
      <c r="UF81" s="738"/>
      <c r="UG81" s="738"/>
      <c r="UH81" s="738"/>
      <c r="UI81" s="738"/>
      <c r="UJ81" s="738"/>
      <c r="UK81" s="738"/>
      <c r="UL81" s="738"/>
      <c r="UM81" s="738"/>
      <c r="UN81" s="738"/>
      <c r="UO81" s="738"/>
      <c r="UP81" s="738"/>
      <c r="UQ81" s="738"/>
      <c r="UR81" s="738"/>
      <c r="US81" s="738"/>
      <c r="UT81" s="738"/>
      <c r="UU81" s="738"/>
      <c r="UV81" s="738"/>
      <c r="UW81" s="738"/>
      <c r="UX81" s="738"/>
      <c r="UY81" s="738"/>
      <c r="UZ81" s="738"/>
      <c r="VA81" s="738"/>
      <c r="VB81" s="738"/>
      <c r="VC81" s="738"/>
      <c r="VD81" s="738"/>
      <c r="VE81" s="738"/>
      <c r="VF81" s="738"/>
      <c r="VG81" s="738"/>
      <c r="VH81" s="738"/>
      <c r="VI81" s="738"/>
      <c r="VJ81" s="738"/>
      <c r="VK81" s="738"/>
      <c r="VL81" s="738"/>
      <c r="VM81" s="738"/>
      <c r="VN81" s="738"/>
      <c r="VO81" s="738"/>
      <c r="VP81" s="738"/>
      <c r="VQ81" s="738"/>
      <c r="VR81" s="738"/>
      <c r="VS81" s="738"/>
      <c r="VT81" s="738"/>
      <c r="VU81" s="738"/>
      <c r="VV81" s="738"/>
      <c r="VW81" s="738"/>
      <c r="VX81" s="738"/>
      <c r="VY81" s="738"/>
      <c r="VZ81" s="738"/>
      <c r="WA81" s="738"/>
      <c r="WB81" s="738"/>
      <c r="WC81" s="738"/>
      <c r="WD81" s="738"/>
      <c r="WE81" s="738"/>
      <c r="WF81" s="738"/>
      <c r="WG81" s="738"/>
      <c r="WH81" s="738"/>
      <c r="WI81" s="738"/>
      <c r="WJ81" s="738"/>
      <c r="WK81" s="738"/>
      <c r="WL81" s="738"/>
      <c r="WM81" s="738"/>
      <c r="WN81" s="738"/>
      <c r="WO81" s="738"/>
      <c r="WP81" s="738"/>
      <c r="WQ81" s="738"/>
      <c r="WR81" s="738"/>
      <c r="WS81" s="738"/>
      <c r="WT81" s="738"/>
      <c r="WU81" s="738"/>
      <c r="WV81" s="738"/>
      <c r="WW81" s="738"/>
      <c r="WX81" s="738"/>
      <c r="WY81" s="738"/>
      <c r="WZ81" s="738"/>
      <c r="XA81" s="738"/>
      <c r="XB81" s="738"/>
      <c r="XC81" s="738"/>
      <c r="XD81" s="738"/>
      <c r="XE81" s="738"/>
      <c r="XF81" s="738"/>
      <c r="XG81" s="738"/>
      <c r="XH81" s="738"/>
      <c r="XI81" s="738"/>
      <c r="XJ81" s="738"/>
      <c r="XK81" s="738"/>
      <c r="XL81" s="738"/>
      <c r="XM81" s="738"/>
      <c r="XN81" s="738"/>
      <c r="XO81" s="738"/>
      <c r="XP81" s="738"/>
      <c r="XQ81" s="738"/>
      <c r="XR81" s="738"/>
      <c r="XS81" s="738"/>
      <c r="XT81" s="738"/>
      <c r="XU81" s="738"/>
      <c r="XV81" s="738"/>
      <c r="XW81" s="738"/>
      <c r="XX81" s="738"/>
      <c r="XY81" s="738"/>
      <c r="XZ81" s="738"/>
      <c r="YA81" s="738"/>
      <c r="YB81" s="738"/>
      <c r="YC81" s="738"/>
      <c r="YD81" s="738"/>
      <c r="YE81" s="738"/>
      <c r="YF81" s="738"/>
      <c r="YG81" s="738"/>
      <c r="YH81" s="738"/>
      <c r="YI81" s="738"/>
      <c r="YJ81" s="738"/>
      <c r="YK81" s="738"/>
      <c r="YL81" s="738"/>
      <c r="YM81" s="738"/>
      <c r="YN81" s="738"/>
      <c r="YO81" s="738"/>
      <c r="YP81" s="738"/>
      <c r="YQ81" s="738"/>
      <c r="YR81" s="738"/>
      <c r="YS81" s="738"/>
      <c r="YT81" s="738"/>
      <c r="YU81" s="738"/>
      <c r="YV81" s="738"/>
      <c r="YW81" s="738"/>
      <c r="YX81" s="738"/>
      <c r="YY81" s="738"/>
      <c r="YZ81" s="738"/>
      <c r="ZA81" s="738"/>
      <c r="ZB81" s="738"/>
      <c r="ZC81" s="738"/>
      <c r="ZD81" s="738"/>
      <c r="ZE81" s="738"/>
      <c r="ZF81" s="738"/>
      <c r="ZG81" s="738"/>
      <c r="ZH81" s="738"/>
      <c r="ZI81" s="738"/>
      <c r="ZJ81" s="738"/>
      <c r="ZK81" s="738"/>
      <c r="ZL81" s="738"/>
      <c r="ZM81" s="738"/>
      <c r="ZN81" s="738"/>
      <c r="ZO81" s="738"/>
      <c r="ZP81" s="738"/>
      <c r="ZQ81" s="738"/>
      <c r="ZR81" s="738"/>
      <c r="ZS81" s="738"/>
      <c r="ZT81" s="738"/>
      <c r="ZU81" s="738"/>
      <c r="ZV81" s="738"/>
      <c r="ZW81" s="738"/>
      <c r="ZX81" s="738"/>
      <c r="ZY81" s="738"/>
      <c r="ZZ81" s="738"/>
      <c r="AAA81" s="738"/>
      <c r="AAB81" s="738"/>
      <c r="AAC81" s="738"/>
      <c r="AAD81" s="738"/>
      <c r="AAE81" s="738"/>
      <c r="AAF81" s="738"/>
      <c r="AAG81" s="738"/>
      <c r="AAH81" s="738"/>
      <c r="AAI81" s="738"/>
      <c r="AAJ81" s="738"/>
      <c r="AAK81" s="738"/>
      <c r="AAL81" s="738"/>
      <c r="AAM81" s="738"/>
      <c r="AAN81" s="738"/>
      <c r="AAO81" s="738"/>
      <c r="AAP81" s="738"/>
      <c r="AAQ81" s="738"/>
      <c r="AAR81" s="738"/>
      <c r="AAS81" s="738"/>
      <c r="AAT81" s="738"/>
      <c r="AAU81" s="738"/>
      <c r="AAV81" s="738"/>
      <c r="AAW81" s="738"/>
      <c r="AAX81" s="738"/>
      <c r="AAY81" s="738"/>
      <c r="AAZ81" s="738"/>
      <c r="ABA81" s="738"/>
      <c r="ABB81" s="738"/>
      <c r="ABC81" s="738"/>
      <c r="ABD81" s="738"/>
      <c r="ABE81" s="738"/>
      <c r="ABF81" s="738"/>
      <c r="ABG81" s="738"/>
      <c r="ABH81" s="738"/>
      <c r="ABI81" s="738"/>
      <c r="ABJ81" s="738"/>
      <c r="ABK81" s="738"/>
      <c r="ABL81" s="738"/>
      <c r="ABM81" s="738"/>
      <c r="ABN81" s="738"/>
      <c r="ABO81" s="738"/>
      <c r="ABP81" s="738"/>
      <c r="ABQ81" s="738"/>
      <c r="ABR81" s="738"/>
      <c r="ABS81" s="738"/>
      <c r="ABT81" s="738"/>
      <c r="ABU81" s="738"/>
      <c r="ABV81" s="738"/>
      <c r="ABW81" s="738"/>
      <c r="ABX81" s="738"/>
      <c r="ABY81" s="738"/>
      <c r="ABZ81" s="738"/>
      <c r="ACA81" s="738"/>
      <c r="ACB81" s="738"/>
      <c r="ACC81" s="738"/>
      <c r="ACD81" s="738"/>
      <c r="ACE81" s="738"/>
      <c r="ACF81" s="738"/>
      <c r="ACG81" s="738"/>
      <c r="ACH81" s="738"/>
      <c r="ACI81" s="738"/>
      <c r="ACJ81" s="738"/>
      <c r="ACK81" s="738"/>
      <c r="ACL81" s="738"/>
      <c r="ACM81" s="738"/>
      <c r="ACN81" s="738"/>
      <c r="ACO81" s="738"/>
      <c r="ACP81" s="738"/>
      <c r="ACQ81" s="738"/>
      <c r="ACR81" s="738"/>
      <c r="ACS81" s="738"/>
      <c r="ACT81" s="738"/>
      <c r="ACU81" s="738"/>
      <c r="ACV81" s="738"/>
      <c r="ACW81" s="738"/>
      <c r="ACX81" s="738"/>
      <c r="ACY81" s="738"/>
      <c r="ACZ81" s="738"/>
      <c r="ADA81" s="738"/>
      <c r="ADB81" s="738"/>
      <c r="ADC81" s="738"/>
      <c r="ADD81" s="738"/>
      <c r="ADE81" s="738"/>
      <c r="ADF81" s="738"/>
      <c r="ADG81" s="738"/>
      <c r="ADH81" s="738"/>
      <c r="ADI81" s="738"/>
      <c r="ADJ81" s="738"/>
      <c r="ADK81" s="738"/>
      <c r="ADL81" s="738"/>
      <c r="ADM81" s="738"/>
      <c r="ADN81" s="738"/>
      <c r="ADO81" s="738"/>
      <c r="ADP81" s="738"/>
      <c r="ADQ81" s="738"/>
      <c r="ADR81" s="738"/>
      <c r="ADS81" s="738"/>
      <c r="ADT81" s="738"/>
      <c r="ADU81" s="738"/>
      <c r="ADV81" s="738"/>
      <c r="ADW81" s="738"/>
      <c r="ADX81" s="738"/>
      <c r="ADY81" s="738"/>
      <c r="ADZ81" s="738"/>
      <c r="AEA81" s="738"/>
      <c r="AEB81" s="738"/>
      <c r="AEC81" s="738"/>
      <c r="AED81" s="738"/>
      <c r="AEE81" s="738"/>
      <c r="AEF81" s="738"/>
      <c r="AEG81" s="738"/>
      <c r="AEH81" s="738"/>
      <c r="AEI81" s="738"/>
      <c r="AEJ81" s="738"/>
      <c r="AEK81" s="738"/>
      <c r="AEL81" s="738"/>
      <c r="AEM81" s="738"/>
      <c r="AEN81" s="738"/>
      <c r="AEO81" s="738"/>
      <c r="AEP81" s="738"/>
      <c r="AEQ81" s="738"/>
      <c r="AER81" s="738"/>
      <c r="AES81" s="738"/>
      <c r="AET81" s="738"/>
      <c r="AEU81" s="738"/>
      <c r="AEV81" s="738"/>
      <c r="AEW81" s="738"/>
      <c r="AEX81" s="738"/>
      <c r="AEY81" s="738"/>
      <c r="AEZ81" s="738"/>
      <c r="AFA81" s="738"/>
      <c r="AFB81" s="738"/>
      <c r="AFC81" s="738"/>
      <c r="AFD81" s="738"/>
      <c r="AFE81" s="738"/>
      <c r="AFF81" s="738"/>
      <c r="AFG81" s="738"/>
      <c r="AFH81" s="738"/>
      <c r="AFI81" s="738"/>
      <c r="AFJ81" s="738"/>
      <c r="AFK81" s="738"/>
      <c r="AFL81" s="738"/>
      <c r="AFM81" s="738"/>
      <c r="AFN81" s="738"/>
      <c r="AFO81" s="738"/>
      <c r="AFP81" s="738"/>
      <c r="AFQ81" s="738"/>
      <c r="AFR81" s="738"/>
      <c r="AFS81" s="738"/>
      <c r="AFT81" s="738"/>
      <c r="AFU81" s="738"/>
      <c r="AFV81" s="738"/>
      <c r="AFW81" s="738"/>
      <c r="AFX81" s="738"/>
      <c r="AFY81" s="738"/>
      <c r="AFZ81" s="738"/>
      <c r="AGA81" s="738"/>
      <c r="AGB81" s="738"/>
      <c r="AGC81" s="738"/>
      <c r="AGD81" s="738"/>
      <c r="AGE81" s="738"/>
      <c r="AGF81" s="738"/>
      <c r="AGG81" s="738"/>
      <c r="AGH81" s="738"/>
      <c r="AGI81" s="738"/>
      <c r="AGJ81" s="738"/>
      <c r="AGK81" s="738"/>
      <c r="AGL81" s="738"/>
      <c r="AGM81" s="738"/>
      <c r="AGN81" s="738"/>
      <c r="AGO81" s="738"/>
      <c r="AGP81" s="738"/>
      <c r="AGQ81" s="738"/>
      <c r="AGR81" s="738"/>
      <c r="AGS81" s="738"/>
      <c r="AGT81" s="738"/>
      <c r="AGU81" s="738"/>
      <c r="AGV81" s="738"/>
      <c r="AGW81" s="738"/>
      <c r="AGX81" s="738"/>
      <c r="AGY81" s="738"/>
      <c r="AGZ81" s="738"/>
      <c r="AHA81" s="738"/>
      <c r="AHB81" s="738"/>
      <c r="AHC81" s="738"/>
      <c r="AHD81" s="738"/>
      <c r="AHE81" s="738"/>
      <c r="AHF81" s="738"/>
      <c r="AHG81" s="738"/>
      <c r="AHH81" s="738"/>
      <c r="AHI81" s="738"/>
      <c r="AHJ81" s="738"/>
      <c r="AHK81" s="738"/>
      <c r="AHL81" s="738"/>
      <c r="AHM81" s="738"/>
      <c r="AHN81" s="738"/>
      <c r="AHO81" s="738"/>
      <c r="AHP81" s="738"/>
      <c r="AHQ81" s="738"/>
      <c r="AHR81" s="738"/>
      <c r="AHS81" s="738"/>
      <c r="AHT81" s="738"/>
      <c r="AHU81" s="738"/>
      <c r="AHV81" s="738"/>
      <c r="AHW81" s="738"/>
      <c r="AHX81" s="738"/>
      <c r="AHY81" s="738"/>
      <c r="AHZ81" s="738"/>
      <c r="AIA81" s="738"/>
      <c r="AIB81" s="738"/>
      <c r="AIC81" s="738"/>
      <c r="AID81" s="738"/>
      <c r="AIE81" s="738"/>
      <c r="AIF81" s="738"/>
      <c r="AIG81" s="738"/>
      <c r="AIH81" s="738"/>
      <c r="AII81" s="738"/>
      <c r="AIJ81" s="738"/>
      <c r="AIK81" s="738"/>
      <c r="AIL81" s="738"/>
      <c r="AIM81" s="738"/>
      <c r="AIN81" s="738"/>
      <c r="AIO81" s="738"/>
      <c r="AIP81" s="738"/>
      <c r="AIQ81" s="738"/>
      <c r="AIR81" s="738"/>
      <c r="AIS81" s="738"/>
      <c r="AIT81" s="738"/>
      <c r="AIU81" s="738"/>
      <c r="AIV81" s="738"/>
      <c r="AIW81" s="738"/>
      <c r="AIX81" s="738"/>
      <c r="AIY81" s="738"/>
      <c r="AIZ81" s="738"/>
      <c r="AJA81" s="738"/>
      <c r="AJB81" s="738"/>
      <c r="AJC81" s="738"/>
      <c r="AJD81" s="738"/>
      <c r="AJE81" s="738"/>
      <c r="AJF81" s="738"/>
      <c r="AJG81" s="738"/>
      <c r="AJH81" s="738"/>
      <c r="AJI81" s="738"/>
      <c r="AJJ81" s="738"/>
      <c r="AJK81" s="738"/>
      <c r="AJL81" s="738"/>
      <c r="AJM81" s="738"/>
      <c r="AJN81" s="738"/>
      <c r="AJO81" s="738"/>
      <c r="AJP81" s="738"/>
      <c r="AJQ81" s="738"/>
      <c r="AJR81" s="738"/>
      <c r="AJS81" s="738"/>
      <c r="AJT81" s="738"/>
      <c r="AJU81" s="738"/>
      <c r="AJV81" s="738"/>
      <c r="AJW81" s="738"/>
      <c r="AJX81" s="738"/>
      <c r="AJY81" s="738"/>
      <c r="AJZ81" s="738"/>
      <c r="AKA81" s="738"/>
      <c r="AKB81" s="738"/>
      <c r="AKC81" s="738"/>
      <c r="AKD81" s="738"/>
      <c r="AKE81" s="738"/>
      <c r="AKF81" s="738"/>
      <c r="AKG81" s="738"/>
      <c r="AKH81" s="738"/>
      <c r="AKI81" s="738"/>
      <c r="AKJ81" s="738"/>
      <c r="AKK81" s="738"/>
      <c r="AKL81" s="738"/>
      <c r="AKM81" s="738"/>
      <c r="AKN81" s="738"/>
      <c r="AKO81" s="738"/>
      <c r="AKP81" s="738"/>
      <c r="AKQ81" s="738"/>
      <c r="AKR81" s="738"/>
      <c r="AKS81" s="738"/>
      <c r="AKT81" s="738"/>
      <c r="AKU81" s="738"/>
      <c r="AKV81" s="738"/>
      <c r="AKW81" s="738"/>
      <c r="AKX81" s="738"/>
      <c r="AKY81" s="738"/>
      <c r="AKZ81" s="738"/>
      <c r="ALA81" s="738"/>
      <c r="ALB81" s="738"/>
      <c r="ALC81" s="738"/>
      <c r="ALD81" s="738"/>
      <c r="ALE81" s="738"/>
      <c r="ALF81" s="738"/>
      <c r="ALG81" s="738"/>
      <c r="ALH81" s="738"/>
      <c r="ALI81" s="738"/>
      <c r="ALJ81" s="738"/>
      <c r="ALK81" s="738"/>
      <c r="ALL81" s="738"/>
      <c r="ALM81" s="738"/>
      <c r="ALN81" s="738"/>
      <c r="ALO81" s="738"/>
      <c r="ALP81" s="738"/>
      <c r="ALQ81" s="738"/>
      <c r="ALR81" s="738"/>
      <c r="ALS81" s="738"/>
      <c r="ALT81" s="738"/>
      <c r="ALU81" s="738"/>
      <c r="ALV81" s="738"/>
      <c r="ALW81" s="738"/>
      <c r="ALX81" s="738"/>
      <c r="ALY81" s="738"/>
      <c r="ALZ81" s="738"/>
      <c r="AMA81" s="738"/>
      <c r="AMB81" s="738"/>
      <c r="AMC81" s="738"/>
      <c r="AMD81" s="738"/>
    </row>
    <row r="82" spans="1:1018" s="224" customFormat="1" ht="13.5" hidden="1" customHeight="1">
      <c r="A82" s="225">
        <f t="shared" si="2"/>
        <v>74</v>
      </c>
      <c r="B82" s="217"/>
      <c r="C82" s="217" t="s">
        <v>264</v>
      </c>
      <c r="D82" s="217"/>
      <c r="E82" s="217"/>
      <c r="F82" s="217"/>
      <c r="G82" s="217"/>
      <c r="H82" s="728"/>
      <c r="I82" s="729" t="s">
        <v>1220</v>
      </c>
      <c r="J82" s="812" t="s">
        <v>1221</v>
      </c>
      <c r="K82" s="813"/>
      <c r="L82" s="728"/>
      <c r="M82" s="728"/>
      <c r="N82" s="728"/>
      <c r="O82" s="728"/>
      <c r="P82" s="252"/>
      <c r="Q82" s="728" t="s">
        <v>820</v>
      </c>
      <c r="R82" s="730"/>
      <c r="S82" s="815" t="s">
        <v>863</v>
      </c>
      <c r="T82" s="281" t="s">
        <v>864</v>
      </c>
      <c r="U82" s="728" t="s">
        <v>1222</v>
      </c>
      <c r="V82" s="732" t="s">
        <v>864</v>
      </c>
      <c r="W82" s="732"/>
      <c r="X82" s="732"/>
      <c r="Y82" s="232"/>
      <c r="Z82" s="733"/>
      <c r="AA82" s="728" t="s">
        <v>1223</v>
      </c>
      <c r="AB82" s="245" t="s">
        <v>1224</v>
      </c>
      <c r="AC82" s="728"/>
      <c r="AD82" s="731"/>
      <c r="AE82" s="731">
        <v>1</v>
      </c>
    </row>
    <row r="83" spans="1:1018" s="224" customFormat="1" ht="15" customHeight="1">
      <c r="A83" s="225">
        <f t="shared" si="2"/>
        <v>75</v>
      </c>
      <c r="B83" s="217"/>
      <c r="C83" s="217" t="s">
        <v>1659</v>
      </c>
      <c r="D83" s="217"/>
      <c r="E83" s="217"/>
      <c r="F83" s="217"/>
      <c r="G83" s="217"/>
      <c r="H83" s="773" t="s">
        <v>2761</v>
      </c>
      <c r="I83" s="729" t="s">
        <v>1226</v>
      </c>
      <c r="J83" s="812" t="s">
        <v>1227</v>
      </c>
      <c r="K83" s="813" t="s">
        <v>939</v>
      </c>
      <c r="L83" s="728" t="s">
        <v>1228</v>
      </c>
      <c r="M83" s="728" t="s">
        <v>1229</v>
      </c>
      <c r="N83" s="728"/>
      <c r="O83" s="728"/>
      <c r="P83" s="252"/>
      <c r="Q83" s="728" t="s">
        <v>817</v>
      </c>
      <c r="R83" s="730"/>
      <c r="S83" s="812" t="s">
        <v>863</v>
      </c>
      <c r="T83" s="731"/>
      <c r="U83" s="728"/>
      <c r="V83" s="732" t="s">
        <v>864</v>
      </c>
      <c r="W83" s="732" t="s">
        <v>864</v>
      </c>
      <c r="X83" s="732" t="s">
        <v>864</v>
      </c>
      <c r="Y83" s="232"/>
      <c r="Z83" s="733"/>
      <c r="AA83" s="728"/>
      <c r="AB83" s="734"/>
      <c r="AC83" s="728"/>
      <c r="AD83" s="731">
        <v>1</v>
      </c>
      <c r="AE83" s="731">
        <v>1</v>
      </c>
    </row>
    <row r="84" spans="1:1018" s="224" customFormat="1" ht="13.5" customHeight="1">
      <c r="A84" s="225">
        <f t="shared" si="2"/>
        <v>76</v>
      </c>
      <c r="B84" s="217" t="s">
        <v>1230</v>
      </c>
      <c r="C84" s="242"/>
      <c r="D84" s="241"/>
      <c r="E84" s="241"/>
      <c r="F84" s="241"/>
      <c r="G84" s="241"/>
      <c r="H84" s="773" t="s">
        <v>2762</v>
      </c>
      <c r="I84" s="729"/>
      <c r="J84" s="812" t="s">
        <v>1232</v>
      </c>
      <c r="K84" s="813" t="s">
        <v>1233</v>
      </c>
      <c r="L84" s="728"/>
      <c r="M84" s="728"/>
      <c r="N84" s="728"/>
      <c r="O84" s="728"/>
      <c r="P84" s="730"/>
      <c r="Q84" s="728" t="s">
        <v>817</v>
      </c>
      <c r="R84" s="730" t="s">
        <v>864</v>
      </c>
      <c r="S84" s="243" t="s">
        <v>1234</v>
      </c>
      <c r="T84" s="282"/>
      <c r="U84" s="728"/>
      <c r="V84" s="732" t="s">
        <v>864</v>
      </c>
      <c r="W84" s="732" t="s">
        <v>864</v>
      </c>
      <c r="X84" s="732" t="s">
        <v>864</v>
      </c>
      <c r="Y84" s="232"/>
      <c r="Z84" s="733"/>
      <c r="AA84" s="728"/>
      <c r="AB84" s="734"/>
      <c r="AC84" s="728"/>
      <c r="AD84" s="731">
        <v>1</v>
      </c>
      <c r="AE84" s="731">
        <v>1</v>
      </c>
    </row>
    <row r="85" spans="1:1018" s="231" customFormat="1" ht="13.5" hidden="1" customHeight="1">
      <c r="A85" s="225">
        <f t="shared" si="2"/>
        <v>77</v>
      </c>
      <c r="B85" s="217"/>
      <c r="C85" s="727" t="s">
        <v>1235</v>
      </c>
      <c r="D85" s="727"/>
      <c r="E85" s="727"/>
      <c r="F85" s="727"/>
      <c r="G85" s="727"/>
      <c r="H85" s="728" t="s">
        <v>1236</v>
      </c>
      <c r="I85" s="729" t="s">
        <v>1237</v>
      </c>
      <c r="J85" s="812" t="s">
        <v>1238</v>
      </c>
      <c r="K85" s="813" t="s">
        <v>1218</v>
      </c>
      <c r="L85" s="728"/>
      <c r="M85" s="728"/>
      <c r="N85" s="728"/>
      <c r="O85" s="728"/>
      <c r="P85" s="730">
        <v>1</v>
      </c>
      <c r="Q85" s="728" t="s">
        <v>820</v>
      </c>
      <c r="R85" s="730"/>
      <c r="S85" s="812" t="s">
        <v>863</v>
      </c>
      <c r="T85" s="731"/>
      <c r="U85" s="728"/>
      <c r="V85" s="732" t="s">
        <v>864</v>
      </c>
      <c r="W85" s="732"/>
      <c r="X85" s="732" t="s">
        <v>864</v>
      </c>
      <c r="Y85" s="232"/>
      <c r="Z85" s="733"/>
      <c r="AA85" s="728"/>
      <c r="AB85" s="734"/>
      <c r="AC85" s="728"/>
      <c r="AD85" s="731">
        <v>1</v>
      </c>
      <c r="AE85" s="731">
        <v>1</v>
      </c>
      <c r="AF85" s="738"/>
      <c r="AG85" s="738"/>
      <c r="AH85" s="738"/>
      <c r="AI85" s="738"/>
      <c r="AJ85" s="738"/>
      <c r="AK85" s="738"/>
      <c r="AL85" s="738"/>
      <c r="AM85" s="738"/>
      <c r="AN85" s="738"/>
      <c r="AO85" s="738"/>
      <c r="AP85" s="738"/>
      <c r="AQ85" s="738"/>
      <c r="AR85" s="738"/>
      <c r="AS85" s="738"/>
      <c r="AT85" s="738"/>
      <c r="AU85" s="738"/>
      <c r="AV85" s="738"/>
      <c r="AW85" s="738"/>
      <c r="AX85" s="738"/>
      <c r="AY85" s="738"/>
      <c r="AZ85" s="738"/>
      <c r="BA85" s="738"/>
      <c r="BB85" s="738"/>
      <c r="BC85" s="738"/>
      <c r="BD85" s="738"/>
      <c r="BE85" s="738"/>
      <c r="BF85" s="738"/>
      <c r="BG85" s="738"/>
      <c r="BH85" s="738"/>
      <c r="BI85" s="738"/>
      <c r="BJ85" s="738"/>
      <c r="BK85" s="738"/>
      <c r="BL85" s="738"/>
      <c r="BM85" s="738"/>
      <c r="BN85" s="738"/>
      <c r="BO85" s="738"/>
      <c r="BP85" s="738"/>
      <c r="BQ85" s="738"/>
      <c r="BR85" s="738"/>
      <c r="BS85" s="738"/>
      <c r="BT85" s="738"/>
      <c r="BU85" s="738"/>
      <c r="BV85" s="738"/>
      <c r="BW85" s="738"/>
      <c r="BX85" s="738"/>
      <c r="BY85" s="738"/>
      <c r="BZ85" s="738"/>
      <c r="CA85" s="738"/>
      <c r="CB85" s="738"/>
      <c r="CC85" s="738"/>
      <c r="CD85" s="738"/>
      <c r="CE85" s="738"/>
      <c r="CF85" s="738"/>
      <c r="CG85" s="738"/>
      <c r="CH85" s="738"/>
      <c r="CI85" s="738"/>
      <c r="CJ85" s="738"/>
      <c r="CK85" s="738"/>
      <c r="CL85" s="738"/>
      <c r="CM85" s="738"/>
      <c r="CN85" s="738"/>
      <c r="CO85" s="738"/>
      <c r="CP85" s="738"/>
      <c r="CQ85" s="738"/>
      <c r="CR85" s="738"/>
      <c r="CS85" s="738"/>
      <c r="CT85" s="738"/>
      <c r="CU85" s="738"/>
      <c r="CV85" s="738"/>
      <c r="CW85" s="738"/>
      <c r="CX85" s="738"/>
      <c r="CY85" s="738"/>
      <c r="CZ85" s="738"/>
      <c r="DA85" s="738"/>
      <c r="DB85" s="738"/>
      <c r="DC85" s="738"/>
      <c r="DD85" s="738"/>
      <c r="DE85" s="738"/>
      <c r="DF85" s="738"/>
      <c r="DG85" s="738"/>
      <c r="DH85" s="738"/>
      <c r="DI85" s="738"/>
      <c r="DJ85" s="738"/>
      <c r="DK85" s="738"/>
      <c r="DL85" s="738"/>
      <c r="DM85" s="738"/>
      <c r="DN85" s="738"/>
      <c r="DO85" s="738"/>
      <c r="DP85" s="738"/>
      <c r="DQ85" s="738"/>
      <c r="DR85" s="738"/>
      <c r="DS85" s="738"/>
      <c r="DT85" s="738"/>
      <c r="DU85" s="738"/>
      <c r="DV85" s="738"/>
      <c r="DW85" s="738"/>
      <c r="DX85" s="738"/>
      <c r="DY85" s="738"/>
      <c r="DZ85" s="738"/>
      <c r="EA85" s="738"/>
      <c r="EB85" s="738"/>
      <c r="EC85" s="738"/>
      <c r="ED85" s="738"/>
      <c r="EE85" s="738"/>
      <c r="EF85" s="738"/>
      <c r="EG85" s="738"/>
      <c r="EH85" s="738"/>
      <c r="EI85" s="738"/>
      <c r="EJ85" s="738"/>
      <c r="EK85" s="738"/>
      <c r="EL85" s="738"/>
      <c r="EM85" s="738"/>
      <c r="EN85" s="738"/>
      <c r="EO85" s="738"/>
      <c r="EP85" s="738"/>
      <c r="EQ85" s="738"/>
      <c r="ER85" s="738"/>
      <c r="ES85" s="738"/>
      <c r="ET85" s="738"/>
      <c r="EU85" s="738"/>
      <c r="EV85" s="738"/>
      <c r="EW85" s="738"/>
      <c r="EX85" s="738"/>
      <c r="EY85" s="738"/>
      <c r="EZ85" s="738"/>
      <c r="FA85" s="738"/>
      <c r="FB85" s="738"/>
      <c r="FC85" s="738"/>
      <c r="FD85" s="738"/>
      <c r="FE85" s="738"/>
      <c r="FF85" s="738"/>
      <c r="FG85" s="738"/>
      <c r="FH85" s="738"/>
      <c r="FI85" s="738"/>
      <c r="FJ85" s="738"/>
      <c r="FK85" s="738"/>
      <c r="FL85" s="738"/>
      <c r="FM85" s="738"/>
      <c r="FN85" s="738"/>
      <c r="FO85" s="738"/>
      <c r="FP85" s="738"/>
      <c r="FQ85" s="738"/>
      <c r="FR85" s="738"/>
      <c r="FS85" s="738"/>
      <c r="FT85" s="738"/>
      <c r="FU85" s="738"/>
      <c r="FV85" s="738"/>
      <c r="FW85" s="738"/>
      <c r="FX85" s="738"/>
      <c r="FY85" s="738"/>
      <c r="FZ85" s="738"/>
      <c r="GA85" s="738"/>
      <c r="GB85" s="738"/>
      <c r="GC85" s="738"/>
      <c r="GD85" s="738"/>
      <c r="GE85" s="738"/>
      <c r="GF85" s="738"/>
      <c r="GG85" s="738"/>
      <c r="GH85" s="738"/>
      <c r="GI85" s="738"/>
      <c r="GJ85" s="738"/>
      <c r="GK85" s="738"/>
      <c r="GL85" s="738"/>
      <c r="GM85" s="738"/>
      <c r="GN85" s="738"/>
      <c r="GO85" s="738"/>
      <c r="GP85" s="738"/>
      <c r="GQ85" s="738"/>
      <c r="GR85" s="738"/>
      <c r="GS85" s="738"/>
      <c r="GT85" s="738"/>
      <c r="GU85" s="738"/>
      <c r="GV85" s="738"/>
      <c r="GW85" s="738"/>
      <c r="GX85" s="738"/>
      <c r="GY85" s="738"/>
      <c r="GZ85" s="738"/>
      <c r="HA85" s="738"/>
      <c r="HB85" s="738"/>
      <c r="HC85" s="738"/>
      <c r="HD85" s="738"/>
      <c r="HE85" s="738"/>
      <c r="HF85" s="738"/>
      <c r="HG85" s="738"/>
      <c r="HH85" s="738"/>
      <c r="HI85" s="738"/>
      <c r="HJ85" s="738"/>
      <c r="HK85" s="738"/>
      <c r="HL85" s="738"/>
      <c r="HM85" s="738"/>
      <c r="HN85" s="738"/>
      <c r="HO85" s="738"/>
      <c r="HP85" s="738"/>
      <c r="HQ85" s="738"/>
      <c r="HR85" s="738"/>
      <c r="HS85" s="738"/>
      <c r="HT85" s="738"/>
      <c r="HU85" s="738"/>
      <c r="HV85" s="738"/>
      <c r="HW85" s="738"/>
      <c r="HX85" s="738"/>
      <c r="HY85" s="738"/>
      <c r="HZ85" s="738"/>
      <c r="IA85" s="738"/>
      <c r="IB85" s="738"/>
      <c r="IC85" s="738"/>
      <c r="ID85" s="738"/>
      <c r="IE85" s="738"/>
      <c r="IF85" s="738"/>
      <c r="IG85" s="738"/>
      <c r="IH85" s="738"/>
      <c r="II85" s="738"/>
      <c r="IJ85" s="738"/>
      <c r="IK85" s="738"/>
      <c r="IL85" s="738"/>
      <c r="IM85" s="738"/>
      <c r="IN85" s="738"/>
      <c r="IO85" s="738"/>
      <c r="IP85" s="738"/>
      <c r="IQ85" s="738"/>
      <c r="IR85" s="738"/>
      <c r="IS85" s="738"/>
      <c r="IT85" s="738"/>
      <c r="IU85" s="738"/>
      <c r="IV85" s="738"/>
      <c r="IW85" s="738"/>
      <c r="IX85" s="738"/>
      <c r="IY85" s="738"/>
      <c r="IZ85" s="738"/>
      <c r="JA85" s="738"/>
      <c r="JB85" s="738"/>
      <c r="JC85" s="738"/>
      <c r="JD85" s="738"/>
      <c r="JE85" s="738"/>
      <c r="JF85" s="738"/>
      <c r="JG85" s="738"/>
      <c r="JH85" s="738"/>
      <c r="JI85" s="738"/>
      <c r="JJ85" s="738"/>
      <c r="JK85" s="738"/>
      <c r="JL85" s="738"/>
      <c r="JM85" s="738"/>
      <c r="JN85" s="738"/>
      <c r="JO85" s="738"/>
      <c r="JP85" s="738"/>
      <c r="JQ85" s="738"/>
      <c r="JR85" s="738"/>
      <c r="JS85" s="738"/>
      <c r="JT85" s="738"/>
      <c r="JU85" s="738"/>
      <c r="JV85" s="738"/>
      <c r="JW85" s="738"/>
      <c r="JX85" s="738"/>
      <c r="JY85" s="738"/>
      <c r="JZ85" s="738"/>
      <c r="KA85" s="738"/>
      <c r="KB85" s="738"/>
      <c r="KC85" s="738"/>
      <c r="KD85" s="738"/>
      <c r="KE85" s="738"/>
      <c r="KF85" s="738"/>
      <c r="KG85" s="738"/>
      <c r="KH85" s="738"/>
      <c r="KI85" s="738"/>
      <c r="KJ85" s="738"/>
      <c r="KK85" s="738"/>
      <c r="KL85" s="738"/>
      <c r="KM85" s="738"/>
      <c r="KN85" s="738"/>
      <c r="KO85" s="738"/>
      <c r="KP85" s="738"/>
      <c r="KQ85" s="738"/>
      <c r="KR85" s="738"/>
      <c r="KS85" s="738"/>
      <c r="KT85" s="738"/>
      <c r="KU85" s="738"/>
      <c r="KV85" s="738"/>
      <c r="KW85" s="738"/>
      <c r="KX85" s="738"/>
      <c r="KY85" s="738"/>
      <c r="KZ85" s="738"/>
      <c r="LA85" s="738"/>
      <c r="LB85" s="738"/>
      <c r="LC85" s="738"/>
      <c r="LD85" s="738"/>
      <c r="LE85" s="738"/>
      <c r="LF85" s="738"/>
      <c r="LG85" s="738"/>
      <c r="LH85" s="738"/>
      <c r="LI85" s="738"/>
      <c r="LJ85" s="738"/>
      <c r="LK85" s="738"/>
      <c r="LL85" s="738"/>
      <c r="LM85" s="738"/>
      <c r="LN85" s="738"/>
      <c r="LO85" s="738"/>
      <c r="LP85" s="738"/>
      <c r="LQ85" s="738"/>
      <c r="LR85" s="738"/>
      <c r="LS85" s="738"/>
      <c r="LT85" s="738"/>
      <c r="LU85" s="738"/>
      <c r="LV85" s="738"/>
      <c r="LW85" s="738"/>
      <c r="LX85" s="738"/>
      <c r="LY85" s="738"/>
      <c r="LZ85" s="738"/>
      <c r="MA85" s="738"/>
      <c r="MB85" s="738"/>
      <c r="MC85" s="738"/>
      <c r="MD85" s="738"/>
      <c r="ME85" s="738"/>
      <c r="MF85" s="738"/>
      <c r="MG85" s="738"/>
      <c r="MH85" s="738"/>
      <c r="MI85" s="738"/>
      <c r="MJ85" s="738"/>
      <c r="MK85" s="738"/>
      <c r="ML85" s="738"/>
      <c r="MM85" s="738"/>
      <c r="MN85" s="738"/>
      <c r="MO85" s="738"/>
      <c r="MP85" s="738"/>
      <c r="MQ85" s="738"/>
      <c r="MR85" s="738"/>
      <c r="MS85" s="738"/>
      <c r="MT85" s="738"/>
      <c r="MU85" s="738"/>
      <c r="MV85" s="738"/>
      <c r="MW85" s="738"/>
      <c r="MX85" s="738"/>
      <c r="MY85" s="738"/>
      <c r="MZ85" s="738"/>
      <c r="NA85" s="738"/>
      <c r="NB85" s="738"/>
      <c r="NC85" s="738"/>
      <c r="ND85" s="738"/>
      <c r="NE85" s="738"/>
      <c r="NF85" s="738"/>
      <c r="NG85" s="738"/>
      <c r="NH85" s="738"/>
      <c r="NI85" s="738"/>
      <c r="NJ85" s="738"/>
      <c r="NK85" s="738"/>
      <c r="NL85" s="738"/>
      <c r="NM85" s="738"/>
      <c r="NN85" s="738"/>
      <c r="NO85" s="738"/>
      <c r="NP85" s="738"/>
      <c r="NQ85" s="738"/>
      <c r="NR85" s="738"/>
      <c r="NS85" s="738"/>
      <c r="NT85" s="738"/>
      <c r="NU85" s="738"/>
      <c r="NV85" s="738"/>
      <c r="NW85" s="738"/>
      <c r="NX85" s="738"/>
      <c r="NY85" s="738"/>
      <c r="NZ85" s="738"/>
      <c r="OA85" s="738"/>
      <c r="OB85" s="738"/>
      <c r="OC85" s="738"/>
      <c r="OD85" s="738"/>
      <c r="OE85" s="738"/>
      <c r="OF85" s="738"/>
      <c r="OG85" s="738"/>
      <c r="OH85" s="738"/>
      <c r="OI85" s="738"/>
      <c r="OJ85" s="738"/>
      <c r="OK85" s="738"/>
      <c r="OL85" s="738"/>
      <c r="OM85" s="738"/>
      <c r="ON85" s="738"/>
      <c r="OO85" s="738"/>
      <c r="OP85" s="738"/>
      <c r="OQ85" s="738"/>
      <c r="OR85" s="738"/>
      <c r="OS85" s="738"/>
      <c r="OT85" s="738"/>
      <c r="OU85" s="738"/>
      <c r="OV85" s="738"/>
      <c r="OW85" s="738"/>
      <c r="OX85" s="738"/>
      <c r="OY85" s="738"/>
      <c r="OZ85" s="738"/>
      <c r="PA85" s="738"/>
      <c r="PB85" s="738"/>
      <c r="PC85" s="738"/>
      <c r="PD85" s="738"/>
      <c r="PE85" s="738"/>
      <c r="PF85" s="738"/>
      <c r="PG85" s="738"/>
      <c r="PH85" s="738"/>
      <c r="PI85" s="738"/>
      <c r="PJ85" s="738"/>
      <c r="PK85" s="738"/>
      <c r="PL85" s="738"/>
      <c r="PM85" s="738"/>
      <c r="PN85" s="738"/>
      <c r="PO85" s="738"/>
      <c r="PP85" s="738"/>
      <c r="PQ85" s="738"/>
      <c r="PR85" s="738"/>
      <c r="PS85" s="738"/>
      <c r="PT85" s="738"/>
      <c r="PU85" s="738"/>
      <c r="PV85" s="738"/>
      <c r="PW85" s="738"/>
      <c r="PX85" s="738"/>
      <c r="PY85" s="738"/>
      <c r="PZ85" s="738"/>
      <c r="QA85" s="738"/>
      <c r="QB85" s="738"/>
      <c r="QC85" s="738"/>
      <c r="QD85" s="738"/>
      <c r="QE85" s="738"/>
      <c r="QF85" s="738"/>
      <c r="QG85" s="738"/>
      <c r="QH85" s="738"/>
      <c r="QI85" s="738"/>
      <c r="QJ85" s="738"/>
      <c r="QK85" s="738"/>
      <c r="QL85" s="738"/>
      <c r="QM85" s="738"/>
      <c r="QN85" s="738"/>
      <c r="QO85" s="738"/>
      <c r="QP85" s="738"/>
      <c r="QQ85" s="738"/>
      <c r="QR85" s="738"/>
      <c r="QS85" s="738"/>
      <c r="QT85" s="738"/>
      <c r="QU85" s="738"/>
      <c r="QV85" s="738"/>
      <c r="QW85" s="738"/>
      <c r="QX85" s="738"/>
      <c r="QY85" s="738"/>
      <c r="QZ85" s="738"/>
      <c r="RA85" s="738"/>
      <c r="RB85" s="738"/>
      <c r="RC85" s="738"/>
      <c r="RD85" s="738"/>
      <c r="RE85" s="738"/>
      <c r="RF85" s="738"/>
      <c r="RG85" s="738"/>
      <c r="RH85" s="738"/>
      <c r="RI85" s="738"/>
      <c r="RJ85" s="738"/>
      <c r="RK85" s="738"/>
      <c r="RL85" s="738"/>
      <c r="RM85" s="738"/>
      <c r="RN85" s="738"/>
      <c r="RO85" s="738"/>
      <c r="RP85" s="738"/>
      <c r="RQ85" s="738"/>
      <c r="RR85" s="738"/>
      <c r="RS85" s="738"/>
      <c r="RT85" s="738"/>
      <c r="RU85" s="738"/>
      <c r="RV85" s="738"/>
      <c r="RW85" s="738"/>
      <c r="RX85" s="738"/>
      <c r="RY85" s="738"/>
      <c r="RZ85" s="738"/>
      <c r="SA85" s="738"/>
      <c r="SB85" s="738"/>
      <c r="SC85" s="738"/>
      <c r="SD85" s="738"/>
      <c r="SE85" s="738"/>
      <c r="SF85" s="738"/>
      <c r="SG85" s="738"/>
      <c r="SH85" s="738"/>
      <c r="SI85" s="738"/>
      <c r="SJ85" s="738"/>
      <c r="SK85" s="738"/>
      <c r="SL85" s="738"/>
      <c r="SM85" s="738"/>
      <c r="SN85" s="738"/>
      <c r="SO85" s="738"/>
      <c r="SP85" s="738"/>
      <c r="SQ85" s="738"/>
      <c r="SR85" s="738"/>
      <c r="SS85" s="738"/>
      <c r="ST85" s="738"/>
      <c r="SU85" s="738"/>
      <c r="SV85" s="738"/>
      <c r="SW85" s="738"/>
      <c r="SX85" s="738"/>
      <c r="SY85" s="738"/>
      <c r="SZ85" s="738"/>
      <c r="TA85" s="738"/>
      <c r="TB85" s="738"/>
      <c r="TC85" s="738"/>
      <c r="TD85" s="738"/>
      <c r="TE85" s="738"/>
      <c r="TF85" s="738"/>
      <c r="TG85" s="738"/>
      <c r="TH85" s="738"/>
      <c r="TI85" s="738"/>
      <c r="TJ85" s="738"/>
      <c r="TK85" s="738"/>
      <c r="TL85" s="738"/>
      <c r="TM85" s="738"/>
      <c r="TN85" s="738"/>
      <c r="TO85" s="738"/>
      <c r="TP85" s="738"/>
      <c r="TQ85" s="738"/>
      <c r="TR85" s="738"/>
      <c r="TS85" s="738"/>
      <c r="TT85" s="738"/>
      <c r="TU85" s="738"/>
      <c r="TV85" s="738"/>
      <c r="TW85" s="738"/>
      <c r="TX85" s="738"/>
      <c r="TY85" s="738"/>
      <c r="TZ85" s="738"/>
      <c r="UA85" s="738"/>
      <c r="UB85" s="738"/>
      <c r="UC85" s="738"/>
      <c r="UD85" s="738"/>
      <c r="UE85" s="738"/>
      <c r="UF85" s="738"/>
      <c r="UG85" s="738"/>
      <c r="UH85" s="738"/>
      <c r="UI85" s="738"/>
      <c r="UJ85" s="738"/>
      <c r="UK85" s="738"/>
      <c r="UL85" s="738"/>
      <c r="UM85" s="738"/>
      <c r="UN85" s="738"/>
      <c r="UO85" s="738"/>
      <c r="UP85" s="738"/>
      <c r="UQ85" s="738"/>
      <c r="UR85" s="738"/>
      <c r="US85" s="738"/>
      <c r="UT85" s="738"/>
      <c r="UU85" s="738"/>
      <c r="UV85" s="738"/>
      <c r="UW85" s="738"/>
      <c r="UX85" s="738"/>
      <c r="UY85" s="738"/>
      <c r="UZ85" s="738"/>
      <c r="VA85" s="738"/>
      <c r="VB85" s="738"/>
      <c r="VC85" s="738"/>
      <c r="VD85" s="738"/>
      <c r="VE85" s="738"/>
      <c r="VF85" s="738"/>
      <c r="VG85" s="738"/>
      <c r="VH85" s="738"/>
      <c r="VI85" s="738"/>
      <c r="VJ85" s="738"/>
      <c r="VK85" s="738"/>
      <c r="VL85" s="738"/>
      <c r="VM85" s="738"/>
      <c r="VN85" s="738"/>
      <c r="VO85" s="738"/>
      <c r="VP85" s="738"/>
      <c r="VQ85" s="738"/>
      <c r="VR85" s="738"/>
      <c r="VS85" s="738"/>
      <c r="VT85" s="738"/>
      <c r="VU85" s="738"/>
      <c r="VV85" s="738"/>
      <c r="VW85" s="738"/>
      <c r="VX85" s="738"/>
      <c r="VY85" s="738"/>
      <c r="VZ85" s="738"/>
      <c r="WA85" s="738"/>
      <c r="WB85" s="738"/>
      <c r="WC85" s="738"/>
      <c r="WD85" s="738"/>
      <c r="WE85" s="738"/>
      <c r="WF85" s="738"/>
      <c r="WG85" s="738"/>
      <c r="WH85" s="738"/>
      <c r="WI85" s="738"/>
      <c r="WJ85" s="738"/>
      <c r="WK85" s="738"/>
      <c r="WL85" s="738"/>
      <c r="WM85" s="738"/>
      <c r="WN85" s="738"/>
      <c r="WO85" s="738"/>
      <c r="WP85" s="738"/>
      <c r="WQ85" s="738"/>
      <c r="WR85" s="738"/>
      <c r="WS85" s="738"/>
      <c r="WT85" s="738"/>
      <c r="WU85" s="738"/>
      <c r="WV85" s="738"/>
      <c r="WW85" s="738"/>
      <c r="WX85" s="738"/>
      <c r="WY85" s="738"/>
      <c r="WZ85" s="738"/>
      <c r="XA85" s="738"/>
      <c r="XB85" s="738"/>
      <c r="XC85" s="738"/>
      <c r="XD85" s="738"/>
      <c r="XE85" s="738"/>
      <c r="XF85" s="738"/>
      <c r="XG85" s="738"/>
      <c r="XH85" s="738"/>
      <c r="XI85" s="738"/>
      <c r="XJ85" s="738"/>
      <c r="XK85" s="738"/>
      <c r="XL85" s="738"/>
      <c r="XM85" s="738"/>
      <c r="XN85" s="738"/>
      <c r="XO85" s="738"/>
      <c r="XP85" s="738"/>
      <c r="XQ85" s="738"/>
      <c r="XR85" s="738"/>
      <c r="XS85" s="738"/>
      <c r="XT85" s="738"/>
      <c r="XU85" s="738"/>
      <c r="XV85" s="738"/>
      <c r="XW85" s="738"/>
      <c r="XX85" s="738"/>
      <c r="XY85" s="738"/>
      <c r="XZ85" s="738"/>
      <c r="YA85" s="738"/>
      <c r="YB85" s="738"/>
      <c r="YC85" s="738"/>
      <c r="YD85" s="738"/>
      <c r="YE85" s="738"/>
      <c r="YF85" s="738"/>
      <c r="YG85" s="738"/>
      <c r="YH85" s="738"/>
      <c r="YI85" s="738"/>
      <c r="YJ85" s="738"/>
      <c r="YK85" s="738"/>
      <c r="YL85" s="738"/>
      <c r="YM85" s="738"/>
      <c r="YN85" s="738"/>
      <c r="YO85" s="738"/>
      <c r="YP85" s="738"/>
      <c r="YQ85" s="738"/>
      <c r="YR85" s="738"/>
      <c r="YS85" s="738"/>
      <c r="YT85" s="738"/>
      <c r="YU85" s="738"/>
      <c r="YV85" s="738"/>
      <c r="YW85" s="738"/>
      <c r="YX85" s="738"/>
      <c r="YY85" s="738"/>
      <c r="YZ85" s="738"/>
      <c r="ZA85" s="738"/>
      <c r="ZB85" s="738"/>
      <c r="ZC85" s="738"/>
      <c r="ZD85" s="738"/>
      <c r="ZE85" s="738"/>
      <c r="ZF85" s="738"/>
      <c r="ZG85" s="738"/>
      <c r="ZH85" s="738"/>
      <c r="ZI85" s="738"/>
      <c r="ZJ85" s="738"/>
      <c r="ZK85" s="738"/>
      <c r="ZL85" s="738"/>
      <c r="ZM85" s="738"/>
      <c r="ZN85" s="738"/>
      <c r="ZO85" s="738"/>
      <c r="ZP85" s="738"/>
      <c r="ZQ85" s="738"/>
      <c r="ZR85" s="738"/>
      <c r="ZS85" s="738"/>
      <c r="ZT85" s="738"/>
      <c r="ZU85" s="738"/>
      <c r="ZV85" s="738"/>
      <c r="ZW85" s="738"/>
      <c r="ZX85" s="738"/>
      <c r="ZY85" s="738"/>
      <c r="ZZ85" s="738"/>
      <c r="AAA85" s="738"/>
      <c r="AAB85" s="738"/>
      <c r="AAC85" s="738"/>
      <c r="AAD85" s="738"/>
      <c r="AAE85" s="738"/>
      <c r="AAF85" s="738"/>
      <c r="AAG85" s="738"/>
      <c r="AAH85" s="738"/>
      <c r="AAI85" s="738"/>
      <c r="AAJ85" s="738"/>
      <c r="AAK85" s="738"/>
      <c r="AAL85" s="738"/>
      <c r="AAM85" s="738"/>
      <c r="AAN85" s="738"/>
      <c r="AAO85" s="738"/>
      <c r="AAP85" s="738"/>
      <c r="AAQ85" s="738"/>
      <c r="AAR85" s="738"/>
      <c r="AAS85" s="738"/>
      <c r="AAT85" s="738"/>
      <c r="AAU85" s="738"/>
      <c r="AAV85" s="738"/>
      <c r="AAW85" s="738"/>
      <c r="AAX85" s="738"/>
      <c r="AAY85" s="738"/>
      <c r="AAZ85" s="738"/>
      <c r="ABA85" s="738"/>
      <c r="ABB85" s="738"/>
      <c r="ABC85" s="738"/>
      <c r="ABD85" s="738"/>
      <c r="ABE85" s="738"/>
      <c r="ABF85" s="738"/>
      <c r="ABG85" s="738"/>
      <c r="ABH85" s="738"/>
      <c r="ABI85" s="738"/>
      <c r="ABJ85" s="738"/>
      <c r="ABK85" s="738"/>
      <c r="ABL85" s="738"/>
      <c r="ABM85" s="738"/>
      <c r="ABN85" s="738"/>
      <c r="ABO85" s="738"/>
      <c r="ABP85" s="738"/>
      <c r="ABQ85" s="738"/>
      <c r="ABR85" s="738"/>
      <c r="ABS85" s="738"/>
      <c r="ABT85" s="738"/>
      <c r="ABU85" s="738"/>
      <c r="ABV85" s="738"/>
      <c r="ABW85" s="738"/>
      <c r="ABX85" s="738"/>
      <c r="ABY85" s="738"/>
      <c r="ABZ85" s="738"/>
      <c r="ACA85" s="738"/>
      <c r="ACB85" s="738"/>
      <c r="ACC85" s="738"/>
      <c r="ACD85" s="738"/>
      <c r="ACE85" s="738"/>
      <c r="ACF85" s="738"/>
      <c r="ACG85" s="738"/>
      <c r="ACH85" s="738"/>
      <c r="ACI85" s="738"/>
      <c r="ACJ85" s="738"/>
      <c r="ACK85" s="738"/>
      <c r="ACL85" s="738"/>
      <c r="ACM85" s="738"/>
      <c r="ACN85" s="738"/>
      <c r="ACO85" s="738"/>
      <c r="ACP85" s="738"/>
      <c r="ACQ85" s="738"/>
      <c r="ACR85" s="738"/>
      <c r="ACS85" s="738"/>
      <c r="ACT85" s="738"/>
      <c r="ACU85" s="738"/>
      <c r="ACV85" s="738"/>
      <c r="ACW85" s="738"/>
      <c r="ACX85" s="738"/>
      <c r="ACY85" s="738"/>
      <c r="ACZ85" s="738"/>
      <c r="ADA85" s="738"/>
      <c r="ADB85" s="738"/>
      <c r="ADC85" s="738"/>
      <c r="ADD85" s="738"/>
      <c r="ADE85" s="738"/>
      <c r="ADF85" s="738"/>
      <c r="ADG85" s="738"/>
      <c r="ADH85" s="738"/>
      <c r="ADI85" s="738"/>
      <c r="ADJ85" s="738"/>
      <c r="ADK85" s="738"/>
      <c r="ADL85" s="738"/>
      <c r="ADM85" s="738"/>
      <c r="ADN85" s="738"/>
      <c r="ADO85" s="738"/>
      <c r="ADP85" s="738"/>
      <c r="ADQ85" s="738"/>
      <c r="ADR85" s="738"/>
      <c r="ADS85" s="738"/>
      <c r="ADT85" s="738"/>
      <c r="ADU85" s="738"/>
      <c r="ADV85" s="738"/>
      <c r="ADW85" s="738"/>
      <c r="ADX85" s="738"/>
      <c r="ADY85" s="738"/>
      <c r="ADZ85" s="738"/>
      <c r="AEA85" s="738"/>
      <c r="AEB85" s="738"/>
      <c r="AEC85" s="738"/>
      <c r="AED85" s="738"/>
      <c r="AEE85" s="738"/>
      <c r="AEF85" s="738"/>
      <c r="AEG85" s="738"/>
      <c r="AEH85" s="738"/>
      <c r="AEI85" s="738"/>
      <c r="AEJ85" s="738"/>
      <c r="AEK85" s="738"/>
      <c r="AEL85" s="738"/>
      <c r="AEM85" s="738"/>
      <c r="AEN85" s="738"/>
      <c r="AEO85" s="738"/>
      <c r="AEP85" s="738"/>
      <c r="AEQ85" s="738"/>
      <c r="AER85" s="738"/>
      <c r="AES85" s="738"/>
      <c r="AET85" s="738"/>
      <c r="AEU85" s="738"/>
      <c r="AEV85" s="738"/>
      <c r="AEW85" s="738"/>
      <c r="AEX85" s="738"/>
      <c r="AEY85" s="738"/>
      <c r="AEZ85" s="738"/>
      <c r="AFA85" s="738"/>
      <c r="AFB85" s="738"/>
      <c r="AFC85" s="738"/>
      <c r="AFD85" s="738"/>
      <c r="AFE85" s="738"/>
      <c r="AFF85" s="738"/>
      <c r="AFG85" s="738"/>
      <c r="AFH85" s="738"/>
      <c r="AFI85" s="738"/>
      <c r="AFJ85" s="738"/>
      <c r="AFK85" s="738"/>
      <c r="AFL85" s="738"/>
      <c r="AFM85" s="738"/>
      <c r="AFN85" s="738"/>
      <c r="AFO85" s="738"/>
      <c r="AFP85" s="738"/>
      <c r="AFQ85" s="738"/>
      <c r="AFR85" s="738"/>
      <c r="AFS85" s="738"/>
      <c r="AFT85" s="738"/>
      <c r="AFU85" s="738"/>
      <c r="AFV85" s="738"/>
      <c r="AFW85" s="738"/>
      <c r="AFX85" s="738"/>
      <c r="AFY85" s="738"/>
      <c r="AFZ85" s="738"/>
      <c r="AGA85" s="738"/>
      <c r="AGB85" s="738"/>
      <c r="AGC85" s="738"/>
      <c r="AGD85" s="738"/>
      <c r="AGE85" s="738"/>
      <c r="AGF85" s="738"/>
      <c r="AGG85" s="738"/>
      <c r="AGH85" s="738"/>
      <c r="AGI85" s="738"/>
      <c r="AGJ85" s="738"/>
      <c r="AGK85" s="738"/>
      <c r="AGL85" s="738"/>
      <c r="AGM85" s="738"/>
      <c r="AGN85" s="738"/>
      <c r="AGO85" s="738"/>
      <c r="AGP85" s="738"/>
      <c r="AGQ85" s="738"/>
      <c r="AGR85" s="738"/>
      <c r="AGS85" s="738"/>
      <c r="AGT85" s="738"/>
      <c r="AGU85" s="738"/>
      <c r="AGV85" s="738"/>
      <c r="AGW85" s="738"/>
      <c r="AGX85" s="738"/>
      <c r="AGY85" s="738"/>
      <c r="AGZ85" s="738"/>
      <c r="AHA85" s="738"/>
      <c r="AHB85" s="738"/>
      <c r="AHC85" s="738"/>
      <c r="AHD85" s="738"/>
      <c r="AHE85" s="738"/>
      <c r="AHF85" s="738"/>
      <c r="AHG85" s="738"/>
      <c r="AHH85" s="738"/>
      <c r="AHI85" s="738"/>
      <c r="AHJ85" s="738"/>
      <c r="AHK85" s="738"/>
      <c r="AHL85" s="738"/>
      <c r="AHM85" s="738"/>
      <c r="AHN85" s="738"/>
      <c r="AHO85" s="738"/>
      <c r="AHP85" s="738"/>
      <c r="AHQ85" s="738"/>
      <c r="AHR85" s="738"/>
      <c r="AHS85" s="738"/>
      <c r="AHT85" s="738"/>
      <c r="AHU85" s="738"/>
      <c r="AHV85" s="738"/>
      <c r="AHW85" s="738"/>
      <c r="AHX85" s="738"/>
      <c r="AHY85" s="738"/>
      <c r="AHZ85" s="738"/>
      <c r="AIA85" s="738"/>
      <c r="AIB85" s="738"/>
      <c r="AIC85" s="738"/>
      <c r="AID85" s="738"/>
      <c r="AIE85" s="738"/>
      <c r="AIF85" s="738"/>
      <c r="AIG85" s="738"/>
      <c r="AIH85" s="738"/>
      <c r="AII85" s="738"/>
      <c r="AIJ85" s="738"/>
      <c r="AIK85" s="738"/>
      <c r="AIL85" s="738"/>
      <c r="AIM85" s="738"/>
      <c r="AIN85" s="738"/>
      <c r="AIO85" s="738"/>
      <c r="AIP85" s="738"/>
      <c r="AIQ85" s="738"/>
      <c r="AIR85" s="738"/>
      <c r="AIS85" s="738"/>
      <c r="AIT85" s="738"/>
      <c r="AIU85" s="738"/>
      <c r="AIV85" s="738"/>
      <c r="AIW85" s="738"/>
      <c r="AIX85" s="738"/>
      <c r="AIY85" s="738"/>
      <c r="AIZ85" s="738"/>
      <c r="AJA85" s="738"/>
      <c r="AJB85" s="738"/>
      <c r="AJC85" s="738"/>
      <c r="AJD85" s="738"/>
      <c r="AJE85" s="738"/>
      <c r="AJF85" s="738"/>
      <c r="AJG85" s="738"/>
      <c r="AJH85" s="738"/>
      <c r="AJI85" s="738"/>
      <c r="AJJ85" s="738"/>
      <c r="AJK85" s="738"/>
      <c r="AJL85" s="738"/>
      <c r="AJM85" s="738"/>
      <c r="AJN85" s="738"/>
      <c r="AJO85" s="738"/>
      <c r="AJP85" s="738"/>
      <c r="AJQ85" s="738"/>
      <c r="AJR85" s="738"/>
      <c r="AJS85" s="738"/>
      <c r="AJT85" s="738"/>
      <c r="AJU85" s="738"/>
      <c r="AJV85" s="738"/>
      <c r="AJW85" s="738"/>
      <c r="AJX85" s="738"/>
      <c r="AJY85" s="738"/>
      <c r="AJZ85" s="738"/>
      <c r="AKA85" s="738"/>
      <c r="AKB85" s="738"/>
      <c r="AKC85" s="738"/>
      <c r="AKD85" s="738"/>
      <c r="AKE85" s="738"/>
      <c r="AKF85" s="738"/>
      <c r="AKG85" s="738"/>
      <c r="AKH85" s="738"/>
      <c r="AKI85" s="738"/>
      <c r="AKJ85" s="738"/>
      <c r="AKK85" s="738"/>
      <c r="AKL85" s="738"/>
      <c r="AKM85" s="738"/>
      <c r="AKN85" s="738"/>
      <c r="AKO85" s="738"/>
      <c r="AKP85" s="738"/>
      <c r="AKQ85" s="738"/>
      <c r="AKR85" s="738"/>
      <c r="AKS85" s="738"/>
      <c r="AKT85" s="738"/>
      <c r="AKU85" s="738"/>
      <c r="AKV85" s="738"/>
      <c r="AKW85" s="738"/>
      <c r="AKX85" s="738"/>
      <c r="AKY85" s="738"/>
      <c r="AKZ85" s="738"/>
      <c r="ALA85" s="738"/>
      <c r="ALB85" s="738"/>
      <c r="ALC85" s="738"/>
      <c r="ALD85" s="738"/>
      <c r="ALE85" s="738"/>
      <c r="ALF85" s="738"/>
      <c r="ALG85" s="738"/>
      <c r="ALH85" s="738"/>
      <c r="ALI85" s="738"/>
      <c r="ALJ85" s="738"/>
      <c r="ALK85" s="738"/>
      <c r="ALL85" s="738"/>
      <c r="ALM85" s="738"/>
      <c r="ALN85" s="738"/>
      <c r="ALO85" s="738"/>
      <c r="ALP85" s="738"/>
      <c r="ALQ85" s="738"/>
      <c r="ALR85" s="738"/>
      <c r="ALS85" s="738"/>
      <c r="ALT85" s="738"/>
      <c r="ALU85" s="738"/>
      <c r="ALV85" s="738"/>
      <c r="ALW85" s="738"/>
      <c r="ALX85" s="738"/>
      <c r="ALY85" s="738"/>
      <c r="ALZ85" s="738"/>
      <c r="AMA85" s="738"/>
      <c r="AMB85" s="738"/>
      <c r="AMC85" s="738"/>
      <c r="AMD85" s="738"/>
    </row>
    <row r="86" spans="1:1018" s="224" customFormat="1" ht="13.5" customHeight="1">
      <c r="A86" s="225">
        <f t="shared" si="2"/>
        <v>78</v>
      </c>
      <c r="B86" s="217"/>
      <c r="C86" s="241" t="s">
        <v>1660</v>
      </c>
      <c r="D86" s="217"/>
      <c r="E86" s="217"/>
      <c r="F86" s="217"/>
      <c r="G86" s="217"/>
      <c r="H86" s="773" t="s">
        <v>2763</v>
      </c>
      <c r="I86" s="729" t="s">
        <v>1241</v>
      </c>
      <c r="J86" s="812" t="s">
        <v>1242</v>
      </c>
      <c r="K86" s="813" t="s">
        <v>1243</v>
      </c>
      <c r="L86" s="728" t="s">
        <v>1244</v>
      </c>
      <c r="M86" s="739" t="s">
        <v>1245</v>
      </c>
      <c r="N86" s="739"/>
      <c r="O86" s="728"/>
      <c r="P86" s="730"/>
      <c r="Q86" s="728" t="s">
        <v>820</v>
      </c>
      <c r="R86" s="730"/>
      <c r="S86" s="812" t="s">
        <v>879</v>
      </c>
      <c r="T86" s="731"/>
      <c r="U86" s="728" t="s">
        <v>932</v>
      </c>
      <c r="V86" s="732" t="s">
        <v>864</v>
      </c>
      <c r="W86" s="732" t="s">
        <v>864</v>
      </c>
      <c r="X86" s="732" t="s">
        <v>864</v>
      </c>
      <c r="Y86" s="232"/>
      <c r="Z86" s="733"/>
      <c r="AA86" s="728" t="s">
        <v>1163</v>
      </c>
      <c r="AB86" s="734"/>
      <c r="AC86" s="728"/>
      <c r="AD86" s="731">
        <v>1</v>
      </c>
      <c r="AE86" s="731">
        <v>1</v>
      </c>
    </row>
    <row r="87" spans="1:1018" s="244" customFormat="1" ht="13.5" hidden="1" customHeight="1">
      <c r="A87" s="225">
        <f t="shared" si="2"/>
        <v>79</v>
      </c>
      <c r="B87" s="217"/>
      <c r="C87" s="241" t="s">
        <v>1246</v>
      </c>
      <c r="D87" s="217"/>
      <c r="E87" s="221"/>
      <c r="F87" s="222"/>
      <c r="G87" s="222"/>
      <c r="H87" s="728" t="s">
        <v>1247</v>
      </c>
      <c r="I87" s="729" t="s">
        <v>1248</v>
      </c>
      <c r="J87" s="812"/>
      <c r="K87" s="813" t="s">
        <v>1249</v>
      </c>
      <c r="L87" s="728"/>
      <c r="M87" s="728"/>
      <c r="N87" s="728"/>
      <c r="O87" s="728"/>
      <c r="P87" s="730">
        <v>1</v>
      </c>
      <c r="Q87" s="728" t="s">
        <v>820</v>
      </c>
      <c r="R87" s="730"/>
      <c r="S87" s="812" t="s">
        <v>863</v>
      </c>
      <c r="T87" s="731" t="s">
        <v>864</v>
      </c>
      <c r="U87" s="728" t="s">
        <v>1250</v>
      </c>
      <c r="V87" s="732" t="s">
        <v>864</v>
      </c>
      <c r="W87" s="732"/>
      <c r="X87" s="732" t="s">
        <v>864</v>
      </c>
      <c r="Y87" s="232"/>
      <c r="Z87" s="733"/>
      <c r="AA87" s="728" t="s">
        <v>992</v>
      </c>
      <c r="AB87" s="734"/>
      <c r="AC87" s="728"/>
      <c r="AD87" s="731">
        <v>1</v>
      </c>
      <c r="AE87" s="731">
        <v>1</v>
      </c>
    </row>
    <row r="88" spans="1:1018" s="224" customFormat="1" ht="13.5" customHeight="1">
      <c r="A88" s="225">
        <f t="shared" si="2"/>
        <v>80</v>
      </c>
      <c r="B88" s="217"/>
      <c r="C88" s="217" t="s">
        <v>1251</v>
      </c>
      <c r="D88" s="217"/>
      <c r="E88" s="217"/>
      <c r="F88" s="217"/>
      <c r="G88" s="217"/>
      <c r="H88" s="773" t="s">
        <v>2765</v>
      </c>
      <c r="I88" s="729"/>
      <c r="J88" s="812" t="s">
        <v>1227</v>
      </c>
      <c r="K88" s="813" t="s">
        <v>1661</v>
      </c>
      <c r="L88" s="728" t="s">
        <v>1254</v>
      </c>
      <c r="M88" s="728" t="s">
        <v>1255</v>
      </c>
      <c r="N88" s="728"/>
      <c r="O88" s="728"/>
      <c r="P88" s="730">
        <v>1</v>
      </c>
      <c r="Q88" s="728" t="s">
        <v>823</v>
      </c>
      <c r="R88" s="730" t="s">
        <v>864</v>
      </c>
      <c r="S88" s="243" t="s">
        <v>1661</v>
      </c>
      <c r="T88" s="731"/>
      <c r="U88" s="728"/>
      <c r="V88" s="732" t="s">
        <v>864</v>
      </c>
      <c r="W88" s="732" t="s">
        <v>864</v>
      </c>
      <c r="X88" s="732" t="s">
        <v>864</v>
      </c>
      <c r="Y88" s="232"/>
      <c r="Z88" s="733"/>
      <c r="AA88" s="728"/>
      <c r="AB88" s="734"/>
      <c r="AC88" s="728"/>
      <c r="AD88" s="731">
        <v>1</v>
      </c>
      <c r="AE88" s="731">
        <v>1</v>
      </c>
    </row>
    <row r="89" spans="1:1018" s="224" customFormat="1" ht="13.5" customHeight="1">
      <c r="A89" s="225">
        <f t="shared" si="2"/>
        <v>81</v>
      </c>
      <c r="B89" s="217"/>
      <c r="C89" s="217"/>
      <c r="D89" s="727" t="s">
        <v>1662</v>
      </c>
      <c r="E89" s="241"/>
      <c r="F89" s="241"/>
      <c r="G89" s="241"/>
      <c r="H89" s="773" t="s">
        <v>2764</v>
      </c>
      <c r="I89" s="729"/>
      <c r="J89" s="812"/>
      <c r="K89" s="813" t="s">
        <v>931</v>
      </c>
      <c r="L89" s="728"/>
      <c r="M89" s="728"/>
      <c r="N89" s="728"/>
      <c r="O89" s="728"/>
      <c r="P89" s="730"/>
      <c r="Q89" s="728" t="s">
        <v>817</v>
      </c>
      <c r="R89" s="730"/>
      <c r="S89" s="812" t="s">
        <v>879</v>
      </c>
      <c r="T89" s="731"/>
      <c r="U89" s="728" t="s">
        <v>932</v>
      </c>
      <c r="V89" s="732" t="s">
        <v>864</v>
      </c>
      <c r="W89" s="732" t="s">
        <v>864</v>
      </c>
      <c r="X89" s="732" t="s">
        <v>864</v>
      </c>
      <c r="Y89" s="232"/>
      <c r="Z89" s="733"/>
      <c r="AA89" s="728"/>
      <c r="AB89" s="734"/>
      <c r="AC89" s="728"/>
      <c r="AD89" s="731"/>
      <c r="AE89" s="731">
        <v>1</v>
      </c>
    </row>
    <row r="90" spans="1:1018" s="224" customFormat="1" ht="13.5" customHeight="1">
      <c r="A90" s="225">
        <f t="shared" si="2"/>
        <v>82</v>
      </c>
      <c r="B90" s="217"/>
      <c r="C90" s="217"/>
      <c r="D90" s="727" t="s">
        <v>1663</v>
      </c>
      <c r="E90" s="241"/>
      <c r="F90" s="241"/>
      <c r="G90" s="241"/>
      <c r="H90" s="773" t="s">
        <v>2766</v>
      </c>
      <c r="I90" s="774" t="s">
        <v>2767</v>
      </c>
      <c r="J90" s="812"/>
      <c r="K90" s="813" t="s">
        <v>939</v>
      </c>
      <c r="L90" s="728"/>
      <c r="M90" s="728"/>
      <c r="N90" s="728"/>
      <c r="O90" s="728"/>
      <c r="P90" s="730"/>
      <c r="Q90" s="728" t="s">
        <v>817</v>
      </c>
      <c r="R90" s="730"/>
      <c r="S90" s="812" t="s">
        <v>863</v>
      </c>
      <c r="T90" s="731"/>
      <c r="U90" s="728"/>
      <c r="V90" s="732" t="s">
        <v>864</v>
      </c>
      <c r="W90" s="732" t="s">
        <v>864</v>
      </c>
      <c r="X90" s="732" t="s">
        <v>864</v>
      </c>
      <c r="Y90" s="232"/>
      <c r="Z90" s="733"/>
      <c r="AA90" s="728"/>
      <c r="AB90" s="734"/>
      <c r="AC90" s="728"/>
      <c r="AD90" s="731"/>
      <c r="AE90" s="731">
        <v>1</v>
      </c>
    </row>
    <row r="91" spans="1:1018" s="224" customFormat="1" ht="13.5" customHeight="1">
      <c r="A91" s="225">
        <f t="shared" si="2"/>
        <v>83</v>
      </c>
      <c r="B91" s="217"/>
      <c r="C91" s="241" t="s">
        <v>1664</v>
      </c>
      <c r="D91" s="217"/>
      <c r="E91" s="217"/>
      <c r="F91" s="217"/>
      <c r="G91" s="217"/>
      <c r="H91" s="773" t="s">
        <v>2768</v>
      </c>
      <c r="I91" s="729"/>
      <c r="J91" s="812" t="s">
        <v>1258</v>
      </c>
      <c r="K91" s="813"/>
      <c r="L91" s="728"/>
      <c r="M91" s="728"/>
      <c r="N91" s="728"/>
      <c r="O91" s="728"/>
      <c r="P91" s="730"/>
      <c r="Q91" s="728" t="s">
        <v>820</v>
      </c>
      <c r="R91" s="730" t="s">
        <v>864</v>
      </c>
      <c r="S91" s="243" t="s">
        <v>1258</v>
      </c>
      <c r="T91" s="731"/>
      <c r="U91" s="728"/>
      <c r="V91" s="732" t="s">
        <v>864</v>
      </c>
      <c r="W91" s="732" t="s">
        <v>864</v>
      </c>
      <c r="X91" s="732" t="s">
        <v>864</v>
      </c>
      <c r="Y91" s="232"/>
      <c r="Z91" s="733"/>
      <c r="AA91" s="728"/>
      <c r="AB91" s="734"/>
      <c r="AC91" s="728"/>
      <c r="AD91" s="731"/>
      <c r="AE91" s="731">
        <v>1</v>
      </c>
    </row>
    <row r="92" spans="1:1018" s="224" customFormat="1" ht="13.5" customHeight="1">
      <c r="A92" s="225">
        <f t="shared" si="2"/>
        <v>84</v>
      </c>
      <c r="B92" s="217"/>
      <c r="C92" s="727"/>
      <c r="D92" s="727" t="s">
        <v>1259</v>
      </c>
      <c r="E92" s="219"/>
      <c r="F92" s="727"/>
      <c r="G92" s="727"/>
      <c r="H92" s="773" t="s">
        <v>2781</v>
      </c>
      <c r="I92" s="729"/>
      <c r="J92" s="812" t="s">
        <v>1261</v>
      </c>
      <c r="K92" s="813" t="s">
        <v>1262</v>
      </c>
      <c r="L92" s="728" t="s">
        <v>1263</v>
      </c>
      <c r="M92" s="728" t="s">
        <v>262</v>
      </c>
      <c r="N92" s="728"/>
      <c r="O92" s="728"/>
      <c r="P92" s="730">
        <v>1</v>
      </c>
      <c r="Q92" s="728" t="s">
        <v>820</v>
      </c>
      <c r="R92" s="730" t="s">
        <v>864</v>
      </c>
      <c r="S92" s="243" t="s">
        <v>1264</v>
      </c>
      <c r="T92" s="731"/>
      <c r="U92" s="728"/>
      <c r="V92" s="732" t="s">
        <v>864</v>
      </c>
      <c r="W92" s="732" t="s">
        <v>864</v>
      </c>
      <c r="X92" s="732" t="s">
        <v>864</v>
      </c>
      <c r="Y92" s="232"/>
      <c r="Z92" s="733"/>
      <c r="AA92" s="728"/>
      <c r="AB92" s="245" t="s">
        <v>1265</v>
      </c>
      <c r="AC92" s="728"/>
      <c r="AD92" s="731"/>
      <c r="AE92" s="731">
        <v>1</v>
      </c>
    </row>
    <row r="93" spans="1:1018" s="224" customFormat="1" ht="13.5" customHeight="1">
      <c r="A93" s="225">
        <f t="shared" si="2"/>
        <v>85</v>
      </c>
      <c r="B93" s="217"/>
      <c r="C93" s="241"/>
      <c r="D93" s="241"/>
      <c r="E93" s="241" t="s">
        <v>1320</v>
      </c>
      <c r="F93" s="241"/>
      <c r="G93" s="241"/>
      <c r="H93" s="773" t="s">
        <v>2769</v>
      </c>
      <c r="I93" s="774" t="s">
        <v>2771</v>
      </c>
      <c r="J93" s="812"/>
      <c r="K93" s="813" t="s">
        <v>1323</v>
      </c>
      <c r="L93" s="728"/>
      <c r="M93" s="728"/>
      <c r="N93" s="728"/>
      <c r="O93" s="728"/>
      <c r="P93" s="730"/>
      <c r="Q93" s="728" t="s">
        <v>820</v>
      </c>
      <c r="R93" s="730"/>
      <c r="S93" s="812" t="s">
        <v>863</v>
      </c>
      <c r="T93" s="731"/>
      <c r="U93" s="773" t="s">
        <v>1665</v>
      </c>
      <c r="V93" s="772" t="s">
        <v>864</v>
      </c>
      <c r="W93" s="705" t="s">
        <v>864</v>
      </c>
      <c r="X93" s="732" t="s">
        <v>864</v>
      </c>
      <c r="Y93" s="232"/>
      <c r="Z93" s="733"/>
      <c r="AA93" s="728" t="s">
        <v>1076</v>
      </c>
      <c r="AB93" s="734"/>
      <c r="AC93" s="728"/>
      <c r="AD93" s="731">
        <v>1</v>
      </c>
      <c r="AE93" s="731">
        <v>1</v>
      </c>
    </row>
    <row r="94" spans="1:1018" s="224" customFormat="1" ht="13.5" customHeight="1">
      <c r="A94" s="225">
        <f t="shared" si="2"/>
        <v>86</v>
      </c>
      <c r="B94" s="217"/>
      <c r="C94" s="727"/>
      <c r="D94" s="241"/>
      <c r="E94" s="241" t="s">
        <v>1666</v>
      </c>
      <c r="F94" s="241"/>
      <c r="G94" s="241"/>
      <c r="H94" s="773" t="s">
        <v>2774</v>
      </c>
      <c r="I94" s="774" t="s">
        <v>2770</v>
      </c>
      <c r="J94" s="812"/>
      <c r="K94" s="813" t="s">
        <v>970</v>
      </c>
      <c r="L94" s="728"/>
      <c r="M94" s="728"/>
      <c r="N94" s="728"/>
      <c r="O94" s="728"/>
      <c r="P94" s="730"/>
      <c r="Q94" s="728" t="s">
        <v>820</v>
      </c>
      <c r="R94" s="730"/>
      <c r="S94" s="812" t="s">
        <v>863</v>
      </c>
      <c r="T94" s="731" t="s">
        <v>864</v>
      </c>
      <c r="U94" s="773" t="s">
        <v>1667</v>
      </c>
      <c r="V94" s="772" t="s">
        <v>864</v>
      </c>
      <c r="W94" s="705" t="s">
        <v>864</v>
      </c>
      <c r="X94" s="732" t="s">
        <v>864</v>
      </c>
      <c r="Y94" s="232"/>
      <c r="Z94" s="733"/>
      <c r="AA94" s="390" t="s">
        <v>1270</v>
      </c>
      <c r="AB94" s="734"/>
      <c r="AC94" s="728"/>
      <c r="AD94" s="731"/>
      <c r="AE94" s="731">
        <v>1</v>
      </c>
    </row>
    <row r="95" spans="1:1018" ht="14.25" customHeight="1">
      <c r="A95" s="225">
        <f t="shared" si="2"/>
        <v>87</v>
      </c>
      <c r="C95" s="224"/>
      <c r="D95" s="224"/>
      <c r="E95" s="224" t="s">
        <v>1668</v>
      </c>
      <c r="F95" s="224"/>
      <c r="G95" s="225"/>
      <c r="H95" s="225" t="s">
        <v>2773</v>
      </c>
      <c r="I95" s="273" t="s">
        <v>1273</v>
      </c>
      <c r="J95" s="225"/>
      <c r="K95" s="813" t="s">
        <v>1120</v>
      </c>
      <c r="L95" s="728"/>
      <c r="M95" s="728"/>
      <c r="N95" s="728"/>
      <c r="O95" s="728"/>
      <c r="P95" s="730"/>
      <c r="Q95" s="728" t="s">
        <v>820</v>
      </c>
      <c r="R95" s="730"/>
      <c r="S95" s="812" t="s">
        <v>863</v>
      </c>
      <c r="U95" s="728"/>
      <c r="V95" s="274" t="s">
        <v>864</v>
      </c>
      <c r="W95" s="274" t="s">
        <v>864</v>
      </c>
      <c r="X95" s="732" t="s">
        <v>864</v>
      </c>
      <c r="Y95" s="232"/>
      <c r="AE95" s="274">
        <v>1</v>
      </c>
    </row>
    <row r="96" spans="1:1018" s="224" customFormat="1" ht="13.5" customHeight="1">
      <c r="A96" s="225">
        <f t="shared" si="2"/>
        <v>88</v>
      </c>
      <c r="B96" s="217"/>
      <c r="C96" s="727"/>
      <c r="D96" s="727" t="s">
        <v>1274</v>
      </c>
      <c r="E96" s="219" t="s">
        <v>1275</v>
      </c>
      <c r="F96" s="727"/>
      <c r="G96" s="727"/>
      <c r="H96" s="773" t="s">
        <v>2780</v>
      </c>
      <c r="I96" s="729"/>
      <c r="J96" s="812"/>
      <c r="K96" s="813" t="s">
        <v>1277</v>
      </c>
      <c r="L96" s="728" t="s">
        <v>1278</v>
      </c>
      <c r="M96" s="728" t="s">
        <v>1279</v>
      </c>
      <c r="N96" s="728"/>
      <c r="O96" s="728"/>
      <c r="P96" s="730">
        <v>1</v>
      </c>
      <c r="Q96" s="728" t="s">
        <v>817</v>
      </c>
      <c r="R96" s="730" t="s">
        <v>864</v>
      </c>
      <c r="S96" s="243" t="s">
        <v>1264</v>
      </c>
      <c r="T96" s="731"/>
      <c r="U96" s="728"/>
      <c r="V96" s="732" t="s">
        <v>864</v>
      </c>
      <c r="W96" s="732" t="s">
        <v>864</v>
      </c>
      <c r="X96" s="732" t="s">
        <v>864</v>
      </c>
      <c r="Y96" s="232"/>
      <c r="Z96" s="733"/>
      <c r="AA96" s="728"/>
      <c r="AB96" s="245" t="s">
        <v>1265</v>
      </c>
      <c r="AC96" s="728"/>
      <c r="AD96" s="731"/>
      <c r="AE96" s="731">
        <v>1</v>
      </c>
    </row>
    <row r="97" spans="1:32" s="224" customFormat="1" ht="13.5" customHeight="1">
      <c r="A97" s="225">
        <f t="shared" si="2"/>
        <v>89</v>
      </c>
      <c r="B97" s="217"/>
      <c r="C97" s="727"/>
      <c r="D97" s="727" t="s">
        <v>1280</v>
      </c>
      <c r="E97" s="727"/>
      <c r="F97" s="727"/>
      <c r="G97" s="727"/>
      <c r="H97" s="773" t="s">
        <v>2775</v>
      </c>
      <c r="I97" s="729" t="s">
        <v>1282</v>
      </c>
      <c r="J97" s="812" t="s">
        <v>1283</v>
      </c>
      <c r="K97" s="813" t="s">
        <v>1284</v>
      </c>
      <c r="L97" s="728"/>
      <c r="M97" s="728"/>
      <c r="N97" s="728"/>
      <c r="O97" s="728"/>
      <c r="P97" s="730"/>
      <c r="Q97" s="728" t="s">
        <v>817</v>
      </c>
      <c r="R97" s="730"/>
      <c r="S97" s="812" t="s">
        <v>863</v>
      </c>
      <c r="T97" s="731" t="s">
        <v>864</v>
      </c>
      <c r="U97" s="728" t="s">
        <v>1222</v>
      </c>
      <c r="V97" s="732" t="s">
        <v>864</v>
      </c>
      <c r="W97" s="732" t="s">
        <v>864</v>
      </c>
      <c r="X97" s="732" t="s">
        <v>864</v>
      </c>
      <c r="Y97" s="232"/>
      <c r="Z97" s="733"/>
      <c r="AA97" s="728"/>
      <c r="AB97" s="245" t="s">
        <v>1285</v>
      </c>
      <c r="AC97" s="728"/>
      <c r="AD97" s="731"/>
      <c r="AE97" s="731">
        <v>1</v>
      </c>
      <c r="AF97" s="246"/>
    </row>
    <row r="98" spans="1:32" s="224" customFormat="1" ht="13.5" customHeight="1">
      <c r="A98" s="225">
        <f t="shared" si="2"/>
        <v>90</v>
      </c>
      <c r="B98" s="217"/>
      <c r="C98" s="727"/>
      <c r="D98" s="241" t="s">
        <v>1669</v>
      </c>
      <c r="E98" s="241"/>
      <c r="F98" s="241"/>
      <c r="G98" s="241"/>
      <c r="H98" s="773" t="s">
        <v>2776</v>
      </c>
      <c r="I98" s="729" t="s">
        <v>1670</v>
      </c>
      <c r="J98" s="812"/>
      <c r="K98" s="813" t="s">
        <v>970</v>
      </c>
      <c r="L98" s="728"/>
      <c r="M98" s="728"/>
      <c r="N98" s="728"/>
      <c r="O98" s="728"/>
      <c r="P98" s="730"/>
      <c r="Q98" s="728" t="s">
        <v>817</v>
      </c>
      <c r="R98" s="730"/>
      <c r="S98" s="812" t="s">
        <v>863</v>
      </c>
      <c r="T98" s="373"/>
      <c r="U98" s="728" t="s">
        <v>1671</v>
      </c>
      <c r="V98" s="260" t="s">
        <v>864</v>
      </c>
      <c r="W98" s="732" t="s">
        <v>864</v>
      </c>
      <c r="X98" s="732" t="s">
        <v>864</v>
      </c>
      <c r="Y98" s="232"/>
      <c r="Z98" s="379" t="s">
        <v>1289</v>
      </c>
      <c r="AA98" s="728" t="s">
        <v>1290</v>
      </c>
      <c r="AB98" s="245" t="s">
        <v>1291</v>
      </c>
      <c r="AC98" s="728"/>
      <c r="AD98" s="731"/>
      <c r="AE98" s="731">
        <v>1</v>
      </c>
      <c r="AF98" s="246"/>
    </row>
    <row r="99" spans="1:32" s="224" customFormat="1" ht="13.5" customHeight="1">
      <c r="A99" s="225">
        <f t="shared" si="2"/>
        <v>91</v>
      </c>
      <c r="B99" s="217"/>
      <c r="C99" s="727"/>
      <c r="D99" s="241" t="s">
        <v>1292</v>
      </c>
      <c r="E99" s="241"/>
      <c r="F99" s="241"/>
      <c r="G99" s="241"/>
      <c r="H99" s="773" t="s">
        <v>2777</v>
      </c>
      <c r="I99" s="729" t="s">
        <v>1294</v>
      </c>
      <c r="J99" s="812"/>
      <c r="K99" s="813" t="s">
        <v>910</v>
      </c>
      <c r="L99" s="728"/>
      <c r="M99" s="728"/>
      <c r="N99" s="728"/>
      <c r="O99" s="728"/>
      <c r="P99" s="730"/>
      <c r="Q99" s="728" t="s">
        <v>817</v>
      </c>
      <c r="R99" s="730"/>
      <c r="S99" s="812" t="s">
        <v>863</v>
      </c>
      <c r="T99" s="373"/>
      <c r="U99" s="728" t="s">
        <v>1672</v>
      </c>
      <c r="V99" s="260" t="s">
        <v>864</v>
      </c>
      <c r="W99" s="732" t="s">
        <v>864</v>
      </c>
      <c r="X99" s="732" t="s">
        <v>864</v>
      </c>
      <c r="Y99" s="232"/>
      <c r="Z99" s="386" t="s">
        <v>1295</v>
      </c>
      <c r="AA99" s="728" t="s">
        <v>1290</v>
      </c>
      <c r="AB99" s="734"/>
      <c r="AC99" s="728"/>
      <c r="AD99" s="731"/>
      <c r="AE99" s="731">
        <v>1</v>
      </c>
      <c r="AF99" s="246"/>
    </row>
    <row r="100" spans="1:32" s="224" customFormat="1" ht="13.5" customHeight="1">
      <c r="A100" s="225">
        <f t="shared" si="2"/>
        <v>92</v>
      </c>
      <c r="B100" s="217"/>
      <c r="C100" s="727"/>
      <c r="D100" s="727" t="s">
        <v>1296</v>
      </c>
      <c r="E100" s="727"/>
      <c r="F100" s="727"/>
      <c r="G100" s="727"/>
      <c r="H100" s="773" t="s">
        <v>2778</v>
      </c>
      <c r="I100" s="729" t="s">
        <v>1298</v>
      </c>
      <c r="J100" s="812" t="s">
        <v>939</v>
      </c>
      <c r="K100" s="813" t="s">
        <v>939</v>
      </c>
      <c r="L100" s="728" t="s">
        <v>1299</v>
      </c>
      <c r="M100" s="728" t="s">
        <v>1300</v>
      </c>
      <c r="N100" s="728"/>
      <c r="O100" s="728"/>
      <c r="P100" s="730">
        <v>1</v>
      </c>
      <c r="Q100" s="728" t="s">
        <v>817</v>
      </c>
      <c r="R100" s="730"/>
      <c r="S100" s="812" t="s">
        <v>863</v>
      </c>
      <c r="T100" s="731"/>
      <c r="U100" s="255"/>
      <c r="V100" s="732" t="s">
        <v>864</v>
      </c>
      <c r="W100" s="732" t="s">
        <v>864</v>
      </c>
      <c r="X100" s="732" t="s">
        <v>864</v>
      </c>
      <c r="Y100" s="232"/>
      <c r="Z100" s="733"/>
      <c r="AA100" s="728"/>
      <c r="AB100" s="734"/>
      <c r="AC100" s="728"/>
      <c r="AD100" s="731"/>
      <c r="AE100" s="731">
        <v>1</v>
      </c>
    </row>
    <row r="101" spans="1:32" s="224" customFormat="1" ht="13.5" customHeight="1">
      <c r="A101" s="225">
        <f t="shared" si="2"/>
        <v>93</v>
      </c>
      <c r="B101" s="217"/>
      <c r="C101" s="727"/>
      <c r="D101" s="241" t="s">
        <v>1301</v>
      </c>
      <c r="E101" s="727"/>
      <c r="F101" s="241"/>
      <c r="G101" s="241"/>
      <c r="H101" s="773" t="s">
        <v>2779</v>
      </c>
      <c r="I101" s="729"/>
      <c r="J101" s="812" t="s">
        <v>1302</v>
      </c>
      <c r="K101" s="813" t="s">
        <v>1303</v>
      </c>
      <c r="L101" s="728"/>
      <c r="M101" s="728"/>
      <c r="N101" s="728"/>
      <c r="O101" s="728"/>
      <c r="P101" s="730"/>
      <c r="Q101" s="728" t="s">
        <v>817</v>
      </c>
      <c r="R101" s="730" t="s">
        <v>864</v>
      </c>
      <c r="S101" s="812" t="s">
        <v>1303</v>
      </c>
      <c r="T101" s="731"/>
      <c r="U101" s="728"/>
      <c r="V101" s="732" t="s">
        <v>864</v>
      </c>
      <c r="W101" s="732" t="s">
        <v>864</v>
      </c>
      <c r="X101" s="732" t="s">
        <v>864</v>
      </c>
      <c r="Y101" s="232"/>
      <c r="Z101" s="733"/>
      <c r="AA101" s="728"/>
      <c r="AB101" s="734"/>
      <c r="AC101" s="728"/>
      <c r="AD101" s="731">
        <v>1</v>
      </c>
      <c r="AE101" s="731">
        <v>1</v>
      </c>
    </row>
    <row r="102" spans="1:32" s="224" customFormat="1" ht="13.5" customHeight="1">
      <c r="A102" s="225">
        <f t="shared" si="2"/>
        <v>94</v>
      </c>
      <c r="B102" s="217"/>
      <c r="C102" s="727"/>
      <c r="D102" s="727"/>
      <c r="E102" s="727" t="s">
        <v>1304</v>
      </c>
      <c r="F102" s="727"/>
      <c r="G102" s="727"/>
      <c r="H102" s="773" t="s">
        <v>2782</v>
      </c>
      <c r="I102" s="729" t="s">
        <v>1306</v>
      </c>
      <c r="J102" s="812"/>
      <c r="K102" s="813" t="s">
        <v>1087</v>
      </c>
      <c r="L102" s="728" t="s">
        <v>1307</v>
      </c>
      <c r="M102" s="728" t="s">
        <v>1308</v>
      </c>
      <c r="N102" s="728"/>
      <c r="O102" s="728"/>
      <c r="P102" s="730"/>
      <c r="Q102" s="728" t="s">
        <v>820</v>
      </c>
      <c r="R102" s="730"/>
      <c r="S102" s="812" t="s">
        <v>863</v>
      </c>
      <c r="T102" s="731"/>
      <c r="U102" s="728" t="s">
        <v>1309</v>
      </c>
      <c r="V102" s="732" t="s">
        <v>864</v>
      </c>
      <c r="W102" s="732" t="s">
        <v>864</v>
      </c>
      <c r="X102" s="732" t="s">
        <v>864</v>
      </c>
      <c r="Y102" s="232"/>
      <c r="Z102" s="733"/>
      <c r="AA102" s="728"/>
      <c r="AB102" s="734"/>
      <c r="AC102" s="728"/>
      <c r="AD102" s="731">
        <v>1</v>
      </c>
      <c r="AE102" s="731">
        <v>1</v>
      </c>
    </row>
    <row r="103" spans="1:32" s="224" customFormat="1" ht="13.5" customHeight="1">
      <c r="A103" s="225">
        <f t="shared" si="2"/>
        <v>95</v>
      </c>
      <c r="B103" s="217"/>
      <c r="C103" s="727"/>
      <c r="D103" s="241"/>
      <c r="E103" s="727" t="s">
        <v>1104</v>
      </c>
      <c r="F103" s="221"/>
      <c r="G103" s="221"/>
      <c r="H103" s="773" t="s">
        <v>2783</v>
      </c>
      <c r="I103" s="728" t="s">
        <v>1134</v>
      </c>
      <c r="J103" s="812"/>
      <c r="K103" s="813" t="s">
        <v>1311</v>
      </c>
      <c r="L103" s="728"/>
      <c r="M103" s="728"/>
      <c r="N103" s="728"/>
      <c r="O103" s="728"/>
      <c r="P103" s="730"/>
      <c r="Q103" s="728" t="s">
        <v>817</v>
      </c>
      <c r="R103" s="730"/>
      <c r="S103" s="812" t="s">
        <v>863</v>
      </c>
      <c r="T103" s="731"/>
      <c r="U103" s="728"/>
      <c r="V103" s="732" t="s">
        <v>864</v>
      </c>
      <c r="W103" s="732" t="s">
        <v>864</v>
      </c>
      <c r="X103" s="732" t="s">
        <v>864</v>
      </c>
      <c r="Y103" s="232"/>
      <c r="Z103" s="733"/>
      <c r="AA103" s="728"/>
      <c r="AB103" s="734"/>
      <c r="AC103" s="728"/>
      <c r="AD103" s="731">
        <v>1</v>
      </c>
      <c r="AE103" s="731">
        <v>1</v>
      </c>
    </row>
    <row r="104" spans="1:32" s="244" customFormat="1" ht="14.25" customHeight="1">
      <c r="A104" s="225">
        <f t="shared" si="2"/>
        <v>96</v>
      </c>
      <c r="B104" s="217"/>
      <c r="C104" s="221"/>
      <c r="D104" s="221"/>
      <c r="E104" s="727" t="s">
        <v>1312</v>
      </c>
      <c r="F104" s="221"/>
      <c r="G104" s="221"/>
      <c r="H104" s="773" t="s">
        <v>2784</v>
      </c>
      <c r="I104" s="729" t="s">
        <v>1314</v>
      </c>
      <c r="J104" s="812"/>
      <c r="K104" s="813" t="s">
        <v>1315</v>
      </c>
      <c r="L104" s="728"/>
      <c r="M104" s="728"/>
      <c r="N104" s="728"/>
      <c r="O104" s="728"/>
      <c r="P104" s="730"/>
      <c r="Q104" s="728" t="s">
        <v>817</v>
      </c>
      <c r="R104" s="730"/>
      <c r="S104" s="812" t="s">
        <v>863</v>
      </c>
      <c r="T104" s="731"/>
      <c r="U104" s="728"/>
      <c r="V104" s="732" t="s">
        <v>864</v>
      </c>
      <c r="W104" s="732" t="s">
        <v>864</v>
      </c>
      <c r="X104" s="732" t="s">
        <v>864</v>
      </c>
      <c r="Y104" s="232"/>
      <c r="Z104" s="733"/>
      <c r="AA104" s="728"/>
      <c r="AB104" s="734"/>
      <c r="AC104" s="728"/>
      <c r="AD104" s="731">
        <v>1</v>
      </c>
      <c r="AE104" s="731">
        <v>1</v>
      </c>
    </row>
    <row r="105" spans="1:32" s="224" customFormat="1" ht="13.5" hidden="1" customHeight="1">
      <c r="A105" s="225">
        <f t="shared" si="2"/>
        <v>97</v>
      </c>
      <c r="B105" s="217"/>
      <c r="C105" s="241" t="s">
        <v>1328</v>
      </c>
      <c r="D105" s="217" t="s">
        <v>1329</v>
      </c>
      <c r="E105" s="247"/>
      <c r="F105" s="217"/>
      <c r="G105" s="217"/>
      <c r="H105" s="728" t="s">
        <v>1330</v>
      </c>
      <c r="I105" s="729"/>
      <c r="J105" s="812" t="s">
        <v>1331</v>
      </c>
      <c r="K105" s="813" t="s">
        <v>1054</v>
      </c>
      <c r="L105" s="728" t="s">
        <v>1332</v>
      </c>
      <c r="M105" s="728" t="s">
        <v>1333</v>
      </c>
      <c r="N105" s="728"/>
      <c r="O105" s="728"/>
      <c r="P105" s="730"/>
      <c r="Q105" s="728" t="s">
        <v>820</v>
      </c>
      <c r="R105" s="730" t="s">
        <v>864</v>
      </c>
      <c r="S105" s="243" t="s">
        <v>1054</v>
      </c>
      <c r="T105" s="282"/>
      <c r="U105" s="728"/>
      <c r="V105" s="732" t="s">
        <v>864</v>
      </c>
      <c r="W105" s="732"/>
      <c r="X105" s="732"/>
      <c r="Y105" s="232"/>
      <c r="Z105" s="248"/>
      <c r="AA105" s="728"/>
      <c r="AB105" s="734"/>
      <c r="AC105" s="728"/>
      <c r="AD105" s="731">
        <v>1</v>
      </c>
      <c r="AE105" s="731">
        <v>1</v>
      </c>
    </row>
    <row r="106" spans="1:32" s="224" customFormat="1" ht="13.5" hidden="1" customHeight="1">
      <c r="A106" s="225">
        <f t="shared" si="2"/>
        <v>98</v>
      </c>
      <c r="B106" s="217"/>
      <c r="C106" s="241" t="s">
        <v>972</v>
      </c>
      <c r="D106" s="217" t="s">
        <v>1334</v>
      </c>
      <c r="E106" s="217"/>
      <c r="F106" s="217"/>
      <c r="G106" s="217"/>
      <c r="H106" s="728" t="s">
        <v>1335</v>
      </c>
      <c r="I106" s="729"/>
      <c r="J106" s="812" t="s">
        <v>974</v>
      </c>
      <c r="K106" s="813" t="s">
        <v>975</v>
      </c>
      <c r="L106" s="728"/>
      <c r="M106" s="728"/>
      <c r="N106" s="728"/>
      <c r="O106" s="728"/>
      <c r="P106" s="730"/>
      <c r="Q106" s="728" t="s">
        <v>820</v>
      </c>
      <c r="R106" s="730" t="s">
        <v>864</v>
      </c>
      <c r="S106" s="243" t="s">
        <v>975</v>
      </c>
      <c r="T106" s="731"/>
      <c r="U106" s="728"/>
      <c r="V106" s="732" t="s">
        <v>864</v>
      </c>
      <c r="W106" s="732"/>
      <c r="X106" s="732"/>
      <c r="Y106" s="232"/>
      <c r="Z106" s="733"/>
      <c r="AA106" s="728"/>
      <c r="AB106" s="734"/>
      <c r="AC106" s="728"/>
      <c r="AD106" s="731">
        <v>1</v>
      </c>
      <c r="AE106" s="731">
        <v>1</v>
      </c>
    </row>
    <row r="107" spans="1:32" s="224" customFormat="1" ht="13.5" hidden="1" customHeight="1">
      <c r="A107" s="225">
        <f t="shared" si="2"/>
        <v>99</v>
      </c>
      <c r="B107" s="217"/>
      <c r="C107" s="241" t="s">
        <v>1336</v>
      </c>
      <c r="D107" s="217"/>
      <c r="E107" s="217"/>
      <c r="F107" s="217"/>
      <c r="G107" s="217"/>
      <c r="H107" s="728" t="s">
        <v>1337</v>
      </c>
      <c r="I107" s="729"/>
      <c r="J107" s="812" t="s">
        <v>1338</v>
      </c>
      <c r="K107" s="813" t="s">
        <v>1338</v>
      </c>
      <c r="L107" s="728"/>
      <c r="M107" s="728"/>
      <c r="N107" s="728"/>
      <c r="O107" s="728"/>
      <c r="P107" s="730"/>
      <c r="Q107" s="728" t="s">
        <v>820</v>
      </c>
      <c r="R107" s="730" t="s">
        <v>864</v>
      </c>
      <c r="S107" s="243" t="s">
        <v>1338</v>
      </c>
      <c r="T107" s="731"/>
      <c r="U107" s="728"/>
      <c r="V107" s="772" t="s">
        <v>864</v>
      </c>
      <c r="W107" s="732"/>
      <c r="X107" s="740"/>
      <c r="Y107" s="232"/>
      <c r="Z107" s="733"/>
      <c r="AA107" s="728"/>
      <c r="AB107" s="734"/>
      <c r="AC107" s="728"/>
      <c r="AD107" s="731">
        <v>1</v>
      </c>
      <c r="AE107" s="731">
        <v>1</v>
      </c>
    </row>
    <row r="108" spans="1:32" s="224" customFormat="1" ht="13.5" hidden="1" customHeight="1">
      <c r="A108" s="225">
        <f t="shared" si="2"/>
        <v>100</v>
      </c>
      <c r="B108" s="217"/>
      <c r="C108" s="241"/>
      <c r="D108" s="217" t="s">
        <v>1339</v>
      </c>
      <c r="E108" s="217"/>
      <c r="F108" s="241"/>
      <c r="G108" s="241"/>
      <c r="H108" s="728" t="s">
        <v>1340</v>
      </c>
      <c r="I108" s="729" t="s">
        <v>1341</v>
      </c>
      <c r="J108" s="812" t="s">
        <v>1342</v>
      </c>
      <c r="K108" s="813"/>
      <c r="L108" s="728"/>
      <c r="M108" s="728"/>
      <c r="N108" s="728"/>
      <c r="O108" s="728"/>
      <c r="P108" s="730"/>
      <c r="Q108" s="728" t="s">
        <v>820</v>
      </c>
      <c r="R108" s="730"/>
      <c r="S108" s="812" t="s">
        <v>863</v>
      </c>
      <c r="T108" s="731"/>
      <c r="U108" s="728"/>
      <c r="V108" s="772" t="s">
        <v>864</v>
      </c>
      <c r="W108" s="732"/>
      <c r="X108" s="740"/>
      <c r="Y108" s="232"/>
      <c r="Z108" s="733"/>
      <c r="AA108" s="728" t="s">
        <v>1076</v>
      </c>
      <c r="AB108" s="734"/>
      <c r="AC108" s="728"/>
      <c r="AD108" s="731"/>
      <c r="AE108" s="731">
        <v>1</v>
      </c>
    </row>
    <row r="109" spans="1:32" s="224" customFormat="1" ht="13.5" hidden="1" customHeight="1">
      <c r="A109" s="225">
        <f t="shared" si="2"/>
        <v>101</v>
      </c>
      <c r="B109" s="217"/>
      <c r="C109" s="241"/>
      <c r="D109" s="217" t="s">
        <v>1343</v>
      </c>
      <c r="E109" s="217"/>
      <c r="F109" s="241"/>
      <c r="G109" s="241"/>
      <c r="H109" s="728" t="s">
        <v>1344</v>
      </c>
      <c r="I109" s="729" t="s">
        <v>1345</v>
      </c>
      <c r="J109" s="812" t="s">
        <v>1346</v>
      </c>
      <c r="K109" s="813"/>
      <c r="L109" s="728"/>
      <c r="M109" s="728"/>
      <c r="N109" s="728"/>
      <c r="O109" s="728"/>
      <c r="P109" s="730"/>
      <c r="Q109" s="728" t="s">
        <v>820</v>
      </c>
      <c r="R109" s="730"/>
      <c r="S109" s="812" t="s">
        <v>863</v>
      </c>
      <c r="T109" s="731"/>
      <c r="U109" s="728"/>
      <c r="V109" s="772" t="s">
        <v>864</v>
      </c>
      <c r="W109" s="732"/>
      <c r="X109" s="740"/>
      <c r="Y109" s="232"/>
      <c r="Z109" s="733"/>
      <c r="AA109" s="728" t="s">
        <v>1347</v>
      </c>
      <c r="AB109" s="734"/>
      <c r="AC109" s="728"/>
      <c r="AD109" s="731"/>
      <c r="AE109" s="731">
        <v>1</v>
      </c>
    </row>
    <row r="110" spans="1:32" s="224" customFormat="1" ht="13.5" hidden="1" customHeight="1">
      <c r="A110" s="225">
        <f t="shared" si="2"/>
        <v>102</v>
      </c>
      <c r="B110" s="217"/>
      <c r="C110" s="241"/>
      <c r="D110" s="241" t="s">
        <v>1348</v>
      </c>
      <c r="E110" s="241"/>
      <c r="F110" s="241"/>
      <c r="G110" s="241"/>
      <c r="H110" s="728" t="s">
        <v>1349</v>
      </c>
      <c r="I110" s="729" t="s">
        <v>1350</v>
      </c>
      <c r="J110" s="812" t="s">
        <v>1351</v>
      </c>
      <c r="K110" s="813" t="s">
        <v>1352</v>
      </c>
      <c r="L110" s="728"/>
      <c r="M110" s="728"/>
      <c r="N110" s="728"/>
      <c r="O110" s="728"/>
      <c r="P110" s="730"/>
      <c r="Q110" s="728" t="s">
        <v>817</v>
      </c>
      <c r="R110" s="730"/>
      <c r="S110" s="812" t="s">
        <v>863</v>
      </c>
      <c r="T110" s="731"/>
      <c r="U110" s="728"/>
      <c r="V110" s="732" t="s">
        <v>864</v>
      </c>
      <c r="W110" s="732"/>
      <c r="X110" s="732"/>
      <c r="Y110" s="232"/>
      <c r="Z110" s="733"/>
      <c r="AA110" s="728"/>
      <c r="AB110" s="734"/>
      <c r="AC110" s="728"/>
      <c r="AD110" s="731"/>
      <c r="AE110" s="731">
        <v>1</v>
      </c>
    </row>
    <row r="111" spans="1:32" s="224" customFormat="1" ht="13.5" hidden="1" customHeight="1">
      <c r="A111" s="225">
        <f t="shared" si="2"/>
        <v>103</v>
      </c>
      <c r="B111" s="217"/>
      <c r="C111" s="241"/>
      <c r="D111" s="217" t="s">
        <v>1353</v>
      </c>
      <c r="E111" s="219" t="s">
        <v>1275</v>
      </c>
      <c r="F111" s="217"/>
      <c r="G111" s="217"/>
      <c r="H111" s="728" t="s">
        <v>1354</v>
      </c>
      <c r="I111" s="736"/>
      <c r="J111" s="812" t="s">
        <v>1355</v>
      </c>
      <c r="K111" s="813" t="s">
        <v>1356</v>
      </c>
      <c r="L111" s="728"/>
      <c r="M111" s="728"/>
      <c r="N111" s="728"/>
      <c r="O111" s="728"/>
      <c r="P111" s="730"/>
      <c r="Q111" s="728" t="s">
        <v>817</v>
      </c>
      <c r="R111" s="730" t="s">
        <v>864</v>
      </c>
      <c r="S111" s="243" t="s">
        <v>1264</v>
      </c>
      <c r="T111" s="731"/>
      <c r="U111" s="728"/>
      <c r="V111" s="732" t="s">
        <v>864</v>
      </c>
      <c r="W111" s="732"/>
      <c r="X111" s="732"/>
      <c r="Y111" s="232"/>
      <c r="Z111" s="733"/>
      <c r="AA111" s="728"/>
      <c r="AB111" s="734"/>
      <c r="AC111" s="728"/>
      <c r="AD111" s="731">
        <v>1</v>
      </c>
      <c r="AE111" s="731">
        <v>1</v>
      </c>
    </row>
    <row r="112" spans="1:32" s="224" customFormat="1" ht="13.5" hidden="1" customHeight="1">
      <c r="A112" s="225">
        <f t="shared" ref="A112:A143" si="3">ROW()-8</f>
        <v>104</v>
      </c>
      <c r="B112" s="217"/>
      <c r="C112" s="241"/>
      <c r="D112" s="217" t="s">
        <v>1357</v>
      </c>
      <c r="E112" s="241"/>
      <c r="F112" s="241"/>
      <c r="G112" s="241"/>
      <c r="H112" s="728" t="s">
        <v>1358</v>
      </c>
      <c r="I112" s="729" t="s">
        <v>1359</v>
      </c>
      <c r="J112" s="812" t="s">
        <v>1360</v>
      </c>
      <c r="K112" s="813"/>
      <c r="L112" s="728" t="s">
        <v>1361</v>
      </c>
      <c r="M112" s="728" t="s">
        <v>1362</v>
      </c>
      <c r="N112" s="728"/>
      <c r="O112" s="728"/>
      <c r="P112" s="730"/>
      <c r="Q112" s="728" t="s">
        <v>817</v>
      </c>
      <c r="R112" s="730"/>
      <c r="S112" s="812" t="s">
        <v>863</v>
      </c>
      <c r="T112" s="731"/>
      <c r="U112" s="728"/>
      <c r="V112" s="732" t="s">
        <v>864</v>
      </c>
      <c r="W112" s="732"/>
      <c r="X112" s="732"/>
      <c r="Y112" s="232"/>
      <c r="Z112" s="733"/>
      <c r="AA112" s="728"/>
      <c r="AB112" s="734"/>
      <c r="AC112" s="728"/>
      <c r="AD112" s="731">
        <v>1</v>
      </c>
      <c r="AE112" s="731">
        <v>1</v>
      </c>
    </row>
    <row r="113" spans="1:1018" s="251" customFormat="1" ht="13.5" hidden="1" customHeight="1">
      <c r="A113" s="225">
        <f t="shared" si="3"/>
        <v>105</v>
      </c>
      <c r="B113" s="217"/>
      <c r="C113" s="241" t="s">
        <v>1363</v>
      </c>
      <c r="D113" s="727"/>
      <c r="E113" s="250"/>
      <c r="F113" s="250"/>
      <c r="G113" s="250"/>
      <c r="H113" s="728" t="s">
        <v>1364</v>
      </c>
      <c r="I113" s="729"/>
      <c r="J113" s="812" t="s">
        <v>1365</v>
      </c>
      <c r="K113" s="813" t="s">
        <v>1366</v>
      </c>
      <c r="L113" s="728"/>
      <c r="M113" s="728"/>
      <c r="N113" s="728"/>
      <c r="O113" s="728"/>
      <c r="P113" s="730"/>
      <c r="Q113" s="728" t="s">
        <v>823</v>
      </c>
      <c r="R113" s="730" t="s">
        <v>864</v>
      </c>
      <c r="S113" s="243" t="s">
        <v>1366</v>
      </c>
      <c r="T113" s="282"/>
      <c r="U113" s="728"/>
      <c r="V113" s="732" t="s">
        <v>864</v>
      </c>
      <c r="W113" s="732"/>
      <c r="X113" s="732" t="s">
        <v>864</v>
      </c>
      <c r="Y113" s="232"/>
      <c r="Z113" s="248"/>
      <c r="AA113" s="728"/>
      <c r="AB113" s="734"/>
      <c r="AC113" s="728"/>
      <c r="AD113" s="731">
        <v>1</v>
      </c>
      <c r="AE113" s="731">
        <v>1</v>
      </c>
      <c r="AMD113" s="224"/>
    </row>
    <row r="114" spans="1:1018" s="251" customFormat="1" ht="13.5" hidden="1" customHeight="1">
      <c r="A114" s="225">
        <f t="shared" si="3"/>
        <v>106</v>
      </c>
      <c r="B114" s="217"/>
      <c r="C114" s="241"/>
      <c r="D114" s="727" t="s">
        <v>1367</v>
      </c>
      <c r="E114" s="727"/>
      <c r="F114" s="241"/>
      <c r="G114" s="241"/>
      <c r="H114" s="728" t="s">
        <v>1368</v>
      </c>
      <c r="I114" s="729" t="s">
        <v>1369</v>
      </c>
      <c r="J114" s="812" t="s">
        <v>1370</v>
      </c>
      <c r="K114" s="813" t="s">
        <v>1371</v>
      </c>
      <c r="L114" s="728"/>
      <c r="M114" s="728"/>
      <c r="N114" s="728"/>
      <c r="O114" s="728"/>
      <c r="P114" s="730"/>
      <c r="Q114" s="728" t="s">
        <v>817</v>
      </c>
      <c r="R114" s="730"/>
      <c r="S114" s="812" t="s">
        <v>863</v>
      </c>
      <c r="T114" s="731" t="s">
        <v>864</v>
      </c>
      <c r="U114" s="728"/>
      <c r="V114" s="732" t="s">
        <v>864</v>
      </c>
      <c r="W114" s="732"/>
      <c r="X114" s="732" t="s">
        <v>864</v>
      </c>
      <c r="Y114" s="232"/>
      <c r="Z114" s="733"/>
      <c r="AA114" s="728" t="s">
        <v>1015</v>
      </c>
      <c r="AB114" s="734"/>
      <c r="AC114" s="728"/>
      <c r="AD114" s="731">
        <v>1</v>
      </c>
      <c r="AE114" s="731">
        <v>1</v>
      </c>
      <c r="AMD114" s="224"/>
    </row>
    <row r="115" spans="1:1018" s="251" customFormat="1" ht="13.5" hidden="1" customHeight="1">
      <c r="A115" s="225">
        <f t="shared" si="3"/>
        <v>107</v>
      </c>
      <c r="B115" s="217"/>
      <c r="C115" s="241"/>
      <c r="D115" s="727" t="s">
        <v>1372</v>
      </c>
      <c r="E115" s="727"/>
      <c r="F115" s="241"/>
      <c r="G115" s="241"/>
      <c r="H115" s="728" t="s">
        <v>1373</v>
      </c>
      <c r="I115" s="729" t="s">
        <v>1374</v>
      </c>
      <c r="J115" s="812" t="s">
        <v>1375</v>
      </c>
      <c r="K115" s="813"/>
      <c r="L115" s="728"/>
      <c r="M115" s="728"/>
      <c r="N115" s="728"/>
      <c r="O115" s="728"/>
      <c r="P115" s="730"/>
      <c r="Q115" s="728" t="s">
        <v>817</v>
      </c>
      <c r="R115" s="730"/>
      <c r="S115" s="812" t="s">
        <v>863</v>
      </c>
      <c r="T115" s="731"/>
      <c r="U115" s="728"/>
      <c r="V115" s="732" t="s">
        <v>864</v>
      </c>
      <c r="W115" s="732"/>
      <c r="X115" s="732" t="s">
        <v>864</v>
      </c>
      <c r="Y115" s="232"/>
      <c r="Z115" s="733"/>
      <c r="AA115" s="728"/>
      <c r="AB115" s="734"/>
      <c r="AC115" s="728"/>
      <c r="AD115" s="731">
        <v>1</v>
      </c>
      <c r="AE115" s="731">
        <v>1</v>
      </c>
      <c r="AMD115" s="224"/>
    </row>
    <row r="116" spans="1:1018" s="251" customFormat="1" ht="13.5" hidden="1" customHeight="1">
      <c r="A116" s="225">
        <f t="shared" si="3"/>
        <v>108</v>
      </c>
      <c r="B116" s="217"/>
      <c r="C116" s="241"/>
      <c r="D116" s="727" t="s">
        <v>1376</v>
      </c>
      <c r="E116" s="727"/>
      <c r="F116" s="241"/>
      <c r="G116" s="241"/>
      <c r="H116" s="728" t="s">
        <v>1377</v>
      </c>
      <c r="I116" s="729" t="s">
        <v>1378</v>
      </c>
      <c r="J116" s="812" t="s">
        <v>1379</v>
      </c>
      <c r="K116" s="813"/>
      <c r="L116" s="728"/>
      <c r="M116" s="728"/>
      <c r="N116" s="728"/>
      <c r="O116" s="728"/>
      <c r="P116" s="730"/>
      <c r="Q116" s="728" t="s">
        <v>817</v>
      </c>
      <c r="R116" s="730"/>
      <c r="S116" s="812" t="s">
        <v>1380</v>
      </c>
      <c r="T116" s="731"/>
      <c r="U116" s="728"/>
      <c r="V116" s="732" t="s">
        <v>864</v>
      </c>
      <c r="W116" s="732"/>
      <c r="X116" s="732" t="s">
        <v>864</v>
      </c>
      <c r="Y116" s="232"/>
      <c r="Z116" s="733"/>
      <c r="AA116" s="728"/>
      <c r="AB116" s="734"/>
      <c r="AC116" s="728"/>
      <c r="AD116" s="731">
        <v>1</v>
      </c>
      <c r="AE116" s="731">
        <v>1</v>
      </c>
      <c r="AMD116" s="224"/>
    </row>
    <row r="117" spans="1:1018" s="251" customFormat="1" ht="13.5" hidden="1" customHeight="1">
      <c r="A117" s="225">
        <f t="shared" si="3"/>
        <v>109</v>
      </c>
      <c r="B117" s="217"/>
      <c r="C117" s="241"/>
      <c r="D117" s="727" t="s">
        <v>875</v>
      </c>
      <c r="E117" s="727"/>
      <c r="F117" s="241"/>
      <c r="G117" s="241"/>
      <c r="H117" s="728" t="s">
        <v>1381</v>
      </c>
      <c r="I117" s="659" t="s">
        <v>1382</v>
      </c>
      <c r="J117" s="812" t="s">
        <v>875</v>
      </c>
      <c r="K117" s="813"/>
      <c r="L117" s="728"/>
      <c r="M117" s="728"/>
      <c r="N117" s="728"/>
      <c r="O117" s="728"/>
      <c r="P117" s="730"/>
      <c r="Q117" s="728" t="s">
        <v>820</v>
      </c>
      <c r="R117" s="730"/>
      <c r="S117" s="812" t="s">
        <v>863</v>
      </c>
      <c r="T117" s="731"/>
      <c r="U117" s="728"/>
      <c r="V117" s="732" t="s">
        <v>864</v>
      </c>
      <c r="W117" s="732"/>
      <c r="X117" s="732" t="s">
        <v>864</v>
      </c>
      <c r="Y117" s="232"/>
      <c r="Z117" s="733"/>
      <c r="AA117" s="728"/>
      <c r="AB117" s="734"/>
      <c r="AC117" s="728"/>
      <c r="AD117" s="731">
        <v>1</v>
      </c>
      <c r="AE117" s="731">
        <v>1</v>
      </c>
      <c r="AMD117" s="224"/>
    </row>
    <row r="118" spans="1:1018" s="251" customFormat="1" ht="13.5" hidden="1" customHeight="1">
      <c r="A118" s="225">
        <f t="shared" si="3"/>
        <v>110</v>
      </c>
      <c r="B118" s="217"/>
      <c r="C118" s="241"/>
      <c r="D118" s="727" t="s">
        <v>1383</v>
      </c>
      <c r="E118" s="727"/>
      <c r="F118" s="241"/>
      <c r="G118" s="241"/>
      <c r="H118" s="728" t="s">
        <v>1384</v>
      </c>
      <c r="I118" s="729"/>
      <c r="J118" s="812" t="s">
        <v>1385</v>
      </c>
      <c r="K118" s="813"/>
      <c r="L118" s="728"/>
      <c r="M118" s="728"/>
      <c r="N118" s="728"/>
      <c r="O118" s="728"/>
      <c r="P118" s="730"/>
      <c r="Q118" s="728" t="s">
        <v>817</v>
      </c>
      <c r="R118" s="730"/>
      <c r="S118" s="812" t="s">
        <v>863</v>
      </c>
      <c r="T118" s="731"/>
      <c r="U118" s="728"/>
      <c r="V118" s="732" t="s">
        <v>864</v>
      </c>
      <c r="W118" s="732"/>
      <c r="X118" s="732" t="s">
        <v>864</v>
      </c>
      <c r="Y118" s="232"/>
      <c r="Z118" s="733"/>
      <c r="AA118" s="728"/>
      <c r="AB118" s="734"/>
      <c r="AC118" s="728"/>
      <c r="AD118" s="731">
        <v>1</v>
      </c>
      <c r="AE118" s="731">
        <v>1</v>
      </c>
      <c r="AMD118" s="224"/>
    </row>
    <row r="119" spans="1:1018" s="251" customFormat="1" ht="13" hidden="1" customHeight="1">
      <c r="A119" s="225">
        <f t="shared" si="3"/>
        <v>111</v>
      </c>
      <c r="B119" s="217"/>
      <c r="C119" s="241"/>
      <c r="D119" s="727" t="s">
        <v>1386</v>
      </c>
      <c r="E119" s="727"/>
      <c r="F119" s="241"/>
      <c r="G119" s="241"/>
      <c r="H119" s="728" t="s">
        <v>1387</v>
      </c>
      <c r="I119" s="729"/>
      <c r="J119" s="812" t="s">
        <v>1388</v>
      </c>
      <c r="K119" s="813"/>
      <c r="L119" s="728"/>
      <c r="M119" s="728"/>
      <c r="N119" s="728"/>
      <c r="O119" s="728"/>
      <c r="P119" s="730"/>
      <c r="Q119" s="728" t="s">
        <v>817</v>
      </c>
      <c r="R119" s="730"/>
      <c r="S119" s="812" t="s">
        <v>863</v>
      </c>
      <c r="T119" s="731"/>
      <c r="U119" s="728"/>
      <c r="V119" s="732" t="s">
        <v>864</v>
      </c>
      <c r="W119" s="732"/>
      <c r="X119" s="732" t="s">
        <v>864</v>
      </c>
      <c r="Y119" s="232"/>
      <c r="Z119" s="733"/>
      <c r="AA119" s="728"/>
      <c r="AB119" s="734"/>
      <c r="AC119" s="728"/>
      <c r="AD119" s="731">
        <v>1</v>
      </c>
      <c r="AE119" s="731">
        <v>1</v>
      </c>
      <c r="AMD119" s="224"/>
    </row>
    <row r="120" spans="1:1018" s="224" customFormat="1" ht="13.5" customHeight="1">
      <c r="A120" s="225">
        <f t="shared" si="3"/>
        <v>112</v>
      </c>
      <c r="B120" s="217" t="s">
        <v>1389</v>
      </c>
      <c r="C120" s="216"/>
      <c r="D120" s="241"/>
      <c r="E120" s="241"/>
      <c r="F120" s="241"/>
      <c r="G120" s="241"/>
      <c r="H120" s="773" t="s">
        <v>2785</v>
      </c>
      <c r="I120" s="729" t="s">
        <v>1341</v>
      </c>
      <c r="J120" s="812"/>
      <c r="K120" s="813" t="s">
        <v>1391</v>
      </c>
      <c r="L120" s="728"/>
      <c r="M120" s="728"/>
      <c r="N120" s="728"/>
      <c r="O120" s="728"/>
      <c r="P120" s="730"/>
      <c r="Q120" s="728" t="s">
        <v>820</v>
      </c>
      <c r="R120" s="730"/>
      <c r="S120" s="812" t="s">
        <v>863</v>
      </c>
      <c r="T120" s="731"/>
      <c r="U120" s="735"/>
      <c r="V120" s="732"/>
      <c r="W120" s="732" t="s">
        <v>864</v>
      </c>
      <c r="X120" s="732" t="s">
        <v>864</v>
      </c>
      <c r="Y120" s="232"/>
      <c r="Z120" s="379" t="s">
        <v>1392</v>
      </c>
      <c r="AA120" s="385" t="s">
        <v>1347</v>
      </c>
      <c r="AB120" s="734"/>
      <c r="AC120" s="728"/>
      <c r="AD120" s="731"/>
      <c r="AE120" s="731">
        <v>1</v>
      </c>
    </row>
    <row r="121" spans="1:1018" s="224" customFormat="1" ht="13.5" hidden="1" customHeight="1">
      <c r="A121" s="225">
        <f t="shared" si="3"/>
        <v>113</v>
      </c>
      <c r="B121" s="217" t="s">
        <v>1393</v>
      </c>
      <c r="C121" s="216"/>
      <c r="D121" s="216"/>
      <c r="E121" s="216"/>
      <c r="F121" s="216"/>
      <c r="G121" s="216"/>
      <c r="H121" s="728" t="s">
        <v>1394</v>
      </c>
      <c r="I121" s="736"/>
      <c r="J121" s="812"/>
      <c r="K121" s="813" t="s">
        <v>1395</v>
      </c>
      <c r="L121" s="728"/>
      <c r="M121" s="728"/>
      <c r="N121" s="728"/>
      <c r="O121" s="728"/>
      <c r="P121" s="730"/>
      <c r="Q121" s="728" t="s">
        <v>823</v>
      </c>
      <c r="R121" s="730" t="s">
        <v>864</v>
      </c>
      <c r="S121" s="378" t="s">
        <v>1395</v>
      </c>
      <c r="T121" s="731"/>
      <c r="U121" s="741"/>
      <c r="V121" s="732"/>
      <c r="W121" s="260"/>
      <c r="X121" s="260"/>
      <c r="Y121" s="232"/>
      <c r="Z121" s="733"/>
      <c r="AA121" s="728"/>
      <c r="AB121" s="734"/>
      <c r="AC121" s="728"/>
      <c r="AD121" s="731"/>
      <c r="AE121" s="731">
        <v>1</v>
      </c>
    </row>
    <row r="122" spans="1:1018" s="224" customFormat="1" ht="13.5" hidden="1" customHeight="1">
      <c r="A122" s="225">
        <f t="shared" si="3"/>
        <v>114</v>
      </c>
      <c r="B122" s="216"/>
      <c r="C122" s="241" t="s">
        <v>1304</v>
      </c>
      <c r="D122" s="241"/>
      <c r="E122" s="241"/>
      <c r="F122" s="241"/>
      <c r="G122" s="241"/>
      <c r="H122" s="728" t="s">
        <v>1396</v>
      </c>
      <c r="I122" s="736"/>
      <c r="J122" s="812"/>
      <c r="K122" s="813" t="s">
        <v>1303</v>
      </c>
      <c r="L122" s="728"/>
      <c r="M122" s="728"/>
      <c r="N122" s="728"/>
      <c r="O122" s="728"/>
      <c r="P122" s="730"/>
      <c r="Q122" s="382" t="s">
        <v>817</v>
      </c>
      <c r="R122" s="730" t="s">
        <v>864</v>
      </c>
      <c r="S122" s="378" t="s">
        <v>1303</v>
      </c>
      <c r="T122" s="731"/>
      <c r="U122" s="731"/>
      <c r="V122" s="732"/>
      <c r="W122" s="260"/>
      <c r="X122" s="260"/>
      <c r="Y122" s="232"/>
      <c r="Z122" s="384" t="s">
        <v>1397</v>
      </c>
      <c r="AA122" s="728"/>
      <c r="AB122" s="734"/>
      <c r="AC122" s="728"/>
      <c r="AD122" s="731"/>
      <c r="AE122" s="731">
        <v>1</v>
      </c>
    </row>
    <row r="123" spans="1:1018" s="224" customFormat="1" ht="13.5" hidden="1" customHeight="1">
      <c r="A123" s="225">
        <f t="shared" si="3"/>
        <v>115</v>
      </c>
      <c r="B123" s="216"/>
      <c r="C123" s="241" t="s">
        <v>831</v>
      </c>
      <c r="D123" s="241"/>
      <c r="E123" s="241"/>
      <c r="F123" s="241"/>
      <c r="G123" s="241"/>
      <c r="H123" s="728" t="s">
        <v>1398</v>
      </c>
      <c r="I123" s="736"/>
      <c r="J123" s="812"/>
      <c r="K123" s="813" t="s">
        <v>1218</v>
      </c>
      <c r="L123" s="728"/>
      <c r="M123" s="728"/>
      <c r="N123" s="728"/>
      <c r="O123" s="728"/>
      <c r="P123" s="730"/>
      <c r="Q123" s="728" t="s">
        <v>817</v>
      </c>
      <c r="R123" s="730"/>
      <c r="S123" s="812" t="s">
        <v>863</v>
      </c>
      <c r="T123" s="731"/>
      <c r="U123" s="741"/>
      <c r="V123" s="732"/>
      <c r="W123" s="260"/>
      <c r="X123" s="260"/>
      <c r="Y123" s="232"/>
      <c r="Z123" s="733"/>
      <c r="AA123" s="728"/>
      <c r="AB123" s="734"/>
      <c r="AC123" s="728"/>
      <c r="AD123" s="731"/>
      <c r="AE123" s="731">
        <v>1</v>
      </c>
    </row>
    <row r="124" spans="1:1018" s="224" customFormat="1" ht="17.25" hidden="1" customHeight="1">
      <c r="A124" s="225">
        <f t="shared" si="3"/>
        <v>116</v>
      </c>
      <c r="B124" s="217"/>
      <c r="C124" s="241" t="s">
        <v>1399</v>
      </c>
      <c r="D124" s="241"/>
      <c r="E124" s="241"/>
      <c r="F124" s="241"/>
      <c r="G124" s="241"/>
      <c r="H124" s="728" t="s">
        <v>1400</v>
      </c>
      <c r="I124" s="736" t="s">
        <v>1401</v>
      </c>
      <c r="J124" s="812"/>
      <c r="K124" s="813" t="s">
        <v>1352</v>
      </c>
      <c r="L124" s="728"/>
      <c r="M124" s="728"/>
      <c r="N124" s="728"/>
      <c r="O124" s="728"/>
      <c r="P124" s="730"/>
      <c r="Q124" s="728" t="s">
        <v>820</v>
      </c>
      <c r="R124" s="730"/>
      <c r="S124" s="812" t="s">
        <v>863</v>
      </c>
      <c r="T124" s="731"/>
      <c r="U124" s="731"/>
      <c r="V124" s="732"/>
      <c r="W124" s="732"/>
      <c r="X124" s="732"/>
      <c r="Y124" s="232"/>
      <c r="Z124" s="733"/>
      <c r="AA124" s="728"/>
      <c r="AB124" s="734"/>
      <c r="AC124" s="728"/>
      <c r="AD124" s="731"/>
      <c r="AE124" s="731">
        <v>1</v>
      </c>
    </row>
    <row r="125" spans="1:1018" s="224" customFormat="1" ht="14.25" customHeight="1">
      <c r="A125" s="225">
        <f t="shared" si="3"/>
        <v>117</v>
      </c>
      <c r="B125" s="217" t="s">
        <v>561</v>
      </c>
      <c r="C125" s="217"/>
      <c r="D125" s="217"/>
      <c r="E125" s="217"/>
      <c r="F125" s="217"/>
      <c r="G125" s="217"/>
      <c r="H125" s="773" t="s">
        <v>2786</v>
      </c>
      <c r="I125" s="736"/>
      <c r="J125" s="812"/>
      <c r="K125" s="813" t="s">
        <v>1403</v>
      </c>
      <c r="L125" s="728"/>
      <c r="M125" s="728"/>
      <c r="N125" s="728"/>
      <c r="O125" s="728"/>
      <c r="P125" s="730"/>
      <c r="Q125" s="728" t="s">
        <v>823</v>
      </c>
      <c r="R125" s="730" t="s">
        <v>864</v>
      </c>
      <c r="S125" s="378" t="s">
        <v>1403</v>
      </c>
      <c r="T125" s="731"/>
      <c r="U125" s="259"/>
      <c r="V125" s="260"/>
      <c r="W125" s="260" t="s">
        <v>864</v>
      </c>
      <c r="X125" s="260" t="s">
        <v>864</v>
      </c>
      <c r="Y125" s="232"/>
      <c r="Z125" s="733"/>
      <c r="AA125" s="728"/>
      <c r="AB125" s="245"/>
      <c r="AC125" s="728"/>
      <c r="AD125" s="731"/>
      <c r="AE125" s="731">
        <v>1</v>
      </c>
    </row>
    <row r="126" spans="1:1018" s="224" customFormat="1" ht="13.5" customHeight="1">
      <c r="A126" s="225">
        <f t="shared" si="3"/>
        <v>118</v>
      </c>
      <c r="B126" s="217"/>
      <c r="C126" s="217" t="s">
        <v>1404</v>
      </c>
      <c r="D126" s="241"/>
      <c r="E126" s="219"/>
      <c r="F126" s="241"/>
      <c r="G126" s="241"/>
      <c r="H126" s="773" t="s">
        <v>2787</v>
      </c>
      <c r="I126" s="776" t="s">
        <v>2809</v>
      </c>
      <c r="J126" s="812"/>
      <c r="K126" s="813" t="s">
        <v>1218</v>
      </c>
      <c r="L126" s="728"/>
      <c r="M126" s="728"/>
      <c r="N126" s="728"/>
      <c r="O126" s="728"/>
      <c r="P126" s="730"/>
      <c r="Q126" s="728" t="s">
        <v>820</v>
      </c>
      <c r="R126" s="730"/>
      <c r="S126" s="813" t="s">
        <v>863</v>
      </c>
      <c r="T126" s="731"/>
      <c r="U126" s="731"/>
      <c r="V126" s="732"/>
      <c r="W126" s="260" t="s">
        <v>864</v>
      </c>
      <c r="X126" s="260" t="s">
        <v>864</v>
      </c>
      <c r="Y126" s="232"/>
      <c r="Z126" s="266" t="s">
        <v>1406</v>
      </c>
      <c r="AA126" s="728" t="s">
        <v>1407</v>
      </c>
      <c r="AB126" s="734"/>
      <c r="AC126" s="728"/>
      <c r="AD126" s="731"/>
      <c r="AE126" s="731">
        <v>1</v>
      </c>
    </row>
    <row r="127" spans="1:1018" s="224" customFormat="1" ht="13.5" customHeight="1">
      <c r="A127" s="225">
        <f t="shared" si="3"/>
        <v>119</v>
      </c>
      <c r="B127" s="217"/>
      <c r="C127" s="217" t="s">
        <v>1408</v>
      </c>
      <c r="D127" s="219"/>
      <c r="E127" s="219"/>
      <c r="F127" s="219"/>
      <c r="G127" s="219"/>
      <c r="H127" s="773" t="s">
        <v>2789</v>
      </c>
      <c r="I127" s="736"/>
      <c r="J127" s="812"/>
      <c r="K127" s="813" t="s">
        <v>1673</v>
      </c>
      <c r="L127" s="728"/>
      <c r="M127" s="728"/>
      <c r="N127" s="728"/>
      <c r="O127" s="728"/>
      <c r="P127" s="730"/>
      <c r="Q127" s="728" t="s">
        <v>817</v>
      </c>
      <c r="R127" s="730" t="s">
        <v>864</v>
      </c>
      <c r="S127" s="243" t="s">
        <v>1673</v>
      </c>
      <c r="T127" s="731"/>
      <c r="U127" s="731"/>
      <c r="V127" s="260"/>
      <c r="W127" s="260" t="s">
        <v>864</v>
      </c>
      <c r="X127" s="260" t="s">
        <v>864</v>
      </c>
      <c r="Y127" s="232"/>
      <c r="Z127" s="733"/>
      <c r="AA127" s="728"/>
      <c r="AB127" s="245"/>
      <c r="AC127" s="728"/>
      <c r="AD127" s="731"/>
      <c r="AE127" s="731">
        <v>1</v>
      </c>
    </row>
    <row r="128" spans="1:1018" s="224" customFormat="1" ht="13.5" customHeight="1">
      <c r="A128" s="225">
        <f t="shared" si="3"/>
        <v>120</v>
      </c>
      <c r="B128" s="217"/>
      <c r="C128" s="217"/>
      <c r="D128" s="241" t="s">
        <v>1410</v>
      </c>
      <c r="E128" s="219"/>
      <c r="F128" s="219"/>
      <c r="G128" s="219"/>
      <c r="H128" s="773" t="s">
        <v>2788</v>
      </c>
      <c r="I128" s="736"/>
      <c r="J128" s="812"/>
      <c r="K128" s="813" t="s">
        <v>1412</v>
      </c>
      <c r="L128" s="728"/>
      <c r="M128" s="728"/>
      <c r="N128" s="728"/>
      <c r="O128" s="728"/>
      <c r="P128" s="730"/>
      <c r="Q128" s="728" t="s">
        <v>823</v>
      </c>
      <c r="R128" s="730" t="s">
        <v>864</v>
      </c>
      <c r="S128" s="378" t="s">
        <v>1412</v>
      </c>
      <c r="T128" s="731"/>
      <c r="U128" s="731"/>
      <c r="V128" s="732"/>
      <c r="W128" s="260" t="s">
        <v>864</v>
      </c>
      <c r="X128" s="260" t="s">
        <v>864</v>
      </c>
      <c r="Y128" s="232"/>
      <c r="Z128" s="733"/>
      <c r="AA128" s="728"/>
      <c r="AB128" s="734"/>
      <c r="AC128" s="728"/>
      <c r="AD128" s="731"/>
      <c r="AE128" s="731">
        <v>1</v>
      </c>
    </row>
    <row r="129" spans="1:31" s="224" customFormat="1" ht="13.5" customHeight="1">
      <c r="A129" s="225">
        <f t="shared" si="3"/>
        <v>121</v>
      </c>
      <c r="B129" s="217"/>
      <c r="C129" s="217"/>
      <c r="D129" s="241"/>
      <c r="E129" s="241" t="s">
        <v>1071</v>
      </c>
      <c r="F129" s="241"/>
      <c r="G129" s="241"/>
      <c r="H129" s="728" t="s">
        <v>1072</v>
      </c>
      <c r="I129" s="736" t="s">
        <v>1413</v>
      </c>
      <c r="J129" s="812"/>
      <c r="K129" s="813" t="s">
        <v>908</v>
      </c>
      <c r="L129" s="728"/>
      <c r="M129" s="728"/>
      <c r="N129" s="728"/>
      <c r="O129" s="728"/>
      <c r="P129" s="730"/>
      <c r="Q129" s="728" t="s">
        <v>820</v>
      </c>
      <c r="R129" s="730"/>
      <c r="S129" s="812" t="s">
        <v>863</v>
      </c>
      <c r="T129" s="731" t="s">
        <v>864</v>
      </c>
      <c r="U129" s="731" t="s">
        <v>1414</v>
      </c>
      <c r="V129" s="260"/>
      <c r="W129" s="260" t="s">
        <v>864</v>
      </c>
      <c r="X129" s="260" t="s">
        <v>864</v>
      </c>
      <c r="Y129" s="232"/>
      <c r="Z129" s="266" t="s">
        <v>1075</v>
      </c>
      <c r="AA129" s="728" t="s">
        <v>1076</v>
      </c>
      <c r="AB129" s="245"/>
      <c r="AC129" s="728"/>
      <c r="AD129" s="731"/>
      <c r="AE129" s="731">
        <v>1</v>
      </c>
    </row>
    <row r="130" spans="1:31" s="224" customFormat="1" ht="13.5" customHeight="1">
      <c r="A130" s="225">
        <f t="shared" si="3"/>
        <v>122</v>
      </c>
      <c r="B130" s="217"/>
      <c r="C130" s="217"/>
      <c r="D130" s="241"/>
      <c r="E130" s="241" t="s">
        <v>1077</v>
      </c>
      <c r="F130" s="241"/>
      <c r="G130" s="241"/>
      <c r="H130" s="728" t="s">
        <v>1078</v>
      </c>
      <c r="I130" s="736" t="s">
        <v>1359</v>
      </c>
      <c r="J130" s="812"/>
      <c r="K130" s="813" t="s">
        <v>1080</v>
      </c>
      <c r="L130" s="728"/>
      <c r="M130" s="728"/>
      <c r="N130" s="728"/>
      <c r="O130" s="728"/>
      <c r="P130" s="730"/>
      <c r="Q130" s="728" t="s">
        <v>820</v>
      </c>
      <c r="R130" s="730"/>
      <c r="S130" s="812" t="s">
        <v>863</v>
      </c>
      <c r="T130" s="731"/>
      <c r="U130" s="731"/>
      <c r="V130" s="260"/>
      <c r="W130" s="260" t="s">
        <v>864</v>
      </c>
      <c r="X130" s="260" t="s">
        <v>864</v>
      </c>
      <c r="Y130" s="232"/>
      <c r="Z130" s="733"/>
      <c r="AA130" s="728"/>
      <c r="AB130" s="245"/>
      <c r="AC130" s="728"/>
      <c r="AD130" s="731"/>
      <c r="AE130" s="731">
        <v>1</v>
      </c>
    </row>
    <row r="131" spans="1:31" s="224" customFormat="1" ht="13.5" hidden="1" customHeight="1">
      <c r="A131" s="225">
        <f t="shared" si="3"/>
        <v>123</v>
      </c>
      <c r="B131" s="217"/>
      <c r="C131" s="217"/>
      <c r="D131" s="217" t="s">
        <v>1259</v>
      </c>
      <c r="E131" s="219" t="s">
        <v>1275</v>
      </c>
      <c r="F131" s="241"/>
      <c r="G131" s="241"/>
      <c r="H131" s="728" t="s">
        <v>1415</v>
      </c>
      <c r="I131" s="736"/>
      <c r="J131" s="812"/>
      <c r="K131" s="813" t="s">
        <v>1264</v>
      </c>
      <c r="L131" s="728"/>
      <c r="M131" s="728"/>
      <c r="N131" s="728"/>
      <c r="O131" s="728"/>
      <c r="P131" s="730"/>
      <c r="Q131" s="728" t="s">
        <v>823</v>
      </c>
      <c r="R131" s="730" t="s">
        <v>864</v>
      </c>
      <c r="S131" s="243" t="s">
        <v>1264</v>
      </c>
      <c r="T131" s="731"/>
      <c r="U131" s="731"/>
      <c r="V131" s="260"/>
      <c r="W131" s="706"/>
      <c r="X131" s="260" t="s">
        <v>864</v>
      </c>
      <c r="Y131" s="232"/>
      <c r="Z131" s="383" t="s">
        <v>1416</v>
      </c>
      <c r="AA131" s="389" t="s">
        <v>1417</v>
      </c>
      <c r="AB131" s="245" t="s">
        <v>1265</v>
      </c>
      <c r="AC131" s="728"/>
      <c r="AD131" s="731"/>
      <c r="AE131" s="731">
        <v>1</v>
      </c>
    </row>
    <row r="132" spans="1:31" s="224" customFormat="1" ht="13.5" hidden="1" customHeight="1">
      <c r="A132" s="225">
        <f t="shared" si="3"/>
        <v>124</v>
      </c>
      <c r="B132" s="217"/>
      <c r="C132" s="217"/>
      <c r="D132" s="217" t="s">
        <v>1051</v>
      </c>
      <c r="E132" s="241"/>
      <c r="F132" s="241"/>
      <c r="G132" s="241"/>
      <c r="H132" s="728" t="s">
        <v>1418</v>
      </c>
      <c r="I132" s="736"/>
      <c r="J132" s="812"/>
      <c r="K132" s="813" t="s">
        <v>1419</v>
      </c>
      <c r="L132" s="728"/>
      <c r="M132" s="728"/>
      <c r="N132" s="728"/>
      <c r="O132" s="728"/>
      <c r="P132" s="730"/>
      <c r="Q132" s="728" t="s">
        <v>817</v>
      </c>
      <c r="R132" s="730" t="s">
        <v>864</v>
      </c>
      <c r="S132" s="378" t="s">
        <v>1419</v>
      </c>
      <c r="T132" s="731"/>
      <c r="U132" s="731"/>
      <c r="V132" s="260"/>
      <c r="W132" s="706"/>
      <c r="X132" s="260" t="s">
        <v>864</v>
      </c>
      <c r="Y132" s="232"/>
      <c r="Z132" s="733"/>
      <c r="AA132" s="728"/>
      <c r="AB132" s="245"/>
      <c r="AC132" s="728"/>
      <c r="AD132" s="731"/>
      <c r="AE132" s="731">
        <v>1</v>
      </c>
    </row>
    <row r="133" spans="1:31" s="224" customFormat="1" ht="13.5" hidden="1" customHeight="1">
      <c r="A133" s="225">
        <f t="shared" si="3"/>
        <v>125</v>
      </c>
      <c r="B133" s="217"/>
      <c r="C133" s="217"/>
      <c r="D133" s="217"/>
      <c r="E133" s="217" t="s">
        <v>1081</v>
      </c>
      <c r="F133" s="219" t="s">
        <v>1420</v>
      </c>
      <c r="G133" s="241"/>
      <c r="H133" s="728"/>
      <c r="I133" s="736"/>
      <c r="J133" s="812"/>
      <c r="K133" s="813" t="s">
        <v>1082</v>
      </c>
      <c r="L133" s="728"/>
      <c r="M133" s="728"/>
      <c r="N133" s="728"/>
      <c r="O133" s="728"/>
      <c r="P133" s="730"/>
      <c r="Q133" s="728" t="s">
        <v>817</v>
      </c>
      <c r="R133" s="730" t="s">
        <v>864</v>
      </c>
      <c r="S133" s="243" t="s">
        <v>1082</v>
      </c>
      <c r="T133" s="731"/>
      <c r="U133" s="731"/>
      <c r="V133" s="260"/>
      <c r="W133" s="706"/>
      <c r="X133" s="260" t="s">
        <v>864</v>
      </c>
      <c r="Y133" s="232"/>
      <c r="Z133" s="733"/>
      <c r="AA133" s="728"/>
      <c r="AB133" s="245"/>
      <c r="AC133" s="728"/>
      <c r="AD133" s="731"/>
      <c r="AE133" s="731">
        <v>1</v>
      </c>
    </row>
    <row r="134" spans="1:31" s="224" customFormat="1" ht="13.5" hidden="1" customHeight="1">
      <c r="A134" s="225">
        <f t="shared" si="3"/>
        <v>126</v>
      </c>
      <c r="B134" s="217"/>
      <c r="C134" s="217"/>
      <c r="D134" s="217"/>
      <c r="E134" s="217" t="s">
        <v>1106</v>
      </c>
      <c r="F134" s="219" t="s">
        <v>1421</v>
      </c>
      <c r="G134" s="241"/>
      <c r="H134" s="728"/>
      <c r="I134" s="736"/>
      <c r="J134" s="812"/>
      <c r="K134" s="813" t="s">
        <v>1107</v>
      </c>
      <c r="L134" s="728"/>
      <c r="M134" s="728"/>
      <c r="N134" s="728"/>
      <c r="O134" s="728"/>
      <c r="P134" s="730"/>
      <c r="Q134" s="728" t="s">
        <v>817</v>
      </c>
      <c r="R134" s="730" t="s">
        <v>864</v>
      </c>
      <c r="S134" s="243" t="s">
        <v>1107</v>
      </c>
      <c r="T134" s="731"/>
      <c r="U134" s="731"/>
      <c r="V134" s="260"/>
      <c r="W134" s="706"/>
      <c r="X134" s="260" t="s">
        <v>864</v>
      </c>
      <c r="Y134" s="232"/>
      <c r="Z134" s="733"/>
      <c r="AA134" s="728"/>
      <c r="AB134" s="245"/>
      <c r="AC134" s="728"/>
      <c r="AD134" s="731"/>
      <c r="AE134" s="731">
        <v>1</v>
      </c>
    </row>
    <row r="135" spans="1:31" s="224" customFormat="1" ht="13.5" hidden="1" customHeight="1">
      <c r="A135" s="225">
        <f t="shared" si="3"/>
        <v>127</v>
      </c>
      <c r="B135" s="217"/>
      <c r="C135" s="217"/>
      <c r="D135" s="217" t="s">
        <v>1422</v>
      </c>
      <c r="E135" s="241"/>
      <c r="F135" s="241"/>
      <c r="G135" s="241"/>
      <c r="H135" s="728"/>
      <c r="I135" s="736"/>
      <c r="J135" s="812"/>
      <c r="K135" s="813" t="s">
        <v>1423</v>
      </c>
      <c r="L135" s="728"/>
      <c r="M135" s="728"/>
      <c r="N135" s="728"/>
      <c r="O135" s="728"/>
      <c r="P135" s="730"/>
      <c r="Q135" s="728" t="s">
        <v>817</v>
      </c>
      <c r="R135" s="730" t="s">
        <v>864</v>
      </c>
      <c r="S135" s="378" t="s">
        <v>1423</v>
      </c>
      <c r="T135" s="731"/>
      <c r="U135" s="731"/>
      <c r="V135" s="260"/>
      <c r="W135" s="706"/>
      <c r="X135" s="260" t="s">
        <v>864</v>
      </c>
      <c r="Y135" s="232"/>
      <c r="Z135" s="733"/>
      <c r="AA135" s="733" t="s">
        <v>1424</v>
      </c>
      <c r="AB135" s="245"/>
      <c r="AC135" s="728"/>
      <c r="AD135" s="731"/>
      <c r="AE135" s="731">
        <v>1</v>
      </c>
    </row>
    <row r="136" spans="1:31" s="224" customFormat="1" ht="13.5" hidden="1" customHeight="1">
      <c r="A136" s="225">
        <f t="shared" si="3"/>
        <v>128</v>
      </c>
      <c r="B136" s="217"/>
      <c r="C136" s="217"/>
      <c r="D136" s="217"/>
      <c r="E136" s="241" t="s">
        <v>1304</v>
      </c>
      <c r="F136" s="241"/>
      <c r="G136" s="241"/>
      <c r="H136" s="728" t="s">
        <v>1425</v>
      </c>
      <c r="I136" s="736"/>
      <c r="J136" s="812"/>
      <c r="K136" s="813" t="s">
        <v>1303</v>
      </c>
      <c r="L136" s="728"/>
      <c r="M136" s="728"/>
      <c r="N136" s="728"/>
      <c r="O136" s="728"/>
      <c r="P136" s="730"/>
      <c r="Q136" s="728" t="s">
        <v>820</v>
      </c>
      <c r="R136" s="730" t="s">
        <v>864</v>
      </c>
      <c r="S136" s="243" t="s">
        <v>1303</v>
      </c>
      <c r="T136" s="731"/>
      <c r="U136" s="731"/>
      <c r="V136" s="260"/>
      <c r="W136" s="706"/>
      <c r="X136" s="260" t="s">
        <v>864</v>
      </c>
      <c r="Y136" s="232"/>
      <c r="Z136" s="733"/>
      <c r="AA136" s="728"/>
      <c r="AB136" s="245"/>
      <c r="AC136" s="728"/>
      <c r="AD136" s="731"/>
      <c r="AE136" s="731">
        <v>1</v>
      </c>
    </row>
    <row r="137" spans="1:31" s="224" customFormat="1" ht="13.5" hidden="1" customHeight="1">
      <c r="A137" s="225">
        <f t="shared" si="3"/>
        <v>129</v>
      </c>
      <c r="B137" s="217"/>
      <c r="C137" s="217"/>
      <c r="D137" s="217"/>
      <c r="E137" s="241" t="s">
        <v>1426</v>
      </c>
      <c r="F137" s="241"/>
      <c r="G137" s="241"/>
      <c r="H137" s="728" t="s">
        <v>1427</v>
      </c>
      <c r="I137" s="736">
        <v>10000668540</v>
      </c>
      <c r="J137" s="812"/>
      <c r="K137" s="813" t="s">
        <v>1218</v>
      </c>
      <c r="L137" s="728"/>
      <c r="M137" s="728"/>
      <c r="N137" s="728"/>
      <c r="O137" s="728"/>
      <c r="P137" s="730"/>
      <c r="Q137" s="728" t="s">
        <v>817</v>
      </c>
      <c r="R137" s="730"/>
      <c r="S137" s="812" t="s">
        <v>863</v>
      </c>
      <c r="T137" s="731"/>
      <c r="U137" s="373"/>
      <c r="V137" s="260"/>
      <c r="W137" s="706"/>
      <c r="X137" s="260" t="s">
        <v>864</v>
      </c>
      <c r="Y137" s="232"/>
      <c r="Z137" s="379" t="s">
        <v>1428</v>
      </c>
      <c r="AA137" s="728" t="s">
        <v>1429</v>
      </c>
      <c r="AB137" s="245"/>
      <c r="AC137" s="728"/>
      <c r="AD137" s="731"/>
      <c r="AE137" s="731">
        <v>1</v>
      </c>
    </row>
    <row r="138" spans="1:31" s="224" customFormat="1" ht="13.5" hidden="1" customHeight="1">
      <c r="A138" s="225">
        <f t="shared" si="3"/>
        <v>130</v>
      </c>
      <c r="B138" s="217"/>
      <c r="C138" s="217"/>
      <c r="D138" s="241"/>
      <c r="E138" s="241" t="s">
        <v>1430</v>
      </c>
      <c r="F138" s="219" t="s">
        <v>1431</v>
      </c>
      <c r="G138" s="241"/>
      <c r="H138" s="728"/>
      <c r="I138" s="736"/>
      <c r="J138" s="812"/>
      <c r="K138" s="813" t="s">
        <v>1419</v>
      </c>
      <c r="L138" s="728"/>
      <c r="M138" s="728"/>
      <c r="N138" s="728"/>
      <c r="O138" s="728"/>
      <c r="P138" s="730"/>
      <c r="Q138" s="728" t="s">
        <v>817</v>
      </c>
      <c r="R138" s="730" t="s">
        <v>864</v>
      </c>
      <c r="S138" s="378" t="s">
        <v>1419</v>
      </c>
      <c r="T138" s="731"/>
      <c r="U138" s="731"/>
      <c r="V138" s="732"/>
      <c r="W138" s="706"/>
      <c r="X138" s="732" t="s">
        <v>864</v>
      </c>
      <c r="Y138" s="232"/>
      <c r="Z138" s="733"/>
      <c r="AA138" s="728"/>
      <c r="AB138" s="734"/>
      <c r="AC138" s="728"/>
      <c r="AD138" s="731"/>
      <c r="AE138" s="731">
        <v>1</v>
      </c>
    </row>
    <row r="139" spans="1:31" s="224" customFormat="1" ht="13.5" hidden="1" customHeight="1">
      <c r="A139" s="225">
        <f t="shared" si="3"/>
        <v>131</v>
      </c>
      <c r="B139" s="217"/>
      <c r="C139" s="217"/>
      <c r="D139" s="217"/>
      <c r="E139" s="217" t="s">
        <v>1432</v>
      </c>
      <c r="F139" s="219" t="s">
        <v>1275</v>
      </c>
      <c r="G139" s="241"/>
      <c r="H139" s="728" t="s">
        <v>1415</v>
      </c>
      <c r="I139" s="736"/>
      <c r="J139" s="812"/>
      <c r="K139" s="813" t="s">
        <v>1264</v>
      </c>
      <c r="L139" s="728"/>
      <c r="M139" s="728"/>
      <c r="N139" s="728"/>
      <c r="O139" s="728"/>
      <c r="P139" s="730"/>
      <c r="Q139" s="728" t="s">
        <v>823</v>
      </c>
      <c r="R139" s="730" t="s">
        <v>864</v>
      </c>
      <c r="S139" s="243" t="s">
        <v>1264</v>
      </c>
      <c r="T139" s="731"/>
      <c r="U139" s="259"/>
      <c r="V139" s="260"/>
      <c r="W139" s="706"/>
      <c r="X139" s="260" t="s">
        <v>864</v>
      </c>
      <c r="Y139" s="232"/>
      <c r="Z139" s="733"/>
      <c r="AA139" s="728"/>
      <c r="AB139" s="245" t="s">
        <v>1265</v>
      </c>
      <c r="AC139" s="728"/>
      <c r="AD139" s="731"/>
      <c r="AE139" s="731">
        <v>1</v>
      </c>
    </row>
    <row r="140" spans="1:31" s="224" customFormat="1" ht="13.5" customHeight="1">
      <c r="A140" s="225">
        <f t="shared" si="3"/>
        <v>132</v>
      </c>
      <c r="B140" s="217"/>
      <c r="C140" s="217" t="s">
        <v>1674</v>
      </c>
      <c r="D140" s="241"/>
      <c r="E140" s="241"/>
      <c r="F140" s="241"/>
      <c r="G140" s="241"/>
      <c r="H140" s="773" t="s">
        <v>2790</v>
      </c>
      <c r="I140" s="736"/>
      <c r="J140" s="812"/>
      <c r="K140" s="813" t="s">
        <v>1435</v>
      </c>
      <c r="L140" s="728"/>
      <c r="M140" s="728"/>
      <c r="N140" s="728"/>
      <c r="O140" s="728"/>
      <c r="P140" s="730"/>
      <c r="Q140" s="728" t="s">
        <v>817</v>
      </c>
      <c r="R140" s="730" t="s">
        <v>864</v>
      </c>
      <c r="S140" s="243" t="s">
        <v>1675</v>
      </c>
      <c r="T140" s="731"/>
      <c r="U140" s="731"/>
      <c r="V140" s="260"/>
      <c r="W140" s="260" t="s">
        <v>864</v>
      </c>
      <c r="X140" s="260" t="s">
        <v>864</v>
      </c>
      <c r="Y140" s="232"/>
      <c r="Z140" s="733"/>
      <c r="AA140" s="728"/>
      <c r="AB140" s="245"/>
      <c r="AC140" s="728"/>
      <c r="AD140" s="731"/>
      <c r="AE140" s="731">
        <v>1</v>
      </c>
    </row>
    <row r="141" spans="1:31" s="224" customFormat="1" ht="13.5" hidden="1" customHeight="1">
      <c r="A141" s="225">
        <f t="shared" si="3"/>
        <v>133</v>
      </c>
      <c r="B141" s="217"/>
      <c r="C141" s="217"/>
      <c r="D141" s="217" t="s">
        <v>1437</v>
      </c>
      <c r="E141" s="241"/>
      <c r="F141" s="241"/>
      <c r="G141" s="241"/>
      <c r="H141" s="728" t="s">
        <v>1438</v>
      </c>
      <c r="I141" s="736"/>
      <c r="J141" s="812"/>
      <c r="K141" s="813" t="s">
        <v>1439</v>
      </c>
      <c r="L141" s="728"/>
      <c r="M141" s="728"/>
      <c r="N141" s="728"/>
      <c r="O141" s="728"/>
      <c r="P141" s="730"/>
      <c r="Q141" s="728" t="s">
        <v>817</v>
      </c>
      <c r="R141" s="730" t="s">
        <v>864</v>
      </c>
      <c r="S141" s="243" t="s">
        <v>1440</v>
      </c>
      <c r="T141" s="731"/>
      <c r="U141" s="259"/>
      <c r="V141" s="260"/>
      <c r="W141" s="260"/>
      <c r="X141" s="260"/>
      <c r="Y141" s="232"/>
      <c r="Z141" s="733"/>
      <c r="AA141" s="728"/>
      <c r="AB141" s="245"/>
      <c r="AC141" s="728"/>
      <c r="AD141" s="731"/>
      <c r="AE141" s="731">
        <v>1</v>
      </c>
    </row>
    <row r="142" spans="1:31" s="224" customFormat="1" ht="13.5" hidden="1" customHeight="1">
      <c r="A142" s="225">
        <f t="shared" si="3"/>
        <v>134</v>
      </c>
      <c r="B142" s="217"/>
      <c r="C142" s="217"/>
      <c r="D142" s="217"/>
      <c r="E142" s="241" t="s">
        <v>1441</v>
      </c>
      <c r="F142" s="241"/>
      <c r="G142" s="241"/>
      <c r="H142" s="728" t="s">
        <v>1438</v>
      </c>
      <c r="I142" s="736"/>
      <c r="J142" s="812"/>
      <c r="K142" s="813" t="s">
        <v>888</v>
      </c>
      <c r="L142" s="728"/>
      <c r="M142" s="728"/>
      <c r="N142" s="728"/>
      <c r="O142" s="728"/>
      <c r="P142" s="730"/>
      <c r="Q142" s="728" t="s">
        <v>817</v>
      </c>
      <c r="R142" s="730"/>
      <c r="S142" s="812" t="s">
        <v>863</v>
      </c>
      <c r="T142" s="731" t="s">
        <v>864</v>
      </c>
      <c r="U142" s="261" t="s">
        <v>1676</v>
      </c>
      <c r="V142" s="732"/>
      <c r="W142" s="260"/>
      <c r="X142" s="260"/>
      <c r="Y142" s="232"/>
      <c r="Z142" s="266" t="s">
        <v>1443</v>
      </c>
      <c r="AA142" s="385" t="s">
        <v>1444</v>
      </c>
      <c r="AB142" s="245"/>
      <c r="AC142" s="728"/>
      <c r="AD142" s="731"/>
      <c r="AE142" s="731">
        <v>1</v>
      </c>
    </row>
    <row r="143" spans="1:31" s="224" customFormat="1" ht="13.5" hidden="1" customHeight="1">
      <c r="A143" s="225">
        <f t="shared" si="3"/>
        <v>135</v>
      </c>
      <c r="B143" s="217"/>
      <c r="C143" s="217"/>
      <c r="D143" s="217"/>
      <c r="E143" s="241" t="s">
        <v>1445</v>
      </c>
      <c r="F143" s="241"/>
      <c r="G143" s="241"/>
      <c r="H143" s="728" t="s">
        <v>1446</v>
      </c>
      <c r="I143" s="736"/>
      <c r="J143" s="812"/>
      <c r="K143" s="813" t="s">
        <v>1447</v>
      </c>
      <c r="L143" s="728"/>
      <c r="M143" s="728"/>
      <c r="N143" s="728"/>
      <c r="O143" s="728"/>
      <c r="P143" s="730"/>
      <c r="Q143" s="728" t="s">
        <v>817</v>
      </c>
      <c r="R143" s="730"/>
      <c r="S143" s="812" t="s">
        <v>863</v>
      </c>
      <c r="T143" s="731" t="s">
        <v>864</v>
      </c>
      <c r="U143" s="261" t="s">
        <v>1677</v>
      </c>
      <c r="V143" s="732"/>
      <c r="W143" s="260"/>
      <c r="X143" s="260"/>
      <c r="Y143" s="232"/>
      <c r="Z143" s="266" t="s">
        <v>1449</v>
      </c>
      <c r="AA143" s="728"/>
      <c r="AB143" s="245"/>
      <c r="AC143" s="728"/>
      <c r="AD143" s="731"/>
      <c r="AE143" s="731">
        <v>1</v>
      </c>
    </row>
    <row r="144" spans="1:31" s="224" customFormat="1" ht="13.5" hidden="1" customHeight="1">
      <c r="A144" s="225">
        <f t="shared" ref="A144:A176" si="4">ROW()-8</f>
        <v>136</v>
      </c>
      <c r="B144" s="217"/>
      <c r="C144" s="217"/>
      <c r="D144" s="217" t="s">
        <v>1450</v>
      </c>
      <c r="E144" s="241"/>
      <c r="F144" s="241"/>
      <c r="G144" s="241"/>
      <c r="H144" s="728" t="s">
        <v>1451</v>
      </c>
      <c r="I144" s="736"/>
      <c r="J144" s="812"/>
      <c r="K144" s="813" t="s">
        <v>1092</v>
      </c>
      <c r="L144" s="728"/>
      <c r="M144" s="728"/>
      <c r="N144" s="728"/>
      <c r="O144" s="728"/>
      <c r="P144" s="730"/>
      <c r="Q144" s="728" t="s">
        <v>817</v>
      </c>
      <c r="R144" s="730" t="s">
        <v>864</v>
      </c>
      <c r="S144" s="378" t="s">
        <v>1452</v>
      </c>
      <c r="T144" s="731"/>
      <c r="U144" s="731"/>
      <c r="V144" s="260"/>
      <c r="W144" s="260"/>
      <c r="X144" s="260"/>
      <c r="Y144" s="232"/>
      <c r="Z144" s="733"/>
      <c r="AA144" s="728"/>
      <c r="AB144" s="245"/>
      <c r="AC144" s="728"/>
      <c r="AD144" s="731"/>
      <c r="AE144" s="731">
        <v>1</v>
      </c>
    </row>
    <row r="145" spans="1:31" s="224" customFormat="1" ht="13.5" hidden="1" customHeight="1">
      <c r="A145" s="225">
        <f t="shared" si="4"/>
        <v>137</v>
      </c>
      <c r="B145" s="217"/>
      <c r="C145" s="217"/>
      <c r="D145" s="217"/>
      <c r="E145" s="241" t="s">
        <v>1453</v>
      </c>
      <c r="F145" s="241"/>
      <c r="G145" s="241"/>
      <c r="H145" s="728" t="s">
        <v>1451</v>
      </c>
      <c r="I145" s="736" t="s">
        <v>1454</v>
      </c>
      <c r="J145" s="812"/>
      <c r="K145" s="813" t="s">
        <v>1080</v>
      </c>
      <c r="L145" s="728"/>
      <c r="M145" s="728"/>
      <c r="N145" s="728"/>
      <c r="O145" s="728"/>
      <c r="P145" s="730"/>
      <c r="Q145" s="728" t="s">
        <v>817</v>
      </c>
      <c r="R145" s="730"/>
      <c r="S145" s="812" t="s">
        <v>863</v>
      </c>
      <c r="T145" s="731"/>
      <c r="U145" s="731"/>
      <c r="V145" s="260"/>
      <c r="W145" s="260"/>
      <c r="X145" s="260"/>
      <c r="Y145" s="232"/>
      <c r="Z145" s="379" t="s">
        <v>1455</v>
      </c>
      <c r="AA145" s="728"/>
      <c r="AB145" s="245"/>
      <c r="AC145" s="728"/>
      <c r="AD145" s="731"/>
      <c r="AE145" s="731">
        <v>1</v>
      </c>
    </row>
    <row r="146" spans="1:31" s="224" customFormat="1" ht="13.5" hidden="1" customHeight="1">
      <c r="A146" s="225">
        <f t="shared" si="4"/>
        <v>138</v>
      </c>
      <c r="B146" s="217"/>
      <c r="C146" s="217"/>
      <c r="D146" s="217"/>
      <c r="E146" s="241" t="s">
        <v>1456</v>
      </c>
      <c r="F146" s="241"/>
      <c r="G146" s="241"/>
      <c r="H146" s="728" t="s">
        <v>1457</v>
      </c>
      <c r="I146" s="736" t="s">
        <v>1458</v>
      </c>
      <c r="J146" s="812"/>
      <c r="K146" s="813" t="s">
        <v>1459</v>
      </c>
      <c r="L146" s="728"/>
      <c r="M146" s="728"/>
      <c r="N146" s="728"/>
      <c r="O146" s="728"/>
      <c r="P146" s="730"/>
      <c r="Q146" s="728" t="s">
        <v>817</v>
      </c>
      <c r="R146" s="730"/>
      <c r="S146" s="812" t="s">
        <v>863</v>
      </c>
      <c r="T146" s="731" t="s">
        <v>864</v>
      </c>
      <c r="U146" s="731"/>
      <c r="V146" s="260"/>
      <c r="W146" s="260"/>
      <c r="X146" s="260"/>
      <c r="Y146" s="232"/>
      <c r="Z146" s="379" t="s">
        <v>1460</v>
      </c>
      <c r="AA146" s="728"/>
      <c r="AB146" s="245"/>
      <c r="AC146" s="728"/>
      <c r="AD146" s="731"/>
      <c r="AE146" s="731">
        <v>1</v>
      </c>
    </row>
    <row r="147" spans="1:31" s="224" customFormat="1" ht="13.5" customHeight="1">
      <c r="A147" s="225">
        <f t="shared" si="4"/>
        <v>139</v>
      </c>
      <c r="B147" s="217"/>
      <c r="C147" s="217"/>
      <c r="D147" s="217" t="s">
        <v>1461</v>
      </c>
      <c r="E147" s="241"/>
      <c r="F147" s="241"/>
      <c r="G147" s="241"/>
      <c r="H147" s="773" t="s">
        <v>2791</v>
      </c>
      <c r="I147" s="736"/>
      <c r="J147" s="812"/>
      <c r="K147" s="813" t="s">
        <v>1463</v>
      </c>
      <c r="L147" s="728"/>
      <c r="M147" s="728"/>
      <c r="N147" s="728"/>
      <c r="O147" s="728"/>
      <c r="P147" s="730"/>
      <c r="Q147" s="728" t="s">
        <v>817</v>
      </c>
      <c r="R147" s="730" t="s">
        <v>864</v>
      </c>
      <c r="S147" s="243" t="s">
        <v>1464</v>
      </c>
      <c r="T147" s="731"/>
      <c r="U147" s="259"/>
      <c r="V147" s="260"/>
      <c r="W147" s="260" t="s">
        <v>864</v>
      </c>
      <c r="X147" s="260" t="s">
        <v>864</v>
      </c>
      <c r="Y147" s="232"/>
      <c r="Z147" s="733"/>
      <c r="AA147" s="728"/>
      <c r="AB147" s="245"/>
      <c r="AC147" s="728"/>
      <c r="AD147" s="731"/>
      <c r="AE147" s="731">
        <v>1</v>
      </c>
    </row>
    <row r="148" spans="1:31" s="224" customFormat="1" ht="13.5" customHeight="1">
      <c r="A148" s="225">
        <f t="shared" si="4"/>
        <v>140</v>
      </c>
      <c r="B148" s="217"/>
      <c r="C148" s="217"/>
      <c r="D148" s="217"/>
      <c r="E148" s="241" t="s">
        <v>1465</v>
      </c>
      <c r="F148" s="241"/>
      <c r="G148" s="241"/>
      <c r="H148" s="773" t="s">
        <v>2792</v>
      </c>
      <c r="I148" s="736" t="s">
        <v>1134</v>
      </c>
      <c r="J148" s="812"/>
      <c r="K148" s="813" t="s">
        <v>1467</v>
      </c>
      <c r="L148" s="728"/>
      <c r="M148" s="728"/>
      <c r="N148" s="728"/>
      <c r="O148" s="728"/>
      <c r="P148" s="730"/>
      <c r="Q148" s="728" t="s">
        <v>817</v>
      </c>
      <c r="R148" s="730"/>
      <c r="S148" s="812" t="s">
        <v>863</v>
      </c>
      <c r="T148" s="731"/>
      <c r="U148" s="731"/>
      <c r="V148" s="260"/>
      <c r="W148" s="260" t="s">
        <v>864</v>
      </c>
      <c r="X148" s="260" t="s">
        <v>864</v>
      </c>
      <c r="Y148" s="232"/>
      <c r="Z148" s="733"/>
      <c r="AA148" s="728"/>
      <c r="AB148" s="245"/>
      <c r="AC148" s="728"/>
      <c r="AD148" s="731"/>
      <c r="AE148" s="731">
        <v>1</v>
      </c>
    </row>
    <row r="149" spans="1:31" s="224" customFormat="1" ht="13.5" hidden="1" customHeight="1">
      <c r="A149" s="225">
        <f t="shared" si="4"/>
        <v>141</v>
      </c>
      <c r="B149" s="217"/>
      <c r="C149" s="217"/>
      <c r="D149" s="217"/>
      <c r="E149" s="241" t="s">
        <v>1468</v>
      </c>
      <c r="F149" s="241"/>
      <c r="G149" s="241"/>
      <c r="H149" s="728" t="s">
        <v>1469</v>
      </c>
      <c r="I149" s="736"/>
      <c r="J149" s="812"/>
      <c r="K149" s="813" t="s">
        <v>1470</v>
      </c>
      <c r="L149" s="728"/>
      <c r="M149" s="728"/>
      <c r="N149" s="728"/>
      <c r="O149" s="728"/>
      <c r="P149" s="730"/>
      <c r="Q149" s="728" t="s">
        <v>817</v>
      </c>
      <c r="R149" s="730"/>
      <c r="S149" s="812" t="s">
        <v>863</v>
      </c>
      <c r="T149" s="731"/>
      <c r="U149" s="731"/>
      <c r="V149" s="260"/>
      <c r="W149" s="260"/>
      <c r="X149" s="260"/>
      <c r="Y149" s="232"/>
      <c r="Z149" s="733"/>
      <c r="AA149" s="728"/>
      <c r="AB149" s="245"/>
      <c r="AC149" s="728"/>
      <c r="AD149" s="731"/>
      <c r="AE149" s="731">
        <v>1</v>
      </c>
    </row>
    <row r="150" spans="1:31" s="224" customFormat="1" ht="13.5" hidden="1" customHeight="1">
      <c r="A150" s="225">
        <f t="shared" si="4"/>
        <v>142</v>
      </c>
      <c r="B150" s="217"/>
      <c r="C150" s="217"/>
      <c r="D150" s="217"/>
      <c r="E150" s="241" t="s">
        <v>1471</v>
      </c>
      <c r="F150" s="241"/>
      <c r="G150" s="241"/>
      <c r="H150" s="728" t="s">
        <v>1472</v>
      </c>
      <c r="I150" s="736"/>
      <c r="J150" s="812"/>
      <c r="K150" s="813" t="s">
        <v>1473</v>
      </c>
      <c r="L150" s="728"/>
      <c r="M150" s="728"/>
      <c r="N150" s="728"/>
      <c r="O150" s="728"/>
      <c r="P150" s="730"/>
      <c r="Q150" s="728" t="s">
        <v>817</v>
      </c>
      <c r="R150" s="730"/>
      <c r="S150" s="812" t="s">
        <v>863</v>
      </c>
      <c r="T150" s="731"/>
      <c r="U150" s="731"/>
      <c r="V150" s="260"/>
      <c r="W150" s="260"/>
      <c r="X150" s="260"/>
      <c r="Y150" s="232"/>
      <c r="Z150" s="733"/>
      <c r="AA150" s="728"/>
      <c r="AB150" s="245"/>
      <c r="AC150" s="728"/>
      <c r="AD150" s="731"/>
      <c r="AE150" s="731">
        <v>1</v>
      </c>
    </row>
    <row r="151" spans="1:31" s="224" customFormat="1" ht="13.5" customHeight="1">
      <c r="A151" s="225">
        <f t="shared" si="4"/>
        <v>143</v>
      </c>
      <c r="B151" s="217"/>
      <c r="C151" s="217"/>
      <c r="D151" s="217"/>
      <c r="E151" s="241" t="s">
        <v>1479</v>
      </c>
      <c r="F151" s="241"/>
      <c r="G151" s="241"/>
      <c r="H151" s="773" t="s">
        <v>2793</v>
      </c>
      <c r="I151" s="736"/>
      <c r="J151" s="812"/>
      <c r="K151" s="813" t="s">
        <v>1481</v>
      </c>
      <c r="L151" s="728"/>
      <c r="M151" s="728"/>
      <c r="N151" s="728"/>
      <c r="O151" s="728"/>
      <c r="P151" s="730"/>
      <c r="Q151" s="728" t="s">
        <v>817</v>
      </c>
      <c r="R151" s="730"/>
      <c r="S151" s="812" t="s">
        <v>1482</v>
      </c>
      <c r="T151" s="731"/>
      <c r="U151" s="259"/>
      <c r="V151" s="260"/>
      <c r="W151" s="260" t="s">
        <v>864</v>
      </c>
      <c r="X151" s="260" t="s">
        <v>864</v>
      </c>
      <c r="Y151" s="232"/>
      <c r="Z151" s="733"/>
      <c r="AA151" s="728"/>
      <c r="AB151" s="245"/>
      <c r="AC151" s="728"/>
      <c r="AD151" s="731"/>
      <c r="AE151" s="731">
        <v>1</v>
      </c>
    </row>
    <row r="152" spans="1:31" s="224" customFormat="1" ht="13.5" customHeight="1">
      <c r="A152" s="225">
        <f t="shared" si="4"/>
        <v>144</v>
      </c>
      <c r="B152" s="217"/>
      <c r="C152" s="217"/>
      <c r="D152" s="217"/>
      <c r="E152" s="241" t="s">
        <v>1483</v>
      </c>
      <c r="F152" s="241"/>
      <c r="G152" s="241"/>
      <c r="H152" s="773" t="s">
        <v>2794</v>
      </c>
      <c r="I152" s="736" t="s">
        <v>698</v>
      </c>
      <c r="J152" s="812"/>
      <c r="K152" s="813" t="s">
        <v>1485</v>
      </c>
      <c r="L152" s="728"/>
      <c r="M152" s="728"/>
      <c r="N152" s="728"/>
      <c r="O152" s="728"/>
      <c r="P152" s="730"/>
      <c r="Q152" s="728" t="s">
        <v>817</v>
      </c>
      <c r="R152" s="730"/>
      <c r="S152" s="812" t="s">
        <v>863</v>
      </c>
      <c r="T152" s="731" t="s">
        <v>864</v>
      </c>
      <c r="U152" s="778" t="s">
        <v>1678</v>
      </c>
      <c r="V152" s="260"/>
      <c r="W152" s="260" t="s">
        <v>864</v>
      </c>
      <c r="X152" s="260" t="s">
        <v>864</v>
      </c>
      <c r="Y152" s="232"/>
      <c r="Z152" s="386" t="s">
        <v>1486</v>
      </c>
      <c r="AA152" s="728"/>
      <c r="AB152" s="245"/>
      <c r="AC152" s="728"/>
      <c r="AD152" s="731"/>
      <c r="AE152" s="731">
        <v>1</v>
      </c>
    </row>
    <row r="153" spans="1:31" s="224" customFormat="1" ht="13.5" hidden="1" customHeight="1">
      <c r="A153" s="225">
        <f t="shared" si="4"/>
        <v>145</v>
      </c>
      <c r="B153" s="217"/>
      <c r="C153" s="217"/>
      <c r="D153" s="217"/>
      <c r="E153" s="241" t="s">
        <v>1474</v>
      </c>
      <c r="F153" s="241"/>
      <c r="G153" s="241"/>
      <c r="H153" s="728" t="s">
        <v>1475</v>
      </c>
      <c r="I153" s="736"/>
      <c r="J153" s="812"/>
      <c r="K153" s="813" t="s">
        <v>1476</v>
      </c>
      <c r="L153" s="728"/>
      <c r="M153" s="728"/>
      <c r="N153" s="728"/>
      <c r="O153" s="728"/>
      <c r="P153" s="730"/>
      <c r="Q153" s="728" t="s">
        <v>817</v>
      </c>
      <c r="R153" s="730"/>
      <c r="S153" s="812" t="s">
        <v>1092</v>
      </c>
      <c r="T153" s="731"/>
      <c r="U153" s="380"/>
      <c r="V153" s="260"/>
      <c r="W153" s="260"/>
      <c r="X153" s="260"/>
      <c r="Y153" s="232"/>
      <c r="Z153" s="379" t="s">
        <v>1477</v>
      </c>
      <c r="AA153" s="728" t="s">
        <v>1478</v>
      </c>
      <c r="AB153" s="245"/>
      <c r="AC153" s="728"/>
      <c r="AD153" s="731"/>
      <c r="AE153" s="731">
        <v>1</v>
      </c>
    </row>
    <row r="154" spans="1:31" s="224" customFormat="1" ht="13.5" customHeight="1">
      <c r="A154" s="225">
        <f t="shared" si="4"/>
        <v>146</v>
      </c>
      <c r="B154" s="217"/>
      <c r="C154" s="217"/>
      <c r="D154" s="217" t="s">
        <v>1679</v>
      </c>
      <c r="E154" s="241" t="s">
        <v>1487</v>
      </c>
      <c r="F154" s="241"/>
      <c r="G154" s="241"/>
      <c r="H154" s="773" t="s">
        <v>2795</v>
      </c>
      <c r="I154" s="736"/>
      <c r="J154" s="812"/>
      <c r="K154" s="813" t="s">
        <v>1489</v>
      </c>
      <c r="L154" s="728"/>
      <c r="M154" s="728"/>
      <c r="N154" s="728"/>
      <c r="O154" s="728"/>
      <c r="P154" s="730"/>
      <c r="Q154" s="728" t="s">
        <v>817</v>
      </c>
      <c r="R154" s="730" t="s">
        <v>864</v>
      </c>
      <c r="S154" s="243" t="s">
        <v>1303</v>
      </c>
      <c r="T154" s="731"/>
      <c r="U154" s="731"/>
      <c r="V154" s="260"/>
      <c r="W154" s="260" t="s">
        <v>864</v>
      </c>
      <c r="X154" s="260" t="s">
        <v>864</v>
      </c>
      <c r="Y154" s="232"/>
      <c r="Z154" s="733"/>
      <c r="AA154" s="728"/>
      <c r="AB154" s="245"/>
      <c r="AC154" s="728"/>
      <c r="AD154" s="731"/>
      <c r="AE154" s="731">
        <v>1</v>
      </c>
    </row>
    <row r="155" spans="1:31" s="224" customFormat="1" ht="13.5" customHeight="1">
      <c r="A155" s="225">
        <f t="shared" si="4"/>
        <v>147</v>
      </c>
      <c r="B155" s="217"/>
      <c r="C155" s="219" t="s">
        <v>1009</v>
      </c>
      <c r="D155" s="241" t="s">
        <v>1627</v>
      </c>
      <c r="E155" s="241"/>
      <c r="F155" s="241"/>
      <c r="G155" s="241"/>
      <c r="H155" s="773" t="s">
        <v>2796</v>
      </c>
      <c r="I155" s="729"/>
      <c r="J155" s="812"/>
      <c r="K155" s="812" t="s">
        <v>1011</v>
      </c>
      <c r="L155" s="728"/>
      <c r="M155" s="728"/>
      <c r="N155" s="728"/>
      <c r="O155" s="728"/>
      <c r="P155" s="730"/>
      <c r="Q155" s="728" t="s">
        <v>817</v>
      </c>
      <c r="R155" s="730" t="s">
        <v>864</v>
      </c>
      <c r="S155" s="243" t="s">
        <v>1625</v>
      </c>
      <c r="T155" s="731"/>
      <c r="U155" s="728" t="s">
        <v>1630</v>
      </c>
      <c r="V155" s="732"/>
      <c r="W155" s="260" t="s">
        <v>864</v>
      </c>
      <c r="X155" s="260"/>
      <c r="Y155" s="232"/>
      <c r="Z155" s="386" t="s">
        <v>1491</v>
      </c>
      <c r="AA155" s="728" t="s">
        <v>992</v>
      </c>
      <c r="AB155" s="734"/>
      <c r="AC155" s="728"/>
      <c r="AD155" s="731"/>
      <c r="AE155" s="731">
        <v>1</v>
      </c>
    </row>
    <row r="156" spans="1:31" s="158" customFormat="1" ht="12.75" customHeight="1">
      <c r="A156" s="225">
        <f t="shared" si="4"/>
        <v>148</v>
      </c>
      <c r="B156" s="217"/>
      <c r="C156" s="219" t="s">
        <v>1492</v>
      </c>
      <c r="D156" s="241"/>
      <c r="E156" s="241"/>
      <c r="F156" s="241"/>
      <c r="G156" s="241"/>
      <c r="H156" s="773" t="s">
        <v>2797</v>
      </c>
      <c r="I156" s="264"/>
      <c r="J156" s="263"/>
      <c r="K156" s="813" t="s">
        <v>1120</v>
      </c>
      <c r="L156" s="728"/>
      <c r="M156" s="728"/>
      <c r="N156" s="728"/>
      <c r="O156" s="728"/>
      <c r="P156" s="730"/>
      <c r="Q156" s="728" t="s">
        <v>817</v>
      </c>
      <c r="R156" s="730" t="s">
        <v>864</v>
      </c>
      <c r="S156" s="378" t="s">
        <v>1493</v>
      </c>
      <c r="T156" s="268"/>
      <c r="U156" s="263"/>
      <c r="V156" s="265"/>
      <c r="W156" s="260" t="s">
        <v>864</v>
      </c>
      <c r="X156" s="260" t="s">
        <v>864</v>
      </c>
      <c r="Y156" s="232"/>
      <c r="Z156" s="379" t="s">
        <v>1494</v>
      </c>
      <c r="AA156" s="263"/>
      <c r="AB156" s="267" t="s">
        <v>1495</v>
      </c>
      <c r="AC156" s="263"/>
      <c r="AD156" s="731"/>
      <c r="AE156" s="731">
        <v>1</v>
      </c>
    </row>
    <row r="157" spans="1:31" s="224" customFormat="1" ht="13.5" customHeight="1">
      <c r="A157" s="225">
        <f t="shared" si="4"/>
        <v>149</v>
      </c>
      <c r="B157" s="217"/>
      <c r="C157" s="219"/>
      <c r="D157" s="241" t="s">
        <v>1496</v>
      </c>
      <c r="E157" s="241"/>
      <c r="F157" s="241"/>
      <c r="G157" s="241"/>
      <c r="H157" s="773" t="s">
        <v>2798</v>
      </c>
      <c r="I157" s="729">
        <v>31</v>
      </c>
      <c r="J157" s="812"/>
      <c r="K157" s="813" t="s">
        <v>1498</v>
      </c>
      <c r="L157" s="728"/>
      <c r="M157" s="728"/>
      <c r="N157" s="728"/>
      <c r="O157" s="728"/>
      <c r="P157" s="730"/>
      <c r="Q157" s="728" t="s">
        <v>817</v>
      </c>
      <c r="R157" s="730"/>
      <c r="S157" s="812" t="s">
        <v>1380</v>
      </c>
      <c r="T157" s="731"/>
      <c r="U157" s="728"/>
      <c r="V157" s="732"/>
      <c r="W157" s="260" t="s">
        <v>864</v>
      </c>
      <c r="X157" s="260" t="s">
        <v>864</v>
      </c>
      <c r="Y157" s="232"/>
      <c r="Z157" s="733"/>
      <c r="AA157" s="728"/>
      <c r="AB157" s="734"/>
      <c r="AC157" s="728"/>
      <c r="AD157" s="731"/>
      <c r="AE157" s="731">
        <v>1</v>
      </c>
    </row>
    <row r="158" spans="1:31" s="224" customFormat="1" ht="13.5" customHeight="1">
      <c r="A158" s="225">
        <f t="shared" si="4"/>
        <v>150</v>
      </c>
      <c r="B158" s="217"/>
      <c r="C158" s="219"/>
      <c r="D158" s="241" t="s">
        <v>1499</v>
      </c>
      <c r="E158" s="241"/>
      <c r="F158" s="241"/>
      <c r="G158" s="241"/>
      <c r="H158" s="773" t="s">
        <v>2799</v>
      </c>
      <c r="I158" s="729">
        <v>109</v>
      </c>
      <c r="J158" s="812"/>
      <c r="K158" s="813" t="s">
        <v>1182</v>
      </c>
      <c r="L158" s="728"/>
      <c r="M158" s="728"/>
      <c r="N158" s="728"/>
      <c r="O158" s="728"/>
      <c r="P158" s="730"/>
      <c r="Q158" s="728" t="s">
        <v>817</v>
      </c>
      <c r="R158" s="730"/>
      <c r="S158" s="812" t="s">
        <v>1380</v>
      </c>
      <c r="T158" s="731"/>
      <c r="U158" s="728"/>
      <c r="V158" s="732"/>
      <c r="W158" s="260" t="s">
        <v>864</v>
      </c>
      <c r="X158" s="260" t="s">
        <v>864</v>
      </c>
      <c r="Y158" s="232"/>
      <c r="Z158" s="733"/>
      <c r="AA158" s="728"/>
      <c r="AB158" s="734"/>
      <c r="AC158" s="728"/>
      <c r="AD158" s="731"/>
      <c r="AE158" s="731">
        <v>1</v>
      </c>
    </row>
    <row r="159" spans="1:31" s="224" customFormat="1" ht="12.75" customHeight="1">
      <c r="A159" s="225">
        <f t="shared" si="4"/>
        <v>151</v>
      </c>
      <c r="B159" s="217"/>
      <c r="C159" s="219"/>
      <c r="D159" s="241" t="s">
        <v>1501</v>
      </c>
      <c r="E159" s="241"/>
      <c r="F159" s="241"/>
      <c r="G159" s="241"/>
      <c r="H159" s="773" t="s">
        <v>2800</v>
      </c>
      <c r="I159" s="771" t="s">
        <v>1503</v>
      </c>
      <c r="J159" s="812"/>
      <c r="K159" s="813" t="s">
        <v>1504</v>
      </c>
      <c r="L159" s="728"/>
      <c r="M159" s="728"/>
      <c r="N159" s="728"/>
      <c r="O159" s="728"/>
      <c r="P159" s="730"/>
      <c r="Q159" s="728" t="s">
        <v>817</v>
      </c>
      <c r="R159" s="730"/>
      <c r="S159" s="815" t="s">
        <v>863</v>
      </c>
      <c r="T159" s="281"/>
      <c r="U159" s="728" t="s">
        <v>1680</v>
      </c>
      <c r="V159" s="732"/>
      <c r="W159" s="260" t="s">
        <v>864</v>
      </c>
      <c r="X159" s="260" t="s">
        <v>864</v>
      </c>
      <c r="Y159" s="232"/>
      <c r="Z159" s="379"/>
      <c r="AA159" s="728"/>
      <c r="AB159" s="734"/>
      <c r="AC159" s="728"/>
      <c r="AD159" s="731"/>
      <c r="AE159" s="731">
        <v>1</v>
      </c>
    </row>
    <row r="160" spans="1:31" s="224" customFormat="1" ht="13.5" customHeight="1">
      <c r="A160" s="225">
        <f t="shared" si="4"/>
        <v>152</v>
      </c>
      <c r="B160" s="217"/>
      <c r="C160" s="239"/>
      <c r="D160" s="241" t="s">
        <v>1681</v>
      </c>
      <c r="E160" s="241"/>
      <c r="F160" s="241"/>
      <c r="G160" s="241"/>
      <c r="H160" s="773" t="s">
        <v>2801</v>
      </c>
      <c r="I160" s="729" t="s">
        <v>1507</v>
      </c>
      <c r="J160" s="812"/>
      <c r="K160" s="813" t="s">
        <v>1508</v>
      </c>
      <c r="L160" s="728"/>
      <c r="M160" s="728"/>
      <c r="N160" s="728"/>
      <c r="O160" s="728"/>
      <c r="P160" s="730"/>
      <c r="Q160" s="728" t="s">
        <v>817</v>
      </c>
      <c r="R160" s="730"/>
      <c r="S160" s="812" t="s">
        <v>863</v>
      </c>
      <c r="T160" s="731" t="s">
        <v>864</v>
      </c>
      <c r="U160" s="728" t="s">
        <v>1635</v>
      </c>
      <c r="V160" s="732"/>
      <c r="W160" s="260" t="s">
        <v>864</v>
      </c>
      <c r="X160" s="260" t="s">
        <v>864</v>
      </c>
      <c r="Y160" s="232"/>
      <c r="Z160" s="386" t="s">
        <v>1509</v>
      </c>
      <c r="AA160" s="728"/>
      <c r="AB160" s="734"/>
      <c r="AC160" s="728"/>
      <c r="AD160" s="731"/>
      <c r="AE160" s="731">
        <v>1</v>
      </c>
    </row>
    <row r="161" spans="1:31" s="224" customFormat="1" ht="13.5" customHeight="1">
      <c r="A161" s="225">
        <f t="shared" si="4"/>
        <v>153</v>
      </c>
      <c r="B161" s="217"/>
      <c r="C161" s="219" t="s">
        <v>1510</v>
      </c>
      <c r="D161" s="241"/>
      <c r="E161" s="241"/>
      <c r="F161" s="241"/>
      <c r="G161" s="241"/>
      <c r="H161" s="773" t="s">
        <v>2805</v>
      </c>
      <c r="I161" s="729"/>
      <c r="J161" s="812"/>
      <c r="K161" s="813" t="s">
        <v>1511</v>
      </c>
      <c r="L161" s="728"/>
      <c r="M161" s="728"/>
      <c r="N161" s="728"/>
      <c r="O161" s="728"/>
      <c r="P161" s="730"/>
      <c r="Q161" s="728" t="s">
        <v>817</v>
      </c>
      <c r="R161" s="730" t="s">
        <v>864</v>
      </c>
      <c r="S161" s="378" t="s">
        <v>1511</v>
      </c>
      <c r="T161" s="731"/>
      <c r="U161" s="728"/>
      <c r="V161" s="732"/>
      <c r="W161" s="260" t="s">
        <v>864</v>
      </c>
      <c r="X161" s="260" t="s">
        <v>864</v>
      </c>
      <c r="Y161" s="232"/>
      <c r="Z161" s="733"/>
      <c r="AA161" s="728"/>
      <c r="AB161" s="734"/>
      <c r="AC161" s="728"/>
      <c r="AD161" s="731"/>
      <c r="AE161" s="731">
        <v>1</v>
      </c>
    </row>
    <row r="162" spans="1:31" s="224" customFormat="1" ht="13.5" customHeight="1">
      <c r="A162" s="225">
        <f t="shared" si="4"/>
        <v>154</v>
      </c>
      <c r="B162" s="217"/>
      <c r="C162" s="219"/>
      <c r="D162" s="241" t="s">
        <v>1512</v>
      </c>
      <c r="E162" s="241" t="s">
        <v>1627</v>
      </c>
      <c r="F162" s="241"/>
      <c r="G162" s="241"/>
      <c r="H162" s="773" t="s">
        <v>2802</v>
      </c>
      <c r="I162" s="729"/>
      <c r="J162" s="812"/>
      <c r="K162" s="813" t="s">
        <v>1514</v>
      </c>
      <c r="L162" s="728"/>
      <c r="M162" s="728"/>
      <c r="N162" s="728"/>
      <c r="O162" s="728"/>
      <c r="P162" s="730"/>
      <c r="Q162" s="728" t="s">
        <v>817</v>
      </c>
      <c r="R162" s="730" t="s">
        <v>864</v>
      </c>
      <c r="S162" s="378" t="s">
        <v>1625</v>
      </c>
      <c r="T162" s="731" t="s">
        <v>864</v>
      </c>
      <c r="U162" s="728"/>
      <c r="V162" s="732"/>
      <c r="W162" s="260" t="s">
        <v>864</v>
      </c>
      <c r="X162" s="260" t="s">
        <v>864</v>
      </c>
      <c r="Y162" s="232"/>
      <c r="Z162" s="733" t="s">
        <v>1515</v>
      </c>
      <c r="AA162" s="728"/>
      <c r="AB162" s="734"/>
      <c r="AC162" s="728"/>
      <c r="AD162" s="731"/>
      <c r="AE162" s="731">
        <v>1</v>
      </c>
    </row>
    <row r="163" spans="1:31" s="224" customFormat="1" ht="14.25" customHeight="1">
      <c r="A163" s="225">
        <f t="shared" si="4"/>
        <v>155</v>
      </c>
      <c r="B163" s="217"/>
      <c r="C163" s="219"/>
      <c r="D163" s="241" t="s">
        <v>1516</v>
      </c>
      <c r="E163" s="241" t="s">
        <v>1627</v>
      </c>
      <c r="F163" s="241"/>
      <c r="G163" s="241"/>
      <c r="H163" s="773" t="s">
        <v>2803</v>
      </c>
      <c r="I163" s="729"/>
      <c r="J163" s="812"/>
      <c r="K163" s="813" t="s">
        <v>1518</v>
      </c>
      <c r="L163" s="728"/>
      <c r="M163" s="728"/>
      <c r="N163" s="728"/>
      <c r="O163" s="728"/>
      <c r="P163" s="730"/>
      <c r="Q163" s="728" t="s">
        <v>823</v>
      </c>
      <c r="R163" s="730" t="s">
        <v>864</v>
      </c>
      <c r="S163" s="378" t="s">
        <v>1625</v>
      </c>
      <c r="T163" s="268" t="s">
        <v>864</v>
      </c>
      <c r="U163" s="255"/>
      <c r="V163" s="732"/>
      <c r="W163" s="260" t="s">
        <v>864</v>
      </c>
      <c r="X163" s="260" t="s">
        <v>864</v>
      </c>
      <c r="Y163" s="232"/>
      <c r="Z163" s="733" t="s">
        <v>1515</v>
      </c>
      <c r="AA163" s="728"/>
      <c r="AB163" s="734"/>
      <c r="AC163" s="728"/>
      <c r="AD163" s="731"/>
      <c r="AE163" s="731">
        <v>1</v>
      </c>
    </row>
    <row r="164" spans="1:31" s="224" customFormat="1" ht="13.5" hidden="1" customHeight="1">
      <c r="A164" s="225">
        <f t="shared" si="4"/>
        <v>156</v>
      </c>
      <c r="B164" s="217"/>
      <c r="C164" s="219" t="s">
        <v>1519</v>
      </c>
      <c r="D164" s="241" t="s">
        <v>1627</v>
      </c>
      <c r="E164" s="241"/>
      <c r="F164" s="241"/>
      <c r="G164" s="241"/>
      <c r="H164" s="728" t="s">
        <v>1520</v>
      </c>
      <c r="I164" s="729"/>
      <c r="J164" s="812"/>
      <c r="K164" s="813" t="s">
        <v>1521</v>
      </c>
      <c r="L164" s="728"/>
      <c r="M164" s="728"/>
      <c r="N164" s="728"/>
      <c r="O164" s="728"/>
      <c r="P164" s="730"/>
      <c r="Q164" s="728" t="s">
        <v>817</v>
      </c>
      <c r="R164" s="730" t="s">
        <v>864</v>
      </c>
      <c r="S164" s="378" t="s">
        <v>1625</v>
      </c>
      <c r="T164" s="268" t="s">
        <v>864</v>
      </c>
      <c r="U164" s="728"/>
      <c r="V164" s="732"/>
      <c r="W164" s="732"/>
      <c r="X164" s="732"/>
      <c r="Y164" s="232"/>
      <c r="Z164" s="733" t="s">
        <v>1515</v>
      </c>
      <c r="AA164" s="728"/>
      <c r="AB164" s="734"/>
      <c r="AC164" s="728"/>
      <c r="AD164" s="731"/>
      <c r="AE164" s="731">
        <v>1</v>
      </c>
    </row>
    <row r="165" spans="1:31" s="224" customFormat="1" ht="13.5" customHeight="1">
      <c r="A165" s="225">
        <f t="shared" si="4"/>
        <v>157</v>
      </c>
      <c r="B165" s="217"/>
      <c r="C165" s="219" t="s">
        <v>1682</v>
      </c>
      <c r="D165" s="241"/>
      <c r="E165" s="241"/>
      <c r="F165" s="241"/>
      <c r="G165" s="241"/>
      <c r="H165" s="773" t="s">
        <v>2804</v>
      </c>
      <c r="I165" s="729"/>
      <c r="J165" s="812"/>
      <c r="K165" s="813" t="s">
        <v>939</v>
      </c>
      <c r="L165" s="728"/>
      <c r="M165" s="728"/>
      <c r="N165" s="728"/>
      <c r="O165" s="728"/>
      <c r="P165" s="730"/>
      <c r="Q165" s="737" t="s">
        <v>823</v>
      </c>
      <c r="R165" s="730"/>
      <c r="S165" s="812" t="s">
        <v>863</v>
      </c>
      <c r="T165" s="731"/>
      <c r="U165" s="728"/>
      <c r="V165" s="732"/>
      <c r="W165" s="732" t="s">
        <v>864</v>
      </c>
      <c r="X165" s="732" t="s">
        <v>864</v>
      </c>
      <c r="Y165" s="232"/>
      <c r="Z165" s="733"/>
      <c r="AA165" s="728"/>
      <c r="AB165" s="734"/>
      <c r="AC165" s="728"/>
      <c r="AD165" s="731"/>
      <c r="AE165" s="731">
        <v>1</v>
      </c>
    </row>
    <row r="166" spans="1:31" s="224" customFormat="1" ht="13.5" customHeight="1">
      <c r="A166" s="225">
        <f t="shared" si="4"/>
        <v>158</v>
      </c>
      <c r="B166" s="219" t="s">
        <v>1683</v>
      </c>
      <c r="C166" s="241"/>
      <c r="D166" s="241"/>
      <c r="E166" s="241"/>
      <c r="F166" s="241"/>
      <c r="G166" s="241"/>
      <c r="H166" s="728" t="s">
        <v>1684</v>
      </c>
      <c r="I166" s="729"/>
      <c r="J166" s="812"/>
      <c r="K166" s="813" t="s">
        <v>1524</v>
      </c>
      <c r="L166" s="728"/>
      <c r="M166" s="728"/>
      <c r="N166" s="728"/>
      <c r="O166" s="728"/>
      <c r="P166" s="730"/>
      <c r="Q166" s="737" t="s">
        <v>823</v>
      </c>
      <c r="R166" s="730" t="s">
        <v>864</v>
      </c>
      <c r="S166" s="378" t="s">
        <v>1524</v>
      </c>
      <c r="T166" s="731"/>
      <c r="U166" s="728"/>
      <c r="V166" s="732"/>
      <c r="W166" s="260" t="s">
        <v>864</v>
      </c>
      <c r="X166" s="260" t="s">
        <v>864</v>
      </c>
      <c r="Y166" s="232"/>
      <c r="Z166" s="733" t="s">
        <v>1525</v>
      </c>
      <c r="AA166" s="728"/>
      <c r="AB166" s="734"/>
      <c r="AC166" s="728"/>
      <c r="AD166" s="731"/>
      <c r="AE166" s="731">
        <v>1</v>
      </c>
    </row>
    <row r="167" spans="1:31" s="224" customFormat="1" ht="13.5" customHeight="1">
      <c r="A167" s="225">
        <f t="shared" si="4"/>
        <v>159</v>
      </c>
      <c r="B167" s="217"/>
      <c r="C167" s="217" t="s">
        <v>1404</v>
      </c>
      <c r="D167" s="241"/>
      <c r="E167" s="241"/>
      <c r="F167" s="241"/>
      <c r="G167" s="241"/>
      <c r="H167" s="773" t="s">
        <v>2806</v>
      </c>
      <c r="I167" s="776" t="s">
        <v>2809</v>
      </c>
      <c r="J167" s="812"/>
      <c r="K167" s="813" t="s">
        <v>1685</v>
      </c>
      <c r="L167" s="728"/>
      <c r="M167" s="728"/>
      <c r="N167" s="728"/>
      <c r="O167" s="728"/>
      <c r="P167" s="730"/>
      <c r="Q167" s="728" t="s">
        <v>817</v>
      </c>
      <c r="R167" s="730"/>
      <c r="S167" s="812" t="s">
        <v>863</v>
      </c>
      <c r="T167" s="731"/>
      <c r="U167" s="728"/>
      <c r="V167" s="732"/>
      <c r="W167" s="260" t="s">
        <v>864</v>
      </c>
      <c r="X167" s="260" t="s">
        <v>864</v>
      </c>
      <c r="Y167" s="232"/>
      <c r="Z167" s="733"/>
      <c r="AA167" s="263"/>
      <c r="AB167" s="734"/>
      <c r="AC167" s="728"/>
      <c r="AD167" s="731"/>
      <c r="AE167" s="731">
        <v>1</v>
      </c>
    </row>
    <row r="168" spans="1:31" s="224" customFormat="1" ht="13.5" customHeight="1">
      <c r="A168" s="225">
        <f t="shared" si="4"/>
        <v>160</v>
      </c>
      <c r="B168" s="219"/>
      <c r="C168" s="241" t="s">
        <v>1686</v>
      </c>
      <c r="D168" s="241"/>
      <c r="E168" s="241"/>
      <c r="F168" s="241"/>
      <c r="G168" s="241"/>
      <c r="H168" s="773" t="s">
        <v>2807</v>
      </c>
      <c r="I168" s="729"/>
      <c r="J168" s="812"/>
      <c r="K168" s="813" t="s">
        <v>1395</v>
      </c>
      <c r="L168" s="728"/>
      <c r="M168" s="728"/>
      <c r="N168" s="728"/>
      <c r="O168" s="728"/>
      <c r="P168" s="730"/>
      <c r="Q168" s="728" t="s">
        <v>820</v>
      </c>
      <c r="R168" s="730" t="s">
        <v>864</v>
      </c>
      <c r="S168" s="378" t="s">
        <v>1395</v>
      </c>
      <c r="T168" s="731"/>
      <c r="U168" s="728"/>
      <c r="V168" s="732"/>
      <c r="W168" s="260" t="s">
        <v>864</v>
      </c>
      <c r="X168" s="260" t="s">
        <v>864</v>
      </c>
      <c r="Y168" s="232"/>
      <c r="Z168" s="733"/>
      <c r="AA168" s="728"/>
      <c r="AB168" s="734"/>
      <c r="AC168" s="728"/>
      <c r="AD168" s="731"/>
      <c r="AE168" s="731">
        <v>1</v>
      </c>
    </row>
    <row r="169" spans="1:31" s="224" customFormat="1" ht="13.5" customHeight="1">
      <c r="A169" s="225">
        <f t="shared" si="4"/>
        <v>161</v>
      </c>
      <c r="B169" s="216"/>
      <c r="C169" s="216"/>
      <c r="D169" s="241" t="s">
        <v>1304</v>
      </c>
      <c r="E169" s="241"/>
      <c r="F169" s="241"/>
      <c r="G169" s="241"/>
      <c r="H169" s="773" t="s">
        <v>2808</v>
      </c>
      <c r="I169" s="736"/>
      <c r="J169" s="812"/>
      <c r="K169" s="813" t="s">
        <v>1303</v>
      </c>
      <c r="L169" s="728"/>
      <c r="M169" s="728"/>
      <c r="N169" s="728"/>
      <c r="O169" s="728"/>
      <c r="P169" s="730"/>
      <c r="Q169" s="728" t="s">
        <v>817</v>
      </c>
      <c r="R169" s="730" t="s">
        <v>864</v>
      </c>
      <c r="S169" s="378" t="s">
        <v>1303</v>
      </c>
      <c r="T169" s="731"/>
      <c r="U169" s="731"/>
      <c r="V169" s="732"/>
      <c r="W169" s="260" t="s">
        <v>864</v>
      </c>
      <c r="X169" s="260" t="s">
        <v>864</v>
      </c>
      <c r="Y169" s="232"/>
      <c r="Z169" s="384" t="s">
        <v>1397</v>
      </c>
      <c r="AA169" s="728"/>
      <c r="AB169" s="734"/>
      <c r="AC169" s="728"/>
      <c r="AD169" s="731"/>
      <c r="AE169" s="731">
        <v>1</v>
      </c>
    </row>
    <row r="170" spans="1:31" s="224" customFormat="1" ht="13.5" hidden="1" customHeight="1">
      <c r="A170" s="225">
        <f t="shared" si="4"/>
        <v>162</v>
      </c>
      <c r="B170" s="216"/>
      <c r="C170" s="216"/>
      <c r="D170" s="241" t="s">
        <v>831</v>
      </c>
      <c r="E170" s="241"/>
      <c r="F170" s="241"/>
      <c r="G170" s="241"/>
      <c r="H170" s="728" t="s">
        <v>1398</v>
      </c>
      <c r="I170" s="736"/>
      <c r="J170" s="812"/>
      <c r="K170" s="813" t="s">
        <v>1218</v>
      </c>
      <c r="L170" s="728"/>
      <c r="M170" s="728"/>
      <c r="N170" s="728"/>
      <c r="O170" s="728"/>
      <c r="P170" s="730"/>
      <c r="Q170" s="728" t="s">
        <v>817</v>
      </c>
      <c r="R170" s="730"/>
      <c r="S170" s="812" t="s">
        <v>863</v>
      </c>
      <c r="T170" s="731"/>
      <c r="U170" s="741"/>
      <c r="V170" s="732"/>
      <c r="W170" s="260"/>
      <c r="X170" s="260" t="s">
        <v>864</v>
      </c>
      <c r="Y170" s="232"/>
      <c r="Z170" s="733"/>
      <c r="AA170" s="728"/>
      <c r="AB170" s="734"/>
      <c r="AC170" s="728"/>
      <c r="AD170" s="731"/>
      <c r="AE170" s="731">
        <v>1</v>
      </c>
    </row>
    <row r="171" spans="1:31" s="224" customFormat="1" ht="13.5" customHeight="1">
      <c r="A171" s="225">
        <f t="shared" si="4"/>
        <v>163</v>
      </c>
      <c r="B171" s="217"/>
      <c r="C171" s="217"/>
      <c r="D171" s="241" t="s">
        <v>1399</v>
      </c>
      <c r="E171" s="241"/>
      <c r="F171" s="241"/>
      <c r="G171" s="241"/>
      <c r="H171" s="773" t="s">
        <v>2811</v>
      </c>
      <c r="I171" s="776" t="s">
        <v>1350</v>
      </c>
      <c r="J171" s="812"/>
      <c r="K171" s="813" t="s">
        <v>1352</v>
      </c>
      <c r="L171" s="728"/>
      <c r="M171" s="728"/>
      <c r="N171" s="728"/>
      <c r="O171" s="728"/>
      <c r="P171" s="730"/>
      <c r="Q171" s="728" t="s">
        <v>820</v>
      </c>
      <c r="R171" s="730"/>
      <c r="S171" s="812" t="s">
        <v>863</v>
      </c>
      <c r="T171" s="731" t="s">
        <v>864</v>
      </c>
      <c r="U171" s="729" t="s">
        <v>1687</v>
      </c>
      <c r="V171" s="732"/>
      <c r="W171" s="260" t="s">
        <v>864</v>
      </c>
      <c r="X171" s="260" t="s">
        <v>864</v>
      </c>
      <c r="Y171" s="232"/>
      <c r="Z171" s="733"/>
      <c r="AA171" s="728"/>
      <c r="AB171" s="734"/>
      <c r="AC171" s="728"/>
      <c r="AD171" s="731"/>
      <c r="AE171" s="731">
        <v>1</v>
      </c>
    </row>
    <row r="172" spans="1:31" s="224" customFormat="1" ht="13.5" customHeight="1">
      <c r="A172" s="225">
        <f>ROW()-8</f>
        <v>164</v>
      </c>
      <c r="B172" s="217"/>
      <c r="C172" s="217" t="s">
        <v>1688</v>
      </c>
      <c r="D172" s="241"/>
      <c r="E172" s="241"/>
      <c r="F172" s="241"/>
      <c r="G172" s="241"/>
      <c r="H172" s="773" t="s">
        <v>2814</v>
      </c>
      <c r="I172" s="774" t="s">
        <v>2810</v>
      </c>
      <c r="J172" s="812"/>
      <c r="K172" s="813" t="s">
        <v>1689</v>
      </c>
      <c r="L172" s="728"/>
      <c r="M172" s="728"/>
      <c r="N172" s="728"/>
      <c r="O172" s="728"/>
      <c r="P172" s="730"/>
      <c r="Q172" s="728" t="s">
        <v>817</v>
      </c>
      <c r="R172" s="730"/>
      <c r="S172" s="812" t="s">
        <v>863</v>
      </c>
      <c r="T172" s="731"/>
      <c r="U172" s="728"/>
      <c r="V172" s="732"/>
      <c r="W172" s="732" t="s">
        <v>864</v>
      </c>
      <c r="X172" s="732"/>
      <c r="Y172" s="232"/>
      <c r="Z172" s="733" t="s">
        <v>1690</v>
      </c>
      <c r="AA172" s="728"/>
      <c r="AB172" s="734"/>
      <c r="AC172" s="728"/>
      <c r="AD172" s="731"/>
      <c r="AE172" s="731">
        <v>1</v>
      </c>
    </row>
    <row r="173" spans="1:31" s="224" customFormat="1" ht="13.5" customHeight="1">
      <c r="A173" s="225">
        <f t="shared" si="4"/>
        <v>165</v>
      </c>
      <c r="B173" s="219"/>
      <c r="C173" s="239" t="s">
        <v>1691</v>
      </c>
      <c r="D173" s="241"/>
      <c r="E173" s="241"/>
      <c r="F173" s="241"/>
      <c r="G173" s="241"/>
      <c r="H173" s="773" t="s">
        <v>2812</v>
      </c>
      <c r="I173" s="729" t="s">
        <v>930</v>
      </c>
      <c r="J173" s="812"/>
      <c r="K173" s="813" t="s">
        <v>931</v>
      </c>
      <c r="L173" s="728"/>
      <c r="M173" s="728"/>
      <c r="N173" s="728"/>
      <c r="O173" s="728"/>
      <c r="P173" s="730"/>
      <c r="Q173" s="728" t="s">
        <v>817</v>
      </c>
      <c r="R173" s="730"/>
      <c r="S173" s="812" t="s">
        <v>879</v>
      </c>
      <c r="T173" s="731"/>
      <c r="U173" s="728"/>
      <c r="V173" s="732"/>
      <c r="W173" s="732" t="s">
        <v>864</v>
      </c>
      <c r="X173" s="732" t="s">
        <v>864</v>
      </c>
      <c r="Y173" s="232"/>
      <c r="Z173" s="733"/>
      <c r="AA173" s="728"/>
      <c r="AB173" s="734"/>
      <c r="AC173" s="728"/>
      <c r="AD173" s="731"/>
      <c r="AE173" s="731">
        <v>1</v>
      </c>
    </row>
    <row r="174" spans="1:31" s="224" customFormat="1" ht="13.5" customHeight="1">
      <c r="A174" s="225">
        <f t="shared" si="4"/>
        <v>166</v>
      </c>
      <c r="B174" s="219"/>
      <c r="C174" s="241" t="s">
        <v>1532</v>
      </c>
      <c r="D174" s="241"/>
      <c r="E174" s="241"/>
      <c r="F174" s="241"/>
      <c r="G174" s="241"/>
      <c r="H174" s="773" t="s">
        <v>2813</v>
      </c>
      <c r="I174" s="729"/>
      <c r="J174" s="812"/>
      <c r="K174" s="813" t="s">
        <v>939</v>
      </c>
      <c r="L174" s="728"/>
      <c r="M174" s="728"/>
      <c r="N174" s="728"/>
      <c r="O174" s="728"/>
      <c r="P174" s="730"/>
      <c r="Q174" s="728" t="s">
        <v>820</v>
      </c>
      <c r="R174" s="730"/>
      <c r="S174" s="812" t="s">
        <v>863</v>
      </c>
      <c r="T174" s="731"/>
      <c r="U174" s="728"/>
      <c r="V174" s="732"/>
      <c r="W174" s="260" t="s">
        <v>864</v>
      </c>
      <c r="X174" s="260" t="s">
        <v>864</v>
      </c>
      <c r="Y174" s="232"/>
      <c r="Z174" s="733"/>
      <c r="AA174" s="728"/>
      <c r="AB174" s="734"/>
      <c r="AC174" s="728"/>
      <c r="AD174" s="731"/>
      <c r="AE174" s="731">
        <v>1</v>
      </c>
    </row>
    <row r="175" spans="1:31" s="224" customFormat="1" ht="13.5" hidden="1" customHeight="1">
      <c r="A175" s="225">
        <f t="shared" si="4"/>
        <v>167</v>
      </c>
      <c r="B175" s="219"/>
      <c r="C175" s="241" t="s">
        <v>1534</v>
      </c>
      <c r="D175" s="241"/>
      <c r="E175" s="241"/>
      <c r="F175" s="241"/>
      <c r="G175" s="241"/>
      <c r="H175" s="728" t="s">
        <v>1535</v>
      </c>
      <c r="I175" s="729"/>
      <c r="J175" s="812"/>
      <c r="K175" s="813" t="s">
        <v>1536</v>
      </c>
      <c r="L175" s="728"/>
      <c r="M175" s="728"/>
      <c r="N175" s="728"/>
      <c r="O175" s="728"/>
      <c r="P175" s="730"/>
      <c r="Q175" s="728" t="s">
        <v>817</v>
      </c>
      <c r="R175" s="730"/>
      <c r="S175" s="812" t="s">
        <v>863</v>
      </c>
      <c r="T175" s="731"/>
      <c r="U175" s="728"/>
      <c r="V175" s="732"/>
      <c r="W175" s="260"/>
      <c r="X175" s="260" t="s">
        <v>864</v>
      </c>
      <c r="Y175" s="232"/>
      <c r="Z175" s="733"/>
      <c r="AA175" s="728"/>
      <c r="AB175" s="734"/>
      <c r="AC175" s="728"/>
      <c r="AD175" s="731"/>
      <c r="AE175" s="731">
        <v>1</v>
      </c>
    </row>
    <row r="176" spans="1:31" s="224" customFormat="1" ht="13.5" hidden="1" customHeight="1">
      <c r="A176" s="225">
        <f t="shared" si="4"/>
        <v>168</v>
      </c>
      <c r="B176" s="219"/>
      <c r="C176" s="241" t="s">
        <v>1537</v>
      </c>
      <c r="D176" s="241"/>
      <c r="E176" s="241"/>
      <c r="F176" s="241"/>
      <c r="G176" s="241"/>
      <c r="H176" s="728" t="s">
        <v>1538</v>
      </c>
      <c r="I176" s="729"/>
      <c r="J176" s="812"/>
      <c r="K176" s="813" t="s">
        <v>1539</v>
      </c>
      <c r="L176" s="728"/>
      <c r="M176" s="728"/>
      <c r="N176" s="728"/>
      <c r="O176" s="728"/>
      <c r="P176" s="730"/>
      <c r="Q176" s="728" t="s">
        <v>817</v>
      </c>
      <c r="R176" s="730"/>
      <c r="S176" s="812" t="s">
        <v>863</v>
      </c>
      <c r="T176" s="731"/>
      <c r="U176" s="728"/>
      <c r="V176" s="732"/>
      <c r="W176" s="260"/>
      <c r="X176" s="260" t="s">
        <v>864</v>
      </c>
      <c r="Y176" s="232"/>
      <c r="Z176" s="733"/>
      <c r="AA176" s="728"/>
      <c r="AB176" s="734"/>
      <c r="AC176" s="728"/>
      <c r="AD176" s="731"/>
      <c r="AE176" s="731">
        <v>1</v>
      </c>
    </row>
    <row r="177" spans="1:31" s="224" customFormat="1" ht="13.5" hidden="1" customHeight="1">
      <c r="A177" s="225">
        <f t="shared" ref="A177:A205" si="5">ROW()-8</f>
        <v>169</v>
      </c>
      <c r="B177" s="219"/>
      <c r="C177" s="241" t="s">
        <v>1540</v>
      </c>
      <c r="D177" s="241"/>
      <c r="E177" s="241"/>
      <c r="F177" s="241"/>
      <c r="G177" s="241"/>
      <c r="H177" s="728" t="s">
        <v>1541</v>
      </c>
      <c r="I177" s="729"/>
      <c r="J177" s="812"/>
      <c r="K177" s="813" t="s">
        <v>1542</v>
      </c>
      <c r="L177" s="728"/>
      <c r="M177" s="728"/>
      <c r="N177" s="728"/>
      <c r="O177" s="728"/>
      <c r="P177" s="730"/>
      <c r="Q177" s="728" t="s">
        <v>817</v>
      </c>
      <c r="R177" s="730"/>
      <c r="S177" s="812" t="s">
        <v>863</v>
      </c>
      <c r="T177" s="731"/>
      <c r="U177" s="728"/>
      <c r="V177" s="732"/>
      <c r="W177" s="260"/>
      <c r="X177" s="260" t="s">
        <v>864</v>
      </c>
      <c r="Y177" s="232"/>
      <c r="Z177" s="733"/>
      <c r="AA177" s="728"/>
      <c r="AB177" s="734"/>
      <c r="AC177" s="728"/>
      <c r="AD177" s="731"/>
      <c r="AE177" s="731">
        <v>1</v>
      </c>
    </row>
    <row r="178" spans="1:31" s="224" customFormat="1" ht="13.5" hidden="1" customHeight="1">
      <c r="A178" s="225">
        <f t="shared" si="5"/>
        <v>170</v>
      </c>
      <c r="B178" s="217" t="s">
        <v>1543</v>
      </c>
      <c r="C178" s="219"/>
      <c r="D178" s="241"/>
      <c r="E178" s="241"/>
      <c r="F178" s="241"/>
      <c r="G178" s="241"/>
      <c r="H178" s="269" t="s">
        <v>1544</v>
      </c>
      <c r="I178" s="729"/>
      <c r="J178" s="812"/>
      <c r="K178" s="813" t="s">
        <v>1545</v>
      </c>
      <c r="L178" s="728"/>
      <c r="M178" s="728"/>
      <c r="N178" s="728"/>
      <c r="O178" s="728"/>
      <c r="P178" s="730"/>
      <c r="Q178" s="728" t="s">
        <v>823</v>
      </c>
      <c r="R178" s="730" t="s">
        <v>864</v>
      </c>
      <c r="S178" s="243" t="s">
        <v>1545</v>
      </c>
      <c r="T178" s="731"/>
      <c r="U178" s="728"/>
      <c r="V178" s="732"/>
      <c r="W178" s="260"/>
      <c r="X178" s="260" t="s">
        <v>864</v>
      </c>
      <c r="Y178" s="232"/>
      <c r="Z178" s="266" t="s">
        <v>1546</v>
      </c>
      <c r="AA178" s="263" t="s">
        <v>1547</v>
      </c>
      <c r="AB178" s="734"/>
      <c r="AC178" s="728"/>
      <c r="AD178" s="731"/>
      <c r="AE178" s="731">
        <v>1</v>
      </c>
    </row>
    <row r="179" spans="1:31" s="224" customFormat="1" ht="13.5" hidden="1" customHeight="1">
      <c r="A179" s="225">
        <f t="shared" si="5"/>
        <v>171</v>
      </c>
      <c r="B179" s="217"/>
      <c r="C179" s="217" t="s">
        <v>1404</v>
      </c>
      <c r="D179" s="241"/>
      <c r="E179" s="241"/>
      <c r="F179" s="241"/>
      <c r="G179" s="241"/>
      <c r="H179" s="728" t="s">
        <v>1692</v>
      </c>
      <c r="I179" s="729"/>
      <c r="J179" s="812"/>
      <c r="K179" s="813" t="s">
        <v>1685</v>
      </c>
      <c r="L179" s="728"/>
      <c r="M179" s="728"/>
      <c r="N179" s="728"/>
      <c r="O179" s="728"/>
      <c r="P179" s="730"/>
      <c r="Q179" s="728" t="s">
        <v>817</v>
      </c>
      <c r="R179" s="730"/>
      <c r="S179" s="812" t="s">
        <v>863</v>
      </c>
      <c r="T179" s="731"/>
      <c r="U179" s="728"/>
      <c r="V179" s="732"/>
      <c r="W179" s="260"/>
      <c r="X179" s="260" t="s">
        <v>864</v>
      </c>
      <c r="Y179" s="232"/>
      <c r="Z179" s="733"/>
      <c r="AA179" s="263"/>
      <c r="AB179" s="734"/>
      <c r="AC179" s="728"/>
      <c r="AD179" s="731"/>
      <c r="AE179" s="731">
        <v>1</v>
      </c>
    </row>
    <row r="180" spans="1:31" s="158" customFormat="1" ht="12.75" hidden="1" customHeight="1">
      <c r="A180" s="225">
        <f t="shared" si="5"/>
        <v>172</v>
      </c>
      <c r="B180" s="217"/>
      <c r="C180" s="241" t="s">
        <v>1548</v>
      </c>
      <c r="D180" s="241"/>
      <c r="E180" s="241"/>
      <c r="F180" s="241"/>
      <c r="G180" s="241"/>
      <c r="H180" s="728" t="s">
        <v>1549</v>
      </c>
      <c r="I180" s="729" t="s">
        <v>930</v>
      </c>
      <c r="J180" s="812"/>
      <c r="K180" s="813" t="s">
        <v>931</v>
      </c>
      <c r="L180" s="728"/>
      <c r="M180" s="728"/>
      <c r="N180" s="728"/>
      <c r="O180" s="728"/>
      <c r="P180" s="730"/>
      <c r="Q180" s="728" t="s">
        <v>820</v>
      </c>
      <c r="R180" s="730"/>
      <c r="S180" s="812" t="s">
        <v>879</v>
      </c>
      <c r="T180" s="731"/>
      <c r="U180" s="728"/>
      <c r="V180" s="732"/>
      <c r="W180" s="732"/>
      <c r="X180" s="732" t="s">
        <v>864</v>
      </c>
      <c r="Y180" s="232"/>
      <c r="Z180" s="733"/>
      <c r="AA180" s="263"/>
      <c r="AB180" s="734"/>
      <c r="AC180" s="728"/>
      <c r="AD180" s="731"/>
      <c r="AE180" s="731">
        <v>1</v>
      </c>
    </row>
    <row r="181" spans="1:31" s="158" customFormat="1" ht="12.75" hidden="1" customHeight="1">
      <c r="A181" s="225">
        <f t="shared" si="5"/>
        <v>173</v>
      </c>
      <c r="B181" s="217"/>
      <c r="C181" s="241" t="s">
        <v>1550</v>
      </c>
      <c r="D181" s="241"/>
      <c r="E181" s="241"/>
      <c r="F181" s="241"/>
      <c r="G181" s="241"/>
      <c r="H181" s="742" t="s">
        <v>1551</v>
      </c>
      <c r="I181" s="729" t="s">
        <v>1552</v>
      </c>
      <c r="J181" s="812"/>
      <c r="K181" s="813" t="s">
        <v>970</v>
      </c>
      <c r="L181" s="728"/>
      <c r="M181" s="728"/>
      <c r="N181" s="728"/>
      <c r="O181" s="728"/>
      <c r="P181" s="730"/>
      <c r="Q181" s="728" t="s">
        <v>820</v>
      </c>
      <c r="R181" s="730"/>
      <c r="S181" s="812" t="s">
        <v>863</v>
      </c>
      <c r="T181" s="731" t="s">
        <v>864</v>
      </c>
      <c r="U181" s="729" t="s">
        <v>1693</v>
      </c>
      <c r="V181" s="732"/>
      <c r="W181" s="260"/>
      <c r="X181" s="260" t="s">
        <v>864</v>
      </c>
      <c r="Y181" s="232"/>
      <c r="Z181" s="386" t="s">
        <v>1553</v>
      </c>
      <c r="AA181" s="389" t="s">
        <v>1554</v>
      </c>
      <c r="AB181" s="734" t="s">
        <v>1555</v>
      </c>
      <c r="AC181" s="728"/>
      <c r="AD181" s="731"/>
      <c r="AE181" s="731">
        <v>1</v>
      </c>
    </row>
    <row r="182" spans="1:31" s="158" customFormat="1" ht="12.75" hidden="1" customHeight="1">
      <c r="A182" s="225">
        <f>ROW()-8</f>
        <v>174</v>
      </c>
      <c r="B182" s="217"/>
      <c r="C182" s="241" t="s">
        <v>1694</v>
      </c>
      <c r="D182" s="241"/>
      <c r="E182" s="241"/>
      <c r="F182" s="241"/>
      <c r="G182" s="241"/>
      <c r="H182" s="742"/>
      <c r="I182" s="729"/>
      <c r="J182" s="812"/>
      <c r="K182" s="813" t="s">
        <v>1695</v>
      </c>
      <c r="L182" s="728"/>
      <c r="M182" s="728"/>
      <c r="N182" s="728"/>
      <c r="O182" s="728"/>
      <c r="P182" s="730"/>
      <c r="Q182" s="728" t="s">
        <v>817</v>
      </c>
      <c r="R182" s="730" t="s">
        <v>864</v>
      </c>
      <c r="S182" s="378" t="s">
        <v>1695</v>
      </c>
      <c r="T182" s="731"/>
      <c r="U182" s="728"/>
      <c r="V182" s="732"/>
      <c r="W182" s="732"/>
      <c r="X182" s="732"/>
      <c r="Y182" s="232"/>
      <c r="Z182" s="733"/>
      <c r="AA182" s="728"/>
      <c r="AB182" s="734"/>
      <c r="AC182" s="728"/>
      <c r="AD182" s="731"/>
      <c r="AE182" s="731">
        <v>1</v>
      </c>
    </row>
    <row r="183" spans="1:31" s="158" customFormat="1" ht="12" hidden="1" customHeight="1">
      <c r="A183" s="225">
        <f>ROW()-8</f>
        <v>175</v>
      </c>
      <c r="B183" s="217"/>
      <c r="C183" s="241"/>
      <c r="D183" s="241" t="s">
        <v>831</v>
      </c>
      <c r="E183" s="241"/>
      <c r="F183" s="241"/>
      <c r="G183" s="241"/>
      <c r="H183" s="728" t="s">
        <v>1398</v>
      </c>
      <c r="I183" s="729"/>
      <c r="J183" s="812"/>
      <c r="K183" s="813" t="s">
        <v>1218</v>
      </c>
      <c r="L183" s="728"/>
      <c r="M183" s="728"/>
      <c r="N183" s="728"/>
      <c r="O183" s="728"/>
      <c r="P183" s="730"/>
      <c r="Q183" s="728" t="s">
        <v>817</v>
      </c>
      <c r="R183" s="730"/>
      <c r="S183" s="812" t="s">
        <v>863</v>
      </c>
      <c r="T183" s="731"/>
      <c r="U183" s="741"/>
      <c r="V183" s="732"/>
      <c r="W183" s="260"/>
      <c r="X183" s="260"/>
      <c r="Y183" s="232"/>
      <c r="Z183" s="733"/>
      <c r="AA183" s="728"/>
      <c r="AB183" s="734"/>
      <c r="AC183" s="728"/>
      <c r="AD183" s="731"/>
      <c r="AE183" s="731">
        <v>1</v>
      </c>
    </row>
    <row r="184" spans="1:31" s="158" customFormat="1" ht="12.75" hidden="1" customHeight="1">
      <c r="A184" s="225">
        <f>ROW()-8</f>
        <v>176</v>
      </c>
      <c r="B184" s="217"/>
      <c r="C184" s="241"/>
      <c r="D184" s="241" t="s">
        <v>1399</v>
      </c>
      <c r="E184" s="241"/>
      <c r="F184" s="241"/>
      <c r="G184" s="241"/>
      <c r="H184" s="728" t="s">
        <v>1400</v>
      </c>
      <c r="I184" s="736" t="s">
        <v>1401</v>
      </c>
      <c r="J184" s="812"/>
      <c r="K184" s="813" t="s">
        <v>1352</v>
      </c>
      <c r="L184" s="728"/>
      <c r="M184" s="728"/>
      <c r="N184" s="728"/>
      <c r="O184" s="728"/>
      <c r="P184" s="730"/>
      <c r="Q184" s="728" t="s">
        <v>820</v>
      </c>
      <c r="R184" s="730"/>
      <c r="S184" s="812" t="s">
        <v>863</v>
      </c>
      <c r="T184" s="731"/>
      <c r="U184" s="731"/>
      <c r="V184" s="732"/>
      <c r="W184" s="732"/>
      <c r="X184" s="732"/>
      <c r="Y184" s="232"/>
      <c r="Z184" s="733"/>
      <c r="AA184" s="728"/>
      <c r="AB184" s="734"/>
      <c r="AC184" s="728"/>
      <c r="AD184" s="731"/>
      <c r="AE184" s="731">
        <v>1</v>
      </c>
    </row>
    <row r="185" spans="1:31" s="158" customFormat="1" ht="12.75" hidden="1" customHeight="1">
      <c r="A185" s="225">
        <f t="shared" si="5"/>
        <v>177</v>
      </c>
      <c r="B185" s="217"/>
      <c r="C185" s="241" t="s">
        <v>1696</v>
      </c>
      <c r="D185" s="241"/>
      <c r="E185" s="241"/>
      <c r="F185" s="241"/>
      <c r="G185" s="241"/>
      <c r="H185" s="742" t="s">
        <v>1697</v>
      </c>
      <c r="I185" s="729"/>
      <c r="J185" s="812"/>
      <c r="K185" s="813" t="s">
        <v>1698</v>
      </c>
      <c r="L185" s="728"/>
      <c r="M185" s="728"/>
      <c r="N185" s="728"/>
      <c r="O185" s="728"/>
      <c r="P185" s="730"/>
      <c r="Q185" s="728" t="s">
        <v>817</v>
      </c>
      <c r="R185" s="730" t="s">
        <v>864</v>
      </c>
      <c r="S185" s="378" t="s">
        <v>1698</v>
      </c>
      <c r="T185" s="731"/>
      <c r="U185" s="728"/>
      <c r="V185" s="732"/>
      <c r="W185" s="732"/>
      <c r="X185" s="260" t="s">
        <v>864</v>
      </c>
      <c r="Y185" s="232"/>
      <c r="Z185" s="733"/>
      <c r="AA185" s="728"/>
      <c r="AB185" s="734"/>
      <c r="AC185" s="728"/>
      <c r="AD185" s="731"/>
      <c r="AE185" s="731">
        <v>1</v>
      </c>
    </row>
    <row r="186" spans="1:31" s="158" customFormat="1" ht="12.75" hidden="1" customHeight="1">
      <c r="A186" s="225">
        <f t="shared" si="5"/>
        <v>178</v>
      </c>
      <c r="B186" s="217"/>
      <c r="C186" s="241"/>
      <c r="D186" s="241" t="s">
        <v>1699</v>
      </c>
      <c r="E186" s="241"/>
      <c r="F186" s="241"/>
      <c r="G186" s="241"/>
      <c r="H186" s="742" t="s">
        <v>1700</v>
      </c>
      <c r="I186" s="729" t="s">
        <v>1701</v>
      </c>
      <c r="J186" s="812"/>
      <c r="K186" s="813" t="s">
        <v>1702</v>
      </c>
      <c r="L186" s="728"/>
      <c r="M186" s="728"/>
      <c r="N186" s="728"/>
      <c r="O186" s="728"/>
      <c r="P186" s="730"/>
      <c r="Q186" s="728" t="s">
        <v>820</v>
      </c>
      <c r="R186" s="730"/>
      <c r="S186" s="812" t="s">
        <v>863</v>
      </c>
      <c r="T186" s="731" t="s">
        <v>864</v>
      </c>
      <c r="U186" s="728" t="s">
        <v>1703</v>
      </c>
      <c r="V186" s="732"/>
      <c r="W186" s="732"/>
      <c r="X186" s="260" t="s">
        <v>864</v>
      </c>
      <c r="Y186" s="232"/>
      <c r="Z186" s="733"/>
      <c r="AA186" s="728"/>
      <c r="AB186" s="734"/>
      <c r="AC186" s="728"/>
      <c r="AD186" s="731"/>
      <c r="AE186" s="731">
        <v>1</v>
      </c>
    </row>
    <row r="187" spans="1:31" s="158" customFormat="1" ht="12.75" hidden="1" customHeight="1">
      <c r="A187" s="225">
        <f t="shared" si="5"/>
        <v>179</v>
      </c>
      <c r="B187" s="217"/>
      <c r="C187" s="241"/>
      <c r="D187" s="241" t="s">
        <v>1704</v>
      </c>
      <c r="E187" s="241"/>
      <c r="F187" s="241"/>
      <c r="G187" s="241"/>
      <c r="H187" s="742" t="s">
        <v>1705</v>
      </c>
      <c r="I187" s="729" t="s">
        <v>1706</v>
      </c>
      <c r="J187" s="812"/>
      <c r="K187" s="813" t="s">
        <v>1707</v>
      </c>
      <c r="L187" s="728"/>
      <c r="M187" s="728"/>
      <c r="N187" s="728"/>
      <c r="O187" s="728"/>
      <c r="P187" s="730"/>
      <c r="Q187" s="728" t="s">
        <v>817</v>
      </c>
      <c r="R187" s="730"/>
      <c r="S187" s="812" t="s">
        <v>863</v>
      </c>
      <c r="T187" s="731" t="s">
        <v>864</v>
      </c>
      <c r="U187" s="728" t="s">
        <v>1708</v>
      </c>
      <c r="V187" s="732"/>
      <c r="W187" s="732"/>
      <c r="X187" s="260" t="s">
        <v>864</v>
      </c>
      <c r="Y187" s="232"/>
      <c r="Z187" s="733"/>
      <c r="AA187" s="728"/>
      <c r="AB187" s="734"/>
      <c r="AC187" s="728"/>
      <c r="AD187" s="731"/>
      <c r="AE187" s="731">
        <v>1</v>
      </c>
    </row>
    <row r="188" spans="1:31" s="158" customFormat="1" ht="12.75" hidden="1" customHeight="1">
      <c r="A188" s="225">
        <f t="shared" si="5"/>
        <v>180</v>
      </c>
      <c r="B188" s="217"/>
      <c r="C188" s="241"/>
      <c r="D188" s="241" t="s">
        <v>1709</v>
      </c>
      <c r="E188" s="241"/>
      <c r="F188" s="241"/>
      <c r="G188" s="241"/>
      <c r="H188" s="742"/>
      <c r="I188" s="729"/>
      <c r="J188" s="812"/>
      <c r="K188" s="813" t="s">
        <v>1710</v>
      </c>
      <c r="L188" s="728"/>
      <c r="M188" s="728"/>
      <c r="N188" s="728"/>
      <c r="O188" s="728"/>
      <c r="P188" s="730"/>
      <c r="Q188" s="728" t="s">
        <v>817</v>
      </c>
      <c r="R188" s="730"/>
      <c r="S188" s="812" t="s">
        <v>863</v>
      </c>
      <c r="T188" s="731"/>
      <c r="U188" s="728"/>
      <c r="V188" s="732"/>
      <c r="W188" s="732"/>
      <c r="X188" s="260" t="s">
        <v>864</v>
      </c>
      <c r="Y188" s="232"/>
      <c r="Z188" s="733"/>
      <c r="AA188" s="728"/>
      <c r="AB188" s="734"/>
      <c r="AC188" s="728"/>
      <c r="AD188" s="731"/>
      <c r="AE188" s="731">
        <v>1</v>
      </c>
    </row>
    <row r="189" spans="1:31" s="158" customFormat="1" ht="12.75" hidden="1" customHeight="1">
      <c r="A189" s="225">
        <f t="shared" si="5"/>
        <v>181</v>
      </c>
      <c r="B189" s="217"/>
      <c r="C189" s="241"/>
      <c r="D189" s="241" t="s">
        <v>1572</v>
      </c>
      <c r="E189" s="241"/>
      <c r="F189" s="241"/>
      <c r="G189" s="241"/>
      <c r="H189" s="269" t="s">
        <v>1573</v>
      </c>
      <c r="I189" s="264" t="s">
        <v>1574</v>
      </c>
      <c r="J189" s="812"/>
      <c r="K189" s="813" t="s">
        <v>1711</v>
      </c>
      <c r="L189" s="728"/>
      <c r="M189" s="728"/>
      <c r="N189" s="728"/>
      <c r="O189" s="728"/>
      <c r="P189" s="730"/>
      <c r="Q189" s="728" t="s">
        <v>820</v>
      </c>
      <c r="R189" s="730"/>
      <c r="S189" s="812" t="s">
        <v>863</v>
      </c>
      <c r="T189" s="731" t="s">
        <v>864</v>
      </c>
      <c r="U189" s="728" t="s">
        <v>1712</v>
      </c>
      <c r="V189" s="732"/>
      <c r="W189" s="732"/>
      <c r="X189" s="260" t="s">
        <v>864</v>
      </c>
      <c r="Y189" s="232"/>
      <c r="Z189" s="733"/>
      <c r="AA189" s="728"/>
      <c r="AB189" s="734"/>
      <c r="AC189" s="728"/>
      <c r="AD189" s="731"/>
      <c r="AE189" s="731">
        <v>1</v>
      </c>
    </row>
    <row r="190" spans="1:31" s="158" customFormat="1" ht="12.75" hidden="1" customHeight="1">
      <c r="A190" s="225">
        <f t="shared" si="5"/>
        <v>182</v>
      </c>
      <c r="B190" s="217"/>
      <c r="C190" s="241" t="s">
        <v>1713</v>
      </c>
      <c r="D190" s="241"/>
      <c r="E190" s="241"/>
      <c r="F190" s="241"/>
      <c r="G190" s="241"/>
      <c r="H190" s="742"/>
      <c r="I190" s="729"/>
      <c r="J190" s="812"/>
      <c r="K190" s="813" t="s">
        <v>1714</v>
      </c>
      <c r="L190" s="728"/>
      <c r="M190" s="728"/>
      <c r="N190" s="728"/>
      <c r="O190" s="728"/>
      <c r="P190" s="730"/>
      <c r="Q190" s="728" t="s">
        <v>817</v>
      </c>
      <c r="R190" s="730" t="s">
        <v>864</v>
      </c>
      <c r="S190" s="378" t="s">
        <v>1714</v>
      </c>
      <c r="T190" s="731"/>
      <c r="U190" s="728"/>
      <c r="V190" s="732"/>
      <c r="W190" s="732"/>
      <c r="X190" s="260" t="s">
        <v>864</v>
      </c>
      <c r="Y190" s="232"/>
      <c r="Z190" s="733"/>
      <c r="AA190" s="728"/>
      <c r="AB190" s="734"/>
      <c r="AC190" s="728"/>
      <c r="AD190" s="731"/>
      <c r="AE190" s="731">
        <v>1</v>
      </c>
    </row>
    <row r="191" spans="1:31" s="158" customFormat="1" ht="12.75" hidden="1" customHeight="1">
      <c r="A191" s="225">
        <f t="shared" si="5"/>
        <v>183</v>
      </c>
      <c r="B191" s="217"/>
      <c r="C191" s="241"/>
      <c r="D191" s="241" t="s">
        <v>1715</v>
      </c>
      <c r="E191" s="241"/>
      <c r="F191" s="241"/>
      <c r="G191" s="241"/>
      <c r="H191" s="266" t="s">
        <v>1557</v>
      </c>
      <c r="I191" s="264" t="s">
        <v>1558</v>
      </c>
      <c r="J191" s="263"/>
      <c r="K191" s="813" t="s">
        <v>1559</v>
      </c>
      <c r="L191" s="728"/>
      <c r="M191" s="728"/>
      <c r="N191" s="728"/>
      <c r="O191" s="728"/>
      <c r="P191" s="730"/>
      <c r="Q191" s="728" t="s">
        <v>820</v>
      </c>
      <c r="R191" s="730"/>
      <c r="S191" s="812" t="s">
        <v>863</v>
      </c>
      <c r="T191" s="731" t="s">
        <v>864</v>
      </c>
      <c r="U191" s="728" t="s">
        <v>1716</v>
      </c>
      <c r="V191" s="265"/>
      <c r="W191" s="260"/>
      <c r="X191" s="260" t="s">
        <v>864</v>
      </c>
      <c r="Y191" s="232"/>
      <c r="Z191" s="387" t="s">
        <v>1560</v>
      </c>
      <c r="AA191" s="389" t="s">
        <v>1554</v>
      </c>
      <c r="AB191" s="267" t="s">
        <v>1561</v>
      </c>
      <c r="AC191" s="263"/>
      <c r="AD191" s="731"/>
      <c r="AE191" s="731">
        <v>1</v>
      </c>
    </row>
    <row r="192" spans="1:31" s="510" customFormat="1" ht="12.75" hidden="1" customHeight="1">
      <c r="A192" s="225">
        <f t="shared" si="5"/>
        <v>184</v>
      </c>
      <c r="B192" s="217"/>
      <c r="C192" s="218"/>
      <c r="D192" s="218" t="s">
        <v>1717</v>
      </c>
      <c r="E192" s="241"/>
      <c r="F192" s="241"/>
      <c r="G192" s="241"/>
      <c r="H192" s="742" t="s">
        <v>1718</v>
      </c>
      <c r="I192" s="729"/>
      <c r="J192" s="812"/>
      <c r="K192" s="813" t="s">
        <v>1719</v>
      </c>
      <c r="L192" s="728"/>
      <c r="M192" s="728"/>
      <c r="N192" s="728"/>
      <c r="O192" s="728"/>
      <c r="P192" s="730"/>
      <c r="Q192" s="255" t="s">
        <v>817</v>
      </c>
      <c r="R192" s="376"/>
      <c r="S192" s="255" t="s">
        <v>863</v>
      </c>
      <c r="T192" s="731"/>
      <c r="U192" s="728"/>
      <c r="V192" s="732"/>
      <c r="W192" s="732"/>
      <c r="X192" s="509"/>
      <c r="Y192" s="232"/>
      <c r="Z192" s="743"/>
      <c r="AA192" s="728"/>
      <c r="AB192" s="734"/>
      <c r="AC192" s="728"/>
      <c r="AD192" s="731"/>
      <c r="AE192" s="731">
        <v>1</v>
      </c>
    </row>
    <row r="193" spans="1:1017" s="249" customFormat="1" ht="13.5" hidden="1" customHeight="1">
      <c r="A193" s="225">
        <f t="shared" si="5"/>
        <v>185</v>
      </c>
      <c r="B193" s="218"/>
      <c r="C193" s="218"/>
      <c r="D193" s="218" t="s">
        <v>1568</v>
      </c>
      <c r="E193" s="218"/>
      <c r="F193" s="218"/>
      <c r="G193" s="218"/>
      <c r="H193" s="499" t="s">
        <v>1720</v>
      </c>
      <c r="I193" s="497"/>
      <c r="J193" s="255"/>
      <c r="K193" s="497" t="s">
        <v>1570</v>
      </c>
      <c r="L193" s="255"/>
      <c r="M193" s="255"/>
      <c r="N193" s="255"/>
      <c r="O193" s="255"/>
      <c r="P193" s="376"/>
      <c r="Q193" s="255" t="s">
        <v>817</v>
      </c>
      <c r="R193" s="376"/>
      <c r="S193" s="255" t="s">
        <v>863</v>
      </c>
      <c r="T193" s="373"/>
      <c r="U193" s="255"/>
      <c r="V193" s="374"/>
      <c r="W193" s="732"/>
      <c r="X193" s="374" t="s">
        <v>864</v>
      </c>
      <c r="Y193" s="500"/>
      <c r="Z193" s="501" t="s">
        <v>1571</v>
      </c>
      <c r="AA193" s="255"/>
      <c r="AB193" s="245"/>
      <c r="AC193" s="255"/>
      <c r="AD193" s="373"/>
      <c r="AE193" s="373">
        <v>1</v>
      </c>
    </row>
    <row r="194" spans="1:1017" s="158" customFormat="1" ht="12.75" hidden="1" customHeight="1">
      <c r="A194" s="225">
        <f t="shared" si="5"/>
        <v>186</v>
      </c>
      <c r="B194" s="217"/>
      <c r="C194" s="241"/>
      <c r="D194" s="241" t="s">
        <v>1572</v>
      </c>
      <c r="E194" s="241"/>
      <c r="F194" s="241"/>
      <c r="G194" s="241"/>
      <c r="H194" s="269" t="s">
        <v>1573</v>
      </c>
      <c r="I194" s="264" t="s">
        <v>1574</v>
      </c>
      <c r="J194" s="263"/>
      <c r="K194" s="813" t="s">
        <v>1575</v>
      </c>
      <c r="L194" s="728"/>
      <c r="M194" s="728"/>
      <c r="N194" s="728"/>
      <c r="O194" s="728"/>
      <c r="P194" s="730"/>
      <c r="Q194" s="728" t="s">
        <v>820</v>
      </c>
      <c r="R194" s="730"/>
      <c r="S194" s="812" t="s">
        <v>863</v>
      </c>
      <c r="T194" s="731" t="s">
        <v>864</v>
      </c>
      <c r="U194" s="728" t="s">
        <v>1712</v>
      </c>
      <c r="V194" s="265"/>
      <c r="W194" s="260"/>
      <c r="X194" s="260" t="s">
        <v>864</v>
      </c>
      <c r="Y194" s="232"/>
      <c r="Z194" s="388" t="s">
        <v>1576</v>
      </c>
      <c r="AA194" s="389" t="s">
        <v>1554</v>
      </c>
      <c r="AB194" s="267"/>
      <c r="AC194" s="263"/>
      <c r="AD194" s="731"/>
      <c r="AE194" s="731">
        <v>1</v>
      </c>
    </row>
    <row r="195" spans="1:1017" s="224" customFormat="1" ht="12.75" hidden="1" customHeight="1">
      <c r="A195" s="225">
        <f t="shared" si="5"/>
        <v>187</v>
      </c>
      <c r="B195" s="217"/>
      <c r="C195" s="217"/>
      <c r="D195" s="727" t="s">
        <v>1577</v>
      </c>
      <c r="E195" s="217"/>
      <c r="F195" s="217"/>
      <c r="G195" s="217"/>
      <c r="H195" s="728"/>
      <c r="I195" s="729"/>
      <c r="J195" s="812"/>
      <c r="K195" s="813" t="s">
        <v>1578</v>
      </c>
      <c r="L195" s="728"/>
      <c r="M195" s="728"/>
      <c r="N195" s="728"/>
      <c r="O195" s="728"/>
      <c r="P195" s="730"/>
      <c r="Q195" s="728" t="s">
        <v>817</v>
      </c>
      <c r="R195" s="730" t="s">
        <v>864</v>
      </c>
      <c r="S195" s="243" t="s">
        <v>1578</v>
      </c>
      <c r="T195" s="280"/>
      <c r="U195" s="728"/>
      <c r="V195" s="732"/>
      <c r="W195" s="732"/>
      <c r="X195" s="732" t="s">
        <v>864</v>
      </c>
      <c r="Y195" s="232"/>
      <c r="Z195" s="733" t="s">
        <v>1579</v>
      </c>
      <c r="AA195" s="728"/>
      <c r="AB195" s="734"/>
      <c r="AC195" s="728"/>
      <c r="AD195" s="731"/>
      <c r="AE195" s="731">
        <v>1</v>
      </c>
    </row>
    <row r="196" spans="1:1017" s="158" customFormat="1" ht="12.75" hidden="1" customHeight="1">
      <c r="A196" s="225">
        <f t="shared" si="5"/>
        <v>188</v>
      </c>
      <c r="B196" s="217"/>
      <c r="C196" s="241"/>
      <c r="D196" s="241"/>
      <c r="E196" s="241" t="s">
        <v>1580</v>
      </c>
      <c r="F196" s="241"/>
      <c r="G196" s="241"/>
      <c r="H196" s="269" t="s">
        <v>1581</v>
      </c>
      <c r="I196" s="264"/>
      <c r="J196" s="263"/>
      <c r="K196" s="813" t="s">
        <v>970</v>
      </c>
      <c r="L196" s="728"/>
      <c r="M196" s="728"/>
      <c r="N196" s="728"/>
      <c r="O196" s="728"/>
      <c r="P196" s="730"/>
      <c r="Q196" s="737" t="s">
        <v>817</v>
      </c>
      <c r="R196" s="730"/>
      <c r="S196" s="812" t="s">
        <v>863</v>
      </c>
      <c r="T196" s="268" t="s">
        <v>864</v>
      </c>
      <c r="U196" s="263" t="s">
        <v>1721</v>
      </c>
      <c r="V196" s="265"/>
      <c r="W196" s="260"/>
      <c r="X196" s="260" t="s">
        <v>864</v>
      </c>
      <c r="Y196" s="232"/>
      <c r="Z196" s="266"/>
      <c r="AA196" s="263"/>
      <c r="AB196" s="261"/>
      <c r="AC196" s="263"/>
      <c r="AD196" s="731"/>
      <c r="AE196" s="731">
        <v>1</v>
      </c>
    </row>
    <row r="197" spans="1:1017" s="249" customFormat="1" ht="12.75" hidden="1" customHeight="1">
      <c r="A197" s="225">
        <f t="shared" si="5"/>
        <v>189</v>
      </c>
      <c r="B197" s="217"/>
      <c r="C197" s="221"/>
      <c r="D197" s="241"/>
      <c r="E197" s="241" t="s">
        <v>1583</v>
      </c>
      <c r="F197" s="241" t="s">
        <v>1584</v>
      </c>
      <c r="G197" s="241"/>
      <c r="H197" s="728"/>
      <c r="I197" s="729"/>
      <c r="J197" s="812"/>
      <c r="K197" s="812" t="s">
        <v>1054</v>
      </c>
      <c r="L197" s="728"/>
      <c r="M197" s="728"/>
      <c r="N197" s="728"/>
      <c r="O197" s="728"/>
      <c r="P197" s="730"/>
      <c r="Q197" s="728" t="s">
        <v>817</v>
      </c>
      <c r="R197" s="730" t="s">
        <v>864</v>
      </c>
      <c r="S197" s="812" t="s">
        <v>1054</v>
      </c>
      <c r="T197" s="731"/>
      <c r="U197" s="728"/>
      <c r="V197" s="732"/>
      <c r="W197" s="732"/>
      <c r="X197" s="732" t="s">
        <v>864</v>
      </c>
      <c r="Y197" s="232"/>
      <c r="Z197" s="733"/>
      <c r="AA197" s="728"/>
      <c r="AB197" s="734"/>
      <c r="AC197" s="728"/>
      <c r="AD197" s="731"/>
      <c r="AE197" s="731">
        <v>1</v>
      </c>
    </row>
    <row r="198" spans="1:1017" s="224" customFormat="1" ht="14.25" customHeight="1">
      <c r="A198" s="225">
        <f t="shared" si="5"/>
        <v>190</v>
      </c>
      <c r="B198" s="217" t="s">
        <v>1586</v>
      </c>
      <c r="C198" s="217" t="s">
        <v>1587</v>
      </c>
      <c r="D198" s="270"/>
      <c r="E198" s="217"/>
      <c r="F198" s="217"/>
      <c r="G198" s="217"/>
      <c r="H198" s="773" t="s">
        <v>2815</v>
      </c>
      <c r="I198" s="729"/>
      <c r="J198" s="812" t="s">
        <v>1589</v>
      </c>
      <c r="K198" s="813" t="s">
        <v>1590</v>
      </c>
      <c r="L198" s="728"/>
      <c r="M198" s="728"/>
      <c r="N198" s="728"/>
      <c r="O198" s="728"/>
      <c r="P198" s="730">
        <v>1</v>
      </c>
      <c r="Q198" s="728" t="s">
        <v>823</v>
      </c>
      <c r="R198" s="730" t="s">
        <v>864</v>
      </c>
      <c r="S198" s="243" t="s">
        <v>1234</v>
      </c>
      <c r="T198" s="280"/>
      <c r="U198" s="728"/>
      <c r="V198" s="732" t="s">
        <v>864</v>
      </c>
      <c r="W198" s="732" t="s">
        <v>864</v>
      </c>
      <c r="X198" s="732"/>
      <c r="Y198" s="232"/>
      <c r="Z198" s="733"/>
      <c r="AA198" s="728"/>
      <c r="AB198" s="734"/>
      <c r="AC198" s="728"/>
      <c r="AD198" s="731"/>
      <c r="AE198" s="731">
        <v>1</v>
      </c>
    </row>
    <row r="199" spans="1:1017" s="249" customFormat="1" ht="13" hidden="1" customHeight="1">
      <c r="A199" s="225">
        <f t="shared" si="5"/>
        <v>191</v>
      </c>
      <c r="B199" s="217" t="s">
        <v>1608</v>
      </c>
      <c r="C199" s="262"/>
      <c r="D199" s="241"/>
      <c r="E199" s="241"/>
      <c r="F199" s="241"/>
      <c r="G199" s="241"/>
      <c r="H199" s="728" t="s">
        <v>1722</v>
      </c>
      <c r="I199" s="729" t="s">
        <v>1723</v>
      </c>
      <c r="J199" s="812"/>
      <c r="K199" s="813" t="s">
        <v>939</v>
      </c>
      <c r="L199" s="728"/>
      <c r="M199" s="728"/>
      <c r="N199" s="728"/>
      <c r="O199" s="728"/>
      <c r="P199" s="730"/>
      <c r="Q199" s="728" t="s">
        <v>823</v>
      </c>
      <c r="R199" s="730"/>
      <c r="S199" s="812" t="s">
        <v>863</v>
      </c>
      <c r="T199" s="731"/>
      <c r="U199" s="728"/>
      <c r="V199" s="731" t="s">
        <v>864</v>
      </c>
      <c r="W199" s="731"/>
      <c r="X199" s="731" t="s">
        <v>864</v>
      </c>
      <c r="Y199" s="232"/>
      <c r="Z199" s="733"/>
      <c r="AA199" s="728"/>
      <c r="AB199" s="728"/>
      <c r="AC199" s="728"/>
      <c r="AD199" s="731"/>
      <c r="AE199" s="731">
        <v>1</v>
      </c>
    </row>
    <row r="200" spans="1:1017" s="249" customFormat="1" ht="13" customHeight="1">
      <c r="A200" s="225">
        <f t="shared" si="5"/>
        <v>192</v>
      </c>
      <c r="B200" s="217" t="s">
        <v>1591</v>
      </c>
      <c r="C200" s="221"/>
      <c r="D200" s="241"/>
      <c r="E200" s="241"/>
      <c r="F200" s="241"/>
      <c r="G200" s="241"/>
      <c r="H200" s="773" t="s">
        <v>2819</v>
      </c>
      <c r="I200" s="729"/>
      <c r="J200" s="812"/>
      <c r="K200" s="812" t="s">
        <v>1592</v>
      </c>
      <c r="L200" s="728"/>
      <c r="M200" s="728"/>
      <c r="N200" s="728"/>
      <c r="O200" s="728"/>
      <c r="P200" s="730"/>
      <c r="Q200" s="728" t="s">
        <v>817</v>
      </c>
      <c r="R200" s="730" t="s">
        <v>864</v>
      </c>
      <c r="S200" s="812" t="s">
        <v>1592</v>
      </c>
      <c r="T200" s="731"/>
      <c r="U200" s="728"/>
      <c r="V200" s="732" t="s">
        <v>864</v>
      </c>
      <c r="W200" s="732" t="s">
        <v>864</v>
      </c>
      <c r="X200" s="732" t="s">
        <v>864</v>
      </c>
      <c r="Y200" s="232"/>
      <c r="Z200" s="733"/>
      <c r="AA200" s="728"/>
      <c r="AB200" s="734"/>
      <c r="AC200" s="728"/>
      <c r="AD200" s="731">
        <v>1</v>
      </c>
      <c r="AE200" s="731">
        <v>1</v>
      </c>
    </row>
    <row r="201" spans="1:1017" s="249" customFormat="1" ht="13" customHeight="1">
      <c r="A201" s="225">
        <f t="shared" si="5"/>
        <v>193</v>
      </c>
      <c r="B201" s="217"/>
      <c r="C201" s="221" t="s">
        <v>1593</v>
      </c>
      <c r="D201" s="221"/>
      <c r="E201" s="241"/>
      <c r="F201" s="241"/>
      <c r="G201" s="241"/>
      <c r="H201" s="812" t="s">
        <v>2849</v>
      </c>
      <c r="I201" s="729"/>
      <c r="J201" s="812"/>
      <c r="K201" s="813" t="s">
        <v>1595</v>
      </c>
      <c r="L201" s="728"/>
      <c r="M201" s="728"/>
      <c r="N201" s="728"/>
      <c r="O201" s="728"/>
      <c r="P201" s="730"/>
      <c r="Q201" s="728" t="s">
        <v>1596</v>
      </c>
      <c r="R201" s="730" t="s">
        <v>864</v>
      </c>
      <c r="S201" s="243" t="s">
        <v>1595</v>
      </c>
      <c r="T201" s="731"/>
      <c r="U201" s="728"/>
      <c r="V201" s="732" t="s">
        <v>864</v>
      </c>
      <c r="W201" s="732" t="s">
        <v>864</v>
      </c>
      <c r="X201" s="732" t="s">
        <v>864</v>
      </c>
      <c r="Y201" s="232"/>
      <c r="Z201" s="733"/>
      <c r="AA201" s="728"/>
      <c r="AB201" s="734"/>
      <c r="AC201" s="728"/>
      <c r="AD201" s="731">
        <v>1</v>
      </c>
      <c r="AE201" s="731">
        <v>1</v>
      </c>
    </row>
    <row r="202" spans="1:1017" s="249" customFormat="1" ht="13" customHeight="1">
      <c r="A202" s="225">
        <f t="shared" si="5"/>
        <v>194</v>
      </c>
      <c r="B202" s="217"/>
      <c r="C202" s="221"/>
      <c r="D202" s="241" t="s">
        <v>1597</v>
      </c>
      <c r="E202" s="221"/>
      <c r="F202" s="241"/>
      <c r="G202" s="241"/>
      <c r="H202" s="773" t="s">
        <v>2816</v>
      </c>
      <c r="I202" s="729" t="s">
        <v>1599</v>
      </c>
      <c r="J202" s="812"/>
      <c r="K202" s="813" t="s">
        <v>1600</v>
      </c>
      <c r="L202" s="728"/>
      <c r="M202" s="728"/>
      <c r="N202" s="728"/>
      <c r="O202" s="728"/>
      <c r="P202" s="730"/>
      <c r="Q202" s="728" t="s">
        <v>820</v>
      </c>
      <c r="R202" s="730"/>
      <c r="S202" s="812" t="s">
        <v>863</v>
      </c>
      <c r="T202" s="731"/>
      <c r="U202" s="728"/>
      <c r="V202" s="732" t="s">
        <v>864</v>
      </c>
      <c r="W202" s="732" t="s">
        <v>864</v>
      </c>
      <c r="X202" s="732" t="s">
        <v>864</v>
      </c>
      <c r="Y202" s="232"/>
      <c r="Z202" s="733"/>
      <c r="AA202" s="728"/>
      <c r="AB202" s="734"/>
      <c r="AC202" s="728"/>
      <c r="AD202" s="731">
        <v>1</v>
      </c>
      <c r="AE202" s="731">
        <v>1</v>
      </c>
    </row>
    <row r="203" spans="1:1017" s="249" customFormat="1" ht="13" customHeight="1">
      <c r="A203" s="225">
        <f t="shared" si="5"/>
        <v>195</v>
      </c>
      <c r="B203" s="217"/>
      <c r="C203" s="221"/>
      <c r="D203" s="241" t="s">
        <v>1001</v>
      </c>
      <c r="E203" s="221"/>
      <c r="F203" s="241"/>
      <c r="G203" s="241"/>
      <c r="H203" s="773" t="s">
        <v>2817</v>
      </c>
      <c r="I203" s="729" t="s">
        <v>399</v>
      </c>
      <c r="J203" s="812"/>
      <c r="K203" s="813" t="s">
        <v>1004</v>
      </c>
      <c r="L203" s="728"/>
      <c r="M203" s="728"/>
      <c r="N203" s="728"/>
      <c r="O203" s="728"/>
      <c r="P203" s="730"/>
      <c r="Q203" s="728" t="s">
        <v>817</v>
      </c>
      <c r="R203" s="730"/>
      <c r="S203" s="812" t="s">
        <v>863</v>
      </c>
      <c r="T203" s="731"/>
      <c r="U203" s="728"/>
      <c r="V203" s="732" t="s">
        <v>864</v>
      </c>
      <c r="W203" s="732" t="s">
        <v>864</v>
      </c>
      <c r="X203" s="732" t="s">
        <v>864</v>
      </c>
      <c r="Y203" s="232"/>
      <c r="Z203" s="733"/>
      <c r="AA203" s="728"/>
      <c r="AB203" s="734"/>
      <c r="AC203" s="728"/>
      <c r="AD203" s="731">
        <v>1</v>
      </c>
      <c r="AE203" s="731">
        <v>1</v>
      </c>
    </row>
    <row r="204" spans="1:1017" s="249" customFormat="1" ht="13" customHeight="1">
      <c r="A204" s="225">
        <f t="shared" si="5"/>
        <v>196</v>
      </c>
      <c r="B204" s="217"/>
      <c r="C204" s="221"/>
      <c r="D204" s="241" t="s">
        <v>1602</v>
      </c>
      <c r="E204" s="221"/>
      <c r="F204" s="241"/>
      <c r="G204" s="241"/>
      <c r="H204" s="773" t="s">
        <v>2818</v>
      </c>
      <c r="I204" s="729" t="s">
        <v>1604</v>
      </c>
      <c r="J204" s="812"/>
      <c r="K204" s="813" t="s">
        <v>1080</v>
      </c>
      <c r="L204" s="728"/>
      <c r="M204" s="728"/>
      <c r="N204" s="728"/>
      <c r="O204" s="728"/>
      <c r="P204" s="730"/>
      <c r="Q204" s="728" t="s">
        <v>820</v>
      </c>
      <c r="R204" s="730"/>
      <c r="S204" s="812" t="s">
        <v>863</v>
      </c>
      <c r="T204" s="731"/>
      <c r="U204" s="728"/>
      <c r="V204" s="732" t="s">
        <v>864</v>
      </c>
      <c r="W204" s="732" t="s">
        <v>864</v>
      </c>
      <c r="X204" s="732" t="s">
        <v>864</v>
      </c>
      <c r="Y204" s="232"/>
      <c r="Z204" s="733"/>
      <c r="AA204" s="728"/>
      <c r="AB204" s="734"/>
      <c r="AC204" s="728"/>
      <c r="AD204" s="731">
        <v>1</v>
      </c>
      <c r="AE204" s="731">
        <v>1</v>
      </c>
    </row>
    <row r="205" spans="1:1017" s="249" customFormat="1" ht="13" customHeight="1">
      <c r="A205" s="225">
        <f t="shared" si="5"/>
        <v>197</v>
      </c>
      <c r="B205" s="217"/>
      <c r="C205" s="262"/>
      <c r="D205" s="221" t="s">
        <v>1605</v>
      </c>
      <c r="E205" s="221"/>
      <c r="F205" s="241"/>
      <c r="G205" s="241"/>
      <c r="H205" s="812" t="s">
        <v>2850</v>
      </c>
      <c r="I205" s="729" t="s">
        <v>1607</v>
      </c>
      <c r="J205" s="812"/>
      <c r="K205" s="813" t="s">
        <v>939</v>
      </c>
      <c r="L205" s="728"/>
      <c r="M205" s="728"/>
      <c r="N205" s="728"/>
      <c r="O205" s="728"/>
      <c r="P205" s="730"/>
      <c r="Q205" s="728" t="s">
        <v>817</v>
      </c>
      <c r="R205" s="730"/>
      <c r="S205" s="812" t="s">
        <v>863</v>
      </c>
      <c r="T205" s="731"/>
      <c r="U205" s="728"/>
      <c r="V205" s="731" t="s">
        <v>864</v>
      </c>
      <c r="W205" s="731" t="s">
        <v>864</v>
      </c>
      <c r="X205" s="731" t="s">
        <v>864</v>
      </c>
      <c r="Y205" s="232"/>
      <c r="Z205" s="733"/>
      <c r="AA205" s="728"/>
      <c r="AB205" s="734"/>
      <c r="AC205" s="728"/>
      <c r="AD205" s="731">
        <v>1</v>
      </c>
      <c r="AE205" s="731">
        <v>1</v>
      </c>
    </row>
    <row r="206" spans="1:1017" s="224" customFormat="1" ht="12" customHeight="1">
      <c r="A206" s="225">
        <f>SUBTOTAL(103,createCase[ID])</f>
        <v>117</v>
      </c>
      <c r="C206" s="225">
        <f>SUBTOTAL(103,createCase[Donnée (Niveau 2)])</f>
        <v>31</v>
      </c>
      <c r="D206" s="225">
        <f>SUBTOTAL(103,createCase[Donnée (Niveau 3)])</f>
        <v>55</v>
      </c>
      <c r="E206" s="225">
        <f>SUBTOTAL(103,createCase[Donnée (Niveau 4)])</f>
        <v>23</v>
      </c>
      <c r="F206" s="225">
        <f>SUBTOTAL(103,createCase[Donnée (Niveau 5)])</f>
        <v>4</v>
      </c>
      <c r="G206" s="225">
        <f>SUBTOTAL(103,createCase[Donnée (Niveau 6)])</f>
        <v>0</v>
      </c>
      <c r="H206" s="225">
        <f>SUBTOTAL(103,createCase[Description])</f>
        <v>113</v>
      </c>
      <c r="I206" s="225">
        <f>SUBTOTAL(103,createCase[Exemples])</f>
        <v>71</v>
      </c>
      <c r="J206" s="225">
        <f>SUBTOTAL(103,[1]!createCase[Balise NexSIS])</f>
        <v>33</v>
      </c>
      <c r="K206" s="239">
        <f>SUBTOTAL(103,[1]!createCase[Nouvelle balise])</f>
        <v>109</v>
      </c>
      <c r="L206" s="225">
        <f>SUBTOTAL(103,createCase[Nantes - balise])</f>
        <v>19</v>
      </c>
      <c r="M206" s="225">
        <f>SUBTOTAL(103,createCase[Nantes - description])</f>
        <v>19</v>
      </c>
      <c r="N206" s="225">
        <f>SUBTOTAL(103,createCase[GT399])</f>
        <v>0</v>
      </c>
      <c r="O206" s="225">
        <f>SUBTOTAL(103,createCase[GT399 description])</f>
        <v>0</v>
      </c>
      <c r="P206" s="234">
        <f>SUBTOTAL(103,createCase[Priorisation])</f>
        <v>13</v>
      </c>
      <c r="Q206" s="225"/>
      <c r="R206" s="234">
        <f>SUBTOTAL(103,createCase[Objet])</f>
        <v>40</v>
      </c>
      <c r="S206" s="225">
        <f>SUBTOTAL(103,[1]!createCase[Format (ou type)])</f>
        <v>117</v>
      </c>
      <c r="T206" s="274"/>
      <c r="U206" s="274"/>
      <c r="V206" s="274"/>
      <c r="W206" s="274"/>
      <c r="X206" s="274"/>
      <c r="Y206" s="274"/>
      <c r="Z206" s="274">
        <f>SUBTOTAL(103,createCase[Commentaire Hub Santé])</f>
        <v>22</v>
      </c>
      <c r="AA206" s="225">
        <f>SUBTOTAL(103,createCase[Commentaire Philippe Dreyfus])</f>
        <v>22</v>
      </c>
      <c r="AB206" s="239"/>
      <c r="AC206" s="225">
        <f>SUBTOTAL(103,createCase[Commentaire Yann Penverne])</f>
        <v>0</v>
      </c>
      <c r="AD206" s="225">
        <f>SUBTOTAL(103,createCase[NexSIS])-COUNTIFS(createCase[NexSIS],"=X")</f>
        <v>55</v>
      </c>
      <c r="AE206" s="225">
        <f>SUBTOTAL(103,createCase[Métier])-COUNTIFS(createCase[Métier],"=X")</f>
        <v>116</v>
      </c>
    </row>
    <row r="207" spans="1:1017" s="128" customFormat="1" ht="12" customHeight="1">
      <c r="A207" s="3"/>
      <c r="B207" s="3"/>
      <c r="C207" s="131"/>
      <c r="D207" s="131"/>
      <c r="E207" s="131"/>
      <c r="F207" s="131"/>
      <c r="G207" s="5"/>
      <c r="H207" s="155"/>
      <c r="I207" s="225"/>
      <c r="J207" s="5"/>
      <c r="K207" s="155"/>
      <c r="L207" s="5"/>
      <c r="M207" s="5"/>
      <c r="N207" s="5"/>
      <c r="O207" s="5"/>
      <c r="P207" s="188"/>
      <c r="Q207" s="5"/>
      <c r="R207" s="188"/>
      <c r="S207" s="5"/>
      <c r="T207" s="56"/>
      <c r="U207" s="56"/>
      <c r="V207" s="56"/>
      <c r="W207" s="56"/>
      <c r="X207" s="56"/>
      <c r="Y207"/>
      <c r="Z207" s="178"/>
      <c r="AA207" s="5"/>
      <c r="AB207" s="159"/>
      <c r="AC207" s="56"/>
      <c r="AE207" s="56"/>
      <c r="AMA207"/>
      <c r="AMB207"/>
      <c r="AMC207"/>
    </row>
    <row r="208" spans="1:1017" s="128" customFormat="1" ht="12" customHeight="1">
      <c r="A208" s="129"/>
      <c r="B208" s="129"/>
      <c r="C208" s="129"/>
      <c r="D208" s="129"/>
      <c r="E208" s="129"/>
      <c r="F208" s="129"/>
      <c r="G208" s="96"/>
      <c r="H208" s="96"/>
      <c r="I208" s="225"/>
      <c r="J208" s="96"/>
      <c r="K208" s="159"/>
      <c r="L208" s="96"/>
      <c r="M208" s="96"/>
      <c r="N208" s="96"/>
      <c r="O208" s="96"/>
      <c r="P208" s="173"/>
      <c r="Q208" s="96"/>
      <c r="R208" s="173"/>
      <c r="S208" s="96"/>
      <c r="T208" s="277"/>
      <c r="U208" s="96"/>
      <c r="V208" s="96"/>
      <c r="W208" s="96"/>
      <c r="X208" s="96"/>
      <c r="Y208"/>
      <c r="Z208" s="179"/>
      <c r="AA208" s="96"/>
      <c r="AB208" s="159"/>
      <c r="AC208" s="96"/>
      <c r="AE208" s="96"/>
      <c r="AMA208"/>
      <c r="AMB208"/>
      <c r="AMC208"/>
    </row>
    <row r="209" spans="1:1017" s="128" customFormat="1" ht="12" customHeight="1">
      <c r="I209" s="224"/>
      <c r="P209" s="174"/>
      <c r="R209" s="173"/>
      <c r="S209" s="96"/>
      <c r="T209" s="277"/>
      <c r="U209" s="96"/>
      <c r="V209" s="96"/>
      <c r="W209" s="96"/>
      <c r="X209" s="96"/>
      <c r="Y209"/>
      <c r="Z209" s="179"/>
      <c r="AA209" s="96"/>
      <c r="AB209" s="159"/>
      <c r="AC209" s="96"/>
      <c r="AE209" s="96"/>
      <c r="AMA209"/>
      <c r="AMB209"/>
      <c r="AMC209"/>
    </row>
    <row r="210" spans="1:1017" s="128" customFormat="1" ht="12" customHeight="1">
      <c r="I210" s="224"/>
      <c r="P210" s="174"/>
      <c r="R210" s="173"/>
      <c r="S210" s="96"/>
      <c r="T210" s="277"/>
      <c r="U210" s="96"/>
      <c r="V210" s="96"/>
      <c r="W210" s="96"/>
      <c r="X210" s="96"/>
      <c r="Y210"/>
      <c r="Z210" s="179"/>
      <c r="AA210" s="96"/>
      <c r="AB210" s="159"/>
      <c r="AC210" s="96"/>
      <c r="AE210" s="96"/>
      <c r="AMA210"/>
      <c r="AMB210"/>
      <c r="AMC210"/>
    </row>
    <row r="211" spans="1:1017" s="128" customFormat="1" ht="12" customHeight="1">
      <c r="I211" s="224"/>
      <c r="P211" s="174"/>
      <c r="R211" s="173"/>
      <c r="S211" s="96"/>
      <c r="T211" s="277"/>
      <c r="U211" s="96"/>
      <c r="V211" s="96"/>
      <c r="W211" s="96"/>
      <c r="X211" s="96"/>
      <c r="Y211"/>
      <c r="Z211" s="179"/>
      <c r="AA211" s="96"/>
      <c r="AB211" s="159"/>
      <c r="AC211" s="96"/>
      <c r="AE211" s="96"/>
      <c r="AMA211"/>
      <c r="AMB211"/>
      <c r="AMC211"/>
    </row>
    <row r="212" spans="1:1017" s="128" customFormat="1" ht="12" customHeight="1">
      <c r="I212" s="224"/>
      <c r="P212" s="174"/>
      <c r="R212" s="173"/>
      <c r="S212" s="96"/>
      <c r="T212" s="277"/>
      <c r="U212" s="96"/>
      <c r="V212" s="96"/>
      <c r="W212" s="96"/>
      <c r="X212" s="96"/>
      <c r="Y212"/>
      <c r="Z212" s="179"/>
      <c r="AA212" s="96"/>
      <c r="AB212" s="159"/>
      <c r="AC212" s="96"/>
      <c r="AE212" s="96"/>
      <c r="AMA212"/>
      <c r="AMB212"/>
      <c r="AMC212"/>
    </row>
    <row r="213" spans="1:1017" ht="12" customHeight="1">
      <c r="G213" s="128"/>
      <c r="H213" s="128"/>
      <c r="I213" s="224"/>
      <c r="J213" s="128"/>
      <c r="K213" s="128"/>
      <c r="L213" s="128"/>
      <c r="M213" s="128"/>
      <c r="N213" s="128"/>
      <c r="O213" s="128"/>
      <c r="P213" s="174"/>
      <c r="Q213" s="128"/>
    </row>
    <row r="214" spans="1:1017" s="117" customFormat="1" ht="12" customHeight="1">
      <c r="A214" s="128"/>
      <c r="B214" s="128"/>
      <c r="C214" s="128"/>
      <c r="D214" s="128"/>
      <c r="E214" s="128"/>
      <c r="F214" s="128"/>
      <c r="G214" s="96"/>
      <c r="H214" s="96"/>
      <c r="I214" s="225"/>
      <c r="J214" s="96"/>
      <c r="K214" s="159"/>
      <c r="L214" s="96"/>
      <c r="M214" s="96"/>
      <c r="N214" s="96"/>
      <c r="O214" s="96"/>
      <c r="P214" s="173"/>
      <c r="Q214" s="96"/>
      <c r="R214" s="173"/>
      <c r="S214" s="96"/>
      <c r="T214" s="277"/>
      <c r="U214" s="96"/>
      <c r="V214" s="96"/>
      <c r="W214" s="96"/>
      <c r="X214" s="96"/>
      <c r="Y214"/>
      <c r="Z214" s="179"/>
      <c r="AA214" s="96"/>
      <c r="AB214" s="161"/>
      <c r="AC214" s="96"/>
      <c r="AE214" s="96"/>
      <c r="AMB214"/>
    </row>
    <row r="215" spans="1:1017" ht="12" customHeight="1">
      <c r="A215" s="117"/>
      <c r="B215" s="117"/>
      <c r="C215" s="117"/>
      <c r="D215" s="117"/>
      <c r="E215" s="117"/>
      <c r="F215" s="117"/>
      <c r="G215" s="117"/>
      <c r="H215" s="117"/>
      <c r="I215" s="251"/>
      <c r="J215" s="117"/>
      <c r="K215" s="117"/>
      <c r="L215" s="117"/>
      <c r="M215" s="117"/>
      <c r="N215" s="117"/>
      <c r="O215" s="117"/>
      <c r="P215" s="189"/>
      <c r="Q215" s="117"/>
    </row>
    <row r="216" spans="1:1017" ht="12" customHeight="1">
      <c r="R216" s="190"/>
      <c r="S216" s="112"/>
      <c r="T216" s="125"/>
      <c r="U216" s="112"/>
      <c r="V216" s="112"/>
      <c r="W216" s="112"/>
      <c r="X216" s="112"/>
      <c r="Z216" s="180"/>
      <c r="AA216" s="112"/>
      <c r="AC216" s="112"/>
      <c r="AE216" s="112"/>
    </row>
    <row r="228" spans="1:6" ht="12" customHeight="1">
      <c r="A228" s="130"/>
      <c r="B228" s="130"/>
      <c r="C228" s="130"/>
      <c r="D228" s="130"/>
      <c r="E228" s="130"/>
      <c r="F228" s="130"/>
    </row>
    <row r="229" spans="1:6" ht="12" customHeight="1">
      <c r="A229" s="130"/>
      <c r="B229" s="130"/>
      <c r="C229" s="130"/>
      <c r="D229" s="130"/>
      <c r="E229" s="130"/>
      <c r="F229" s="130"/>
    </row>
    <row r="230" spans="1:6" ht="12" customHeight="1">
      <c r="A230" s="130"/>
      <c r="B230" s="130"/>
      <c r="C230" s="130"/>
      <c r="D230" s="130"/>
      <c r="E230" s="130"/>
      <c r="F230" s="130"/>
    </row>
    <row r="231" spans="1:6" ht="12" customHeight="1">
      <c r="A231" s="130"/>
      <c r="B231" s="130"/>
      <c r="C231" s="130"/>
      <c r="D231" s="130"/>
      <c r="E231" s="130"/>
      <c r="F231" s="130"/>
    </row>
    <row r="232" spans="1:6" ht="12" customHeight="1">
      <c r="A232" s="130"/>
      <c r="B232" s="130"/>
      <c r="C232" s="130"/>
      <c r="D232" s="130"/>
      <c r="E232" s="130"/>
      <c r="F232" s="130"/>
    </row>
    <row r="233" spans="1:6" ht="12" customHeight="1">
      <c r="A233" s="130"/>
      <c r="B233" s="130"/>
      <c r="C233" s="130"/>
      <c r="D233" s="130"/>
      <c r="E233" s="130"/>
      <c r="F233" s="130"/>
    </row>
    <row r="234" spans="1:6" ht="12" customHeight="1">
      <c r="A234" s="130"/>
      <c r="B234" s="130"/>
      <c r="C234" s="130"/>
      <c r="D234" s="130"/>
      <c r="E234" s="130"/>
      <c r="F234" s="130"/>
    </row>
    <row r="235" spans="1:6" ht="12" customHeight="1">
      <c r="A235" s="130"/>
      <c r="B235" s="130"/>
      <c r="C235" s="130"/>
      <c r="D235" s="130"/>
      <c r="E235" s="130"/>
      <c r="F235" s="130"/>
    </row>
    <row r="236" spans="1:6" ht="12" customHeight="1">
      <c r="A236" s="129"/>
      <c r="B236" s="129"/>
      <c r="C236" s="129"/>
      <c r="D236" s="129"/>
      <c r="E236" s="129"/>
      <c r="F236" s="129"/>
    </row>
    <row r="237" spans="1:6" ht="12" customHeight="1">
      <c r="A237" s="129"/>
      <c r="B237" s="129"/>
      <c r="C237" s="129"/>
      <c r="D237" s="129"/>
      <c r="E237" s="129"/>
      <c r="F237" s="129"/>
    </row>
    <row r="238" spans="1:6" ht="12" customHeight="1">
      <c r="A238" s="129"/>
      <c r="B238" s="129"/>
      <c r="C238" s="129"/>
      <c r="D238" s="129"/>
      <c r="E238" s="129"/>
      <c r="F238" s="129"/>
    </row>
    <row r="239" spans="1:6" ht="12" customHeight="1">
      <c r="A239" s="129"/>
      <c r="B239" s="129"/>
      <c r="C239" s="129"/>
      <c r="D239" s="129"/>
      <c r="E239" s="129"/>
      <c r="F239" s="129"/>
    </row>
    <row r="240" spans="1:6" ht="12" customHeight="1">
      <c r="A240" s="129"/>
      <c r="B240" s="129"/>
      <c r="C240" s="129"/>
      <c r="D240" s="129"/>
      <c r="E240" s="129"/>
      <c r="F240" s="129"/>
    </row>
    <row r="241" spans="1:1016" ht="12" customHeight="1">
      <c r="A241" s="129"/>
      <c r="B241" s="129"/>
      <c r="C241" s="129"/>
      <c r="D241" s="129"/>
      <c r="E241" s="129"/>
      <c r="F241" s="129"/>
    </row>
    <row r="242" spans="1:1016" ht="12" customHeight="1">
      <c r="A242" s="129"/>
      <c r="B242" s="129"/>
      <c r="C242" s="129"/>
      <c r="D242" s="129"/>
      <c r="E242" s="129"/>
      <c r="F242" s="129"/>
    </row>
    <row r="243" spans="1:1016" s="117" customFormat="1" ht="12" customHeight="1">
      <c r="A243" s="129"/>
      <c r="B243" s="129"/>
      <c r="C243" s="129"/>
      <c r="D243" s="129"/>
      <c r="E243" s="129"/>
      <c r="F243" s="129"/>
      <c r="G243" s="96"/>
      <c r="H243" s="96"/>
      <c r="I243" s="225"/>
      <c r="J243" s="96"/>
      <c r="K243" s="159"/>
      <c r="L243" s="96"/>
      <c r="M243" s="96"/>
      <c r="N243" s="96"/>
      <c r="O243" s="96"/>
      <c r="P243" s="173"/>
      <c r="Q243" s="96"/>
      <c r="R243" s="173"/>
      <c r="S243" s="96"/>
      <c r="T243" s="277"/>
      <c r="U243" s="96"/>
      <c r="V243" s="96"/>
      <c r="W243" s="96"/>
      <c r="X243" s="96"/>
      <c r="Y243"/>
      <c r="Z243" s="179"/>
      <c r="AA243" s="96"/>
      <c r="AB243" s="161"/>
      <c r="AC243" s="96"/>
      <c r="AE243" s="96"/>
      <c r="AMB243"/>
    </row>
    <row r="244" spans="1:1016" s="117" customFormat="1" ht="12" customHeight="1">
      <c r="A244" s="130"/>
      <c r="B244" s="130"/>
      <c r="C244" s="130"/>
      <c r="D244" s="130"/>
      <c r="E244" s="130"/>
      <c r="F244" s="130"/>
      <c r="G244" s="96"/>
      <c r="H244" s="96"/>
      <c r="I244" s="225"/>
      <c r="J244" s="96"/>
      <c r="K244" s="159"/>
      <c r="L244" s="96"/>
      <c r="M244" s="96"/>
      <c r="N244" s="96"/>
      <c r="O244" s="96"/>
      <c r="P244" s="173"/>
      <c r="Q244" s="96"/>
      <c r="R244" s="173"/>
      <c r="S244" s="96"/>
      <c r="T244" s="277"/>
      <c r="U244" s="96"/>
      <c r="V244" s="96"/>
      <c r="W244" s="96"/>
      <c r="X244" s="96"/>
      <c r="Y244"/>
      <c r="Z244" s="179"/>
      <c r="AA244" s="96"/>
      <c r="AB244" s="161"/>
      <c r="AC244" s="96"/>
      <c r="AE244" s="96"/>
      <c r="AMB244"/>
    </row>
    <row r="245" spans="1:1016" s="117" customFormat="1" ht="12" customHeight="1">
      <c r="A245" s="123"/>
      <c r="B245" s="123"/>
      <c r="C245" s="123"/>
      <c r="D245" s="123"/>
      <c r="E245" s="123"/>
      <c r="F245" s="123"/>
      <c r="G245" s="112"/>
      <c r="H245" s="112"/>
      <c r="I245" s="276"/>
      <c r="J245" s="112"/>
      <c r="K245" s="161"/>
      <c r="L245" s="112"/>
      <c r="M245" s="112"/>
      <c r="N245" s="112"/>
      <c r="O245" s="112"/>
      <c r="P245" s="190"/>
      <c r="Q245" s="112"/>
      <c r="R245" s="190"/>
      <c r="S245" s="112"/>
      <c r="T245" s="125"/>
      <c r="U245" s="112"/>
      <c r="V245" s="112"/>
      <c r="W245" s="112"/>
      <c r="X245" s="112"/>
      <c r="Y245"/>
      <c r="Z245" s="180"/>
      <c r="AA245" s="112"/>
      <c r="AB245" s="161"/>
      <c r="AC245" s="112"/>
      <c r="AE245" s="112"/>
      <c r="AMB245"/>
    </row>
    <row r="246" spans="1:1016" s="117" customFormat="1" ht="12" customHeight="1">
      <c r="A246" s="123"/>
      <c r="B246" s="123"/>
      <c r="C246" s="123"/>
      <c r="D246" s="123"/>
      <c r="E246" s="123"/>
      <c r="F246" s="123"/>
      <c r="G246" s="112"/>
      <c r="H246" s="112"/>
      <c r="I246" s="276"/>
      <c r="J246" s="112"/>
      <c r="K246" s="161"/>
      <c r="L246" s="112"/>
      <c r="M246" s="112"/>
      <c r="N246" s="112"/>
      <c r="O246" s="112"/>
      <c r="P246" s="190"/>
      <c r="Q246" s="112"/>
      <c r="R246" s="190"/>
      <c r="S246" s="112"/>
      <c r="T246" s="125"/>
      <c r="U246" s="112"/>
      <c r="V246" s="112"/>
      <c r="W246" s="112"/>
      <c r="X246" s="112"/>
      <c r="Y246"/>
      <c r="Z246" s="180"/>
      <c r="AA246" s="112"/>
      <c r="AB246" s="161"/>
      <c r="AC246" s="112"/>
      <c r="AE246" s="112"/>
      <c r="AMB246"/>
    </row>
    <row r="247" spans="1:1016" s="117" customFormat="1" ht="12" customHeight="1">
      <c r="A247" s="123"/>
      <c r="B247" s="123"/>
      <c r="C247" s="123"/>
      <c r="D247" s="123"/>
      <c r="E247" s="123"/>
      <c r="F247" s="123"/>
      <c r="G247" s="112"/>
      <c r="H247" s="112"/>
      <c r="I247" s="276"/>
      <c r="J247" s="112"/>
      <c r="K247" s="161"/>
      <c r="L247" s="112"/>
      <c r="M247" s="112"/>
      <c r="N247" s="112"/>
      <c r="O247" s="112"/>
      <c r="P247" s="190"/>
      <c r="Q247" s="112"/>
      <c r="R247" s="190"/>
      <c r="S247" s="112"/>
      <c r="T247" s="125"/>
      <c r="U247" s="112"/>
      <c r="V247" s="112"/>
      <c r="W247" s="112"/>
      <c r="X247" s="112"/>
      <c r="Y247"/>
      <c r="Z247" s="180"/>
      <c r="AA247" s="112"/>
      <c r="AB247" s="161"/>
      <c r="AC247" s="112"/>
      <c r="AE247" s="112"/>
      <c r="AMB247"/>
    </row>
    <row r="248" spans="1:1016" s="117" customFormat="1" ht="12" customHeight="1">
      <c r="A248" s="123"/>
      <c r="B248" s="123"/>
      <c r="C248" s="123"/>
      <c r="D248" s="123"/>
      <c r="E248" s="123"/>
      <c r="F248" s="123"/>
      <c r="G248" s="112"/>
      <c r="H248" s="112"/>
      <c r="I248" s="276"/>
      <c r="J248" s="112"/>
      <c r="K248" s="161"/>
      <c r="L248" s="112"/>
      <c r="M248" s="112"/>
      <c r="N248" s="112"/>
      <c r="O248" s="112"/>
      <c r="P248" s="190"/>
      <c r="Q248" s="112"/>
      <c r="R248" s="190"/>
      <c r="S248" s="112"/>
      <c r="T248" s="125"/>
      <c r="U248" s="112"/>
      <c r="V248" s="112"/>
      <c r="W248" s="112"/>
      <c r="X248" s="112"/>
      <c r="Y248"/>
      <c r="Z248" s="180"/>
      <c r="AA248" s="112"/>
      <c r="AB248" s="161"/>
      <c r="AC248" s="112"/>
      <c r="AE248" s="112"/>
      <c r="AMB248"/>
    </row>
    <row r="249" spans="1:1016" s="117" customFormat="1" ht="12" customHeight="1">
      <c r="A249" s="123"/>
      <c r="B249" s="123"/>
      <c r="C249" s="123"/>
      <c r="D249" s="123"/>
      <c r="E249" s="123"/>
      <c r="F249" s="123"/>
      <c r="G249" s="112"/>
      <c r="H249" s="112"/>
      <c r="I249" s="276"/>
      <c r="J249" s="112"/>
      <c r="K249" s="161"/>
      <c r="L249" s="112"/>
      <c r="M249" s="112"/>
      <c r="N249" s="112"/>
      <c r="O249" s="112"/>
      <c r="P249" s="190"/>
      <c r="Q249" s="112"/>
      <c r="R249" s="190"/>
      <c r="S249" s="112"/>
      <c r="T249" s="125"/>
      <c r="U249" s="112"/>
      <c r="V249" s="112"/>
      <c r="W249" s="112"/>
      <c r="X249" s="112"/>
      <c r="Y249"/>
      <c r="Z249" s="180"/>
      <c r="AA249" s="112"/>
      <c r="AB249" s="161"/>
      <c r="AC249" s="112"/>
      <c r="AE249" s="112"/>
      <c r="AMB249"/>
    </row>
    <row r="250" spans="1:1016" ht="12" customHeight="1">
      <c r="A250" s="123"/>
      <c r="B250" s="123"/>
      <c r="C250" s="123"/>
      <c r="D250" s="123"/>
      <c r="E250" s="123"/>
      <c r="F250" s="123"/>
      <c r="G250" s="112"/>
      <c r="H250" s="112"/>
      <c r="I250" s="276"/>
      <c r="J250" s="112"/>
      <c r="K250" s="161"/>
      <c r="L250" s="112"/>
      <c r="M250" s="112"/>
      <c r="N250" s="112"/>
      <c r="O250" s="112"/>
      <c r="P250" s="190"/>
      <c r="Q250" s="112"/>
      <c r="R250" s="190"/>
      <c r="S250" s="112"/>
      <c r="T250" s="125"/>
      <c r="U250" s="112"/>
      <c r="V250" s="112"/>
      <c r="W250" s="112"/>
      <c r="X250" s="112"/>
      <c r="Z250" s="180"/>
      <c r="AA250" s="112"/>
      <c r="AC250" s="112"/>
      <c r="AE250" s="112"/>
    </row>
    <row r="251" spans="1:1016" ht="12" customHeight="1">
      <c r="A251" s="123"/>
      <c r="B251" s="123"/>
      <c r="C251" s="123"/>
      <c r="D251" s="123"/>
      <c r="E251" s="123"/>
      <c r="F251" s="123"/>
      <c r="G251" s="112"/>
      <c r="H251" s="112"/>
      <c r="I251" s="276"/>
      <c r="J251" s="112"/>
      <c r="K251" s="161"/>
      <c r="L251" s="112"/>
      <c r="M251" s="112"/>
      <c r="N251" s="112"/>
      <c r="O251" s="112"/>
      <c r="P251" s="190"/>
      <c r="Q251" s="112"/>
      <c r="R251" s="190"/>
      <c r="S251" s="112"/>
      <c r="T251" s="125"/>
      <c r="U251" s="112"/>
      <c r="V251" s="112"/>
      <c r="W251" s="112"/>
      <c r="X251" s="112"/>
      <c r="Z251" s="180"/>
      <c r="AA251" s="112"/>
      <c r="AC251" s="112"/>
      <c r="AE251" s="112"/>
    </row>
    <row r="252" spans="1:1016" ht="12" customHeight="1">
      <c r="A252" s="130"/>
      <c r="B252" s="130"/>
      <c r="C252" s="130"/>
      <c r="D252" s="130"/>
      <c r="E252" s="130"/>
      <c r="F252" s="130"/>
    </row>
    <row r="253" spans="1:1016" ht="12" customHeight="1">
      <c r="A253" s="130"/>
      <c r="B253" s="130"/>
      <c r="C253" s="130"/>
      <c r="D253" s="130"/>
      <c r="E253" s="130"/>
      <c r="F253" s="130"/>
    </row>
    <row r="254" spans="1:1016" ht="12" customHeight="1">
      <c r="A254" s="130"/>
      <c r="B254" s="130"/>
      <c r="C254" s="130"/>
      <c r="D254" s="130"/>
      <c r="E254" s="130"/>
      <c r="F254" s="130"/>
    </row>
    <row r="255" spans="1:1016" ht="12" customHeight="1">
      <c r="A255" s="136"/>
      <c r="B255" s="136"/>
      <c r="C255" s="136"/>
      <c r="D255" s="136"/>
      <c r="E255" s="136"/>
      <c r="F255" s="136"/>
    </row>
    <row r="256" spans="1:1016" ht="12" customHeight="1">
      <c r="A256" s="136"/>
      <c r="B256" s="136"/>
      <c r="C256" s="136"/>
      <c r="D256" s="136"/>
      <c r="E256" s="136"/>
      <c r="F256" s="136"/>
    </row>
  </sheetData>
  <mergeCells count="4">
    <mergeCell ref="H1:J2"/>
    <mergeCell ref="O1:P1"/>
    <mergeCell ref="L7:O7"/>
    <mergeCell ref="AD7:AE7"/>
  </mergeCells>
  <phoneticPr fontId="82" type="noConversion"/>
  <conditionalFormatting sqref="A207:F208 A228:F1068">
    <cfRule type="expression" dxfId="758" priority="522">
      <formula>$AE207=1</formula>
    </cfRule>
    <cfRule type="expression" dxfId="757" priority="523">
      <formula>$AC207=1</formula>
    </cfRule>
    <cfRule type="expression" dxfId="756" priority="520">
      <formula>OR($AE207="X",$AC207="X")</formula>
    </cfRule>
    <cfRule type="expression" dxfId="755" priority="521">
      <formula>AND($AE207=1,$AC207=1)</formula>
    </cfRule>
  </conditionalFormatting>
  <conditionalFormatting sqref="A9:G9 A10:A27 A28:G28 B29:G37 A29:A171 D37:D39 B38:B39 F38:G39 B40:G88 A89:B90 A93:G93 B96:G128 E128:G132 F133:G134 E135:G139 E141:G154 B155:G168 A169:B171 D169:G171 A172:G172 B173:D177 F173:G177 A173:A194 B178:G194 A195:G205 B91:G92 B94:G94 D89:G90">
    <cfRule type="expression" dxfId="754" priority="904">
      <formula>$AD9=1</formula>
    </cfRule>
  </conditionalFormatting>
  <conditionalFormatting sqref="A9:G9 B37:D37 D37:D39 B38:B39 F38:G39 E128:G132 D129:D138 F133:G134 E135:G139 E141:G154 B173:D177 F173:G177 B155:G168 B178:G194 B15:G27 A10:A27 A28:G28 B29:G36 A29:A194 B40:G88 B169:B171 D169:G171 B172:G172 A195:G205">
    <cfRule type="expression" dxfId="753" priority="903">
      <formula>$AE9=1</formula>
    </cfRule>
  </conditionalFormatting>
  <conditionalFormatting sqref="A9:G12 A10:A27 A28:G28 B29:G36 A29:A171 D37:G37 B37:D39 F38:G39 B40:G88 A89:B90 D89:G90 B91:G92 A93:G93 B94:G132 F133:G134 B135:G139 B141:G168 A169:B171 D169:G171 A172:G172 B173:D177 F173:G177 A173:A191 B178:G191 A194:G205 B15:G27 B133:D134 C13:G14">
    <cfRule type="expression" dxfId="752" priority="905">
      <formula>AND(NOT(ISBLANK($W9)),ISBLANK($AD9),ISBLANK($AE9))</formula>
    </cfRule>
  </conditionalFormatting>
  <conditionalFormatting sqref="A192:G192">
    <cfRule type="expression" dxfId="751" priority="4626">
      <formula>AND(NOT(ISBLANK($W193)),ISBLANK($AD192),ISBLANK($AE192))</formula>
    </cfRule>
  </conditionalFormatting>
  <conditionalFormatting sqref="A193:G193">
    <cfRule type="expression" dxfId="750" priority="4627">
      <formula>AND(NOT(ISBLANK(#REF!)),ISBLANK($AD193),ISBLANK($AE193))</formula>
    </cfRule>
  </conditionalFormatting>
  <conditionalFormatting sqref="B13:B14">
    <cfRule type="expression" dxfId="749" priority="64">
      <formula>$AD13=1</formula>
    </cfRule>
    <cfRule type="expression" dxfId="748" priority="61">
      <formula>OR($AE13="X",$AD13="X")</formula>
    </cfRule>
    <cfRule type="expression" dxfId="747" priority="65">
      <formula>AND(NOT(ISBLANK($W13)),ISBLANK($AD13),ISBLANK($AE13))</formula>
    </cfRule>
    <cfRule type="expression" dxfId="746" priority="62">
      <formula>AND($AE13=1,$AD13=1)</formula>
    </cfRule>
    <cfRule type="expression" dxfId="745" priority="63">
      <formula>$AE13=1</formula>
    </cfRule>
  </conditionalFormatting>
  <conditionalFormatting sqref="B121:B124">
    <cfRule type="expression" dxfId="744" priority="382">
      <formula>AND($R121="X",#REF!&lt;&gt;"")</formula>
    </cfRule>
  </conditionalFormatting>
  <conditionalFormatting sqref="B166 B168:B171 B173:B177">
    <cfRule type="expression" dxfId="743" priority="1119">
      <formula>AND($R166="X",#REF!&lt;&gt;"")</formula>
    </cfRule>
  </conditionalFormatting>
  <conditionalFormatting sqref="B129:C154 B91:G128 B155:G168 B178:G194 A195:G205 A9:G9 B29:G36 B40:G88 A169:G172 D37:D39 A28:G28 A10:A27 A29:A171 B37:C37 B38:B39 F38:G39 A89:B90 D89:G90 F133:G134 E135:G154 B173:D177 F173:G177 A173:A194">
    <cfRule type="expression" dxfId="742" priority="249">
      <formula>OR($AE9="X",$AD9="X")</formula>
    </cfRule>
  </conditionalFormatting>
  <conditionalFormatting sqref="B129:C154 E140:G140">
    <cfRule type="expression" dxfId="741" priority="255">
      <formula>$AE129=1</formula>
    </cfRule>
    <cfRule type="expression" dxfId="740" priority="256">
      <formula>$AD129=1</formula>
    </cfRule>
  </conditionalFormatting>
  <conditionalFormatting sqref="B10:G12 C13:G14 B89:B90 D89:G90">
    <cfRule type="expression" dxfId="739" priority="363">
      <formula>$AE10=1</formula>
    </cfRule>
  </conditionalFormatting>
  <conditionalFormatting sqref="B10:G12 C13:G14 B15:G27 B155:G168 D89:G90 B178:G194 A195:G205 A10:A27 A28:G28 B29:G36 A29:A171 B40:G88 B89:B90 B169:B171 D169:G171 A172:G172 A173:A194">
    <cfRule type="expression" dxfId="738" priority="362">
      <formula>AND($AE10=1,$AD10=1)</formula>
    </cfRule>
  </conditionalFormatting>
  <conditionalFormatting sqref="B10:G12 C13:G14 B15:G27 D129:D138 E139">
    <cfRule type="expression" dxfId="737" priority="364">
      <formula>$AD10=1</formula>
    </cfRule>
  </conditionalFormatting>
  <conditionalFormatting sqref="B91:G128">
    <cfRule type="expression" dxfId="736" priority="380">
      <formula>$AE91=1</formula>
    </cfRule>
    <cfRule type="expression" dxfId="735" priority="379">
      <formula>AND($AE91=1,$AD91=1)</formula>
    </cfRule>
  </conditionalFormatting>
  <conditionalFormatting sqref="B140:G140">
    <cfRule type="expression" dxfId="734" priority="257">
      <formula>AND(NOT(ISBLANK($W140)),ISBLANK($AD140),ISBLANK($AE140))</formula>
    </cfRule>
  </conditionalFormatting>
  <conditionalFormatting sqref="C9:C36 C125:C139 D127:G127">
    <cfRule type="expression" dxfId="733" priority="5">
      <formula>AND($R9="X",$B9&lt;&gt;"")</formula>
    </cfRule>
  </conditionalFormatting>
  <conditionalFormatting sqref="C37 D37:D39">
    <cfRule type="expression" dxfId="732" priority="1157">
      <formula>AND($R37="X",OR($B37&lt;&gt;"",#REF!&lt;&gt;""))</formula>
    </cfRule>
  </conditionalFormatting>
  <conditionalFormatting sqref="C38:C39">
    <cfRule type="expression" dxfId="731" priority="114">
      <formula>$AD38=1</formula>
    </cfRule>
    <cfRule type="expression" dxfId="730" priority="111">
      <formula>OR($AE38="X",$AD38="X")</formula>
    </cfRule>
    <cfRule type="expression" dxfId="729" priority="112">
      <formula>AND($AE38=1,$AD38=1)</formula>
    </cfRule>
    <cfRule type="expression" dxfId="728" priority="113">
      <formula>$AE38=1</formula>
    </cfRule>
    <cfRule type="expression" dxfId="727" priority="109">
      <formula>AND($R38="X",OR(#REF!&lt;&gt;"",$B38&lt;&gt;""))</formula>
    </cfRule>
  </conditionalFormatting>
  <conditionalFormatting sqref="C89:C90">
    <cfRule type="expression" dxfId="726" priority="38">
      <formula>$AE89=1</formula>
    </cfRule>
    <cfRule type="expression" dxfId="725" priority="40">
      <formula>AND(NOT(ISBLANK($W89)),ISBLANK($AD89),ISBLANK($AE89))</formula>
    </cfRule>
    <cfRule type="expression" dxfId="724" priority="36">
      <formula>OR($AE89="X",$AD89="X")</formula>
    </cfRule>
    <cfRule type="expression" dxfId="723" priority="37">
      <formula>AND($AE89=1,$AD89=1)</formula>
    </cfRule>
    <cfRule type="expression" dxfId="722" priority="39">
      <formula>$AD89=1</formula>
    </cfRule>
  </conditionalFormatting>
  <conditionalFormatting sqref="C140">
    <cfRule type="expression" dxfId="721" priority="236">
      <formula>OR($AE140="X",$AD140="X")</formula>
    </cfRule>
    <cfRule type="expression" dxfId="720" priority="237">
      <formula>AND($AE140=1,$AD140=1)</formula>
    </cfRule>
    <cfRule type="expression" dxfId="719" priority="238">
      <formula>$AE140=1</formula>
    </cfRule>
    <cfRule type="expression" dxfId="718" priority="239">
      <formula>$AD140=1</formula>
    </cfRule>
  </conditionalFormatting>
  <conditionalFormatting sqref="C168 D169:D171 C173:C177">
    <cfRule type="expression" dxfId="717" priority="1121">
      <formula>AND($R168="X",OR(#REF!&lt;&gt;"",$B168&lt;&gt;""))</formula>
    </cfRule>
  </conditionalFormatting>
  <conditionalFormatting sqref="C169:C171">
    <cfRule type="expression" dxfId="716" priority="44">
      <formula>AND($R169="X",#REF!&lt;&gt;"")</formula>
    </cfRule>
    <cfRule type="expression" dxfId="715" priority="1802">
      <formula>AND(NOT(ISBLANK($W169)),ISBLANK($AD169),ISBLANK($AE169))</formula>
    </cfRule>
    <cfRule type="expression" dxfId="714" priority="49">
      <formula>$AD169=1</formula>
    </cfRule>
    <cfRule type="expression" dxfId="713" priority="1803">
      <formula>$AE169=1</formula>
    </cfRule>
  </conditionalFormatting>
  <conditionalFormatting sqref="C169:C172">
    <cfRule type="expression" dxfId="712" priority="46">
      <formula>AND($AE169=1,$AD169=1)</formula>
    </cfRule>
  </conditionalFormatting>
  <conditionalFormatting sqref="C172 C193:D193 C40:C88 C167">
    <cfRule type="expression" dxfId="711" priority="156">
      <formula>AND($R40="X",$B40&lt;&gt;"")</formula>
    </cfRule>
  </conditionalFormatting>
  <conditionalFormatting sqref="C178:C179 D139:E139 D89:D90 C91:C120 C155:C165 C197:C205 D131:D138">
    <cfRule type="expression" dxfId="710" priority="357">
      <formula>AND($R89="X",$B89&lt;&gt;"")</formula>
    </cfRule>
  </conditionalFormatting>
  <conditionalFormatting sqref="C179">
    <cfRule type="expression" dxfId="709" priority="303">
      <formula>OR($AE179="X",$AD179="X")</formula>
    </cfRule>
    <cfRule type="expression" dxfId="708" priority="305">
      <formula>$AE179=1</formula>
    </cfRule>
    <cfRule type="expression" dxfId="707" priority="304">
      <formula>AND($AE179=1,$AD179=1)</formula>
    </cfRule>
  </conditionalFormatting>
  <conditionalFormatting sqref="C180:C194 C196">
    <cfRule type="expression" dxfId="706" priority="1066">
      <formula>AND($R180="X",OR($B180&lt;&gt;"",#REF!&lt;&gt;""))</formula>
    </cfRule>
  </conditionalFormatting>
  <conditionalFormatting sqref="C195">
    <cfRule type="expression" dxfId="705" priority="20">
      <formula>AND($R195="X",$B195&lt;&gt;"")</formula>
    </cfRule>
  </conditionalFormatting>
  <conditionalFormatting sqref="C122:D124">
    <cfRule type="expression" dxfId="704" priority="383">
      <formula>AND($R122="X",OR(#REF!&lt;&gt;"",$B122&lt;&gt;""))</formula>
    </cfRule>
  </conditionalFormatting>
  <conditionalFormatting sqref="C140:D154">
    <cfRule type="expression" dxfId="703" priority="244">
      <formula>AND($R140="X",$B140&lt;&gt;"")</formula>
    </cfRule>
  </conditionalFormatting>
  <conditionalFormatting sqref="C193:D193 C172">
    <cfRule type="expression" dxfId="702" priority="155">
      <formula>$AE172=1</formula>
    </cfRule>
  </conditionalFormatting>
  <conditionalFormatting sqref="C193:D193">
    <cfRule type="expression" dxfId="701" priority="153">
      <formula>OR($AE193="X",$AD193="X")</formula>
    </cfRule>
    <cfRule type="expression" dxfId="700" priority="154">
      <formula>AND($AE193=1,$AD193=1)</formula>
    </cfRule>
  </conditionalFormatting>
  <conditionalFormatting sqref="C121:G121">
    <cfRule type="expression" dxfId="699" priority="367">
      <formula>AND($R121="X",$B121&lt;&gt;"")</formula>
    </cfRule>
  </conditionalFormatting>
  <conditionalFormatting sqref="D9:D27 D29:D36 D40:D88 D91:D92 D93:E93 D94:D120 D125:D128 D127:G127 E128:E130 C166:G166 C198:D198 D199:D205">
    <cfRule type="expression" dxfId="698" priority="160">
      <formula>AND($R9="X",OR($B9&lt;&gt;"",$C9&lt;&gt;""))</formula>
    </cfRule>
  </conditionalFormatting>
  <conditionalFormatting sqref="D26:D27">
    <cfRule type="expression" dxfId="697" priority="258">
      <formula>AND($R26="X",$B26&lt;&gt;"")</formula>
    </cfRule>
  </conditionalFormatting>
  <conditionalFormatting sqref="D28">
    <cfRule type="expression" dxfId="696" priority="6">
      <formula>AND($R28="X",OR($B28&lt;&gt;"",#REF!&lt;&gt;""))</formula>
    </cfRule>
  </conditionalFormatting>
  <conditionalFormatting sqref="D37">
    <cfRule type="expression" dxfId="695" priority="1171">
      <formula>$AE37=1</formula>
    </cfRule>
    <cfRule type="expression" dxfId="694" priority="1173">
      <formula>AND($R37="X",OR($B37&lt;&gt;"",#REF!&lt;&gt;""))</formula>
    </cfRule>
    <cfRule type="expression" dxfId="693" priority="1164">
      <formula>AND($R37="X",OR($B37&lt;&gt;"",#REF!&lt;&gt;"",$C37&lt;&gt;""))</formula>
    </cfRule>
    <cfRule type="expression" dxfId="692" priority="1166">
      <formula>AND($R37="X",OR($B37&lt;&gt;"",#REF!&lt;&gt;"",$C37&lt;&gt;"",$D37&lt;&gt;""))</formula>
    </cfRule>
    <cfRule type="expression" dxfId="691" priority="1167">
      <formula>AND($R37="X",OR($B37&lt;&gt;"",#REF!&lt;&gt;"",$D37&lt;&gt;"",#REF!&lt;&gt;""))</formula>
    </cfRule>
    <cfRule type="expression" dxfId="690" priority="1172">
      <formula>AND($R37="X",$B37&lt;&gt;"")</formula>
    </cfRule>
    <cfRule type="expression" dxfId="689" priority="1169">
      <formula>AND($R37="X",OR($B37&lt;&gt;"",#REF!&lt;&gt;"",$C37&lt;&gt;""))</formula>
    </cfRule>
    <cfRule type="expression" dxfId="688" priority="1170">
      <formula>AND($AE37=1,$AD37=1)</formula>
    </cfRule>
    <cfRule type="expression" dxfId="687" priority="1168">
      <formula>$AD37=1</formula>
    </cfRule>
  </conditionalFormatting>
  <conditionalFormatting sqref="D122">
    <cfRule type="expression" dxfId="686" priority="227">
      <formula>AND($R122="X",OR($B122&lt;&gt;"",$C122&lt;&gt;""))</formula>
    </cfRule>
  </conditionalFormatting>
  <conditionalFormatting sqref="D129:D130">
    <cfRule type="expression" dxfId="685" priority="334">
      <formula>AND($R129="X",OR(#REF!&lt;&gt;"",$B129&lt;&gt;""))</formula>
    </cfRule>
  </conditionalFormatting>
  <conditionalFormatting sqref="D129:D138 E139 B15:G27 B10:G12 C13:G14">
    <cfRule type="expression" dxfId="684" priority="361">
      <formula>OR($AE10="X",$AD10="X")</formula>
    </cfRule>
  </conditionalFormatting>
  <conditionalFormatting sqref="D139">
    <cfRule type="expression" dxfId="683" priority="296">
      <formula>AND($AE139=1,$AD139=1)</formula>
    </cfRule>
    <cfRule type="expression" dxfId="682" priority="295">
      <formula>OR($AE139="X",$AD139="X")</formula>
    </cfRule>
    <cfRule type="expression" dxfId="681" priority="297">
      <formula>$AE139=1</formula>
    </cfRule>
  </conditionalFormatting>
  <conditionalFormatting sqref="D139:D154">
    <cfRule type="expression" dxfId="680" priority="248">
      <formula>$AD139=1</formula>
    </cfRule>
  </conditionalFormatting>
  <conditionalFormatting sqref="D140">
    <cfRule type="expression" dxfId="679" priority="233">
      <formula>AND($AE140=1,$AD140=1)</formula>
    </cfRule>
    <cfRule type="expression" dxfId="678" priority="234">
      <formula>$AE140=1</formula>
    </cfRule>
    <cfRule type="expression" dxfId="677" priority="231">
      <formula>OR($AE140="X",$AD140="X")</formula>
    </cfRule>
    <cfRule type="expression" dxfId="676" priority="232">
      <formula>AND($R140="X",OR($B140&lt;&gt;"",$C140&lt;&gt;"",$D140&lt;&gt;""))</formula>
    </cfRule>
    <cfRule type="expression" dxfId="675" priority="235">
      <formula>$AD140=1</formula>
    </cfRule>
  </conditionalFormatting>
  <conditionalFormatting sqref="D140:D154">
    <cfRule type="expression" dxfId="674" priority="245">
      <formula>OR($AE140="X",$AD140="X")</formula>
    </cfRule>
    <cfRule type="expression" dxfId="673" priority="247">
      <formula>$AE140=1</formula>
    </cfRule>
    <cfRule type="expression" dxfId="672" priority="246">
      <formula>AND($AE140=1,$AD140=1)</formula>
    </cfRule>
  </conditionalFormatting>
  <conditionalFormatting sqref="D155:D159">
    <cfRule type="expression" dxfId="671" priority="352">
      <formula>AND($R155="X",OR($B155&lt;&gt;"",$C155&lt;&gt;""))</formula>
    </cfRule>
  </conditionalFormatting>
  <conditionalFormatting sqref="D160">
    <cfRule type="expression" dxfId="670" priority="918">
      <formula>AND($R160="X",OR($B160&lt;&gt;"",#REF!&lt;&gt;""))</formula>
    </cfRule>
  </conditionalFormatting>
  <conditionalFormatting sqref="D161:D165 D178:D179">
    <cfRule type="expression" dxfId="669" priority="390">
      <formula>AND($R161="X",OR($B161&lt;&gt;"",$C161&lt;&gt;""))</formula>
    </cfRule>
  </conditionalFormatting>
  <conditionalFormatting sqref="D164:D165">
    <cfRule type="expression" dxfId="668" priority="285">
      <formula>$AD164=1</formula>
    </cfRule>
    <cfRule type="expression" dxfId="667" priority="281">
      <formula>AND($AE164=1,$AD164=1)</formula>
    </cfRule>
    <cfRule type="expression" dxfId="666" priority="282">
      <formula>$AE164=1</formula>
    </cfRule>
    <cfRule type="expression" dxfId="665" priority="289">
      <formula>AND($R164="X",OR($B164&lt;&gt;"",$C164&lt;&gt;"",$D164&lt;&gt;""))</formula>
    </cfRule>
    <cfRule type="expression" dxfId="664" priority="280">
      <formula>AND($R164="X",OR($B164&lt;&gt;"",$C164&lt;&gt;"",$D164&lt;&gt;"",$E164&lt;&gt;""))</formula>
    </cfRule>
    <cfRule type="expression" dxfId="663" priority="288">
      <formula>$AE164=1</formula>
    </cfRule>
    <cfRule type="expression" dxfId="662" priority="279">
      <formula>$AD164=1</formula>
    </cfRule>
    <cfRule type="expression" dxfId="661" priority="283">
      <formula>AND($R164="X",OR($B164&lt;&gt;"",$C164&lt;&gt;"",$D164&lt;&gt;""))</formula>
    </cfRule>
    <cfRule type="expression" dxfId="660" priority="143">
      <formula>AND($R164="X",OR($B164&lt;&gt;"",$C164&lt;&gt;""))</formula>
    </cfRule>
    <cfRule type="expression" dxfId="659" priority="286">
      <formula>AND($R164="X",OR($B164&lt;&gt;"",$C164&lt;&gt;"",$D164&lt;&gt;"",$E164&lt;&gt;""))</formula>
    </cfRule>
    <cfRule type="expression" dxfId="658" priority="287">
      <formula>AND($AE164=1,$AD164=1)</formula>
    </cfRule>
  </conditionalFormatting>
  <conditionalFormatting sqref="D167 D172">
    <cfRule type="expression" dxfId="657" priority="142">
      <formula>AND($R167="X",OR($B167&lt;&gt;"",$C167&lt;&gt;""))</formula>
    </cfRule>
    <cfRule type="expression" dxfId="656" priority="138">
      <formula>AND($R167="X",OR($B167&lt;&gt;"",$C167&lt;&gt;"",$D167&lt;&gt;"",$E167&lt;&gt;""))</formula>
    </cfRule>
    <cfRule type="expression" dxfId="655" priority="137">
      <formula>$AD167=1</formula>
    </cfRule>
    <cfRule type="expression" dxfId="654" priority="136">
      <formula>AND($R167="X",OR($B167&lt;&gt;"",$C167&lt;&gt;"",$D167&lt;&gt;""))</formula>
    </cfRule>
    <cfRule type="expression" dxfId="653" priority="135">
      <formula>$AE167=1</formula>
    </cfRule>
    <cfRule type="expression" dxfId="652" priority="134">
      <formula>AND($AE167=1,$AD167=1)</formula>
    </cfRule>
    <cfRule type="expression" dxfId="651" priority="133">
      <formula>AND($R167="X",OR($B167&lt;&gt;"",$C167&lt;&gt;"",$D167&lt;&gt;"",$E167&lt;&gt;""))</formula>
    </cfRule>
    <cfRule type="expression" dxfId="650" priority="132">
      <formula>$AD167=1</formula>
    </cfRule>
    <cfRule type="expression" dxfId="649" priority="130">
      <formula>AND($R167="X",OR($B167&lt;&gt;"",$C167&lt;&gt;""))</formula>
    </cfRule>
    <cfRule type="expression" dxfId="648" priority="140">
      <formula>$AE167=1</formula>
    </cfRule>
    <cfRule type="expression" dxfId="647" priority="141">
      <formula>AND($R167="X",OR($B167&lt;&gt;"",$C167&lt;&gt;"",$D167&lt;&gt;""))</formula>
    </cfRule>
    <cfRule type="expression" dxfId="646" priority="152">
      <formula>$AE167=1</formula>
    </cfRule>
    <cfRule type="expression" dxfId="645" priority="157">
      <formula>AND($R167="X",OR($B167&lt;&gt;"",$C167&lt;&gt;""))</formula>
    </cfRule>
    <cfRule type="expression" dxfId="644" priority="139">
      <formula>AND($AE167=1,$AD167=1)</formula>
    </cfRule>
    <cfRule type="expression" dxfId="643" priority="151">
      <formula>AND($AE167=1,$AD167=1)</formula>
    </cfRule>
  </conditionalFormatting>
  <conditionalFormatting sqref="D168 D173">
    <cfRule type="expression" dxfId="642" priority="309">
      <formula>$AD168=1</formula>
    </cfRule>
    <cfRule type="expression" dxfId="641" priority="310">
      <formula>AND($R168="X",#REF!&lt;&gt;"")</formula>
    </cfRule>
    <cfRule type="expression" dxfId="640" priority="308">
      <formula>$AE168=1</formula>
    </cfRule>
    <cfRule type="expression" dxfId="639" priority="307">
      <formula>AND($AE168=1,$AD168=1)</formula>
    </cfRule>
  </conditionalFormatting>
  <conditionalFormatting sqref="D168 D173:D177">
    <cfRule type="expression" dxfId="638" priority="1123">
      <formula>AND($R168="X",OR(#REF!&lt;&gt;"",$B168&lt;&gt;"",$C168&lt;&gt;""))</formula>
    </cfRule>
  </conditionalFormatting>
  <conditionalFormatting sqref="D172 D167">
    <cfRule type="expression" dxfId="637" priority="149">
      <formula>AND($R167="X",$B167&lt;&gt;"")</formula>
    </cfRule>
  </conditionalFormatting>
  <conditionalFormatting sqref="D172:D173">
    <cfRule type="expression" dxfId="636" priority="146">
      <formula>OR($AE172="X",$AD172="X")</formula>
    </cfRule>
  </conditionalFormatting>
  <conditionalFormatting sqref="D179">
    <cfRule type="expression" dxfId="635" priority="300">
      <formula>OR($AE179="X",$AD179="X")</formula>
    </cfRule>
    <cfRule type="expression" dxfId="634" priority="299">
      <formula>AND($R179="X",$B179&lt;&gt;"")</formula>
    </cfRule>
    <cfRule type="expression" dxfId="633" priority="301">
      <formula>AND($AE179=1,$AD179=1)</formula>
    </cfRule>
    <cfRule type="expression" dxfId="632" priority="302">
      <formula>$AE179=1</formula>
    </cfRule>
  </conditionalFormatting>
  <conditionalFormatting sqref="D180:D194 D196">
    <cfRule type="expression" dxfId="631" priority="1086">
      <formula>AND($R180="X",OR($B180&lt;&gt;"",#REF!&lt;&gt;"",$C180&lt;&gt;""))</formula>
    </cfRule>
  </conditionalFormatting>
  <conditionalFormatting sqref="D183:D184">
    <cfRule type="expression" dxfId="630" priority="33">
      <formula>AND($AE183=1,$AD183=1)</formula>
    </cfRule>
    <cfRule type="expression" dxfId="629" priority="35">
      <formula>AND($R183="X",OR(#REF!&lt;&gt;"",$B183&lt;&gt;""))</formula>
    </cfRule>
    <cfRule type="expression" dxfId="628" priority="34">
      <formula>$AE183=1</formula>
    </cfRule>
  </conditionalFormatting>
  <conditionalFormatting sqref="D189">
    <cfRule type="expression" dxfId="627" priority="75">
      <formula>AND($R189="X",OR($B189&lt;&gt;"",#REF!&lt;&gt;""))</formula>
    </cfRule>
  </conditionalFormatting>
  <conditionalFormatting sqref="D191:D194 D196">
    <cfRule type="expression" dxfId="626" priority="80">
      <formula>AND($R191="X",OR($B191&lt;&gt;"",#REF!&lt;&gt;""))</formula>
    </cfRule>
  </conditionalFormatting>
  <conditionalFormatting sqref="D197">
    <cfRule type="expression" dxfId="625" priority="21">
      <formula>AND($R197="X",OR($B197&lt;&gt;"",$C197&lt;&gt;""))</formula>
    </cfRule>
  </conditionalFormatting>
  <conditionalFormatting sqref="D127:E127">
    <cfRule type="expression" dxfId="624" priority="184">
      <formula>$AD127=1</formula>
    </cfRule>
    <cfRule type="expression" dxfId="623" priority="183">
      <formula>AND($R127="X",OR($B127&lt;&gt;"",$C127&lt;&gt;"",$E127&lt;&gt;"",#REF!&lt;&gt;""))</formula>
    </cfRule>
    <cfRule type="expression" dxfId="622" priority="185">
      <formula>AND($R127="X",OR($B127&lt;&gt;"",$C127&lt;&gt;"",$D127&lt;&gt;""))</formula>
    </cfRule>
    <cfRule type="expression" dxfId="621" priority="182">
      <formula>AND($R127="X",OR($B127&lt;&gt;"",$C127&lt;&gt;"",$D127&lt;&gt;"",$E127&lt;&gt;""))</formula>
    </cfRule>
    <cfRule type="expression" dxfId="620" priority="186">
      <formula>AND($AE127=1,$AD127=1)</formula>
    </cfRule>
    <cfRule type="expression" dxfId="619" priority="187">
      <formula>$AE127=1</formula>
    </cfRule>
  </conditionalFormatting>
  <conditionalFormatting sqref="D37:G37">
    <cfRule type="expression" dxfId="618" priority="90">
      <formula>OR($AE37="X",$AD37="X")</formula>
    </cfRule>
    <cfRule type="expression" dxfId="617" priority="88">
      <formula>AND($AE37=1,$AD37=1)</formula>
    </cfRule>
    <cfRule type="expression" dxfId="616" priority="89">
      <formula>$AE37=1</formula>
    </cfRule>
    <cfRule type="expression" dxfId="615" priority="87">
      <formula>AND($R37="X",OR($B37&lt;&gt;"",$C37&lt;&gt;"",$D37&lt;&gt;"",$E37&lt;&gt;"",$F37&lt;&gt;""))</formula>
    </cfRule>
  </conditionalFormatting>
  <conditionalFormatting sqref="D125:G125">
    <cfRule type="expression" dxfId="614" priority="198">
      <formula>AND($R125="X",$B125&lt;&gt;"")</formula>
    </cfRule>
  </conditionalFormatting>
  <conditionalFormatting sqref="D167:G167 D172:G172 C195:D195">
    <cfRule type="expression" dxfId="613" priority="19">
      <formula>AND($R167="X",OR($B167&lt;&gt;"",$C167&lt;&gt;""))</formula>
    </cfRule>
  </conditionalFormatting>
  <conditionalFormatting sqref="E9:E27 E29:E36 E40:E88 E91:E92 E94:E120 E125:E128 E167 E172 E197:E205">
    <cfRule type="expression" dxfId="612" priority="118">
      <formula>AND($R9="X",OR($B9&lt;&gt;"",$C9&lt;&gt;"",$D9&lt;&gt;""))</formula>
    </cfRule>
  </conditionalFormatting>
  <conditionalFormatting sqref="E28">
    <cfRule type="expression" dxfId="611" priority="7">
      <formula>AND($R28="X",OR($B28&lt;&gt;"",#REF!&lt;&gt;"",$D28&lt;&gt;""))</formula>
    </cfRule>
  </conditionalFormatting>
  <conditionalFormatting sqref="E38:E39">
    <cfRule type="expression" dxfId="610" priority="92">
      <formula>AND($AE38=1,$AD38=1)</formula>
    </cfRule>
    <cfRule type="expression" dxfId="609" priority="93">
      <formula>$AE38=1</formula>
    </cfRule>
    <cfRule type="expression" dxfId="608" priority="96">
      <formula>AND($R38="X",OR($B38&lt;&gt;"",#REF!&lt;&gt;"",$D38&lt;&gt;"",#REF!&lt;&gt;""))</formula>
    </cfRule>
    <cfRule type="expression" dxfId="607" priority="95">
      <formula>AND(NOT(ISBLANK($W38)),ISBLANK($AD38),ISBLANK($AE38))</formula>
    </cfRule>
    <cfRule type="expression" dxfId="606" priority="91">
      <formula>OR($AE38="X",$AD38="X")</formula>
    </cfRule>
    <cfRule type="expression" dxfId="605" priority="94">
      <formula>$AD38=1</formula>
    </cfRule>
  </conditionalFormatting>
  <conditionalFormatting sqref="E89:E90">
    <cfRule type="expression" dxfId="604" priority="1814">
      <formula>AND($R89="X",OR($B89&lt;&gt;"",$D89&lt;&gt;"",#REF!&lt;&gt;""))</formula>
    </cfRule>
  </conditionalFormatting>
  <conditionalFormatting sqref="E92">
    <cfRule type="expression" dxfId="603" priority="270">
      <formula>AND($R92="X",OR($B92&lt;&gt;"",$C92&lt;&gt;"",$E92&lt;&gt;"",#REF!&lt;&gt;""))</formula>
    </cfRule>
    <cfRule type="expression" dxfId="602" priority="269">
      <formula>$AE92=1</formula>
    </cfRule>
    <cfRule type="expression" dxfId="601" priority="268">
      <formula>AND($AE92=1,$AD92=1)</formula>
    </cfRule>
    <cfRule type="expression" dxfId="600" priority="267">
      <formula>AND($R92="X",OR($B92&lt;&gt;"",$C92&lt;&gt;"",$D92&lt;&gt;"",$E92&lt;&gt;""))</formula>
    </cfRule>
  </conditionalFormatting>
  <conditionalFormatting sqref="E96">
    <cfRule type="expression" dxfId="599" priority="263">
      <formula>$AE96=1</formula>
    </cfRule>
    <cfRule type="expression" dxfId="598" priority="264">
      <formula>$AD96=1</formula>
    </cfRule>
    <cfRule type="expression" dxfId="597" priority="265">
      <formula>AND($R96="X",OR($B96&lt;&gt;"",$C96&lt;&gt;"",$E96&lt;&gt;"",#REF!&lt;&gt;""))</formula>
    </cfRule>
    <cfRule type="expression" dxfId="596" priority="266">
      <formula>$AD96=1</formula>
    </cfRule>
    <cfRule type="expression" dxfId="595" priority="261">
      <formula>AND($R96="X",OR($B96&lt;&gt;"",$C96&lt;&gt;"",$D96&lt;&gt;"",$E96&lt;&gt;""))</formula>
    </cfRule>
    <cfRule type="expression" dxfId="594" priority="262">
      <formula>AND($AE96=1,$AD96=1)</formula>
    </cfRule>
  </conditionalFormatting>
  <conditionalFormatting sqref="E111">
    <cfRule type="expression" dxfId="593" priority="272">
      <formula>AND($AE111=1,$AD111=1)</formula>
    </cfRule>
    <cfRule type="expression" dxfId="592" priority="274">
      <formula>$AD111=1</formula>
    </cfRule>
    <cfRule type="expression" dxfId="591" priority="271">
      <formula>AND($R111="X",OR($B111&lt;&gt;"",$C111&lt;&gt;"",$D111&lt;&gt;"",$E111&lt;&gt;""))</formula>
    </cfRule>
    <cfRule type="expression" dxfId="590" priority="275">
      <formula>AND($R111="X",OR($B111&lt;&gt;"",$C111&lt;&gt;"",$E111&lt;&gt;"",#REF!&lt;&gt;""))</formula>
    </cfRule>
    <cfRule type="expression" dxfId="589" priority="273">
      <formula>$AE111=1</formula>
    </cfRule>
  </conditionalFormatting>
  <conditionalFormatting sqref="E122 E155:E159 E161:E165 E178">
    <cfRule type="expression" dxfId="588" priority="228">
      <formula>AND($R122="X",OR($B122&lt;&gt;"",$C122&lt;&gt;"",$D122&lt;&gt;""))</formula>
    </cfRule>
  </conditionalFormatting>
  <conditionalFormatting sqref="E122:E124">
    <cfRule type="expression" dxfId="587" priority="384">
      <formula>AND($R122="X",OR(#REF!&lt;&gt;"",$B122&lt;&gt;"",$C122&lt;&gt;""))</formula>
    </cfRule>
  </conditionalFormatting>
  <conditionalFormatting sqref="E126">
    <cfRule type="expression" dxfId="586" priority="189">
      <formula>AND($R126="X",OR($B126&lt;&gt;"",$C126&lt;&gt;"",$E126&lt;&gt;"",#REF!&lt;&gt;""))</formula>
    </cfRule>
    <cfRule type="expression" dxfId="585" priority="188">
      <formula>AND($R126="X",OR($B126&lt;&gt;"",$C126&lt;&gt;"",$D126&lt;&gt;"",$E126&lt;&gt;""))</formula>
    </cfRule>
    <cfRule type="expression" dxfId="584" priority="190">
      <formula>$AD126=1</formula>
    </cfRule>
    <cfRule type="expression" dxfId="583" priority="191">
      <formula>AND($R126="X",OR($B126&lt;&gt;"",$C126&lt;&gt;"",$D126&lt;&gt;""))</formula>
    </cfRule>
  </conditionalFormatting>
  <conditionalFormatting sqref="E131">
    <cfRule type="expression" dxfId="582" priority="277">
      <formula>AND($R131="X",OR($B131&lt;&gt;"",$C131&lt;&gt;"",$E131&lt;&gt;"",#REF!&lt;&gt;""))</formula>
    </cfRule>
    <cfRule type="expression" dxfId="581" priority="278">
      <formula>$AD131=1</formula>
    </cfRule>
    <cfRule type="expression" dxfId="580" priority="276">
      <formula>AND($R131="X",OR($B131&lt;&gt;"",$C131&lt;&gt;"",$D131&lt;&gt;"",$E131&lt;&gt;""))</formula>
    </cfRule>
  </conditionalFormatting>
  <conditionalFormatting sqref="E131:E132 F133:F134 E135:E138">
    <cfRule type="expression" dxfId="579" priority="358">
      <formula>AND($R131="X",OR($B131&lt;&gt;"",$C131&lt;&gt;"",$D131&lt;&gt;""))</formula>
    </cfRule>
  </conditionalFormatting>
  <conditionalFormatting sqref="E133:E134">
    <cfRule type="expression" dxfId="578" priority="208">
      <formula>AND($AE133=1,$AD133=1)</formula>
    </cfRule>
    <cfRule type="expression" dxfId="577" priority="212">
      <formula>AND(NOT(ISBLANK($W133)),ISBLANK($AD133),ISBLANK($AE133))</formula>
    </cfRule>
    <cfRule type="expression" dxfId="576" priority="211">
      <formula>$AD133=1</formula>
    </cfRule>
    <cfRule type="expression" dxfId="575" priority="210">
      <formula>OR($AE133="X",$AD133="X")</formula>
    </cfRule>
    <cfRule type="expression" dxfId="574" priority="207">
      <formula>AND($R133="X",$B133&lt;&gt;"")</formula>
    </cfRule>
    <cfRule type="expression" dxfId="573" priority="209">
      <formula>$AE133=1</formula>
    </cfRule>
  </conditionalFormatting>
  <conditionalFormatting sqref="E140:E154">
    <cfRule type="expression" dxfId="572" priority="250">
      <formula>AND($R140="X",OR($B140&lt;&gt;"",$C140&lt;&gt;"",$D140&lt;&gt;""))</formula>
    </cfRule>
  </conditionalFormatting>
  <conditionalFormatting sqref="E160">
    <cfRule type="expression" dxfId="571" priority="936">
      <formula>AND($R160="X",OR($B160&lt;&gt;"",#REF!&lt;&gt;"",$D160&lt;&gt;""))</formula>
    </cfRule>
  </conditionalFormatting>
  <conditionalFormatting sqref="E163">
    <cfRule type="expression" dxfId="570" priority="293">
      <formula>$AE163=1</formula>
    </cfRule>
    <cfRule type="expression" dxfId="569" priority="291">
      <formula>AND($R163="X",OR($B163&lt;&gt;"",$C163&lt;&gt;"",$D163&lt;&gt;"",$E163&lt;&gt;""))</formula>
    </cfRule>
    <cfRule type="expression" dxfId="568" priority="292">
      <formula>AND($AE163=1,$AD163=1)</formula>
    </cfRule>
    <cfRule type="expression" dxfId="567" priority="290">
      <formula>$AD163=1</formula>
    </cfRule>
  </conditionalFormatting>
  <conditionalFormatting sqref="E169">
    <cfRule type="expression" dxfId="566" priority="1796">
      <formula>AND($R169="X",OR($B169&lt;&gt;"",$D169&lt;&gt;"",#REF!&lt;&gt;""))</formula>
    </cfRule>
  </conditionalFormatting>
  <conditionalFormatting sqref="E169:E171">
    <cfRule type="expression" dxfId="565" priority="1797">
      <formula>AND($R169="X",OR(#REF!&lt;&gt;"",$B169&lt;&gt;"",$D169&lt;&gt;""))</formula>
    </cfRule>
  </conditionalFormatting>
  <conditionalFormatting sqref="E173:E177">
    <cfRule type="expression" dxfId="564" priority="127">
      <formula>$AD173=1</formula>
    </cfRule>
    <cfRule type="expression" dxfId="563" priority="129">
      <formula>AND($R173="X",OR(#REF!&lt;&gt;"",$B173&lt;&gt;"",$C173&lt;&gt;"",$D173&lt;&gt;""))</formula>
    </cfRule>
    <cfRule type="expression" dxfId="562" priority="126">
      <formula>$AE173=1</formula>
    </cfRule>
    <cfRule type="expression" dxfId="561" priority="125">
      <formula>AND($AE173=1,$AD173=1)</formula>
    </cfRule>
    <cfRule type="expression" dxfId="560" priority="124">
      <formula>OR($AE173="X",$AD173="X")</formula>
    </cfRule>
    <cfRule type="expression" dxfId="559" priority="128">
      <formula>AND(NOT(ISBLANK($W173)),ISBLANK($AD173),ISBLANK($AE173))</formula>
    </cfRule>
  </conditionalFormatting>
  <conditionalFormatting sqref="E180:E194 E196">
    <cfRule type="expression" dxfId="558" priority="22">
      <formula>AND($R180="X",OR($B180&lt;&gt;"",#REF!&lt;&gt;"",$C180&lt;&gt;"",$D180&lt;&gt;""))</formula>
    </cfRule>
  </conditionalFormatting>
  <conditionalFormatting sqref="E195">
    <cfRule type="expression" dxfId="557" priority="16">
      <formula>AND($R195="X",OR($B195&lt;&gt;"",$C195&lt;&gt;"",$D195&lt;&gt;""))</formula>
    </cfRule>
  </conditionalFormatting>
  <conditionalFormatting sqref="E196">
    <cfRule type="expression" dxfId="556" priority="26">
      <formula>AND($R196="X",OR($B196&lt;&gt;"",#REF!&lt;&gt;"",$C196&lt;&gt;""))</formula>
    </cfRule>
  </conditionalFormatting>
  <conditionalFormatting sqref="E167:F167 E172:F172">
    <cfRule type="expression" dxfId="555" priority="158">
      <formula>AND($R167="X",OR($B167&lt;&gt;"",$C167&lt;&gt;"",$D167&lt;&gt;"",#REF!&lt;&gt;""))</formula>
    </cfRule>
  </conditionalFormatting>
  <conditionalFormatting sqref="E179:F179">
    <cfRule type="expression" dxfId="554" priority="1101">
      <formula>AND($R179="X",OR($B179&lt;&gt;"",$C179&lt;&gt;"",$D179&lt;&gt;"",#REF!&lt;&gt;""))</formula>
    </cfRule>
  </conditionalFormatting>
  <conditionalFormatting sqref="E126:G126">
    <cfRule type="expression" dxfId="553" priority="194">
      <formula>AND($AE126=1,$AD126=1)</formula>
    </cfRule>
    <cfRule type="expression" dxfId="552" priority="195">
      <formula>$AE126=1</formula>
    </cfRule>
  </conditionalFormatting>
  <conditionalFormatting sqref="E128:G128">
    <cfRule type="expression" dxfId="551" priority="173">
      <formula>AND($R128="X",OR($B128&lt;&gt;"",$C128&lt;&gt;""))</formula>
    </cfRule>
    <cfRule type="expression" dxfId="550" priority="165">
      <formula>AND($R128="X",OR($B128&lt;&gt;"",$C128&lt;&gt;"",$D128&lt;&gt;"",$E128&lt;&gt;""))</formula>
    </cfRule>
    <cfRule type="expression" dxfId="549" priority="168">
      <formula>AND($R128="X",OR($B128&lt;&gt;"",$C128&lt;&gt;"",$D128&lt;&gt;""))</formula>
    </cfRule>
    <cfRule type="expression" dxfId="548" priority="171">
      <formula>AND($R128="X",$B128&lt;&gt;"")</formula>
    </cfRule>
    <cfRule type="expression" dxfId="547" priority="170">
      <formula>$AE128=1</formula>
    </cfRule>
    <cfRule type="expression" dxfId="546" priority="167">
      <formula>$AD128=1</formula>
    </cfRule>
    <cfRule type="expression" dxfId="545" priority="166">
      <formula>AND($R128="X",OR($B128&lt;&gt;"",$C128&lt;&gt;"",$E128&lt;&gt;"",#REF!&lt;&gt;""))</formula>
    </cfRule>
    <cfRule type="expression" dxfId="544" priority="169">
      <formula>AND($AE128=1,$AD128=1)</formula>
    </cfRule>
  </conditionalFormatting>
  <conditionalFormatting sqref="E128:G132 E135:G139 D129:D138 F133:G134 E141:G154 B173:D177 A9:G9 B37:D37 D37:D39 B38:B39 F38:G39 F173:G177">
    <cfRule type="expression" dxfId="543" priority="902">
      <formula>AND($AE9=1,$AD9=1)</formula>
    </cfRule>
  </conditionalFormatting>
  <conditionalFormatting sqref="E128:G132">
    <cfRule type="expression" dxfId="542" priority="901">
      <formula>OR($AE128="X",$AD128="X")</formula>
    </cfRule>
  </conditionalFormatting>
  <conditionalFormatting sqref="E140:G140 B129:C154">
    <cfRule type="expression" dxfId="541" priority="254">
      <formula>AND($AE129=1,$AD129=1)</formula>
    </cfRule>
  </conditionalFormatting>
  <conditionalFormatting sqref="F1:F2">
    <cfRule type="dataBar" priority="51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27 F29:F36 F40:F88 F91:F92 F94:F120 F125:F128 F197:F205">
    <cfRule type="expression" dxfId="540" priority="121">
      <formula>AND($R9="X",OR($B9&lt;&gt;"",$C9&lt;&gt;"",$D9&lt;&gt;"",$E9&lt;&gt;""))</formula>
    </cfRule>
  </conditionalFormatting>
  <conditionalFormatting sqref="F28">
    <cfRule type="expression" dxfId="539" priority="8">
      <formula>AND($R28="X",OR($B28&lt;&gt;"",#REF!&lt;&gt;"",$D28&lt;&gt;"",$E28&lt;&gt;""))</formula>
    </cfRule>
  </conditionalFormatting>
  <conditionalFormatting sqref="F38:F39">
    <cfRule type="expression" dxfId="538" priority="1184">
      <formula>AND($R38="X",OR($B38&lt;&gt;"",#REF!&lt;&gt;"",$D38&lt;&gt;"",#REF!&lt;&gt;""))</formula>
    </cfRule>
  </conditionalFormatting>
  <conditionalFormatting sqref="F89:F90">
    <cfRule type="expression" dxfId="537" priority="1816">
      <formula>AND($R89="X",OR($B89&lt;&gt;"",$D89&lt;&gt;"",#REF!&lt;&gt;"",$E89&lt;&gt;""))</formula>
    </cfRule>
  </conditionalFormatting>
  <conditionalFormatting sqref="F93 F128:F130">
    <cfRule type="expression" dxfId="536" priority="1782">
      <formula>AND($R93="X",OR($B93&lt;&gt;"",$C93&lt;&gt;"",$E93&lt;&gt;"",#REF!&lt;&gt;""))</formula>
    </cfRule>
  </conditionalFormatting>
  <conditionalFormatting sqref="F122 F161:F165 F178">
    <cfRule type="expression" dxfId="535" priority="229">
      <formula>AND($R122="X",OR($B122&lt;&gt;"",$C122&lt;&gt;"",$D122&lt;&gt;"",$E122&lt;&gt;""))</formula>
    </cfRule>
  </conditionalFormatting>
  <conditionalFormatting sqref="F122:F124">
    <cfRule type="expression" dxfId="534" priority="385">
      <formula>AND($R122="X",OR(#REF!&lt;&gt;"",$B122&lt;&gt;"",$C122&lt;&gt;"",$E122&lt;&gt;""))</formula>
    </cfRule>
  </conditionalFormatting>
  <conditionalFormatting sqref="F131:F159">
    <cfRule type="expression" dxfId="533" priority="359">
      <formula>AND($R131="X",OR($B131&lt;&gt;"",$C131&lt;&gt;"",$D131&lt;&gt;"",$E131&lt;&gt;""))</formula>
    </cfRule>
  </conditionalFormatting>
  <conditionalFormatting sqref="F138">
    <cfRule type="expression" dxfId="532" priority="260">
      <formula>AND($R138="X",OR($B138&lt;&gt;"",$C138&lt;&gt;"",$E138&lt;&gt;"",#REF!&lt;&gt;""))</formula>
    </cfRule>
  </conditionalFormatting>
  <conditionalFormatting sqref="F160">
    <cfRule type="expression" dxfId="531" priority="937">
      <formula>AND($R160="X",OR($B160&lt;&gt;"",#REF!&lt;&gt;"",$D160&lt;&gt;"",$E160&lt;&gt;""))</formula>
    </cfRule>
  </conditionalFormatting>
  <conditionalFormatting sqref="F169">
    <cfRule type="expression" dxfId="530" priority="1798">
      <formula>AND($R169="X",OR($B169&lt;&gt;"",$D169&lt;&gt;"",#REF!&lt;&gt;"",$E169&lt;&gt;""))</formula>
    </cfRule>
  </conditionalFormatting>
  <conditionalFormatting sqref="F169:F171">
    <cfRule type="expression" dxfId="529" priority="1799">
      <formula>AND($R169="X",OR(#REF!&lt;&gt;"",$B169&lt;&gt;"",$D169&lt;&gt;"",$E169&lt;&gt;""))</formula>
    </cfRule>
  </conditionalFormatting>
  <conditionalFormatting sqref="F173:F177">
    <cfRule type="expression" dxfId="528" priority="1125">
      <formula>AND($R173="X",OR(#REF!&lt;&gt;"",$B173&lt;&gt;"",$C173&lt;&gt;"",$D173&lt;&gt;""))</formula>
    </cfRule>
  </conditionalFormatting>
  <conditionalFormatting sqref="F180:F194 F196">
    <cfRule type="expression" dxfId="527" priority="1091">
      <formula>AND($R180="X",OR($B180&lt;&gt;"",#REF!&lt;&gt;"",$C180&lt;&gt;"",$D180&lt;&gt;""))</formula>
    </cfRule>
    <cfRule type="expression" dxfId="526" priority="200">
      <formula>AND($R180="X",OR($B180&lt;&gt;"",#REF!&lt;&gt;"",$C180&lt;&gt;"",$D180&lt;&gt;"",$F180&lt;&gt;""))</formula>
    </cfRule>
  </conditionalFormatting>
  <conditionalFormatting sqref="F195">
    <cfRule type="expression" dxfId="525" priority="17">
      <formula>AND($R195="X",OR($B195&lt;&gt;"",$C195&lt;&gt;"",$D195&lt;&gt;"",$E195&lt;&gt;""))</formula>
    </cfRule>
  </conditionalFormatting>
  <conditionalFormatting sqref="F196">
    <cfRule type="expression" dxfId="524" priority="79">
      <formula>AND($R196="X",OR($B196&lt;&gt;"",#REF!&lt;&gt;"",$C196&lt;&gt;"",$D196&lt;&gt;""))</formula>
    </cfRule>
  </conditionalFormatting>
  <conditionalFormatting sqref="F127:G127">
    <cfRule type="expression" dxfId="523" priority="176">
      <formula>AND($R127="X",OR($B127&lt;&gt;"",$C127&lt;&gt;"",$E127&lt;&gt;"",#REF!&lt;&gt;""))</formula>
    </cfRule>
    <cfRule type="expression" dxfId="522" priority="175">
      <formula>AND($R127="X",OR($B127&lt;&gt;"",$C127&lt;&gt;"",$D127&lt;&gt;"",$E127&lt;&gt;""))</formula>
    </cfRule>
    <cfRule type="expression" dxfId="521" priority="177">
      <formula>$AD127=1</formula>
    </cfRule>
    <cfRule type="expression" dxfId="520" priority="178">
      <formula>AND($R127="X",OR($B127&lt;&gt;"",$C127&lt;&gt;"",$D127&lt;&gt;""))</formula>
    </cfRule>
    <cfRule type="expression" dxfId="519" priority="179">
      <formula>AND($AE127=1,$AD127=1)</formula>
    </cfRule>
    <cfRule type="expression" dxfId="518" priority="180">
      <formula>$AE127=1</formula>
    </cfRule>
    <cfRule type="expression" dxfId="517" priority="181">
      <formula>AND($R127="X",OR($B127&lt;&gt;"",$C127&lt;&gt;"",$D127&lt;&gt;""))</formula>
    </cfRule>
  </conditionalFormatting>
  <conditionalFormatting sqref="F128:G128">
    <cfRule type="expression" dxfId="516" priority="164">
      <formula>AND($R128="X",OR($B128&lt;&gt;"",$C128&lt;&gt;"",$D128&lt;&gt;""))</formula>
    </cfRule>
    <cfRule type="expression" dxfId="515" priority="163">
      <formula>AND($R128="X",OR($B128&lt;&gt;"",$C128&lt;&gt;""))</formula>
    </cfRule>
  </conditionalFormatting>
  <conditionalFormatting sqref="F139:G139">
    <cfRule type="expression" dxfId="514" priority="388">
      <formula>AND($R139="X",OR($B139&lt;&gt;"",$C139&lt;&gt;"",$E139&lt;&gt;"",#REF!&lt;&gt;""))</formula>
    </cfRule>
  </conditionalFormatting>
  <conditionalFormatting sqref="F167:G167 F172:G172">
    <cfRule type="expression" dxfId="513" priority="159">
      <formula>AND($R167="X",OR($B167&lt;&gt;"",$C167&lt;&gt;"",$D167&lt;&gt;"",#REF!&lt;&gt;"",$F167&lt;&gt;""))</formula>
    </cfRule>
  </conditionalFormatting>
  <conditionalFormatting sqref="F179:G179">
    <cfRule type="expression" dxfId="512" priority="1102">
      <formula>AND($R179="X",OR($B179&lt;&gt;"",$C179&lt;&gt;"",$D179&lt;&gt;"",#REF!&lt;&gt;"",$F179&lt;&gt;""))</formula>
    </cfRule>
  </conditionalFormatting>
  <conditionalFormatting sqref="G9:G27 G29:G36 G40:G88 G125:G128 F127 D168:G168 G197:G205">
    <cfRule type="expression" dxfId="511" priority="123">
      <formula>AND($R9="X",OR($B9&lt;&gt;"",$C9&lt;&gt;"",$D9&lt;&gt;"",$E9&lt;&gt;"",$F9&lt;&gt;""))</formula>
    </cfRule>
  </conditionalFormatting>
  <conditionalFormatting sqref="G28">
    <cfRule type="expression" dxfId="510" priority="9">
      <formula>AND($R28="X",OR($B28&lt;&gt;"",#REF!&lt;&gt;"",$D28&lt;&gt;"",$E28&lt;&gt;"",$F28&lt;&gt;""))</formula>
    </cfRule>
  </conditionalFormatting>
  <conditionalFormatting sqref="G38:G39">
    <cfRule type="expression" dxfId="509" priority="1191">
      <formula>AND($R38="X",OR($B38&lt;&gt;"",#REF!&lt;&gt;"",$D38&lt;&gt;"",#REF!&lt;&gt;"",$F38&lt;&gt;""))</formula>
    </cfRule>
  </conditionalFormatting>
  <conditionalFormatting sqref="G89:G90">
    <cfRule type="expression" dxfId="508" priority="1821">
      <formula>AND($R89="X",OR($B89&lt;&gt;"",$D89&lt;&gt;"",#REF!&lt;&gt;"",$E89&lt;&gt;"",$F89&lt;&gt;""))</formula>
    </cfRule>
  </conditionalFormatting>
  <conditionalFormatting sqref="G91:G92 G161:G165 G178">
    <cfRule type="expression" dxfId="507" priority="174">
      <formula>AND($R91="X",OR($B91&lt;&gt;"",$C91&lt;&gt;"",$D91&lt;&gt;"",$E91&lt;&gt;"",$F91&lt;&gt;""))</formula>
    </cfRule>
  </conditionalFormatting>
  <conditionalFormatting sqref="G93 G128:G130">
    <cfRule type="expression" dxfId="506" priority="1784">
      <formula>AND($R93="X",OR($B93&lt;&gt;"",$C93&lt;&gt;"",$E93&lt;&gt;"",#REF!&lt;&gt;"",$F93&lt;&gt;""))</formula>
    </cfRule>
  </conditionalFormatting>
  <conditionalFormatting sqref="G94:G120">
    <cfRule type="expression" dxfId="505" priority="122">
      <formula>AND($R94="X",OR($B94&lt;&gt;"",$C94&lt;&gt;"",$D94&lt;&gt;"",$E94&lt;&gt;"",$F94&lt;&gt;""))</formula>
    </cfRule>
  </conditionalFormatting>
  <conditionalFormatting sqref="G122">
    <cfRule type="expression" dxfId="504" priority="230">
      <formula>AND($R122="X",OR($B122&lt;&gt;"",$C122&lt;&gt;"",$D122&lt;&gt;"",$E122&lt;&gt;"",$F122&lt;&gt;""))</formula>
    </cfRule>
  </conditionalFormatting>
  <conditionalFormatting sqref="G122:G124">
    <cfRule type="expression" dxfId="503" priority="386">
      <formula>AND($R122="X",OR(#REF!&lt;&gt;"",$B122&lt;&gt;"",$C122&lt;&gt;"",$E122&lt;&gt;"",$F122&lt;&gt;""))</formula>
    </cfRule>
  </conditionalFormatting>
  <conditionalFormatting sqref="G128">
    <cfRule type="expression" dxfId="502" priority="161">
      <formula>AND($R128="X",OR($B128&lt;&gt;"",$C128&lt;&gt;"",$E128&lt;&gt;"",#REF!&lt;&gt;""))</formula>
    </cfRule>
    <cfRule type="expression" dxfId="501" priority="162">
      <formula>AND($R128="X",OR($B128&lt;&gt;"",$C128&lt;&gt;"",$D128&lt;&gt;"",$E128&lt;&gt;""))</formula>
    </cfRule>
  </conditionalFormatting>
  <conditionalFormatting sqref="G131:G138">
    <cfRule type="expression" dxfId="500" priority="360">
      <formula>AND($R131="X",OR($B131&lt;&gt;"",$C131&lt;&gt;"",$D131&lt;&gt;"",$E131&lt;&gt;"",$F131&lt;&gt;""))</formula>
    </cfRule>
  </conditionalFormatting>
  <conditionalFormatting sqref="G139">
    <cfRule type="expression" dxfId="499" priority="960">
      <formula>AND($R139="X",OR($B139&lt;&gt;"",$C139&lt;&gt;"",$E139&lt;&gt;"",#REF!&lt;&gt;"",$F139&lt;&gt;""))</formula>
    </cfRule>
    <cfRule type="expression" dxfId="498" priority="298">
      <formula>AND($R139="X",OR($B139&lt;&gt;"",$C139&lt;&gt;"",$D139&lt;&gt;"",$E139&lt;&gt;""))</formula>
    </cfRule>
  </conditionalFormatting>
  <conditionalFormatting sqref="G140:G159">
    <cfRule type="expression" dxfId="497" priority="252">
      <formula>AND($R140="X",OR($B140&lt;&gt;"",$C140&lt;&gt;"",$D140&lt;&gt;"",$E140&lt;&gt;"",$F140&lt;&gt;""))</formula>
    </cfRule>
  </conditionalFormatting>
  <conditionalFormatting sqref="G160">
    <cfRule type="expression" dxfId="496" priority="938">
      <formula>AND($R160="X",OR($B160&lt;&gt;"",#REF!&lt;&gt;"",$D160&lt;&gt;"",$E160&lt;&gt;"",$F160&lt;&gt;""))</formula>
    </cfRule>
  </conditionalFormatting>
  <conditionalFormatting sqref="G169">
    <cfRule type="expression" dxfId="495" priority="1800">
      <formula>AND($R169="X",OR($B169&lt;&gt;"",$D169&lt;&gt;"",#REF!&lt;&gt;"",$E169&lt;&gt;"",$F169&lt;&gt;""))</formula>
    </cfRule>
  </conditionalFormatting>
  <conditionalFormatting sqref="G169:G171">
    <cfRule type="expression" dxfId="494" priority="1801">
      <formula>AND($R169="X",OR(#REF!&lt;&gt;"",$B169&lt;&gt;"",$D169&lt;&gt;"",$E169&lt;&gt;"",$F169&lt;&gt;""))</formula>
    </cfRule>
  </conditionalFormatting>
  <conditionalFormatting sqref="G173:G177">
    <cfRule type="expression" dxfId="493" priority="1127">
      <formula>AND($R173="X",OR(#REF!&lt;&gt;"",$B173&lt;&gt;"",$C173&lt;&gt;"",$D173&lt;&gt;"",$F173&lt;&gt;""))</formula>
    </cfRule>
  </conditionalFormatting>
  <conditionalFormatting sqref="G180:G194 G196">
    <cfRule type="expression" dxfId="492" priority="1095">
      <formula>AND($R180="X",OR($B180&lt;&gt;"",#REF!&lt;&gt;"",$C180&lt;&gt;"",$D180&lt;&gt;"",$F180&lt;&gt;""))</formula>
    </cfRule>
  </conditionalFormatting>
  <conditionalFormatting sqref="G195">
    <cfRule type="expression" dxfId="491" priority="18">
      <formula>AND($R195="X",OR($B195&lt;&gt;"",$C195&lt;&gt;"",$D195&lt;&gt;"",$E195&lt;&gt;"",$F195&lt;&gt;""))</formula>
    </cfRule>
  </conditionalFormatting>
  <conditionalFormatting sqref="H43:H45">
    <cfRule type="expression" dxfId="490" priority="1">
      <formula>$R43="X"</formula>
    </cfRule>
  </conditionalFormatting>
  <conditionalFormatting sqref="H207:H208 H228:H1068">
    <cfRule type="expression" dxfId="489" priority="519">
      <formula>$Q207="X"</formula>
    </cfRule>
  </conditionalFormatting>
  <conditionalFormatting sqref="I11:I25 I27:I205">
    <cfRule type="expression" dxfId="488" priority="69">
      <formula>$R11="X"</formula>
    </cfRule>
  </conditionalFormatting>
  <conditionalFormatting sqref="Q9:Q205">
    <cfRule type="cellIs" dxfId="487" priority="67" operator="equal">
      <formula>"0..n"</formula>
    </cfRule>
    <cfRule type="cellIs" dxfId="486" priority="68" operator="equal">
      <formula>"0..1"</formula>
    </cfRule>
    <cfRule type="cellIs" dxfId="485" priority="66" operator="equal">
      <formula>"1..1"</formula>
    </cfRule>
  </conditionalFormatting>
  <conditionalFormatting sqref="W17">
    <cfRule type="cellIs" dxfId="484" priority="4" operator="equal">
      <formula>"0..1"</formula>
    </cfRule>
    <cfRule type="cellIs" dxfId="483" priority="2" operator="equal">
      <formula>"1..1"</formula>
    </cfRule>
    <cfRule type="cellIs" dxfId="482" priority="3" operator="equal">
      <formula>"0..n"</formula>
    </cfRule>
  </conditionalFormatting>
  <hyperlinks>
    <hyperlink ref="I11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94" zoomScaleNormal="115" workbookViewId="0">
      <pane xSplit="7" ySplit="8" topLeftCell="I75" activePane="bottomRight" state="frozen"/>
      <selection pane="topRight" activeCell="H1" sqref="H1"/>
      <selection pane="bottomLeft" activeCell="A9" sqref="A9"/>
      <selection pane="bottomRight" activeCell="J90" sqref="J90"/>
    </sheetView>
  </sheetViews>
  <sheetFormatPr baseColWidth="10" defaultColWidth="11" defaultRowHeight="14.25" customHeight="1"/>
  <cols>
    <col min="1" max="1" width="5" bestFit="1" customWidth="1"/>
    <col min="2" max="2" width="15.33203125" bestFit="1" customWidth="1"/>
    <col min="3" max="3" width="20.83203125" customWidth="1"/>
    <col min="4" max="4" width="25.1640625" customWidth="1"/>
    <col min="5" max="5" width="28.1640625" customWidth="1"/>
    <col min="6" max="7" width="15.33203125" customWidth="1"/>
    <col min="8" max="8" width="53.1640625" customWidth="1"/>
    <col min="9" max="9" width="37.6640625" customWidth="1"/>
    <col min="10" max="10" width="36.33203125" customWidth="1"/>
    <col min="11" max="11" width="10.33203125" customWidth="1"/>
    <col min="12" max="12" width="19.5" customWidth="1"/>
    <col min="13" max="13" width="12" hidden="1" customWidth="1"/>
    <col min="14" max="14" width="13.1640625" hidden="1" customWidth="1"/>
    <col min="15" max="18" width="11" hidden="1" customWidth="1"/>
    <col min="19" max="19" width="11.5" bestFit="1" customWidth="1"/>
    <col min="20" max="21" width="14" customWidth="1"/>
    <col min="22" max="22" width="17.33203125" customWidth="1"/>
    <col min="23" max="28" width="11" customWidth="1"/>
    <col min="29" max="29" width="2.6640625" customWidth="1"/>
    <col min="30" max="34" width="11" customWidth="1"/>
    <col min="35" max="35" width="14" customWidth="1"/>
  </cols>
  <sheetData>
    <row r="1" spans="1:1032" ht="16" customHeight="1">
      <c r="A1" s="228" t="s">
        <v>1724</v>
      </c>
      <c r="B1" s="286"/>
      <c r="C1" s="129" t="s">
        <v>813</v>
      </c>
      <c r="D1" s="128"/>
      <c r="E1" s="293" t="s">
        <v>814</v>
      </c>
      <c r="F1" s="157">
        <v>0.7</v>
      </c>
      <c r="G1" s="128"/>
      <c r="H1" s="798" t="s">
        <v>1725</v>
      </c>
      <c r="I1" s="798"/>
      <c r="J1" s="798"/>
      <c r="K1" s="798"/>
      <c r="L1" s="798"/>
      <c r="M1" s="294" t="s">
        <v>1725</v>
      </c>
      <c r="N1" s="294" t="s">
        <v>1725</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6" customHeight="1">
      <c r="A2" s="128"/>
      <c r="B2" s="128"/>
      <c r="C2" s="295" t="s">
        <v>818</v>
      </c>
      <c r="D2" s="128"/>
      <c r="E2" s="296" t="s">
        <v>819</v>
      </c>
      <c r="F2" s="157">
        <v>0.64</v>
      </c>
      <c r="G2" s="128"/>
      <c r="H2" s="798"/>
      <c r="I2" s="798"/>
      <c r="J2" s="798"/>
      <c r="K2" s="798"/>
      <c r="L2" s="798"/>
      <c r="M2" s="294" t="s">
        <v>1725</v>
      </c>
      <c r="N2" s="294" t="s">
        <v>1725</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7" t="s">
        <v>821</v>
      </c>
      <c r="D3" s="128"/>
      <c r="E3" s="298"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299" t="s">
        <v>824</v>
      </c>
      <c r="D4" s="128"/>
      <c r="E4" s="300"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5"/>
      <c r="B5" s="149"/>
      <c r="C5" s="145" t="s">
        <v>826</v>
      </c>
      <c r="D5" s="149"/>
      <c r="E5" s="301" t="s">
        <v>1725</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2" t="s">
        <v>827</v>
      </c>
      <c r="D6" s="302"/>
      <c r="E6" s="138" t="s">
        <v>1725</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6">
      <c r="B7" s="138" t="s">
        <v>1725</v>
      </c>
      <c r="C7" s="303" t="s">
        <v>1725</v>
      </c>
      <c r="D7" s="303" t="s">
        <v>1725</v>
      </c>
      <c r="E7" s="303" t="s">
        <v>1725</v>
      </c>
      <c r="F7" s="96"/>
      <c r="G7" s="96"/>
      <c r="H7" s="96"/>
      <c r="I7" s="96"/>
      <c r="J7" s="96"/>
      <c r="K7" s="96"/>
      <c r="L7" s="96"/>
      <c r="M7" s="96"/>
      <c r="N7" s="96"/>
      <c r="O7" s="799" t="s">
        <v>1726</v>
      </c>
      <c r="P7" s="799"/>
      <c r="Q7" s="799"/>
      <c r="R7" s="799"/>
      <c r="S7" s="304"/>
      <c r="T7" s="96"/>
      <c r="U7" s="96"/>
      <c r="V7" s="96"/>
      <c r="W7" s="96"/>
      <c r="X7" s="96"/>
      <c r="Y7" s="96"/>
      <c r="Z7" s="96"/>
      <c r="AA7" s="701" t="s">
        <v>829</v>
      </c>
      <c r="AB7" s="701" t="s">
        <v>829</v>
      </c>
      <c r="AD7" s="96"/>
      <c r="AE7" s="96"/>
      <c r="AF7" s="96"/>
      <c r="AG7" s="800" t="s">
        <v>830</v>
      </c>
      <c r="AH7" s="800"/>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5" t="s">
        <v>831</v>
      </c>
      <c r="B8" s="306" t="s">
        <v>832</v>
      </c>
      <c r="C8" s="306" t="s">
        <v>833</v>
      </c>
      <c r="D8" s="306" t="s">
        <v>834</v>
      </c>
      <c r="E8" s="306" t="s">
        <v>835</v>
      </c>
      <c r="F8" s="306" t="s">
        <v>836</v>
      </c>
      <c r="G8" s="306" t="s">
        <v>837</v>
      </c>
      <c r="H8" s="307" t="s">
        <v>9</v>
      </c>
      <c r="I8" s="307" t="s">
        <v>1727</v>
      </c>
      <c r="J8" s="307" t="s">
        <v>838</v>
      </c>
      <c r="K8" s="307" t="s">
        <v>1728</v>
      </c>
      <c r="L8" s="308" t="s">
        <v>840</v>
      </c>
      <c r="M8" s="308" t="s">
        <v>841</v>
      </c>
      <c r="N8" s="309" t="s">
        <v>842</v>
      </c>
      <c r="O8" s="308" t="s">
        <v>843</v>
      </c>
      <c r="P8" s="308" t="s">
        <v>844</v>
      </c>
      <c r="Q8" s="308" t="s">
        <v>845</v>
      </c>
      <c r="R8" s="308" t="s">
        <v>846</v>
      </c>
      <c r="S8" s="309" t="s">
        <v>677</v>
      </c>
      <c r="T8" s="372" t="s">
        <v>1729</v>
      </c>
      <c r="U8" s="372" t="s">
        <v>1730</v>
      </c>
      <c r="V8" s="372" t="s">
        <v>1731</v>
      </c>
      <c r="W8" s="307" t="s">
        <v>3</v>
      </c>
      <c r="X8" s="307" t="s">
        <v>1732</v>
      </c>
      <c r="Y8" s="307" t="s">
        <v>1733</v>
      </c>
      <c r="Z8" s="307" t="s">
        <v>849</v>
      </c>
      <c r="AA8" s="310" t="s">
        <v>850</v>
      </c>
      <c r="AB8" s="310" t="s">
        <v>851</v>
      </c>
      <c r="AC8" s="311" t="s">
        <v>852</v>
      </c>
      <c r="AD8" s="312" t="s">
        <v>853</v>
      </c>
      <c r="AE8" s="312" t="s">
        <v>854</v>
      </c>
      <c r="AF8" s="312" t="s">
        <v>856</v>
      </c>
      <c r="AG8" s="312" t="s">
        <v>857</v>
      </c>
      <c r="AH8" s="313" t="s">
        <v>915</v>
      </c>
      <c r="AI8" s="511" t="s">
        <v>1734</v>
      </c>
      <c r="AJ8" s="314" t="s">
        <v>851</v>
      </c>
      <c r="AK8" s="314"/>
      <c r="AL8" s="314"/>
      <c r="AM8" s="314"/>
      <c r="AN8" s="314"/>
      <c r="AO8" s="314"/>
      <c r="AP8" s="314"/>
      <c r="AQ8" s="314"/>
      <c r="AR8" s="314"/>
      <c r="AS8" s="314"/>
      <c r="AT8" s="314"/>
      <c r="AU8" s="314"/>
      <c r="AV8" s="314"/>
      <c r="AW8" s="314"/>
      <c r="AX8" s="314"/>
      <c r="AY8" s="314"/>
      <c r="AZ8" s="314"/>
      <c r="BA8" s="314"/>
      <c r="BB8" s="314"/>
      <c r="BC8" s="314"/>
      <c r="BD8" s="314"/>
      <c r="BE8" s="314"/>
      <c r="BF8" s="314"/>
      <c r="BG8" s="314"/>
      <c r="BH8" s="314"/>
      <c r="BI8" s="314"/>
      <c r="BJ8" s="314"/>
      <c r="BK8" s="314"/>
      <c r="BL8" s="314"/>
      <c r="BM8" s="314"/>
      <c r="BN8" s="314"/>
      <c r="BO8" s="314"/>
      <c r="BP8" s="314"/>
      <c r="BQ8" s="314"/>
      <c r="BR8" s="314"/>
      <c r="BS8" s="314"/>
      <c r="BT8" s="314"/>
      <c r="BU8" s="314"/>
      <c r="BV8" s="314"/>
      <c r="BW8" s="314"/>
      <c r="BX8" s="314"/>
      <c r="BY8" s="314"/>
      <c r="BZ8" s="314"/>
      <c r="CA8" s="314"/>
      <c r="CB8" s="314"/>
      <c r="CC8" s="314"/>
      <c r="CD8" s="314"/>
      <c r="CE8" s="314"/>
      <c r="CF8" s="314"/>
      <c r="CG8" s="314"/>
      <c r="CH8" s="314"/>
      <c r="CI8" s="314"/>
      <c r="CJ8" s="314"/>
      <c r="CK8" s="314"/>
      <c r="CL8" s="314"/>
      <c r="CM8" s="314"/>
      <c r="CN8" s="314"/>
      <c r="CO8" s="314"/>
      <c r="CP8" s="314"/>
      <c r="CQ8" s="314"/>
      <c r="CR8" s="314"/>
      <c r="CS8" s="314"/>
      <c r="CT8" s="314"/>
      <c r="CU8" s="314"/>
      <c r="CV8" s="314"/>
      <c r="CW8" s="314"/>
      <c r="CX8" s="314"/>
      <c r="CY8" s="314"/>
      <c r="CZ8" s="314"/>
      <c r="DA8" s="314"/>
      <c r="DB8" s="314"/>
      <c r="DC8" s="314"/>
      <c r="DD8" s="314"/>
      <c r="DE8" s="314"/>
      <c r="DF8" s="314"/>
      <c r="DG8" s="314"/>
      <c r="DH8" s="314"/>
      <c r="DI8" s="314"/>
      <c r="DJ8" s="314"/>
      <c r="DK8" s="314"/>
      <c r="DL8" s="314"/>
      <c r="DM8" s="314"/>
      <c r="DN8" s="314"/>
      <c r="DO8" s="314"/>
      <c r="DP8" s="314"/>
      <c r="DQ8" s="314"/>
      <c r="DR8" s="314"/>
      <c r="DS8" s="314"/>
      <c r="DT8" s="314"/>
      <c r="DU8" s="314"/>
      <c r="DV8" s="314"/>
      <c r="DW8" s="314"/>
      <c r="DX8" s="314"/>
      <c r="DY8" s="314"/>
      <c r="DZ8" s="314"/>
      <c r="EA8" s="314"/>
      <c r="EB8" s="314"/>
      <c r="EC8" s="314"/>
      <c r="ED8" s="314"/>
      <c r="EE8" s="314"/>
      <c r="EF8" s="314"/>
      <c r="EG8" s="314"/>
      <c r="EH8" s="314"/>
      <c r="EI8" s="314"/>
      <c r="EJ8" s="314"/>
      <c r="EK8" s="314"/>
      <c r="EL8" s="314"/>
      <c r="EM8" s="314"/>
      <c r="EN8" s="314"/>
      <c r="EO8" s="314"/>
      <c r="EP8" s="314"/>
      <c r="EQ8" s="314"/>
      <c r="ER8" s="314"/>
      <c r="ES8" s="314"/>
      <c r="ET8" s="314"/>
      <c r="EU8" s="314"/>
      <c r="EV8" s="314"/>
      <c r="EW8" s="314"/>
      <c r="EX8" s="314"/>
      <c r="EY8" s="314"/>
      <c r="EZ8" s="314"/>
      <c r="FA8" s="314"/>
      <c r="FB8" s="314"/>
      <c r="FC8" s="314"/>
      <c r="FD8" s="314"/>
      <c r="FE8" s="314"/>
      <c r="FF8" s="314"/>
      <c r="FG8" s="314"/>
      <c r="FH8" s="314"/>
      <c r="FI8" s="314"/>
      <c r="FJ8" s="314"/>
      <c r="FK8" s="314"/>
      <c r="FL8" s="314"/>
      <c r="FM8" s="314"/>
      <c r="FN8" s="314"/>
      <c r="FO8" s="314"/>
      <c r="FP8" s="314"/>
      <c r="FQ8" s="314"/>
      <c r="FR8" s="314"/>
      <c r="FS8" s="314"/>
      <c r="FT8" s="314"/>
      <c r="FU8" s="314"/>
      <c r="FV8" s="314"/>
      <c r="FW8" s="314"/>
      <c r="FX8" s="314"/>
      <c r="FY8" s="314"/>
      <c r="FZ8" s="314"/>
      <c r="GA8" s="314"/>
      <c r="GB8" s="314"/>
      <c r="GC8" s="314"/>
      <c r="GD8" s="314"/>
      <c r="GE8" s="314"/>
      <c r="GF8" s="314"/>
      <c r="GG8" s="314"/>
      <c r="GH8" s="314"/>
      <c r="GI8" s="314"/>
      <c r="GJ8" s="314"/>
      <c r="GK8" s="314"/>
      <c r="GL8" s="314"/>
      <c r="GM8" s="314"/>
      <c r="GN8" s="314"/>
      <c r="GO8" s="314"/>
      <c r="GP8" s="314"/>
      <c r="GQ8" s="314"/>
      <c r="GR8" s="314"/>
      <c r="GS8" s="314"/>
      <c r="GT8" s="314"/>
      <c r="GU8" s="314"/>
      <c r="GV8" s="314"/>
      <c r="GW8" s="314"/>
      <c r="GX8" s="314"/>
      <c r="GY8" s="314"/>
      <c r="GZ8" s="314"/>
      <c r="HA8" s="314"/>
      <c r="HB8" s="314"/>
      <c r="HC8" s="314"/>
      <c r="HD8" s="314"/>
      <c r="HE8" s="314"/>
      <c r="HF8" s="314"/>
      <c r="HG8" s="314"/>
      <c r="HH8" s="314"/>
      <c r="HI8" s="314"/>
      <c r="HJ8" s="314"/>
      <c r="HK8" s="314"/>
      <c r="HL8" s="314"/>
      <c r="HM8" s="314"/>
      <c r="HN8" s="314"/>
      <c r="HO8" s="314"/>
      <c r="HP8" s="314"/>
      <c r="HQ8" s="314"/>
      <c r="HR8" s="314"/>
      <c r="HS8" s="314"/>
      <c r="HT8" s="314"/>
      <c r="HU8" s="314"/>
      <c r="HV8" s="314"/>
      <c r="HW8" s="314"/>
      <c r="HX8" s="314"/>
      <c r="HY8" s="314"/>
      <c r="HZ8" s="314"/>
      <c r="IA8" s="314"/>
      <c r="IB8" s="314"/>
      <c r="IC8" s="314"/>
      <c r="ID8" s="314"/>
      <c r="IE8" s="314"/>
      <c r="IF8" s="314"/>
      <c r="IG8" s="314"/>
      <c r="IH8" s="314"/>
      <c r="II8" s="314"/>
      <c r="IJ8" s="314"/>
      <c r="IK8" s="314"/>
      <c r="IL8" s="314"/>
      <c r="IM8" s="314"/>
      <c r="IN8" s="314"/>
      <c r="IO8" s="314"/>
      <c r="IP8" s="314"/>
      <c r="IQ8" s="314"/>
      <c r="IR8" s="314"/>
      <c r="IS8" s="314"/>
      <c r="IT8" s="314"/>
      <c r="IU8" s="314"/>
      <c r="IV8" s="314"/>
      <c r="IW8" s="314"/>
      <c r="IX8" s="314"/>
      <c r="IY8" s="314"/>
      <c r="IZ8" s="314"/>
      <c r="JA8" s="314"/>
      <c r="JB8" s="314"/>
      <c r="JC8" s="314"/>
      <c r="JD8" s="314"/>
      <c r="JE8" s="314"/>
      <c r="JF8" s="314"/>
      <c r="JG8" s="314"/>
      <c r="JH8" s="314"/>
      <c r="JI8" s="314"/>
      <c r="JJ8" s="314"/>
      <c r="JK8" s="314"/>
      <c r="JL8" s="314"/>
      <c r="JM8" s="314"/>
      <c r="JN8" s="314"/>
      <c r="JO8" s="314"/>
      <c r="JP8" s="314"/>
      <c r="JQ8" s="314"/>
      <c r="JR8" s="314"/>
      <c r="JS8" s="314"/>
      <c r="JT8" s="314"/>
      <c r="JU8" s="314"/>
      <c r="JV8" s="314"/>
      <c r="JW8" s="314"/>
      <c r="JX8" s="314"/>
      <c r="JY8" s="314"/>
      <c r="JZ8" s="314"/>
      <c r="KA8" s="314"/>
      <c r="KB8" s="314"/>
      <c r="KC8" s="314"/>
      <c r="KD8" s="314"/>
      <c r="KE8" s="314"/>
      <c r="KF8" s="314"/>
      <c r="KG8" s="314"/>
      <c r="KH8" s="314"/>
      <c r="KI8" s="314"/>
      <c r="KJ8" s="314"/>
      <c r="KK8" s="314"/>
      <c r="KL8" s="314"/>
      <c r="KM8" s="314"/>
      <c r="KN8" s="314"/>
      <c r="KO8" s="314"/>
      <c r="KP8" s="314"/>
      <c r="KQ8" s="314"/>
      <c r="KR8" s="314"/>
      <c r="KS8" s="314"/>
      <c r="KT8" s="314"/>
      <c r="KU8" s="314"/>
      <c r="KV8" s="314"/>
      <c r="KW8" s="314"/>
      <c r="KX8" s="314"/>
      <c r="KY8" s="314"/>
      <c r="KZ8" s="314"/>
      <c r="LA8" s="314"/>
      <c r="LB8" s="314"/>
      <c r="LC8" s="314"/>
      <c r="LD8" s="314"/>
      <c r="LE8" s="314"/>
      <c r="LF8" s="314"/>
      <c r="LG8" s="314"/>
      <c r="LH8" s="314"/>
      <c r="LI8" s="314"/>
      <c r="LJ8" s="314"/>
      <c r="LK8" s="314"/>
      <c r="LL8" s="314"/>
      <c r="LM8" s="314"/>
      <c r="LN8" s="314"/>
      <c r="LO8" s="314"/>
      <c r="LP8" s="314"/>
      <c r="LQ8" s="314"/>
      <c r="LR8" s="314"/>
      <c r="LS8" s="314"/>
      <c r="LT8" s="314"/>
      <c r="LU8" s="314"/>
      <c r="LV8" s="314"/>
      <c r="LW8" s="314"/>
      <c r="LX8" s="314"/>
      <c r="LY8" s="314"/>
      <c r="LZ8" s="314"/>
      <c r="MA8" s="314"/>
      <c r="MB8" s="314"/>
      <c r="MC8" s="314"/>
      <c r="MD8" s="314"/>
      <c r="ME8" s="314"/>
      <c r="MF8" s="314"/>
      <c r="MG8" s="314"/>
      <c r="MH8" s="314"/>
      <c r="MI8" s="314"/>
      <c r="MJ8" s="314"/>
      <c r="MK8" s="314"/>
      <c r="ML8" s="314"/>
      <c r="MM8" s="314"/>
      <c r="MN8" s="314"/>
      <c r="MO8" s="314"/>
      <c r="MP8" s="314"/>
      <c r="MQ8" s="314"/>
      <c r="MR8" s="314"/>
      <c r="MS8" s="314"/>
      <c r="MT8" s="314"/>
      <c r="MU8" s="314"/>
      <c r="MV8" s="314"/>
      <c r="MW8" s="314"/>
      <c r="MX8" s="314"/>
      <c r="MY8" s="314"/>
      <c r="MZ8" s="314"/>
      <c r="NA8" s="314"/>
      <c r="NB8" s="314"/>
      <c r="NC8" s="314"/>
      <c r="ND8" s="314"/>
      <c r="NE8" s="314"/>
      <c r="NF8" s="314"/>
      <c r="NG8" s="314"/>
      <c r="NH8" s="314"/>
      <c r="NI8" s="314"/>
      <c r="NJ8" s="314"/>
      <c r="NK8" s="314"/>
      <c r="NL8" s="314"/>
      <c r="NM8" s="314"/>
      <c r="NN8" s="314"/>
      <c r="NO8" s="314"/>
      <c r="NP8" s="314"/>
      <c r="NQ8" s="314"/>
      <c r="NR8" s="314"/>
      <c r="NS8" s="314"/>
      <c r="NT8" s="314"/>
      <c r="NU8" s="314"/>
      <c r="NV8" s="314"/>
      <c r="NW8" s="314"/>
      <c r="NX8" s="314"/>
      <c r="NY8" s="314"/>
      <c r="NZ8" s="314"/>
      <c r="OA8" s="314"/>
      <c r="OB8" s="314"/>
      <c r="OC8" s="314"/>
      <c r="OD8" s="314"/>
      <c r="OE8" s="314"/>
      <c r="OF8" s="314"/>
      <c r="OG8" s="314"/>
      <c r="OH8" s="314"/>
      <c r="OI8" s="314"/>
      <c r="OJ8" s="314"/>
      <c r="OK8" s="314"/>
      <c r="OL8" s="314"/>
      <c r="OM8" s="314"/>
      <c r="ON8" s="314"/>
      <c r="OO8" s="314"/>
      <c r="OP8" s="314"/>
      <c r="OQ8" s="314"/>
      <c r="OR8" s="314"/>
      <c r="OS8" s="314"/>
      <c r="OT8" s="314"/>
      <c r="OU8" s="314"/>
      <c r="OV8" s="314"/>
      <c r="OW8" s="314"/>
      <c r="OX8" s="314"/>
      <c r="OY8" s="314"/>
      <c r="OZ8" s="314"/>
      <c r="PA8" s="314"/>
      <c r="PB8" s="314"/>
      <c r="PC8" s="314"/>
      <c r="PD8" s="314"/>
      <c r="PE8" s="314"/>
      <c r="PF8" s="314"/>
      <c r="PG8" s="314"/>
      <c r="PH8" s="314"/>
      <c r="PI8" s="314"/>
      <c r="PJ8" s="314"/>
      <c r="PK8" s="314"/>
      <c r="PL8" s="314"/>
      <c r="PM8" s="314"/>
      <c r="PN8" s="314"/>
      <c r="PO8" s="314"/>
      <c r="PP8" s="314"/>
      <c r="PQ8" s="314"/>
      <c r="PR8" s="314"/>
      <c r="PS8" s="314"/>
      <c r="PT8" s="314"/>
      <c r="PU8" s="314"/>
      <c r="PV8" s="314"/>
      <c r="PW8" s="314"/>
      <c r="PX8" s="314"/>
      <c r="PY8" s="314"/>
      <c r="PZ8" s="314"/>
      <c r="QA8" s="314"/>
      <c r="QB8" s="314"/>
      <c r="QC8" s="314"/>
      <c r="QD8" s="314"/>
      <c r="QE8" s="314"/>
      <c r="QF8" s="314"/>
      <c r="QG8" s="314"/>
      <c r="QH8" s="314"/>
      <c r="QI8" s="314"/>
      <c r="QJ8" s="314"/>
      <c r="QK8" s="314"/>
      <c r="QL8" s="314"/>
      <c r="QM8" s="314"/>
      <c r="QN8" s="314"/>
      <c r="QO8" s="314"/>
      <c r="QP8" s="314"/>
      <c r="QQ8" s="314"/>
      <c r="QR8" s="314"/>
      <c r="QS8" s="314"/>
      <c r="QT8" s="314"/>
      <c r="QU8" s="314"/>
      <c r="QV8" s="314"/>
      <c r="QW8" s="314"/>
      <c r="QX8" s="314"/>
      <c r="QY8" s="314"/>
      <c r="QZ8" s="314"/>
      <c r="RA8" s="314"/>
      <c r="RB8" s="314"/>
      <c r="RC8" s="314"/>
      <c r="RD8" s="314"/>
      <c r="RE8" s="314"/>
      <c r="RF8" s="314"/>
      <c r="RG8" s="314"/>
      <c r="RH8" s="314"/>
      <c r="RI8" s="314"/>
      <c r="RJ8" s="314"/>
      <c r="RK8" s="314"/>
      <c r="RL8" s="314"/>
      <c r="RM8" s="314"/>
      <c r="RN8" s="314"/>
      <c r="RO8" s="314"/>
      <c r="RP8" s="314"/>
      <c r="RQ8" s="314"/>
      <c r="RR8" s="314"/>
      <c r="RS8" s="314"/>
      <c r="RT8" s="314"/>
      <c r="RU8" s="314"/>
      <c r="RV8" s="314"/>
      <c r="RW8" s="314"/>
      <c r="RX8" s="314"/>
      <c r="RY8" s="314"/>
      <c r="RZ8" s="314"/>
      <c r="SA8" s="314"/>
      <c r="SB8" s="314"/>
      <c r="SC8" s="314"/>
      <c r="SD8" s="314"/>
      <c r="SE8" s="314"/>
      <c r="SF8" s="314"/>
      <c r="SG8" s="314"/>
      <c r="SH8" s="314"/>
      <c r="SI8" s="314"/>
      <c r="SJ8" s="314"/>
      <c r="SK8" s="314"/>
      <c r="SL8" s="314"/>
      <c r="SM8" s="314"/>
      <c r="SN8" s="314"/>
      <c r="SO8" s="314"/>
      <c r="SP8" s="314"/>
      <c r="SQ8" s="314"/>
      <c r="SR8" s="314"/>
      <c r="SS8" s="314"/>
      <c r="ST8" s="314"/>
      <c r="SU8" s="314"/>
      <c r="SV8" s="314"/>
      <c r="SW8" s="314"/>
      <c r="SX8" s="314"/>
      <c r="SY8" s="314"/>
      <c r="SZ8" s="314"/>
      <c r="TA8" s="314"/>
      <c r="TB8" s="314"/>
      <c r="TC8" s="314"/>
      <c r="TD8" s="314"/>
      <c r="TE8" s="314"/>
      <c r="TF8" s="314"/>
      <c r="TG8" s="314"/>
      <c r="TH8" s="314"/>
      <c r="TI8" s="314"/>
      <c r="TJ8" s="314"/>
      <c r="TK8" s="314"/>
      <c r="TL8" s="314"/>
      <c r="TM8" s="314"/>
      <c r="TN8" s="314"/>
      <c r="TO8" s="314"/>
      <c r="TP8" s="314"/>
      <c r="TQ8" s="314"/>
      <c r="TR8" s="314"/>
      <c r="TS8" s="314"/>
      <c r="TT8" s="314"/>
      <c r="TU8" s="314"/>
      <c r="TV8" s="314"/>
      <c r="TW8" s="314"/>
      <c r="TX8" s="314"/>
      <c r="TY8" s="314"/>
      <c r="TZ8" s="314"/>
      <c r="UA8" s="314"/>
      <c r="UB8" s="314"/>
      <c r="UC8" s="314"/>
      <c r="UD8" s="314"/>
      <c r="UE8" s="314"/>
      <c r="UF8" s="314"/>
      <c r="UG8" s="314"/>
      <c r="UH8" s="314"/>
      <c r="UI8" s="314"/>
      <c r="UJ8" s="314"/>
      <c r="UK8" s="314"/>
      <c r="UL8" s="314"/>
      <c r="UM8" s="314"/>
      <c r="UN8" s="314"/>
      <c r="UO8" s="314"/>
      <c r="UP8" s="314"/>
      <c r="UQ8" s="314"/>
      <c r="UR8" s="314"/>
      <c r="US8" s="314"/>
      <c r="UT8" s="314"/>
      <c r="UU8" s="314"/>
      <c r="UV8" s="314"/>
      <c r="UW8" s="314"/>
      <c r="UX8" s="314"/>
      <c r="UY8" s="314"/>
      <c r="UZ8" s="314"/>
      <c r="VA8" s="314"/>
      <c r="VB8" s="314"/>
      <c r="VC8" s="314"/>
      <c r="VD8" s="314"/>
      <c r="VE8" s="314"/>
      <c r="VF8" s="314"/>
      <c r="VG8" s="314"/>
      <c r="VH8" s="314"/>
      <c r="VI8" s="314"/>
      <c r="VJ8" s="314"/>
      <c r="VK8" s="314"/>
      <c r="VL8" s="314"/>
      <c r="VM8" s="314"/>
      <c r="VN8" s="314"/>
      <c r="VO8" s="314"/>
      <c r="VP8" s="314"/>
      <c r="VQ8" s="314"/>
      <c r="VR8" s="314"/>
      <c r="VS8" s="314"/>
      <c r="VT8" s="314"/>
      <c r="VU8" s="314"/>
      <c r="VV8" s="314"/>
      <c r="VW8" s="314"/>
      <c r="VX8" s="314"/>
      <c r="VY8" s="314"/>
      <c r="VZ8" s="314"/>
      <c r="WA8" s="314"/>
      <c r="WB8" s="314"/>
      <c r="WC8" s="314"/>
      <c r="WD8" s="314"/>
      <c r="WE8" s="314"/>
      <c r="WF8" s="314"/>
      <c r="WG8" s="314"/>
      <c r="WH8" s="314"/>
      <c r="WI8" s="314"/>
      <c r="WJ8" s="314"/>
      <c r="WK8" s="314"/>
      <c r="WL8" s="314"/>
      <c r="WM8" s="314"/>
      <c r="WN8" s="314"/>
      <c r="WO8" s="314"/>
      <c r="WP8" s="314"/>
      <c r="WQ8" s="314"/>
      <c r="WR8" s="314"/>
      <c r="WS8" s="314"/>
      <c r="WT8" s="314"/>
      <c r="WU8" s="314"/>
      <c r="WV8" s="314"/>
      <c r="WW8" s="314"/>
      <c r="WX8" s="314"/>
      <c r="WY8" s="314"/>
      <c r="WZ8" s="314"/>
      <c r="XA8" s="314"/>
      <c r="XB8" s="314"/>
      <c r="XC8" s="314"/>
      <c r="XD8" s="314"/>
      <c r="XE8" s="314"/>
      <c r="XF8" s="314"/>
      <c r="XG8" s="314"/>
      <c r="XH8" s="314"/>
      <c r="XI8" s="314"/>
      <c r="XJ8" s="314"/>
      <c r="XK8" s="314"/>
      <c r="XL8" s="314"/>
      <c r="XM8" s="314"/>
      <c r="XN8" s="314"/>
      <c r="XO8" s="314"/>
      <c r="XP8" s="314"/>
      <c r="XQ8" s="314"/>
      <c r="XR8" s="314"/>
      <c r="XS8" s="314"/>
      <c r="XT8" s="314"/>
      <c r="XU8" s="314"/>
      <c r="XV8" s="314"/>
      <c r="XW8" s="314"/>
      <c r="XX8" s="314"/>
      <c r="XY8" s="314"/>
      <c r="XZ8" s="314"/>
      <c r="YA8" s="314"/>
      <c r="YB8" s="314"/>
      <c r="YC8" s="314"/>
      <c r="YD8" s="314"/>
      <c r="YE8" s="314"/>
      <c r="YF8" s="314"/>
      <c r="YG8" s="314"/>
      <c r="YH8" s="314"/>
      <c r="YI8" s="314"/>
      <c r="YJ8" s="314"/>
      <c r="YK8" s="314"/>
      <c r="YL8" s="314"/>
      <c r="YM8" s="314"/>
      <c r="YN8" s="314"/>
      <c r="YO8" s="314"/>
      <c r="YP8" s="314"/>
      <c r="YQ8" s="314"/>
      <c r="YR8" s="314"/>
      <c r="YS8" s="314"/>
      <c r="YT8" s="314"/>
      <c r="YU8" s="314"/>
      <c r="YV8" s="314"/>
      <c r="YW8" s="314"/>
      <c r="YX8" s="314"/>
      <c r="YY8" s="314"/>
      <c r="YZ8" s="314"/>
      <c r="ZA8" s="314"/>
      <c r="ZB8" s="314"/>
      <c r="ZC8" s="314"/>
      <c r="ZD8" s="314"/>
      <c r="ZE8" s="314"/>
      <c r="ZF8" s="314"/>
      <c r="ZG8" s="314"/>
      <c r="ZH8" s="314"/>
      <c r="ZI8" s="314"/>
      <c r="ZJ8" s="314"/>
      <c r="ZK8" s="314"/>
      <c r="ZL8" s="314"/>
      <c r="ZM8" s="314"/>
      <c r="ZN8" s="314"/>
      <c r="ZO8" s="314"/>
      <c r="ZP8" s="314"/>
      <c r="ZQ8" s="314"/>
      <c r="ZR8" s="314"/>
      <c r="ZS8" s="314"/>
      <c r="ZT8" s="314"/>
      <c r="ZU8" s="314"/>
      <c r="ZV8" s="314"/>
      <c r="ZW8" s="314"/>
      <c r="ZX8" s="314"/>
      <c r="ZY8" s="314"/>
      <c r="ZZ8" s="314"/>
      <c r="AAA8" s="314"/>
      <c r="AAB8" s="314"/>
      <c r="AAC8" s="314"/>
      <c r="AAD8" s="314"/>
      <c r="AAE8" s="314"/>
      <c r="AAF8" s="314"/>
      <c r="AAG8" s="314"/>
      <c r="AAH8" s="314"/>
      <c r="AAI8" s="314"/>
      <c r="AAJ8" s="314"/>
      <c r="AAK8" s="314"/>
      <c r="AAL8" s="314"/>
      <c r="AAM8" s="314"/>
      <c r="AAN8" s="314"/>
      <c r="AAO8" s="314"/>
      <c r="AAP8" s="314"/>
      <c r="AAQ8" s="314"/>
      <c r="AAR8" s="314"/>
      <c r="AAS8" s="314"/>
      <c r="AAT8" s="314"/>
      <c r="AAU8" s="314"/>
      <c r="AAV8" s="314"/>
      <c r="AAW8" s="314"/>
      <c r="AAX8" s="314"/>
      <c r="AAY8" s="314"/>
      <c r="AAZ8" s="314"/>
      <c r="ABA8" s="314"/>
      <c r="ABB8" s="314"/>
      <c r="ABC8" s="314"/>
      <c r="ABD8" s="314"/>
      <c r="ABE8" s="314"/>
      <c r="ABF8" s="314"/>
      <c r="ABG8" s="314"/>
      <c r="ABH8" s="314"/>
      <c r="ABI8" s="314"/>
      <c r="ABJ8" s="314"/>
      <c r="ABK8" s="314"/>
      <c r="ABL8" s="314"/>
      <c r="ABM8" s="314"/>
      <c r="ABN8" s="314"/>
      <c r="ABO8" s="314"/>
      <c r="ABP8" s="314"/>
      <c r="ABQ8" s="314"/>
      <c r="ABR8" s="314"/>
      <c r="ABS8" s="314"/>
      <c r="ABT8" s="314"/>
      <c r="ABU8" s="314"/>
      <c r="ABV8" s="314"/>
      <c r="ABW8" s="314"/>
      <c r="ABX8" s="314"/>
      <c r="ABY8" s="314"/>
      <c r="ABZ8" s="314"/>
      <c r="ACA8" s="314"/>
      <c r="ACB8" s="314"/>
      <c r="ACC8" s="314"/>
      <c r="ACD8" s="314"/>
      <c r="ACE8" s="314"/>
      <c r="ACF8" s="314"/>
      <c r="ACG8" s="314"/>
      <c r="ACH8" s="314"/>
      <c r="ACI8" s="314"/>
      <c r="ACJ8" s="314"/>
      <c r="ACK8" s="314"/>
      <c r="ACL8" s="314"/>
      <c r="ACM8" s="314"/>
      <c r="ACN8" s="314"/>
      <c r="ACO8" s="314"/>
      <c r="ACP8" s="314"/>
      <c r="ACQ8" s="314"/>
      <c r="ACR8" s="314"/>
      <c r="ACS8" s="314"/>
      <c r="ACT8" s="314"/>
      <c r="ACU8" s="314"/>
      <c r="ACV8" s="314"/>
      <c r="ACW8" s="314"/>
      <c r="ACX8" s="314"/>
      <c r="ACY8" s="314"/>
      <c r="ACZ8" s="314"/>
      <c r="ADA8" s="314"/>
      <c r="ADB8" s="314"/>
      <c r="ADC8" s="314"/>
      <c r="ADD8" s="314"/>
      <c r="ADE8" s="314"/>
      <c r="ADF8" s="314"/>
      <c r="ADG8" s="314"/>
      <c r="ADH8" s="314"/>
      <c r="ADI8" s="314"/>
      <c r="ADJ8" s="314"/>
      <c r="ADK8" s="314"/>
      <c r="ADL8" s="314"/>
      <c r="ADM8" s="314"/>
      <c r="ADN8" s="314"/>
      <c r="ADO8" s="314"/>
      <c r="ADP8" s="314"/>
      <c r="ADQ8" s="314"/>
      <c r="ADR8" s="314"/>
      <c r="ADS8" s="314"/>
      <c r="ADT8" s="314"/>
      <c r="ADU8" s="314"/>
      <c r="ADV8" s="314"/>
      <c r="ADW8" s="314"/>
      <c r="ADX8" s="314"/>
      <c r="ADY8" s="314"/>
      <c r="ADZ8" s="314"/>
      <c r="AEA8" s="314"/>
      <c r="AEB8" s="314"/>
      <c r="AEC8" s="314"/>
      <c r="AED8" s="314"/>
      <c r="AEE8" s="314"/>
      <c r="AEF8" s="314"/>
      <c r="AEG8" s="314"/>
      <c r="AEH8" s="314"/>
      <c r="AEI8" s="314"/>
      <c r="AEJ8" s="314"/>
      <c r="AEK8" s="314"/>
      <c r="AEL8" s="314"/>
      <c r="AEM8" s="314"/>
      <c r="AEN8" s="314"/>
      <c r="AEO8" s="314"/>
      <c r="AEP8" s="314"/>
      <c r="AEQ8" s="314"/>
      <c r="AER8" s="314"/>
      <c r="AES8" s="314"/>
      <c r="AET8" s="314"/>
      <c r="AEU8" s="314"/>
      <c r="AEV8" s="314"/>
      <c r="AEW8" s="314"/>
      <c r="AEX8" s="314"/>
      <c r="AEY8" s="314"/>
      <c r="AEZ8" s="314"/>
      <c r="AFA8" s="314"/>
      <c r="AFB8" s="314"/>
      <c r="AFC8" s="314"/>
      <c r="AFD8" s="314"/>
      <c r="AFE8" s="314"/>
      <c r="AFF8" s="314"/>
      <c r="AFG8" s="314"/>
      <c r="AFH8" s="314"/>
      <c r="AFI8" s="314"/>
      <c r="AFJ8" s="314"/>
      <c r="AFK8" s="314"/>
      <c r="AFL8" s="314"/>
      <c r="AFM8" s="314"/>
      <c r="AFN8" s="314"/>
      <c r="AFO8" s="314"/>
      <c r="AFP8" s="314"/>
      <c r="AFQ8" s="314"/>
      <c r="AFR8" s="314"/>
      <c r="AFS8" s="314"/>
      <c r="AFT8" s="314"/>
      <c r="AFU8" s="314"/>
      <c r="AFV8" s="314"/>
      <c r="AFW8" s="314"/>
      <c r="AFX8" s="314"/>
      <c r="AFY8" s="314"/>
      <c r="AFZ8" s="314"/>
      <c r="AGA8" s="314"/>
      <c r="AGB8" s="314"/>
      <c r="AGC8" s="314"/>
      <c r="AGD8" s="314"/>
      <c r="AGE8" s="314"/>
      <c r="AGF8" s="314"/>
      <c r="AGG8" s="314"/>
      <c r="AGH8" s="314"/>
      <c r="AGI8" s="314"/>
      <c r="AGJ8" s="314"/>
      <c r="AGK8" s="314"/>
      <c r="AGL8" s="314"/>
      <c r="AGM8" s="314"/>
      <c r="AGN8" s="314"/>
      <c r="AGO8" s="314"/>
      <c r="AGP8" s="314"/>
      <c r="AGQ8" s="314"/>
      <c r="AGR8" s="314"/>
      <c r="AGS8" s="314"/>
      <c r="AGT8" s="314"/>
      <c r="AGU8" s="314"/>
      <c r="AGV8" s="314"/>
      <c r="AGW8" s="314"/>
      <c r="AGX8" s="314"/>
      <c r="AGY8" s="314"/>
      <c r="AGZ8" s="314"/>
      <c r="AHA8" s="314"/>
      <c r="AHB8" s="314"/>
      <c r="AHC8" s="314"/>
      <c r="AHD8" s="314"/>
      <c r="AHE8" s="314"/>
      <c r="AHF8" s="314"/>
      <c r="AHG8" s="314"/>
      <c r="AHH8" s="314"/>
      <c r="AHI8" s="314"/>
      <c r="AHJ8" s="314"/>
      <c r="AHK8" s="314"/>
      <c r="AHL8" s="314"/>
      <c r="AHM8" s="314"/>
      <c r="AHN8" s="314"/>
      <c r="AHO8" s="314"/>
      <c r="AHP8" s="314"/>
      <c r="AHQ8" s="314"/>
      <c r="AHR8" s="314"/>
      <c r="AHS8" s="314"/>
      <c r="AHT8" s="314"/>
      <c r="AHU8" s="314"/>
      <c r="AHV8" s="314"/>
      <c r="AHW8" s="314"/>
      <c r="AHX8" s="314"/>
      <c r="AHY8" s="314"/>
      <c r="AHZ8" s="314"/>
      <c r="AIA8" s="314"/>
      <c r="AIB8" s="314"/>
      <c r="AIC8" s="314"/>
      <c r="AID8" s="314"/>
      <c r="AIE8" s="314"/>
      <c r="AIF8" s="314"/>
      <c r="AIG8" s="314"/>
      <c r="AIH8" s="314"/>
      <c r="AII8" s="314"/>
      <c r="AIJ8" s="314"/>
      <c r="AIK8" s="314"/>
      <c r="AIL8" s="314"/>
      <c r="AIM8" s="314"/>
      <c r="AIN8" s="314"/>
      <c r="AIO8" s="314"/>
      <c r="AIP8" s="314"/>
      <c r="AIQ8" s="314"/>
      <c r="AIR8" s="314"/>
      <c r="AIS8" s="314"/>
      <c r="AIT8" s="314"/>
      <c r="AIU8" s="314"/>
      <c r="AIV8" s="314"/>
      <c r="AIW8" s="314"/>
      <c r="AIX8" s="314"/>
      <c r="AIY8" s="314"/>
      <c r="AIZ8" s="314"/>
      <c r="AJA8" s="314"/>
      <c r="AJB8" s="314"/>
      <c r="AJC8" s="314"/>
      <c r="AJD8" s="314"/>
      <c r="AJE8" s="314"/>
      <c r="AJF8" s="314"/>
      <c r="AJG8" s="314"/>
      <c r="AJH8" s="314"/>
      <c r="AJI8" s="314"/>
      <c r="AJJ8" s="314"/>
      <c r="AJK8" s="314"/>
      <c r="AJL8" s="314"/>
      <c r="AJM8" s="314"/>
      <c r="AJN8" s="314"/>
      <c r="AJO8" s="314"/>
      <c r="AJP8" s="314"/>
      <c r="AJQ8" s="314"/>
      <c r="AJR8" s="314"/>
      <c r="AJS8" s="314"/>
      <c r="AJT8" s="314"/>
      <c r="AJU8" s="314"/>
      <c r="AJV8" s="314"/>
      <c r="AJW8" s="314"/>
      <c r="AJX8" s="314"/>
      <c r="AJY8" s="314"/>
      <c r="AJZ8" s="314"/>
      <c r="AKA8" s="314"/>
      <c r="AKB8" s="314"/>
      <c r="AKC8" s="314"/>
      <c r="AKD8" s="314"/>
      <c r="AKE8" s="314"/>
      <c r="AKF8" s="314"/>
      <c r="AKG8" s="314"/>
      <c r="AKH8" s="314"/>
      <c r="AKI8" s="314"/>
      <c r="AKJ8" s="314"/>
      <c r="AKK8" s="314"/>
      <c r="AKL8" s="314"/>
      <c r="AKM8" s="314"/>
      <c r="AKN8" s="314"/>
      <c r="AKO8" s="314"/>
      <c r="AKP8" s="314"/>
      <c r="AKQ8" s="314"/>
      <c r="AKR8" s="314"/>
      <c r="AKS8" s="314"/>
      <c r="AKT8" s="314"/>
      <c r="AKU8" s="314"/>
      <c r="AKV8" s="314"/>
      <c r="AKW8" s="314"/>
      <c r="AKX8" s="314"/>
      <c r="AKY8" s="314"/>
      <c r="AKZ8" s="314"/>
      <c r="ALA8" s="314"/>
      <c r="ALB8" s="314"/>
      <c r="ALC8" s="314"/>
      <c r="ALD8" s="314"/>
      <c r="ALE8" s="314"/>
      <c r="ALF8" s="314"/>
      <c r="ALG8" s="314"/>
      <c r="ALH8" s="314"/>
      <c r="ALI8" s="314"/>
      <c r="ALJ8" s="314"/>
      <c r="ALK8" s="314"/>
      <c r="ALL8" s="314"/>
      <c r="ALM8" s="314"/>
      <c r="ALN8" s="314"/>
      <c r="ALO8" s="314"/>
      <c r="ALP8" s="314"/>
      <c r="ALQ8" s="314"/>
      <c r="ALR8" s="314"/>
      <c r="ALS8" s="314"/>
      <c r="ALT8" s="314"/>
      <c r="ALU8" s="314"/>
      <c r="ALV8" s="314"/>
      <c r="ALW8" s="314"/>
      <c r="ALX8" s="314"/>
      <c r="ALY8" s="314"/>
      <c r="ALZ8" s="314"/>
      <c r="AMA8" s="314"/>
      <c r="AMB8" s="314"/>
      <c r="AMC8" s="314"/>
      <c r="AMD8" s="314"/>
      <c r="AME8" s="314"/>
      <c r="AMF8" s="314"/>
      <c r="AMG8" s="314"/>
      <c r="AMH8" s="314"/>
      <c r="AMI8" s="314"/>
      <c r="AMJ8" s="314"/>
      <c r="AMK8" s="314"/>
      <c r="AML8" s="314"/>
      <c r="AMM8" s="314"/>
      <c r="AMN8" s="314"/>
      <c r="AMO8" s="314"/>
      <c r="AMP8" s="314"/>
      <c r="AMQ8" s="314"/>
      <c r="AMR8" s="314"/>
    </row>
    <row r="9" spans="1:1032" ht="13.5" customHeight="1">
      <c r="A9" s="315">
        <v>1</v>
      </c>
      <c r="B9" s="315" t="s">
        <v>1735</v>
      </c>
      <c r="C9" s="315"/>
      <c r="D9" s="315"/>
      <c r="E9" s="315"/>
      <c r="F9" s="315"/>
      <c r="G9" s="315"/>
      <c r="H9" s="316" t="s">
        <v>1736</v>
      </c>
      <c r="I9" s="316" t="s">
        <v>1737</v>
      </c>
      <c r="J9" s="318"/>
      <c r="K9" s="316" t="s">
        <v>864</v>
      </c>
      <c r="L9" s="316" t="s">
        <v>1738</v>
      </c>
      <c r="M9" s="316"/>
      <c r="N9" s="316" t="s">
        <v>1738</v>
      </c>
      <c r="O9" s="316"/>
      <c r="P9" s="316"/>
      <c r="Q9" s="316"/>
      <c r="R9" s="316"/>
      <c r="S9" s="319" t="s">
        <v>820</v>
      </c>
      <c r="T9" s="319" t="s">
        <v>820</v>
      </c>
      <c r="U9" s="319" t="s">
        <v>820</v>
      </c>
      <c r="V9" s="316"/>
      <c r="W9" s="316" t="s">
        <v>864</v>
      </c>
      <c r="X9" s="316" t="s">
        <v>1739</v>
      </c>
      <c r="Y9" s="316"/>
      <c r="Z9" s="316"/>
      <c r="AA9" s="316" t="s">
        <v>864</v>
      </c>
      <c r="AB9" s="316" t="s">
        <v>864</v>
      </c>
      <c r="AC9" s="320" t="s">
        <v>1725</v>
      </c>
      <c r="AD9" s="316"/>
      <c r="AE9" s="316"/>
      <c r="AF9" s="316"/>
      <c r="AG9" s="316">
        <v>1</v>
      </c>
      <c r="AH9" s="316"/>
      <c r="AI9" s="319" t="s">
        <v>820</v>
      </c>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1">
        <v>2</v>
      </c>
      <c r="B10" s="321"/>
      <c r="C10" s="321" t="s">
        <v>858</v>
      </c>
      <c r="D10" s="321"/>
      <c r="E10" s="321"/>
      <c r="F10" s="321"/>
      <c r="G10" s="321"/>
      <c r="H10" s="322" t="s">
        <v>1740</v>
      </c>
      <c r="I10" s="322" t="s">
        <v>1741</v>
      </c>
      <c r="J10" s="322" t="s">
        <v>860</v>
      </c>
      <c r="K10" s="322" t="s">
        <v>864</v>
      </c>
      <c r="L10" s="322" t="s">
        <v>831</v>
      </c>
      <c r="M10" s="322"/>
      <c r="N10" s="322" t="s">
        <v>831</v>
      </c>
      <c r="O10" s="322" t="s">
        <v>953</v>
      </c>
      <c r="P10" s="322" t="s">
        <v>954</v>
      </c>
      <c r="Q10" s="322"/>
      <c r="R10" s="322"/>
      <c r="S10" s="324" t="s">
        <v>820</v>
      </c>
      <c r="T10" s="324" t="s">
        <v>820</v>
      </c>
      <c r="U10" s="324" t="s">
        <v>820</v>
      </c>
      <c r="V10" s="322"/>
      <c r="W10" s="322"/>
      <c r="X10" s="322" t="s">
        <v>863</v>
      </c>
      <c r="Y10" s="322"/>
      <c r="Z10" s="322" t="s">
        <v>1742</v>
      </c>
      <c r="AA10" s="322" t="s">
        <v>864</v>
      </c>
      <c r="AB10" s="322" t="s">
        <v>864</v>
      </c>
      <c r="AC10" s="320" t="s">
        <v>1725</v>
      </c>
      <c r="AD10" s="322"/>
      <c r="AE10" s="322"/>
      <c r="AF10" s="322"/>
      <c r="AG10" s="322">
        <v>1</v>
      </c>
      <c r="AH10" s="322">
        <v>1</v>
      </c>
      <c r="AI10" s="324" t="s">
        <v>820</v>
      </c>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5">
        <v>3</v>
      </c>
      <c r="B11" s="325"/>
      <c r="C11" s="325" t="s">
        <v>1743</v>
      </c>
      <c r="D11" s="325"/>
      <c r="E11" s="325"/>
      <c r="F11" s="325"/>
      <c r="G11" s="325"/>
      <c r="H11" s="316" t="s">
        <v>1744</v>
      </c>
      <c r="I11" s="316" t="s">
        <v>1745</v>
      </c>
      <c r="J11" s="316" t="s">
        <v>887</v>
      </c>
      <c r="K11" s="316" t="s">
        <v>864</v>
      </c>
      <c r="L11" s="316" t="s">
        <v>1746</v>
      </c>
      <c r="M11" s="316"/>
      <c r="N11" s="316" t="s">
        <v>1746</v>
      </c>
      <c r="O11" s="316"/>
      <c r="P11" s="316"/>
      <c r="Q11" s="316"/>
      <c r="R11" s="316"/>
      <c r="S11" s="319" t="s">
        <v>820</v>
      </c>
      <c r="T11" s="319" t="s">
        <v>820</v>
      </c>
      <c r="U11" s="319" t="s">
        <v>820</v>
      </c>
      <c r="V11" s="316"/>
      <c r="W11" s="316"/>
      <c r="X11" s="316" t="s">
        <v>863</v>
      </c>
      <c r="Y11" s="316"/>
      <c r="Z11" s="316" t="s">
        <v>1747</v>
      </c>
      <c r="AA11" s="316" t="s">
        <v>864</v>
      </c>
      <c r="AB11" s="316" t="s">
        <v>864</v>
      </c>
      <c r="AC11" s="320" t="s">
        <v>1725</v>
      </c>
      <c r="AD11" s="316"/>
      <c r="AE11" s="316"/>
      <c r="AF11" s="316"/>
      <c r="AG11" s="316">
        <v>1</v>
      </c>
      <c r="AH11" s="316">
        <v>1</v>
      </c>
      <c r="AI11" s="319" t="s">
        <v>820</v>
      </c>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1">
        <v>4</v>
      </c>
      <c r="B12" s="321"/>
      <c r="C12" s="321" t="s">
        <v>880</v>
      </c>
      <c r="D12" s="321"/>
      <c r="E12" s="321"/>
      <c r="F12" s="321"/>
      <c r="G12" s="321"/>
      <c r="H12" s="323" t="s">
        <v>1748</v>
      </c>
      <c r="I12" s="322" t="s">
        <v>1749</v>
      </c>
      <c r="J12" s="322" t="s">
        <v>1750</v>
      </c>
      <c r="K12" s="322" t="s">
        <v>864</v>
      </c>
      <c r="L12" s="322" t="s">
        <v>1751</v>
      </c>
      <c r="M12" s="322"/>
      <c r="N12" s="322" t="s">
        <v>1751</v>
      </c>
      <c r="O12" s="322"/>
      <c r="P12" s="322"/>
      <c r="Q12" s="322"/>
      <c r="R12" s="322"/>
      <c r="S12" s="324" t="s">
        <v>820</v>
      </c>
      <c r="T12" s="324" t="s">
        <v>820</v>
      </c>
      <c r="U12" s="324" t="s">
        <v>820</v>
      </c>
      <c r="V12" s="322"/>
      <c r="W12" s="322"/>
      <c r="X12" s="322" t="s">
        <v>863</v>
      </c>
      <c r="Y12" s="322"/>
      <c r="Z12" s="322" t="s">
        <v>1752</v>
      </c>
      <c r="AA12" s="322" t="s">
        <v>864</v>
      </c>
      <c r="AB12" s="322" t="s">
        <v>864</v>
      </c>
      <c r="AC12" s="320" t="s">
        <v>1725</v>
      </c>
      <c r="AD12" s="322"/>
      <c r="AE12" s="322"/>
      <c r="AF12" s="322"/>
      <c r="AG12" s="322">
        <v>1</v>
      </c>
      <c r="AH12" s="322">
        <v>1</v>
      </c>
      <c r="AI12" s="324" t="s">
        <v>820</v>
      </c>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5">
        <v>5</v>
      </c>
      <c r="B13" s="325"/>
      <c r="C13" s="325" t="s">
        <v>1753</v>
      </c>
      <c r="D13" s="325"/>
      <c r="E13" s="325"/>
      <c r="F13" s="325"/>
      <c r="G13" s="325"/>
      <c r="H13" s="316" t="s">
        <v>1754</v>
      </c>
      <c r="I13" s="316" t="s">
        <v>1755</v>
      </c>
      <c r="J13" s="316" t="s">
        <v>1756</v>
      </c>
      <c r="K13" s="316" t="s">
        <v>864</v>
      </c>
      <c r="L13" s="316" t="s">
        <v>1757</v>
      </c>
      <c r="M13" s="316"/>
      <c r="N13" s="316" t="s">
        <v>1757</v>
      </c>
      <c r="O13" s="316"/>
      <c r="P13" s="316"/>
      <c r="Q13" s="316"/>
      <c r="R13" s="316"/>
      <c r="S13" s="326" t="s">
        <v>817</v>
      </c>
      <c r="T13" s="327" t="s">
        <v>820</v>
      </c>
      <c r="U13" s="328" t="s">
        <v>817</v>
      </c>
      <c r="V13" s="316" t="s">
        <v>864</v>
      </c>
      <c r="W13" s="316"/>
      <c r="X13" s="316" t="s">
        <v>879</v>
      </c>
      <c r="Y13" s="316"/>
      <c r="Z13" s="316" t="s">
        <v>932</v>
      </c>
      <c r="AA13" s="316" t="s">
        <v>864</v>
      </c>
      <c r="AB13" s="316" t="s">
        <v>864</v>
      </c>
      <c r="AC13" s="320" t="s">
        <v>1725</v>
      </c>
      <c r="AD13" s="316"/>
      <c r="AE13" s="316"/>
      <c r="AF13" s="316"/>
      <c r="AG13" s="316">
        <v>1</v>
      </c>
      <c r="AH13" s="316">
        <v>1</v>
      </c>
      <c r="AI13" s="326" t="s">
        <v>817</v>
      </c>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1">
        <v>6</v>
      </c>
      <c r="B14" s="321"/>
      <c r="C14" s="321" t="s">
        <v>1758</v>
      </c>
      <c r="D14" s="321"/>
      <c r="E14" s="321"/>
      <c r="F14" s="321"/>
      <c r="G14" s="321"/>
      <c r="H14" s="322" t="s">
        <v>1759</v>
      </c>
      <c r="I14" s="322" t="s">
        <v>1760</v>
      </c>
      <c r="J14" s="329"/>
      <c r="K14" s="322" t="s">
        <v>864</v>
      </c>
      <c r="L14" s="322" t="s">
        <v>1761</v>
      </c>
      <c r="M14" s="322"/>
      <c r="N14" s="322" t="s">
        <v>1761</v>
      </c>
      <c r="O14" s="322"/>
      <c r="P14" s="322"/>
      <c r="Q14" s="322"/>
      <c r="R14" s="322"/>
      <c r="S14" s="330" t="s">
        <v>823</v>
      </c>
      <c r="T14" s="330" t="s">
        <v>823</v>
      </c>
      <c r="U14" s="330" t="s">
        <v>823</v>
      </c>
      <c r="V14" s="322"/>
      <c r="W14" s="322" t="s">
        <v>864</v>
      </c>
      <c r="X14" s="322" t="s">
        <v>942</v>
      </c>
      <c r="Y14" s="322"/>
      <c r="Z14" s="322"/>
      <c r="AA14" s="322" t="s">
        <v>864</v>
      </c>
      <c r="AB14" s="322" t="s">
        <v>864</v>
      </c>
      <c r="AC14" s="320" t="s">
        <v>1725</v>
      </c>
      <c r="AD14" s="322"/>
      <c r="AE14" s="322"/>
      <c r="AF14" s="322"/>
      <c r="AG14" s="322">
        <v>1</v>
      </c>
      <c r="AH14" s="322">
        <v>1</v>
      </c>
      <c r="AI14" s="330" t="s">
        <v>823</v>
      </c>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5">
        <v>7</v>
      </c>
      <c r="B15" s="325"/>
      <c r="C15" s="325"/>
      <c r="D15" s="325" t="s">
        <v>831</v>
      </c>
      <c r="E15" s="325"/>
      <c r="F15" s="325"/>
      <c r="G15" s="325"/>
      <c r="H15" s="316" t="s">
        <v>1762</v>
      </c>
      <c r="I15" s="316"/>
      <c r="J15" s="316" t="s">
        <v>1612</v>
      </c>
      <c r="K15" s="316" t="s">
        <v>864</v>
      </c>
      <c r="L15" s="316" t="s">
        <v>831</v>
      </c>
      <c r="M15" s="316"/>
      <c r="N15" s="316" t="s">
        <v>831</v>
      </c>
      <c r="O15" s="316"/>
      <c r="P15" s="316"/>
      <c r="Q15" s="316"/>
      <c r="R15" s="316"/>
      <c r="S15" s="319" t="s">
        <v>820</v>
      </c>
      <c r="T15" s="319" t="s">
        <v>820</v>
      </c>
      <c r="U15" s="319" t="s">
        <v>820</v>
      </c>
      <c r="V15" s="316"/>
      <c r="W15" s="316"/>
      <c r="X15" s="316" t="s">
        <v>863</v>
      </c>
      <c r="Y15" s="316"/>
      <c r="Z15" s="316"/>
      <c r="AA15" s="316" t="s">
        <v>864</v>
      </c>
      <c r="AB15" s="316" t="s">
        <v>864</v>
      </c>
      <c r="AC15" s="331" t="s">
        <v>1725</v>
      </c>
      <c r="AD15" s="316"/>
      <c r="AE15" s="316"/>
      <c r="AF15" s="316"/>
      <c r="AG15" s="316">
        <v>1</v>
      </c>
      <c r="AH15" s="316">
        <v>1</v>
      </c>
      <c r="AI15" s="319" t="s">
        <v>820</v>
      </c>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1">
        <v>8</v>
      </c>
      <c r="B16" s="321"/>
      <c r="C16" s="321"/>
      <c r="D16" s="321" t="s">
        <v>1763</v>
      </c>
      <c r="E16" s="321"/>
      <c r="F16" s="321"/>
      <c r="G16" s="321"/>
      <c r="H16" s="322" t="s">
        <v>1764</v>
      </c>
      <c r="I16" s="322" t="s">
        <v>1765</v>
      </c>
      <c r="J16" s="322" t="s">
        <v>1766</v>
      </c>
      <c r="K16" s="322" t="s">
        <v>864</v>
      </c>
      <c r="L16" s="322" t="s">
        <v>1767</v>
      </c>
      <c r="M16" s="322"/>
      <c r="N16" s="322" t="s">
        <v>1767</v>
      </c>
      <c r="O16" s="322"/>
      <c r="P16" s="322"/>
      <c r="Q16" s="322"/>
      <c r="R16" s="322"/>
      <c r="S16" s="332" t="s">
        <v>817</v>
      </c>
      <c r="T16" s="333" t="s">
        <v>817</v>
      </c>
      <c r="U16" s="334" t="s">
        <v>820</v>
      </c>
      <c r="V16" s="322" t="s">
        <v>864</v>
      </c>
      <c r="W16" s="322"/>
      <c r="X16" s="322" t="s">
        <v>863</v>
      </c>
      <c r="Y16" s="322"/>
      <c r="Z16" s="322" t="s">
        <v>1768</v>
      </c>
      <c r="AA16" s="322" t="s">
        <v>864</v>
      </c>
      <c r="AB16" s="322" t="s">
        <v>864</v>
      </c>
      <c r="AC16" s="320" t="s">
        <v>1725</v>
      </c>
      <c r="AD16" s="322"/>
      <c r="AE16" s="322"/>
      <c r="AF16" s="322"/>
      <c r="AG16" s="322">
        <v>1</v>
      </c>
      <c r="AH16" s="322">
        <v>1</v>
      </c>
      <c r="AI16" s="332" t="s">
        <v>817</v>
      </c>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5">
        <v>9</v>
      </c>
      <c r="B17" s="325"/>
      <c r="C17" s="325" t="s">
        <v>1769</v>
      </c>
      <c r="D17" s="325"/>
      <c r="E17" s="325"/>
      <c r="F17" s="325"/>
      <c r="G17" s="325"/>
      <c r="H17" s="317" t="s">
        <v>1770</v>
      </c>
      <c r="I17" s="316" t="s">
        <v>1771</v>
      </c>
      <c r="J17" s="316" t="s">
        <v>1772</v>
      </c>
      <c r="K17" s="316" t="s">
        <v>864</v>
      </c>
      <c r="L17" s="316" t="s">
        <v>1773</v>
      </c>
      <c r="M17" s="316"/>
      <c r="N17" s="316" t="s">
        <v>1773</v>
      </c>
      <c r="O17" s="316"/>
      <c r="P17" s="316"/>
      <c r="Q17" s="316"/>
      <c r="R17" s="316"/>
      <c r="S17" s="326" t="s">
        <v>817</v>
      </c>
      <c r="T17" s="328" t="s">
        <v>817</v>
      </c>
      <c r="U17" s="327" t="s">
        <v>820</v>
      </c>
      <c r="V17" s="316" t="s">
        <v>864</v>
      </c>
      <c r="W17" s="316"/>
      <c r="X17" s="316" t="s">
        <v>863</v>
      </c>
      <c r="Y17" s="316"/>
      <c r="Z17" s="316" t="s">
        <v>1774</v>
      </c>
      <c r="AA17" s="316" t="s">
        <v>864</v>
      </c>
      <c r="AB17" s="316" t="s">
        <v>864</v>
      </c>
      <c r="AC17" s="320" t="s">
        <v>1725</v>
      </c>
      <c r="AD17" s="316"/>
      <c r="AE17" s="316"/>
      <c r="AF17" s="316"/>
      <c r="AG17" s="316">
        <v>1</v>
      </c>
      <c r="AH17" s="316">
        <v>1</v>
      </c>
      <c r="AI17" s="326" t="s">
        <v>817</v>
      </c>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1">
        <v>10</v>
      </c>
      <c r="B18" s="321"/>
      <c r="C18" s="321" t="s">
        <v>1775</v>
      </c>
      <c r="D18" s="321"/>
      <c r="E18" s="321"/>
      <c r="F18" s="321"/>
      <c r="G18" s="321"/>
      <c r="H18" s="322" t="s">
        <v>1776</v>
      </c>
      <c r="I18" s="322" t="s">
        <v>1777</v>
      </c>
      <c r="J18" s="322" t="s">
        <v>1778</v>
      </c>
      <c r="K18" s="322" t="s">
        <v>864</v>
      </c>
      <c r="L18" s="322" t="s">
        <v>1779</v>
      </c>
      <c r="M18" s="322"/>
      <c r="N18" s="322" t="s">
        <v>1779</v>
      </c>
      <c r="O18" s="322"/>
      <c r="P18" s="322"/>
      <c r="Q18" s="322"/>
      <c r="R18" s="322"/>
      <c r="S18" s="332" t="s">
        <v>817</v>
      </c>
      <c r="T18" s="333" t="s">
        <v>817</v>
      </c>
      <c r="U18" s="333" t="s">
        <v>817</v>
      </c>
      <c r="V18" s="322"/>
      <c r="W18" s="322"/>
      <c r="X18" s="322" t="s">
        <v>863</v>
      </c>
      <c r="Y18" s="322"/>
      <c r="Z18" s="322" t="s">
        <v>1780</v>
      </c>
      <c r="AA18" s="322" t="s">
        <v>864</v>
      </c>
      <c r="AB18" s="322" t="s">
        <v>864</v>
      </c>
      <c r="AC18" s="320" t="s">
        <v>1725</v>
      </c>
      <c r="AD18" s="322"/>
      <c r="AE18" s="322"/>
      <c r="AF18" s="322"/>
      <c r="AG18" s="322">
        <v>1</v>
      </c>
      <c r="AH18" s="322">
        <v>1</v>
      </c>
      <c r="AI18" s="332" t="s">
        <v>817</v>
      </c>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5">
        <v>11</v>
      </c>
      <c r="B19" s="325"/>
      <c r="C19" s="325" t="s">
        <v>1781</v>
      </c>
      <c r="D19" s="325"/>
      <c r="E19" s="325"/>
      <c r="F19" s="325"/>
      <c r="G19" s="325"/>
      <c r="H19" s="316" t="s">
        <v>1782</v>
      </c>
      <c r="I19" s="316" t="s">
        <v>1783</v>
      </c>
      <c r="J19" s="316" t="s">
        <v>1784</v>
      </c>
      <c r="K19" s="316" t="s">
        <v>864</v>
      </c>
      <c r="L19" s="316" t="s">
        <v>1785</v>
      </c>
      <c r="M19" s="316"/>
      <c r="N19" s="316" t="s">
        <v>1785</v>
      </c>
      <c r="O19" s="316"/>
      <c r="P19" s="316"/>
      <c r="Q19" s="316"/>
      <c r="R19" s="316"/>
      <c r="S19" s="326" t="s">
        <v>817</v>
      </c>
      <c r="T19" s="326" t="s">
        <v>817</v>
      </c>
      <c r="U19" s="326" t="s">
        <v>817</v>
      </c>
      <c r="V19" s="316"/>
      <c r="W19" s="316"/>
      <c r="X19" s="316" t="s">
        <v>863</v>
      </c>
      <c r="Y19" s="316"/>
      <c r="Z19" s="316"/>
      <c r="AA19" s="316" t="s">
        <v>864</v>
      </c>
      <c r="AB19" s="316" t="s">
        <v>864</v>
      </c>
      <c r="AC19" s="320" t="s">
        <v>1725</v>
      </c>
      <c r="AD19" s="316"/>
      <c r="AE19" s="316"/>
      <c r="AF19" s="316"/>
      <c r="AG19" s="316">
        <v>1</v>
      </c>
      <c r="AH19" s="316">
        <v>1</v>
      </c>
      <c r="AI19" s="326" t="s">
        <v>817</v>
      </c>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5">
        <v>12</v>
      </c>
      <c r="B20" s="335"/>
      <c r="C20" s="335" t="s">
        <v>1786</v>
      </c>
      <c r="D20" s="335"/>
      <c r="E20" s="335"/>
      <c r="F20" s="335"/>
      <c r="G20" s="335"/>
      <c r="H20" s="322" t="s">
        <v>1759</v>
      </c>
      <c r="I20" s="322" t="s">
        <v>1787</v>
      </c>
      <c r="J20" s="329"/>
      <c r="K20" s="322"/>
      <c r="L20" s="322" t="s">
        <v>1788</v>
      </c>
      <c r="M20" s="322"/>
      <c r="N20" s="322" t="s">
        <v>1788</v>
      </c>
      <c r="O20" s="322"/>
      <c r="P20" s="322"/>
      <c r="Q20" s="322"/>
      <c r="R20" s="322"/>
      <c r="S20" s="332" t="s">
        <v>817</v>
      </c>
      <c r="T20" s="332" t="s">
        <v>817</v>
      </c>
      <c r="U20" s="332" t="s">
        <v>817</v>
      </c>
      <c r="V20" s="322"/>
      <c r="W20" s="322" t="s">
        <v>864</v>
      </c>
      <c r="X20" s="322" t="s">
        <v>1622</v>
      </c>
      <c r="Y20" s="322"/>
      <c r="Z20" s="322"/>
      <c r="AA20" s="322" t="s">
        <v>864</v>
      </c>
      <c r="AB20" s="322" t="s">
        <v>864</v>
      </c>
      <c r="AC20" s="331" t="s">
        <v>1725</v>
      </c>
      <c r="AD20" s="322"/>
      <c r="AE20" s="322"/>
      <c r="AF20" s="322"/>
      <c r="AG20" s="322">
        <v>1</v>
      </c>
      <c r="AH20" s="322"/>
      <c r="AI20" s="332" t="s">
        <v>817</v>
      </c>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5">
        <v>13</v>
      </c>
      <c r="B21" s="315"/>
      <c r="C21" s="315"/>
      <c r="D21" s="315" t="s">
        <v>1789</v>
      </c>
      <c r="E21" s="315"/>
      <c r="F21" s="315"/>
      <c r="G21" s="315"/>
      <c r="H21" s="316" t="s">
        <v>1790</v>
      </c>
      <c r="I21" s="316" t="s">
        <v>1791</v>
      </c>
      <c r="J21" s="316" t="s">
        <v>1341</v>
      </c>
      <c r="K21" s="316" t="s">
        <v>864</v>
      </c>
      <c r="L21" s="316" t="s">
        <v>1792</v>
      </c>
      <c r="M21" s="316"/>
      <c r="N21" s="316" t="s">
        <v>1792</v>
      </c>
      <c r="O21" s="316"/>
      <c r="P21" s="316"/>
      <c r="Q21" s="316"/>
      <c r="R21" s="316"/>
      <c r="S21" s="326" t="s">
        <v>817</v>
      </c>
      <c r="T21" s="326" t="s">
        <v>817</v>
      </c>
      <c r="U21" s="326" t="s">
        <v>817</v>
      </c>
      <c r="V21" s="316"/>
      <c r="W21" s="316"/>
      <c r="X21" s="316" t="s">
        <v>863</v>
      </c>
      <c r="Y21" s="316"/>
      <c r="Z21" s="316"/>
      <c r="AA21" s="316" t="s">
        <v>864</v>
      </c>
      <c r="AB21" s="316" t="s">
        <v>864</v>
      </c>
      <c r="AC21" s="320" t="s">
        <v>1725</v>
      </c>
      <c r="AD21" s="316"/>
      <c r="AE21" s="316"/>
      <c r="AF21" s="316"/>
      <c r="AG21" s="316">
        <v>1</v>
      </c>
      <c r="AH21" s="316"/>
      <c r="AI21" s="326" t="s">
        <v>817</v>
      </c>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5">
        <v>14</v>
      </c>
      <c r="B22" s="335"/>
      <c r="C22" s="335"/>
      <c r="D22" s="335" t="s">
        <v>1793</v>
      </c>
      <c r="E22" s="336"/>
      <c r="F22" s="335"/>
      <c r="G22" s="335"/>
      <c r="H22" s="322" t="s">
        <v>1794</v>
      </c>
      <c r="I22" s="322" t="s">
        <v>1795</v>
      </c>
      <c r="J22" s="322" t="s">
        <v>1359</v>
      </c>
      <c r="K22" s="322"/>
      <c r="L22" s="322" t="s">
        <v>1796</v>
      </c>
      <c r="M22" s="322"/>
      <c r="N22" s="322" t="s">
        <v>1796</v>
      </c>
      <c r="O22" s="322"/>
      <c r="P22" s="322"/>
      <c r="Q22" s="322"/>
      <c r="R22" s="322"/>
      <c r="S22" s="332" t="s">
        <v>817</v>
      </c>
      <c r="T22" s="332" t="s">
        <v>817</v>
      </c>
      <c r="U22" s="332" t="s">
        <v>817</v>
      </c>
      <c r="V22" s="322"/>
      <c r="W22" s="322"/>
      <c r="X22" s="322" t="s">
        <v>863</v>
      </c>
      <c r="Y22" s="322"/>
      <c r="Z22" s="322"/>
      <c r="AA22" s="322" t="s">
        <v>864</v>
      </c>
      <c r="AB22" s="322" t="s">
        <v>864</v>
      </c>
      <c r="AC22" s="320" t="s">
        <v>1725</v>
      </c>
      <c r="AD22" s="322"/>
      <c r="AE22" s="322"/>
      <c r="AF22" s="322"/>
      <c r="AG22" s="322">
        <v>1</v>
      </c>
      <c r="AH22" s="322"/>
      <c r="AI22" s="332" t="s">
        <v>817</v>
      </c>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5">
        <v>15</v>
      </c>
      <c r="B23" s="315"/>
      <c r="C23" s="315"/>
      <c r="D23" s="315" t="s">
        <v>1797</v>
      </c>
      <c r="E23" s="315"/>
      <c r="F23" s="315"/>
      <c r="G23" s="315"/>
      <c r="H23" s="316" t="s">
        <v>1798</v>
      </c>
      <c r="I23" s="316" t="s">
        <v>1799</v>
      </c>
      <c r="J23" s="316" t="s">
        <v>1800</v>
      </c>
      <c r="K23" s="316" t="s">
        <v>864</v>
      </c>
      <c r="L23" s="316" t="s">
        <v>1801</v>
      </c>
      <c r="M23" s="316"/>
      <c r="N23" s="316" t="s">
        <v>1801</v>
      </c>
      <c r="O23" s="316"/>
      <c r="P23" s="316"/>
      <c r="Q23" s="316"/>
      <c r="R23" s="316"/>
      <c r="S23" s="326" t="s">
        <v>817</v>
      </c>
      <c r="T23" s="328" t="s">
        <v>817</v>
      </c>
      <c r="U23" s="328" t="s">
        <v>817</v>
      </c>
      <c r="V23" s="316"/>
      <c r="W23" s="316"/>
      <c r="X23" s="316" t="s">
        <v>863</v>
      </c>
      <c r="Y23" s="316"/>
      <c r="Z23" s="316"/>
      <c r="AA23" s="316" t="s">
        <v>864</v>
      </c>
      <c r="AB23" s="316" t="s">
        <v>864</v>
      </c>
      <c r="AC23" s="320" t="s">
        <v>1725</v>
      </c>
      <c r="AD23" s="316"/>
      <c r="AE23" s="316"/>
      <c r="AF23" s="316"/>
      <c r="AG23" s="316">
        <v>1</v>
      </c>
      <c r="AH23" s="316"/>
      <c r="AI23" s="326" t="s">
        <v>817</v>
      </c>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5">
        <v>16</v>
      </c>
      <c r="B24" s="335"/>
      <c r="C24" s="335" t="s">
        <v>1802</v>
      </c>
      <c r="D24" s="335"/>
      <c r="E24" s="335"/>
      <c r="F24" s="335"/>
      <c r="G24" s="335"/>
      <c r="H24" s="322" t="s">
        <v>1803</v>
      </c>
      <c r="I24" s="322" t="s">
        <v>1804</v>
      </c>
      <c r="J24" s="329"/>
      <c r="K24" s="322" t="s">
        <v>864</v>
      </c>
      <c r="L24" s="322" t="s">
        <v>1805</v>
      </c>
      <c r="M24" s="322"/>
      <c r="N24" s="322" t="s">
        <v>1805</v>
      </c>
      <c r="O24" s="322"/>
      <c r="P24" s="322"/>
      <c r="Q24" s="322"/>
      <c r="R24" s="322"/>
      <c r="S24" s="330" t="s">
        <v>823</v>
      </c>
      <c r="T24" s="330" t="s">
        <v>823</v>
      </c>
      <c r="U24" s="330" t="s">
        <v>823</v>
      </c>
      <c r="V24" s="322"/>
      <c r="W24" s="322" t="s">
        <v>864</v>
      </c>
      <c r="X24" s="322" t="s">
        <v>1207</v>
      </c>
      <c r="Y24" s="322"/>
      <c r="Z24" s="322"/>
      <c r="AA24" s="322" t="s">
        <v>864</v>
      </c>
      <c r="AB24" s="322" t="s">
        <v>864</v>
      </c>
      <c r="AC24" s="320" t="s">
        <v>1725</v>
      </c>
      <c r="AD24" s="322"/>
      <c r="AE24" s="322"/>
      <c r="AF24" s="322"/>
      <c r="AG24" s="322">
        <v>1</v>
      </c>
      <c r="AH24" s="322"/>
      <c r="AI24" s="330" t="s">
        <v>823</v>
      </c>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5">
        <v>17</v>
      </c>
      <c r="B25" s="315"/>
      <c r="C25" s="315"/>
      <c r="D25" s="315" t="s">
        <v>1806</v>
      </c>
      <c r="E25" s="315"/>
      <c r="F25" s="315"/>
      <c r="G25" s="315"/>
      <c r="H25" s="316" t="s">
        <v>1759</v>
      </c>
      <c r="I25" s="316" t="s">
        <v>1807</v>
      </c>
      <c r="J25" s="316"/>
      <c r="K25" s="316"/>
      <c r="L25" s="316" t="s">
        <v>1785</v>
      </c>
      <c r="M25" s="316"/>
      <c r="N25" s="316" t="s">
        <v>1785</v>
      </c>
      <c r="O25" s="316"/>
      <c r="P25" s="316"/>
      <c r="Q25" s="316"/>
      <c r="R25" s="316"/>
      <c r="S25" s="326" t="s">
        <v>817</v>
      </c>
      <c r="T25" s="326" t="s">
        <v>817</v>
      </c>
      <c r="U25" s="326" t="s">
        <v>817</v>
      </c>
      <c r="V25" s="316"/>
      <c r="W25" s="316"/>
      <c r="X25" s="316" t="s">
        <v>863</v>
      </c>
      <c r="Y25" s="316"/>
      <c r="Z25" s="316"/>
      <c r="AA25" s="316" t="s">
        <v>864</v>
      </c>
      <c r="AB25" s="316" t="s">
        <v>864</v>
      </c>
      <c r="AC25" s="331" t="s">
        <v>1725</v>
      </c>
      <c r="AD25" s="316"/>
      <c r="AE25" s="316"/>
      <c r="AF25" s="316"/>
      <c r="AG25" s="316">
        <v>1</v>
      </c>
      <c r="AH25" s="316"/>
      <c r="AI25" s="326" t="s">
        <v>817</v>
      </c>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5">
        <v>18</v>
      </c>
      <c r="B26" s="335"/>
      <c r="C26" s="335"/>
      <c r="D26" s="335" t="s">
        <v>1808</v>
      </c>
      <c r="E26" s="336"/>
      <c r="F26" s="335"/>
      <c r="G26" s="335"/>
      <c r="H26" s="322" t="s">
        <v>1759</v>
      </c>
      <c r="I26" s="322" t="s">
        <v>1809</v>
      </c>
      <c r="J26" s="322" t="s">
        <v>1810</v>
      </c>
      <c r="K26" s="322"/>
      <c r="L26" s="322" t="s">
        <v>875</v>
      </c>
      <c r="M26" s="322"/>
      <c r="N26" s="322" t="s">
        <v>875</v>
      </c>
      <c r="O26" s="322"/>
      <c r="P26" s="322"/>
      <c r="Q26" s="322"/>
      <c r="R26" s="322"/>
      <c r="S26" s="324" t="s">
        <v>820</v>
      </c>
      <c r="T26" s="324" t="s">
        <v>820</v>
      </c>
      <c r="U26" s="324" t="s">
        <v>820</v>
      </c>
      <c r="V26" s="322"/>
      <c r="W26" s="322"/>
      <c r="X26" s="322" t="s">
        <v>863</v>
      </c>
      <c r="Y26" s="322"/>
      <c r="Z26" s="322"/>
      <c r="AA26" s="322" t="s">
        <v>864</v>
      </c>
      <c r="AB26" s="322" t="s">
        <v>864</v>
      </c>
      <c r="AC26" s="320" t="s">
        <v>1725</v>
      </c>
      <c r="AD26" s="322"/>
      <c r="AE26" s="322"/>
      <c r="AF26" s="322"/>
      <c r="AG26" s="322">
        <v>1</v>
      </c>
      <c r="AH26" s="322"/>
      <c r="AI26" s="324" t="s">
        <v>820</v>
      </c>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5">
        <v>19</v>
      </c>
      <c r="B27" s="315"/>
      <c r="C27" s="315"/>
      <c r="D27" s="315" t="s">
        <v>1102</v>
      </c>
      <c r="E27" s="315"/>
      <c r="F27" s="315"/>
      <c r="G27" s="315"/>
      <c r="H27" s="316" t="s">
        <v>1759</v>
      </c>
      <c r="I27" s="316" t="s">
        <v>1811</v>
      </c>
      <c r="J27" s="316" t="s">
        <v>1812</v>
      </c>
      <c r="K27" s="316"/>
      <c r="L27" s="316" t="s">
        <v>1813</v>
      </c>
      <c r="M27" s="316"/>
      <c r="N27" s="316" t="s">
        <v>1813</v>
      </c>
      <c r="O27" s="316"/>
      <c r="P27" s="316"/>
      <c r="Q27" s="316"/>
      <c r="R27" s="316"/>
      <c r="S27" s="326" t="s">
        <v>817</v>
      </c>
      <c r="T27" s="326" t="s">
        <v>817</v>
      </c>
      <c r="U27" s="326" t="s">
        <v>817</v>
      </c>
      <c r="V27" s="316"/>
      <c r="W27" s="316"/>
      <c r="X27" s="316" t="s">
        <v>863</v>
      </c>
      <c r="Y27" s="316"/>
      <c r="Z27" s="316" t="s">
        <v>1215</v>
      </c>
      <c r="AA27" s="316" t="s">
        <v>864</v>
      </c>
      <c r="AB27" s="316" t="s">
        <v>864</v>
      </c>
      <c r="AC27" s="320" t="s">
        <v>1725</v>
      </c>
      <c r="AD27" s="316"/>
      <c r="AE27" s="316"/>
      <c r="AF27" s="316"/>
      <c r="AG27" s="316">
        <v>1</v>
      </c>
      <c r="AH27" s="316"/>
      <c r="AI27" s="326" t="s">
        <v>817</v>
      </c>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5">
        <v>20</v>
      </c>
      <c r="B28" s="335"/>
      <c r="C28" s="335" t="s">
        <v>1814</v>
      </c>
      <c r="D28" s="336"/>
      <c r="E28" s="335"/>
      <c r="F28" s="335"/>
      <c r="G28" s="335"/>
      <c r="H28" s="322" t="s">
        <v>1815</v>
      </c>
      <c r="I28" s="322" t="s">
        <v>1816</v>
      </c>
      <c r="J28" s="322" t="s">
        <v>1817</v>
      </c>
      <c r="K28" s="322"/>
      <c r="L28" s="322" t="s">
        <v>1818</v>
      </c>
      <c r="M28" s="322"/>
      <c r="N28" s="322" t="s">
        <v>1818</v>
      </c>
      <c r="O28" s="322"/>
      <c r="P28" s="322"/>
      <c r="Q28" s="322"/>
      <c r="R28" s="322"/>
      <c r="S28" s="332" t="s">
        <v>817</v>
      </c>
      <c r="T28" s="333" t="s">
        <v>817</v>
      </c>
      <c r="U28" s="333" t="s">
        <v>817</v>
      </c>
      <c r="V28" s="322"/>
      <c r="W28" s="322"/>
      <c r="X28" s="322" t="s">
        <v>863</v>
      </c>
      <c r="Y28" s="322"/>
      <c r="Z28" s="322" t="s">
        <v>1819</v>
      </c>
      <c r="AA28" s="322" t="s">
        <v>864</v>
      </c>
      <c r="AB28" s="322" t="s">
        <v>864</v>
      </c>
      <c r="AC28" s="320" t="s">
        <v>1725</v>
      </c>
      <c r="AD28" s="322"/>
      <c r="AE28" s="322"/>
      <c r="AF28" s="322"/>
      <c r="AG28" s="322">
        <v>1</v>
      </c>
      <c r="AH28" s="322"/>
      <c r="AI28" s="332" t="s">
        <v>817</v>
      </c>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5">
        <v>21</v>
      </c>
      <c r="B29" s="325" t="s">
        <v>1820</v>
      </c>
      <c r="C29" s="325"/>
      <c r="D29" s="325"/>
      <c r="E29" s="325"/>
      <c r="F29" s="325"/>
      <c r="G29" s="325"/>
      <c r="H29" s="316" t="s">
        <v>1821</v>
      </c>
      <c r="I29" s="316" t="s">
        <v>1822</v>
      </c>
      <c r="J29" s="337"/>
      <c r="K29" s="316"/>
      <c r="L29" s="316" t="s">
        <v>1823</v>
      </c>
      <c r="M29" s="316"/>
      <c r="N29" s="316" t="s">
        <v>1823</v>
      </c>
      <c r="O29" s="316"/>
      <c r="P29" s="316"/>
      <c r="Q29" s="316"/>
      <c r="R29" s="316"/>
      <c r="S29" s="319" t="s">
        <v>820</v>
      </c>
      <c r="T29" s="319" t="s">
        <v>820</v>
      </c>
      <c r="U29" s="319" t="s">
        <v>820</v>
      </c>
      <c r="V29" s="316"/>
      <c r="W29" s="316" t="s">
        <v>864</v>
      </c>
      <c r="X29" s="316" t="s">
        <v>1824</v>
      </c>
      <c r="Y29" s="316"/>
      <c r="Z29" s="316"/>
      <c r="AA29" s="316" t="s">
        <v>864</v>
      </c>
      <c r="AB29" s="316" t="s">
        <v>864</v>
      </c>
      <c r="AC29" s="320" t="s">
        <v>1725</v>
      </c>
      <c r="AD29" s="316"/>
      <c r="AE29" s="316"/>
      <c r="AF29" s="316"/>
      <c r="AG29" s="316">
        <v>1</v>
      </c>
      <c r="AH29" s="316">
        <v>1</v>
      </c>
      <c r="AI29" s="319" t="s">
        <v>820</v>
      </c>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1">
        <v>22</v>
      </c>
      <c r="B30" s="321"/>
      <c r="C30" s="321" t="s">
        <v>1825</v>
      </c>
      <c r="D30" s="321"/>
      <c r="E30" s="321"/>
      <c r="F30" s="321"/>
      <c r="G30" s="321"/>
      <c r="H30" s="322" t="s">
        <v>1826</v>
      </c>
      <c r="I30" s="322" t="s">
        <v>1827</v>
      </c>
      <c r="J30" s="322" t="s">
        <v>957</v>
      </c>
      <c r="K30" s="322" t="s">
        <v>864</v>
      </c>
      <c r="L30" s="322" t="s">
        <v>831</v>
      </c>
      <c r="M30" s="322"/>
      <c r="N30" s="322" t="s">
        <v>831</v>
      </c>
      <c r="O30" s="322"/>
      <c r="P30" s="322"/>
      <c r="Q30" s="322"/>
      <c r="R30" s="322"/>
      <c r="S30" s="324" t="s">
        <v>820</v>
      </c>
      <c r="T30" s="324" t="s">
        <v>820</v>
      </c>
      <c r="U30" s="324" t="s">
        <v>820</v>
      </c>
      <c r="V30" s="322"/>
      <c r="W30" s="322"/>
      <c r="X30" s="322" t="s">
        <v>863</v>
      </c>
      <c r="Y30" s="322"/>
      <c r="Z30" s="322"/>
      <c r="AA30" s="322" t="s">
        <v>864</v>
      </c>
      <c r="AB30" s="322" t="s">
        <v>864</v>
      </c>
      <c r="AC30" s="331" t="s">
        <v>1725</v>
      </c>
      <c r="AD30" s="322"/>
      <c r="AE30" s="322"/>
      <c r="AF30" s="322"/>
      <c r="AG30" s="322">
        <v>1</v>
      </c>
      <c r="AH30" s="322">
        <v>1</v>
      </c>
      <c r="AI30" s="324" t="s">
        <v>820</v>
      </c>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5">
        <v>23</v>
      </c>
      <c r="B31" s="325"/>
      <c r="C31" s="325" t="s">
        <v>1828</v>
      </c>
      <c r="D31" s="325"/>
      <c r="E31" s="325"/>
      <c r="F31" s="325"/>
      <c r="G31" s="325"/>
      <c r="H31" s="316" t="s">
        <v>1829</v>
      </c>
      <c r="I31" s="316" t="s">
        <v>1830</v>
      </c>
      <c r="J31" s="316" t="s">
        <v>1831</v>
      </c>
      <c r="K31" s="316"/>
      <c r="L31" s="316" t="s">
        <v>1801</v>
      </c>
      <c r="M31" s="316"/>
      <c r="N31" s="316" t="s">
        <v>1801</v>
      </c>
      <c r="O31" s="316"/>
      <c r="P31" s="316"/>
      <c r="Q31" s="316"/>
      <c r="R31" s="316"/>
      <c r="S31" s="326" t="s">
        <v>817</v>
      </c>
      <c r="T31" s="326" t="s">
        <v>817</v>
      </c>
      <c r="U31" s="326" t="s">
        <v>817</v>
      </c>
      <c r="V31" s="316"/>
      <c r="W31" s="316"/>
      <c r="X31" s="316" t="s">
        <v>863</v>
      </c>
      <c r="Y31" s="316"/>
      <c r="Z31" s="316"/>
      <c r="AA31" s="316" t="s">
        <v>864</v>
      </c>
      <c r="AB31" s="316" t="s">
        <v>864</v>
      </c>
      <c r="AC31" s="320" t="s">
        <v>1725</v>
      </c>
      <c r="AD31" s="316"/>
      <c r="AE31" s="316"/>
      <c r="AF31" s="316"/>
      <c r="AG31" s="316">
        <v>1</v>
      </c>
      <c r="AH31" s="316">
        <v>1</v>
      </c>
      <c r="AI31" s="326" t="s">
        <v>817</v>
      </c>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1">
        <v>24</v>
      </c>
      <c r="B32" s="321"/>
      <c r="C32" s="321" t="s">
        <v>1832</v>
      </c>
      <c r="D32" s="321"/>
      <c r="E32" s="321"/>
      <c r="F32" s="321"/>
      <c r="G32" s="321"/>
      <c r="H32" s="322" t="s">
        <v>1833</v>
      </c>
      <c r="I32" s="322" t="s">
        <v>1834</v>
      </c>
      <c r="J32" s="322" t="s">
        <v>1612</v>
      </c>
      <c r="K32" s="322"/>
      <c r="L32" s="322" t="s">
        <v>1835</v>
      </c>
      <c r="M32" s="322"/>
      <c r="N32" s="322" t="s">
        <v>1835</v>
      </c>
      <c r="O32" s="322"/>
      <c r="P32" s="322"/>
      <c r="Q32" s="322"/>
      <c r="R32" s="322"/>
      <c r="S32" s="332" t="s">
        <v>817</v>
      </c>
      <c r="T32" s="334" t="s">
        <v>820</v>
      </c>
      <c r="U32" s="333" t="s">
        <v>817</v>
      </c>
      <c r="V32" s="322" t="s">
        <v>864</v>
      </c>
      <c r="W32" s="322"/>
      <c r="X32" s="322" t="s">
        <v>863</v>
      </c>
      <c r="Y32" s="322"/>
      <c r="Z32" s="322"/>
      <c r="AA32" s="322" t="s">
        <v>864</v>
      </c>
      <c r="AB32" s="322" t="s">
        <v>864</v>
      </c>
      <c r="AC32" s="320" t="s">
        <v>1725</v>
      </c>
      <c r="AD32" s="322"/>
      <c r="AE32" s="322"/>
      <c r="AF32" s="322"/>
      <c r="AG32" s="322">
        <v>1</v>
      </c>
      <c r="AH32" s="322">
        <v>1</v>
      </c>
      <c r="AI32" s="332" t="s">
        <v>817</v>
      </c>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5">
        <v>25</v>
      </c>
      <c r="B33" s="325"/>
      <c r="C33" s="325" t="s">
        <v>1836</v>
      </c>
      <c r="D33" s="325"/>
      <c r="E33" s="325"/>
      <c r="F33" s="325"/>
      <c r="G33" s="325"/>
      <c r="H33" s="316" t="s">
        <v>1759</v>
      </c>
      <c r="I33" s="316" t="s">
        <v>1837</v>
      </c>
      <c r="J33" s="337"/>
      <c r="K33" s="316" t="s">
        <v>864</v>
      </c>
      <c r="L33" s="316" t="s">
        <v>1838</v>
      </c>
      <c r="M33" s="316"/>
      <c r="N33" s="316" t="s">
        <v>1838</v>
      </c>
      <c r="O33" s="316"/>
      <c r="P33" s="316"/>
      <c r="Q33" s="316"/>
      <c r="R33" s="316"/>
      <c r="S33" s="326" t="s">
        <v>817</v>
      </c>
      <c r="T33" s="328" t="s">
        <v>817</v>
      </c>
      <c r="U33" s="328" t="s">
        <v>817</v>
      </c>
      <c r="V33" s="316"/>
      <c r="W33" s="316" t="s">
        <v>864</v>
      </c>
      <c r="X33" s="316" t="s">
        <v>1839</v>
      </c>
      <c r="Y33" s="316"/>
      <c r="Z33" s="316"/>
      <c r="AA33" s="316" t="s">
        <v>864</v>
      </c>
      <c r="AB33" s="316" t="s">
        <v>864</v>
      </c>
      <c r="AC33" s="320" t="s">
        <v>1725</v>
      </c>
      <c r="AD33" s="316"/>
      <c r="AE33" s="316"/>
      <c r="AF33" s="316"/>
      <c r="AG33" s="316">
        <v>1</v>
      </c>
      <c r="AH33" s="316">
        <v>1</v>
      </c>
      <c r="AI33" s="326" t="s">
        <v>817</v>
      </c>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1">
        <v>26</v>
      </c>
      <c r="B34" s="321"/>
      <c r="C34" s="321"/>
      <c r="D34" s="321" t="s">
        <v>1840</v>
      </c>
      <c r="E34" s="338"/>
      <c r="F34" s="321"/>
      <c r="G34" s="321"/>
      <c r="H34" s="322" t="s">
        <v>1841</v>
      </c>
      <c r="I34" s="322" t="s">
        <v>1842</v>
      </c>
      <c r="J34" s="322" t="s">
        <v>1843</v>
      </c>
      <c r="K34" s="322" t="s">
        <v>864</v>
      </c>
      <c r="L34" s="322" t="s">
        <v>1844</v>
      </c>
      <c r="M34" s="322"/>
      <c r="N34" s="322" t="s">
        <v>1844</v>
      </c>
      <c r="O34" s="322"/>
      <c r="P34" s="322"/>
      <c r="Q34" s="322"/>
      <c r="R34" s="322"/>
      <c r="S34" s="322" t="s">
        <v>893</v>
      </c>
      <c r="T34" s="322" t="s">
        <v>893</v>
      </c>
      <c r="U34" s="322" t="s">
        <v>893</v>
      </c>
      <c r="V34" s="322"/>
      <c r="W34" s="322"/>
      <c r="X34" s="322" t="s">
        <v>863</v>
      </c>
      <c r="Y34" s="322"/>
      <c r="Z34" s="322" t="s">
        <v>1845</v>
      </c>
      <c r="AA34" s="322" t="s">
        <v>864</v>
      </c>
      <c r="AB34" s="322" t="s">
        <v>864</v>
      </c>
      <c r="AC34" s="320" t="s">
        <v>1725</v>
      </c>
      <c r="AD34" s="322"/>
      <c r="AE34" s="322"/>
      <c r="AF34" s="322"/>
      <c r="AG34" s="322">
        <v>1</v>
      </c>
      <c r="AH34" s="322">
        <v>1</v>
      </c>
      <c r="AI34" s="322" t="s">
        <v>893</v>
      </c>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5">
        <v>27</v>
      </c>
      <c r="B35" s="325"/>
      <c r="C35" s="325"/>
      <c r="D35" s="325" t="s">
        <v>1846</v>
      </c>
      <c r="E35" s="325"/>
      <c r="F35" s="325"/>
      <c r="G35" s="325"/>
      <c r="H35" s="316" t="s">
        <v>1847</v>
      </c>
      <c r="I35" s="316" t="s">
        <v>1848</v>
      </c>
      <c r="J35" s="316" t="s">
        <v>1849</v>
      </c>
      <c r="K35" s="316" t="s">
        <v>864</v>
      </c>
      <c r="L35" s="316" t="s">
        <v>1850</v>
      </c>
      <c r="M35" s="316"/>
      <c r="N35" s="316" t="s">
        <v>1850</v>
      </c>
      <c r="O35" s="316"/>
      <c r="P35" s="316"/>
      <c r="Q35" s="316"/>
      <c r="R35" s="316"/>
      <c r="S35" s="316" t="s">
        <v>893</v>
      </c>
      <c r="T35" s="316" t="s">
        <v>893</v>
      </c>
      <c r="U35" s="316" t="s">
        <v>893</v>
      </c>
      <c r="V35" s="316"/>
      <c r="W35" s="316"/>
      <c r="X35" s="316" t="s">
        <v>863</v>
      </c>
      <c r="Y35" s="316"/>
      <c r="Z35" s="316" t="s">
        <v>1851</v>
      </c>
      <c r="AA35" s="316" t="s">
        <v>864</v>
      </c>
      <c r="AB35" s="316" t="s">
        <v>864</v>
      </c>
      <c r="AC35" s="331" t="s">
        <v>1725</v>
      </c>
      <c r="AD35" s="316"/>
      <c r="AE35" s="316"/>
      <c r="AF35" s="316"/>
      <c r="AG35" s="316">
        <v>1</v>
      </c>
      <c r="AH35" s="316">
        <v>1</v>
      </c>
      <c r="AI35" s="316" t="s">
        <v>893</v>
      </c>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1">
        <v>28</v>
      </c>
      <c r="B36" s="321"/>
      <c r="C36" s="321"/>
      <c r="D36" s="321" t="s">
        <v>1852</v>
      </c>
      <c r="E36" s="321"/>
      <c r="F36" s="321"/>
      <c r="G36" s="321"/>
      <c r="H36" s="322" t="s">
        <v>1853</v>
      </c>
      <c r="I36" s="322" t="s">
        <v>1854</v>
      </c>
      <c r="J36" s="322" t="s">
        <v>1855</v>
      </c>
      <c r="K36" s="322" t="s">
        <v>864</v>
      </c>
      <c r="L36" s="322" t="s">
        <v>1856</v>
      </c>
      <c r="M36" s="322"/>
      <c r="N36" s="322" t="s">
        <v>1856</v>
      </c>
      <c r="O36" s="322"/>
      <c r="P36" s="322"/>
      <c r="Q36" s="322"/>
      <c r="R36" s="322"/>
      <c r="S36" s="322" t="s">
        <v>893</v>
      </c>
      <c r="T36" s="322" t="s">
        <v>893</v>
      </c>
      <c r="U36" s="322" t="s">
        <v>893</v>
      </c>
      <c r="V36" s="322"/>
      <c r="W36" s="322"/>
      <c r="X36" s="322" t="s">
        <v>863</v>
      </c>
      <c r="Y36" s="322"/>
      <c r="Z36" s="322"/>
      <c r="AA36" s="322" t="s">
        <v>864</v>
      </c>
      <c r="AB36" s="322" t="s">
        <v>864</v>
      </c>
      <c r="AC36" s="320" t="s">
        <v>1725</v>
      </c>
      <c r="AD36" s="322"/>
      <c r="AE36" s="322"/>
      <c r="AF36" s="322"/>
      <c r="AG36" s="322">
        <v>1</v>
      </c>
      <c r="AH36" s="322">
        <v>1</v>
      </c>
      <c r="AI36" s="322" t="s">
        <v>893</v>
      </c>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5">
        <v>29</v>
      </c>
      <c r="B37" s="325"/>
      <c r="C37" s="325"/>
      <c r="D37" s="325" t="s">
        <v>1857</v>
      </c>
      <c r="E37" s="325"/>
      <c r="F37" s="325"/>
      <c r="G37" s="325"/>
      <c r="H37" s="316" t="s">
        <v>1759</v>
      </c>
      <c r="I37" s="316" t="s">
        <v>1858</v>
      </c>
      <c r="J37" s="316" t="s">
        <v>1859</v>
      </c>
      <c r="K37" s="316"/>
      <c r="L37" s="316" t="s">
        <v>1860</v>
      </c>
      <c r="M37" s="316"/>
      <c r="N37" s="316" t="s">
        <v>1860</v>
      </c>
      <c r="O37" s="316"/>
      <c r="P37" s="316"/>
      <c r="Q37" s="316"/>
      <c r="R37" s="316"/>
      <c r="S37" s="326" t="s">
        <v>817</v>
      </c>
      <c r="T37" s="326" t="s">
        <v>817</v>
      </c>
      <c r="U37" s="326" t="s">
        <v>817</v>
      </c>
      <c r="V37" s="316"/>
      <c r="W37" s="316"/>
      <c r="X37" s="316" t="s">
        <v>863</v>
      </c>
      <c r="Y37" s="316"/>
      <c r="Z37" s="316" t="s">
        <v>1861</v>
      </c>
      <c r="AA37" s="316" t="s">
        <v>864</v>
      </c>
      <c r="AB37" s="316" t="s">
        <v>864</v>
      </c>
      <c r="AC37" s="320" t="s">
        <v>1725</v>
      </c>
      <c r="AD37" s="316"/>
      <c r="AE37" s="316"/>
      <c r="AF37" s="316"/>
      <c r="AG37" s="316">
        <v>1</v>
      </c>
      <c r="AH37" s="316">
        <v>1</v>
      </c>
      <c r="AI37" s="326" t="s">
        <v>817</v>
      </c>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1">
        <v>30</v>
      </c>
      <c r="B38" s="321"/>
      <c r="C38" s="321" t="s">
        <v>1862</v>
      </c>
      <c r="D38" s="321"/>
      <c r="E38" s="321"/>
      <c r="F38" s="321"/>
      <c r="G38" s="321"/>
      <c r="H38" s="322" t="s">
        <v>1759</v>
      </c>
      <c r="I38" s="322" t="s">
        <v>1863</v>
      </c>
      <c r="J38" s="322" t="s">
        <v>1864</v>
      </c>
      <c r="K38" s="322"/>
      <c r="L38" s="322" t="s">
        <v>1865</v>
      </c>
      <c r="M38" s="322"/>
      <c r="N38" s="322" t="s">
        <v>1865</v>
      </c>
      <c r="O38" s="322"/>
      <c r="P38" s="322"/>
      <c r="Q38" s="322"/>
      <c r="R38" s="322"/>
      <c r="S38" s="332" t="s">
        <v>817</v>
      </c>
      <c r="T38" s="333" t="s">
        <v>817</v>
      </c>
      <c r="U38" s="333" t="s">
        <v>817</v>
      </c>
      <c r="V38" s="322"/>
      <c r="W38" s="322"/>
      <c r="X38" s="322" t="s">
        <v>863</v>
      </c>
      <c r="Y38" s="322"/>
      <c r="Z38" s="322" t="s">
        <v>1866</v>
      </c>
      <c r="AA38" s="322" t="s">
        <v>864</v>
      </c>
      <c r="AB38" s="322" t="s">
        <v>864</v>
      </c>
      <c r="AC38" s="320" t="s">
        <v>1725</v>
      </c>
      <c r="AD38" s="322"/>
      <c r="AE38" s="322"/>
      <c r="AF38" s="322"/>
      <c r="AG38" s="322">
        <v>1</v>
      </c>
      <c r="AH38" s="322">
        <v>1</v>
      </c>
      <c r="AI38" s="332" t="s">
        <v>817</v>
      </c>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5">
        <v>31</v>
      </c>
      <c r="B39" s="325"/>
      <c r="C39" s="325" t="s">
        <v>1867</v>
      </c>
      <c r="D39" s="339"/>
      <c r="E39" s="325"/>
      <c r="F39" s="325"/>
      <c r="G39" s="325"/>
      <c r="H39" s="316" t="s">
        <v>1868</v>
      </c>
      <c r="I39" s="316" t="s">
        <v>1869</v>
      </c>
      <c r="J39" s="316">
        <v>2</v>
      </c>
      <c r="K39" s="316" t="s">
        <v>864</v>
      </c>
      <c r="L39" s="316" t="s">
        <v>1870</v>
      </c>
      <c r="M39" s="316"/>
      <c r="N39" s="316" t="s">
        <v>1870</v>
      </c>
      <c r="O39" s="316"/>
      <c r="P39" s="316"/>
      <c r="Q39" s="316"/>
      <c r="R39" s="316"/>
      <c r="S39" s="326" t="s">
        <v>817</v>
      </c>
      <c r="T39" s="326" t="s">
        <v>817</v>
      </c>
      <c r="U39" s="326" t="s">
        <v>817</v>
      </c>
      <c r="V39" s="316"/>
      <c r="W39" s="316"/>
      <c r="X39" s="316" t="s">
        <v>863</v>
      </c>
      <c r="Y39" s="316"/>
      <c r="Z39" s="316" t="s">
        <v>1871</v>
      </c>
      <c r="AA39" s="316" t="s">
        <v>864</v>
      </c>
      <c r="AB39" s="316" t="s">
        <v>864</v>
      </c>
      <c r="AC39" s="320" t="s">
        <v>1725</v>
      </c>
      <c r="AD39" s="316"/>
      <c r="AE39" s="316"/>
      <c r="AF39" s="316"/>
      <c r="AG39" s="316">
        <v>1</v>
      </c>
      <c r="AH39" s="316">
        <v>1</v>
      </c>
      <c r="AI39" s="326" t="s">
        <v>817</v>
      </c>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1">
        <v>32</v>
      </c>
      <c r="B40" s="321"/>
      <c r="C40" s="321" t="s">
        <v>1872</v>
      </c>
      <c r="D40" s="321"/>
      <c r="E40" s="321"/>
      <c r="F40" s="321"/>
      <c r="G40" s="321"/>
      <c r="H40" s="322" t="s">
        <v>1873</v>
      </c>
      <c r="I40" s="322" t="s">
        <v>1874</v>
      </c>
      <c r="J40" s="322">
        <v>100</v>
      </c>
      <c r="K40" s="322"/>
      <c r="L40" s="322" t="s">
        <v>1875</v>
      </c>
      <c r="M40" s="322"/>
      <c r="N40" s="322" t="s">
        <v>1875</v>
      </c>
      <c r="O40" s="322"/>
      <c r="P40" s="322"/>
      <c r="Q40" s="322"/>
      <c r="R40" s="322"/>
      <c r="S40" s="332" t="s">
        <v>817</v>
      </c>
      <c r="T40" s="332" t="s">
        <v>817</v>
      </c>
      <c r="U40" s="332" t="s">
        <v>817</v>
      </c>
      <c r="V40" s="322"/>
      <c r="W40" s="322"/>
      <c r="X40" s="322" t="s">
        <v>1380</v>
      </c>
      <c r="Y40" s="322"/>
      <c r="Z40" s="322"/>
      <c r="AA40" s="322" t="s">
        <v>864</v>
      </c>
      <c r="AB40" s="322" t="s">
        <v>864</v>
      </c>
      <c r="AC40" s="331" t="s">
        <v>1725</v>
      </c>
      <c r="AD40" s="322"/>
      <c r="AE40" s="322"/>
      <c r="AF40" s="322"/>
      <c r="AG40" s="322">
        <v>1</v>
      </c>
      <c r="AH40" s="322">
        <v>1</v>
      </c>
      <c r="AI40" s="332" t="s">
        <v>817</v>
      </c>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5">
        <v>33</v>
      </c>
      <c r="B41" s="325"/>
      <c r="C41" s="325" t="s">
        <v>1876</v>
      </c>
      <c r="D41" s="339"/>
      <c r="E41" s="325"/>
      <c r="F41" s="325"/>
      <c r="G41" s="325"/>
      <c r="H41" s="316" t="s">
        <v>1877</v>
      </c>
      <c r="I41" s="316" t="s">
        <v>1878</v>
      </c>
      <c r="J41" s="316" t="s">
        <v>1879</v>
      </c>
      <c r="K41" s="316" t="s">
        <v>864</v>
      </c>
      <c r="L41" s="316" t="s">
        <v>1880</v>
      </c>
      <c r="M41" s="316"/>
      <c r="N41" s="316" t="s">
        <v>1880</v>
      </c>
      <c r="O41" s="316"/>
      <c r="P41" s="316"/>
      <c r="Q41" s="316"/>
      <c r="R41" s="316"/>
      <c r="S41" s="326" t="s">
        <v>817</v>
      </c>
      <c r="T41" s="326" t="s">
        <v>817</v>
      </c>
      <c r="U41" s="326" t="s">
        <v>817</v>
      </c>
      <c r="V41" s="316"/>
      <c r="W41" s="316"/>
      <c r="X41" s="316" t="s">
        <v>879</v>
      </c>
      <c r="Y41" s="316"/>
      <c r="Z41" s="316" t="s">
        <v>932</v>
      </c>
      <c r="AA41" s="316" t="s">
        <v>864</v>
      </c>
      <c r="AB41" s="316" t="s">
        <v>864</v>
      </c>
      <c r="AC41" s="320" t="s">
        <v>1725</v>
      </c>
      <c r="AD41" s="316"/>
      <c r="AE41" s="316"/>
      <c r="AF41" s="316"/>
      <c r="AG41" s="316">
        <v>1</v>
      </c>
      <c r="AH41" s="316">
        <v>1</v>
      </c>
      <c r="AI41" s="326" t="s">
        <v>817</v>
      </c>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1">
        <v>34</v>
      </c>
      <c r="B42" s="321"/>
      <c r="C42" s="321" t="s">
        <v>1881</v>
      </c>
      <c r="D42" s="338"/>
      <c r="E42" s="321"/>
      <c r="F42" s="321"/>
      <c r="G42" s="321"/>
      <c r="H42" s="322" t="s">
        <v>1882</v>
      </c>
      <c r="I42" s="322" t="s">
        <v>1883</v>
      </c>
      <c r="J42" s="322" t="s">
        <v>1884</v>
      </c>
      <c r="K42" s="322" t="s">
        <v>864</v>
      </c>
      <c r="L42" s="322" t="s">
        <v>1885</v>
      </c>
      <c r="M42" s="322"/>
      <c r="N42" s="322" t="s">
        <v>1885</v>
      </c>
      <c r="O42" s="322"/>
      <c r="P42" s="322"/>
      <c r="Q42" s="322"/>
      <c r="R42" s="322"/>
      <c r="S42" s="332" t="s">
        <v>817</v>
      </c>
      <c r="T42" s="332" t="s">
        <v>817</v>
      </c>
      <c r="U42" s="332" t="s">
        <v>817</v>
      </c>
      <c r="V42" s="322"/>
      <c r="W42" s="322"/>
      <c r="X42" s="322" t="s">
        <v>879</v>
      </c>
      <c r="Y42" s="322"/>
      <c r="Z42" s="322" t="s">
        <v>932</v>
      </c>
      <c r="AA42" s="322" t="s">
        <v>864</v>
      </c>
      <c r="AB42" s="322" t="s">
        <v>864</v>
      </c>
      <c r="AC42" s="320" t="s">
        <v>1725</v>
      </c>
      <c r="AD42" s="322"/>
      <c r="AE42" s="322"/>
      <c r="AF42" s="322"/>
      <c r="AG42" s="322">
        <v>1</v>
      </c>
      <c r="AH42" s="322">
        <v>1</v>
      </c>
      <c r="AI42" s="332" t="s">
        <v>817</v>
      </c>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5">
        <v>35</v>
      </c>
      <c r="B43" s="325"/>
      <c r="C43" s="325" t="s">
        <v>1886</v>
      </c>
      <c r="D43" s="339"/>
      <c r="E43" s="339"/>
      <c r="F43" s="325"/>
      <c r="G43" s="325"/>
      <c r="H43" s="316" t="s">
        <v>1887</v>
      </c>
      <c r="I43" s="316" t="s">
        <v>1888</v>
      </c>
      <c r="J43" s="316" t="s">
        <v>1889</v>
      </c>
      <c r="K43" s="316" t="s">
        <v>864</v>
      </c>
      <c r="L43" s="316" t="s">
        <v>1890</v>
      </c>
      <c r="M43" s="316"/>
      <c r="N43" s="316" t="s">
        <v>1890</v>
      </c>
      <c r="O43" s="316"/>
      <c r="P43" s="316"/>
      <c r="Q43" s="316"/>
      <c r="R43" s="316"/>
      <c r="S43" s="326" t="s">
        <v>817</v>
      </c>
      <c r="T43" s="328" t="s">
        <v>817</v>
      </c>
      <c r="U43" s="328" t="s">
        <v>817</v>
      </c>
      <c r="V43" s="316"/>
      <c r="W43" s="316"/>
      <c r="X43" s="316" t="s">
        <v>879</v>
      </c>
      <c r="Y43" s="316"/>
      <c r="Z43" s="316" t="s">
        <v>932</v>
      </c>
      <c r="AA43" s="316" t="s">
        <v>864</v>
      </c>
      <c r="AB43" s="316" t="s">
        <v>864</v>
      </c>
      <c r="AC43" s="320" t="s">
        <v>1725</v>
      </c>
      <c r="AD43" s="316"/>
      <c r="AE43" s="316"/>
      <c r="AF43" s="316"/>
      <c r="AG43" s="316">
        <v>1</v>
      </c>
      <c r="AH43" s="316">
        <v>1</v>
      </c>
      <c r="AI43" s="326" t="s">
        <v>817</v>
      </c>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1">
        <v>36</v>
      </c>
      <c r="B44" s="321"/>
      <c r="C44" s="321" t="s">
        <v>1891</v>
      </c>
      <c r="D44" s="321"/>
      <c r="E44" s="321"/>
      <c r="F44" s="321"/>
      <c r="G44" s="321"/>
      <c r="H44" s="322" t="s">
        <v>1892</v>
      </c>
      <c r="I44" s="322" t="s">
        <v>1893</v>
      </c>
      <c r="J44" s="322" t="s">
        <v>1894</v>
      </c>
      <c r="K44" s="322" t="s">
        <v>864</v>
      </c>
      <c r="L44" s="322" t="s">
        <v>1895</v>
      </c>
      <c r="M44" s="322"/>
      <c r="N44" s="322" t="s">
        <v>1895</v>
      </c>
      <c r="O44" s="322"/>
      <c r="P44" s="322"/>
      <c r="Q44" s="322"/>
      <c r="R44" s="322"/>
      <c r="S44" s="332" t="s">
        <v>817</v>
      </c>
      <c r="T44" s="332" t="s">
        <v>817</v>
      </c>
      <c r="U44" s="332" t="s">
        <v>817</v>
      </c>
      <c r="V44" s="322"/>
      <c r="W44" s="322"/>
      <c r="X44" s="322" t="s">
        <v>863</v>
      </c>
      <c r="Y44" s="322"/>
      <c r="Z44" s="322" t="s">
        <v>1896</v>
      </c>
      <c r="AA44" s="322" t="s">
        <v>864</v>
      </c>
      <c r="AB44" s="322" t="s">
        <v>864</v>
      </c>
      <c r="AC44" s="320" t="s">
        <v>1725</v>
      </c>
      <c r="AD44" s="322"/>
      <c r="AE44" s="322"/>
      <c r="AF44" s="322"/>
      <c r="AG44" s="322">
        <v>1</v>
      </c>
      <c r="AH44" s="322">
        <v>1</v>
      </c>
      <c r="AI44" s="332" t="s">
        <v>817</v>
      </c>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5">
        <v>37</v>
      </c>
      <c r="B45" s="325"/>
      <c r="C45" s="325" t="s">
        <v>1897</v>
      </c>
      <c r="D45" s="339"/>
      <c r="E45" s="325"/>
      <c r="F45" s="325"/>
      <c r="G45" s="325"/>
      <c r="H45" s="316" t="s">
        <v>1759</v>
      </c>
      <c r="I45" s="316" t="s">
        <v>1898</v>
      </c>
      <c r="J45" s="316" t="s">
        <v>1899</v>
      </c>
      <c r="K45" s="316"/>
      <c r="L45" s="316" t="s">
        <v>1900</v>
      </c>
      <c r="M45" s="316"/>
      <c r="N45" s="316" t="s">
        <v>1900</v>
      </c>
      <c r="O45" s="316"/>
      <c r="P45" s="316"/>
      <c r="Q45" s="316"/>
      <c r="R45" s="316"/>
      <c r="S45" s="326" t="s">
        <v>817</v>
      </c>
      <c r="T45" s="326" t="s">
        <v>817</v>
      </c>
      <c r="U45" s="326" t="s">
        <v>817</v>
      </c>
      <c r="V45" s="316"/>
      <c r="W45" s="316"/>
      <c r="X45" s="316" t="s">
        <v>863</v>
      </c>
      <c r="Y45" s="316"/>
      <c r="Z45" s="316" t="s">
        <v>1901</v>
      </c>
      <c r="AA45" s="316" t="s">
        <v>864</v>
      </c>
      <c r="AB45" s="316" t="s">
        <v>864</v>
      </c>
      <c r="AC45" s="331" t="s">
        <v>1725</v>
      </c>
      <c r="AD45" s="316"/>
      <c r="AE45" s="316"/>
      <c r="AF45" s="316"/>
      <c r="AG45" s="316">
        <v>1</v>
      </c>
      <c r="AH45" s="316">
        <v>1</v>
      </c>
      <c r="AI45" s="326" t="s">
        <v>817</v>
      </c>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1">
        <v>38</v>
      </c>
      <c r="B46" s="321"/>
      <c r="C46" s="321" t="s">
        <v>1902</v>
      </c>
      <c r="D46" s="338"/>
      <c r="E46" s="321"/>
      <c r="F46" s="321"/>
      <c r="G46" s="321"/>
      <c r="H46" s="322" t="s">
        <v>1903</v>
      </c>
      <c r="I46" s="322" t="s">
        <v>1904</v>
      </c>
      <c r="J46" s="329"/>
      <c r="K46" s="322"/>
      <c r="L46" s="322" t="s">
        <v>1905</v>
      </c>
      <c r="M46" s="322"/>
      <c r="N46" s="322" t="s">
        <v>1905</v>
      </c>
      <c r="O46" s="322"/>
      <c r="P46" s="322"/>
      <c r="Q46" s="322"/>
      <c r="R46" s="322"/>
      <c r="S46" s="330" t="s">
        <v>823</v>
      </c>
      <c r="T46" s="330" t="s">
        <v>823</v>
      </c>
      <c r="U46" s="330" t="s">
        <v>823</v>
      </c>
      <c r="V46" s="322"/>
      <c r="W46" s="322" t="s">
        <v>864</v>
      </c>
      <c r="X46" s="322" t="s">
        <v>1906</v>
      </c>
      <c r="Y46" s="322"/>
      <c r="Z46" s="322"/>
      <c r="AA46" s="322" t="s">
        <v>864</v>
      </c>
      <c r="AB46" s="322" t="s">
        <v>864</v>
      </c>
      <c r="AC46" s="320" t="s">
        <v>1725</v>
      </c>
      <c r="AD46" s="322"/>
      <c r="AE46" s="322"/>
      <c r="AF46" s="322"/>
      <c r="AG46" s="322">
        <v>1</v>
      </c>
      <c r="AH46" s="322">
        <v>1</v>
      </c>
      <c r="AI46" s="330" t="s">
        <v>823</v>
      </c>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5">
        <v>39</v>
      </c>
      <c r="B47" s="325"/>
      <c r="C47" s="325"/>
      <c r="D47" s="325" t="s">
        <v>1907</v>
      </c>
      <c r="E47" s="325"/>
      <c r="F47" s="325"/>
      <c r="G47" s="325"/>
      <c r="H47" s="316" t="s">
        <v>1908</v>
      </c>
      <c r="I47" s="316" t="s">
        <v>1909</v>
      </c>
      <c r="J47" s="316" t="s">
        <v>1910</v>
      </c>
      <c r="K47" s="316"/>
      <c r="L47" s="316" t="s">
        <v>1792</v>
      </c>
      <c r="M47" s="316"/>
      <c r="N47" s="316" t="s">
        <v>1792</v>
      </c>
      <c r="O47" s="316"/>
      <c r="P47" s="316"/>
      <c r="Q47" s="316"/>
      <c r="R47" s="316"/>
      <c r="S47" s="319" t="s">
        <v>820</v>
      </c>
      <c r="T47" s="319" t="s">
        <v>820</v>
      </c>
      <c r="U47" s="319" t="s">
        <v>820</v>
      </c>
      <c r="V47" s="316"/>
      <c r="W47" s="316"/>
      <c r="X47" s="316" t="s">
        <v>863</v>
      </c>
      <c r="Y47" s="316"/>
      <c r="Z47" s="316"/>
      <c r="AA47" s="316" t="s">
        <v>864</v>
      </c>
      <c r="AB47" s="316" t="s">
        <v>864</v>
      </c>
      <c r="AC47" s="320" t="s">
        <v>1725</v>
      </c>
      <c r="AD47" s="316"/>
      <c r="AE47" s="316"/>
      <c r="AF47" s="316"/>
      <c r="AG47" s="316">
        <v>1</v>
      </c>
      <c r="AH47" s="316">
        <v>1</v>
      </c>
      <c r="AI47" s="319" t="s">
        <v>820</v>
      </c>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1">
        <v>40</v>
      </c>
      <c r="B48" s="321"/>
      <c r="C48" s="321"/>
      <c r="D48" s="321" t="s">
        <v>1911</v>
      </c>
      <c r="E48" s="321"/>
      <c r="F48" s="321"/>
      <c r="G48" s="321"/>
      <c r="H48" s="322" t="s">
        <v>1912</v>
      </c>
      <c r="I48" s="322" t="s">
        <v>1913</v>
      </c>
      <c r="J48" s="322"/>
      <c r="K48" s="322"/>
      <c r="L48" s="322" t="s">
        <v>1914</v>
      </c>
      <c r="M48" s="322"/>
      <c r="N48" s="322" t="s">
        <v>1914</v>
      </c>
      <c r="O48" s="322"/>
      <c r="P48" s="322"/>
      <c r="Q48" s="322"/>
      <c r="R48" s="322"/>
      <c r="S48" s="322" t="s">
        <v>893</v>
      </c>
      <c r="T48" s="340" t="s">
        <v>893</v>
      </c>
      <c r="U48" s="340" t="s">
        <v>893</v>
      </c>
      <c r="V48" s="322"/>
      <c r="W48" s="322"/>
      <c r="X48" s="322" t="s">
        <v>863</v>
      </c>
      <c r="Y48" s="322"/>
      <c r="Z48" s="322"/>
      <c r="AA48" s="322" t="s">
        <v>864</v>
      </c>
      <c r="AB48" s="322" t="s">
        <v>864</v>
      </c>
      <c r="AC48" s="320" t="s">
        <v>1725</v>
      </c>
      <c r="AD48" s="322"/>
      <c r="AE48" s="322"/>
      <c r="AF48" s="322"/>
      <c r="AG48" s="322">
        <v>1</v>
      </c>
      <c r="AH48" s="322">
        <v>1</v>
      </c>
      <c r="AI48" s="322" t="s">
        <v>893</v>
      </c>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1">
        <v>41</v>
      </c>
      <c r="B49" s="341"/>
      <c r="C49" s="341" t="s">
        <v>1915</v>
      </c>
      <c r="D49" s="342"/>
      <c r="E49" s="342"/>
      <c r="F49" s="342"/>
      <c r="G49" s="342"/>
      <c r="H49" s="316" t="s">
        <v>1916</v>
      </c>
      <c r="I49" s="316" t="s">
        <v>1917</v>
      </c>
      <c r="J49" s="337"/>
      <c r="K49" s="316"/>
      <c r="L49" s="316" t="s">
        <v>1918</v>
      </c>
      <c r="M49" s="316"/>
      <c r="N49" s="316" t="s">
        <v>1918</v>
      </c>
      <c r="O49" s="316"/>
      <c r="P49" s="316"/>
      <c r="Q49" s="316"/>
      <c r="R49" s="316"/>
      <c r="S49" s="343" t="s">
        <v>823</v>
      </c>
      <c r="T49" s="343" t="s">
        <v>823</v>
      </c>
      <c r="U49" s="343" t="s">
        <v>823</v>
      </c>
      <c r="V49" s="316"/>
      <c r="W49" s="316" t="s">
        <v>864</v>
      </c>
      <c r="X49" s="316" t="s">
        <v>1919</v>
      </c>
      <c r="Y49" s="316"/>
      <c r="Z49" s="316"/>
      <c r="AA49" s="316" t="s">
        <v>864</v>
      </c>
      <c r="AB49" s="316" t="s">
        <v>864</v>
      </c>
      <c r="AC49" s="320" t="s">
        <v>1725</v>
      </c>
      <c r="AD49" s="316"/>
      <c r="AE49" s="316"/>
      <c r="AF49" s="316"/>
      <c r="AG49" s="316"/>
      <c r="AH49" s="316"/>
      <c r="AI49" s="343" t="s">
        <v>823</v>
      </c>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4">
        <v>42</v>
      </c>
      <c r="B50" s="344"/>
      <c r="C50" s="344"/>
      <c r="D50" s="344" t="s">
        <v>1735</v>
      </c>
      <c r="E50" s="344"/>
      <c r="F50" s="344"/>
      <c r="G50" s="344"/>
      <c r="H50" s="322" t="s">
        <v>1920</v>
      </c>
      <c r="I50" s="322" t="s">
        <v>1921</v>
      </c>
      <c r="J50" s="322" t="s">
        <v>1922</v>
      </c>
      <c r="K50" s="322"/>
      <c r="L50" s="322" t="s">
        <v>1738</v>
      </c>
      <c r="M50" s="322"/>
      <c r="N50" s="322" t="s">
        <v>1738</v>
      </c>
      <c r="O50" s="322"/>
      <c r="P50" s="322"/>
      <c r="Q50" s="322"/>
      <c r="R50" s="322"/>
      <c r="S50" s="324" t="s">
        <v>820</v>
      </c>
      <c r="T50" s="324" t="s">
        <v>820</v>
      </c>
      <c r="U50" s="324" t="s">
        <v>820</v>
      </c>
      <c r="V50" s="322"/>
      <c r="W50" s="322"/>
      <c r="X50" s="322" t="s">
        <v>863</v>
      </c>
      <c r="Y50" s="322"/>
      <c r="Z50" s="322"/>
      <c r="AA50" s="322" t="s">
        <v>864</v>
      </c>
      <c r="AB50" s="322" t="s">
        <v>864</v>
      </c>
      <c r="AC50" s="331" t="s">
        <v>1725</v>
      </c>
      <c r="AD50" s="322"/>
      <c r="AE50" s="322"/>
      <c r="AF50" s="322"/>
      <c r="AG50" s="322"/>
      <c r="AH50" s="322"/>
      <c r="AI50" s="324" t="s">
        <v>820</v>
      </c>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1">
        <v>43</v>
      </c>
      <c r="B51" s="341"/>
      <c r="C51" s="341"/>
      <c r="D51" s="341" t="s">
        <v>1923</v>
      </c>
      <c r="E51" s="345"/>
      <c r="F51" s="341"/>
      <c r="G51" s="341"/>
      <c r="H51" s="316" t="s">
        <v>1759</v>
      </c>
      <c r="I51" s="316" t="s">
        <v>1924</v>
      </c>
      <c r="J51" s="316" t="s">
        <v>1925</v>
      </c>
      <c r="K51" s="316"/>
      <c r="L51" s="316" t="s">
        <v>1926</v>
      </c>
      <c r="M51" s="316"/>
      <c r="N51" s="316" t="s">
        <v>1926</v>
      </c>
      <c r="O51" s="316"/>
      <c r="P51" s="316"/>
      <c r="Q51" s="316"/>
      <c r="R51" s="316"/>
      <c r="S51" s="326" t="s">
        <v>817</v>
      </c>
      <c r="T51" s="326" t="s">
        <v>817</v>
      </c>
      <c r="U51" s="326" t="s">
        <v>817</v>
      </c>
      <c r="V51" s="316"/>
      <c r="W51" s="316"/>
      <c r="X51" s="316" t="s">
        <v>879</v>
      </c>
      <c r="Y51" s="316"/>
      <c r="Z51" s="316" t="s">
        <v>932</v>
      </c>
      <c r="AA51" s="316" t="s">
        <v>864</v>
      </c>
      <c r="AB51" s="316" t="s">
        <v>864</v>
      </c>
      <c r="AC51" s="320" t="s">
        <v>1725</v>
      </c>
      <c r="AD51" s="316"/>
      <c r="AE51" s="316"/>
      <c r="AF51" s="316"/>
      <c r="AG51" s="316"/>
      <c r="AH51" s="316"/>
      <c r="AI51" s="326" t="s">
        <v>817</v>
      </c>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4">
        <v>44</v>
      </c>
      <c r="B52" s="344"/>
      <c r="C52" s="344"/>
      <c r="D52" s="344" t="s">
        <v>1927</v>
      </c>
      <c r="E52" s="344"/>
      <c r="F52" s="344"/>
      <c r="G52" s="344"/>
      <c r="H52" s="322" t="s">
        <v>1759</v>
      </c>
      <c r="I52" s="322" t="s">
        <v>1928</v>
      </c>
      <c r="J52" s="322">
        <v>0</v>
      </c>
      <c r="K52" s="322"/>
      <c r="L52" s="322" t="s">
        <v>1929</v>
      </c>
      <c r="M52" s="322"/>
      <c r="N52" s="322" t="s">
        <v>1929</v>
      </c>
      <c r="O52" s="322"/>
      <c r="P52" s="322"/>
      <c r="Q52" s="322"/>
      <c r="R52" s="322"/>
      <c r="S52" s="332" t="s">
        <v>817</v>
      </c>
      <c r="T52" s="332" t="s">
        <v>817</v>
      </c>
      <c r="U52" s="332" t="s">
        <v>817</v>
      </c>
      <c r="V52" s="322"/>
      <c r="W52" s="322"/>
      <c r="X52" s="322" t="s">
        <v>1380</v>
      </c>
      <c r="Y52" s="322"/>
      <c r="Z52" s="322"/>
      <c r="AA52" s="322" t="s">
        <v>864</v>
      </c>
      <c r="AB52" s="322" t="s">
        <v>864</v>
      </c>
      <c r="AC52" s="320" t="s">
        <v>1725</v>
      </c>
      <c r="AD52" s="322"/>
      <c r="AE52" s="322"/>
      <c r="AF52" s="322"/>
      <c r="AG52" s="322"/>
      <c r="AH52" s="322"/>
      <c r="AI52" s="332" t="s">
        <v>817</v>
      </c>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1">
        <v>45</v>
      </c>
      <c r="B53" s="341"/>
      <c r="C53" s="341"/>
      <c r="D53" s="341" t="s">
        <v>1930</v>
      </c>
      <c r="E53" s="341"/>
      <c r="F53" s="341"/>
      <c r="G53" s="341"/>
      <c r="H53" s="316" t="s">
        <v>1931</v>
      </c>
      <c r="I53" s="316" t="s">
        <v>1932</v>
      </c>
      <c r="J53" s="316">
        <v>0</v>
      </c>
      <c r="K53" s="316"/>
      <c r="L53" s="316" t="s">
        <v>1933</v>
      </c>
      <c r="M53" s="316"/>
      <c r="N53" s="316" t="s">
        <v>1933</v>
      </c>
      <c r="O53" s="316"/>
      <c r="P53" s="316"/>
      <c r="Q53" s="316"/>
      <c r="R53" s="316"/>
      <c r="S53" s="326" t="s">
        <v>817</v>
      </c>
      <c r="T53" s="328" t="s">
        <v>817</v>
      </c>
      <c r="U53" s="328" t="s">
        <v>817</v>
      </c>
      <c r="V53" s="316"/>
      <c r="W53" s="316"/>
      <c r="X53" s="316" t="s">
        <v>1380</v>
      </c>
      <c r="Y53" s="316"/>
      <c r="Z53" s="316"/>
      <c r="AA53" s="316" t="s">
        <v>864</v>
      </c>
      <c r="AB53" s="316" t="s">
        <v>864</v>
      </c>
      <c r="AC53" s="320" t="s">
        <v>1725</v>
      </c>
      <c r="AD53" s="316"/>
      <c r="AE53" s="316"/>
      <c r="AF53" s="316"/>
      <c r="AG53" s="316"/>
      <c r="AH53" s="316"/>
      <c r="AI53" s="326" t="s">
        <v>817</v>
      </c>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4">
        <v>46</v>
      </c>
      <c r="B54" s="344"/>
      <c r="C54" s="344"/>
      <c r="D54" s="344" t="s">
        <v>1934</v>
      </c>
      <c r="E54" s="344"/>
      <c r="F54" s="344"/>
      <c r="G54" s="344"/>
      <c r="H54" s="322" t="s">
        <v>1759</v>
      </c>
      <c r="I54" s="322" t="s">
        <v>1935</v>
      </c>
      <c r="J54" s="322">
        <v>1</v>
      </c>
      <c r="K54" s="322"/>
      <c r="L54" s="322" t="s">
        <v>1936</v>
      </c>
      <c r="M54" s="322"/>
      <c r="N54" s="322" t="s">
        <v>1936</v>
      </c>
      <c r="O54" s="322"/>
      <c r="P54" s="322"/>
      <c r="Q54" s="322"/>
      <c r="R54" s="322"/>
      <c r="S54" s="332" t="s">
        <v>817</v>
      </c>
      <c r="T54" s="332" t="s">
        <v>817</v>
      </c>
      <c r="U54" s="332" t="s">
        <v>817</v>
      </c>
      <c r="V54" s="322"/>
      <c r="W54" s="322"/>
      <c r="X54" s="322" t="s">
        <v>1380</v>
      </c>
      <c r="Y54" s="322"/>
      <c r="Z54" s="322"/>
      <c r="AA54" s="322" t="s">
        <v>864</v>
      </c>
      <c r="AB54" s="322" t="s">
        <v>864</v>
      </c>
      <c r="AC54" s="320" t="s">
        <v>1725</v>
      </c>
      <c r="AD54" s="322"/>
      <c r="AE54" s="322"/>
      <c r="AF54" s="322"/>
      <c r="AG54" s="322"/>
      <c r="AH54" s="322"/>
      <c r="AI54" s="332" t="s">
        <v>817</v>
      </c>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1">
        <v>47</v>
      </c>
      <c r="B55" s="341"/>
      <c r="C55" s="341"/>
      <c r="D55" s="341" t="s">
        <v>1937</v>
      </c>
      <c r="E55" s="341"/>
      <c r="F55" s="341"/>
      <c r="G55" s="341"/>
      <c r="H55" s="316" t="s">
        <v>1759</v>
      </c>
      <c r="I55" s="316" t="s">
        <v>1938</v>
      </c>
      <c r="J55" s="316">
        <v>0</v>
      </c>
      <c r="K55" s="316"/>
      <c r="L55" s="316" t="s">
        <v>1939</v>
      </c>
      <c r="M55" s="316"/>
      <c r="N55" s="316" t="s">
        <v>1939</v>
      </c>
      <c r="O55" s="316"/>
      <c r="P55" s="316"/>
      <c r="Q55" s="316"/>
      <c r="R55" s="316"/>
      <c r="S55" s="326" t="s">
        <v>817</v>
      </c>
      <c r="T55" s="326" t="s">
        <v>817</v>
      </c>
      <c r="U55" s="326" t="s">
        <v>817</v>
      </c>
      <c r="V55" s="316"/>
      <c r="W55" s="316"/>
      <c r="X55" s="316" t="s">
        <v>1380</v>
      </c>
      <c r="Y55" s="316"/>
      <c r="Z55" s="316"/>
      <c r="AA55" s="316" t="s">
        <v>864</v>
      </c>
      <c r="AB55" s="316" t="s">
        <v>864</v>
      </c>
      <c r="AC55" s="331" t="s">
        <v>1725</v>
      </c>
      <c r="AD55" s="316"/>
      <c r="AE55" s="316"/>
      <c r="AF55" s="316"/>
      <c r="AG55" s="316"/>
      <c r="AH55" s="316"/>
      <c r="AI55" s="326" t="s">
        <v>817</v>
      </c>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4">
        <v>48</v>
      </c>
      <c r="B56" s="344"/>
      <c r="C56" s="344"/>
      <c r="D56" s="344" t="s">
        <v>1940</v>
      </c>
      <c r="E56" s="344"/>
      <c r="F56" s="344"/>
      <c r="G56" s="344"/>
      <c r="H56" s="322" t="s">
        <v>1759</v>
      </c>
      <c r="I56" s="322" t="s">
        <v>1941</v>
      </c>
      <c r="J56" s="322">
        <v>0</v>
      </c>
      <c r="K56" s="322"/>
      <c r="L56" s="322" t="s">
        <v>1942</v>
      </c>
      <c r="M56" s="322"/>
      <c r="N56" s="322" t="s">
        <v>1942</v>
      </c>
      <c r="O56" s="322"/>
      <c r="P56" s="322"/>
      <c r="Q56" s="322"/>
      <c r="R56" s="322"/>
      <c r="S56" s="332" t="s">
        <v>817</v>
      </c>
      <c r="T56" s="332" t="s">
        <v>817</v>
      </c>
      <c r="U56" s="332" t="s">
        <v>817</v>
      </c>
      <c r="V56" s="322"/>
      <c r="W56" s="322"/>
      <c r="X56" s="322" t="s">
        <v>1380</v>
      </c>
      <c r="Y56" s="322"/>
      <c r="Z56" s="322"/>
      <c r="AA56" s="322" t="s">
        <v>864</v>
      </c>
      <c r="AB56" s="322" t="s">
        <v>864</v>
      </c>
      <c r="AC56" s="320" t="s">
        <v>1725</v>
      </c>
      <c r="AD56" s="322"/>
      <c r="AE56" s="322"/>
      <c r="AF56" s="322"/>
      <c r="AG56" s="322"/>
      <c r="AH56" s="322"/>
      <c r="AI56" s="332" t="s">
        <v>817</v>
      </c>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1">
        <v>49</v>
      </c>
      <c r="B57" s="341"/>
      <c r="C57" s="341"/>
      <c r="D57" s="341" t="s">
        <v>1943</v>
      </c>
      <c r="E57" s="341"/>
      <c r="F57" s="341"/>
      <c r="G57" s="341"/>
      <c r="H57" s="316" t="s">
        <v>1759</v>
      </c>
      <c r="I57" s="316" t="s">
        <v>1944</v>
      </c>
      <c r="J57" s="316">
        <v>0</v>
      </c>
      <c r="K57" s="316"/>
      <c r="L57" s="316" t="s">
        <v>1945</v>
      </c>
      <c r="M57" s="316"/>
      <c r="N57" s="316" t="s">
        <v>1945</v>
      </c>
      <c r="O57" s="316"/>
      <c r="P57" s="316"/>
      <c r="Q57" s="316"/>
      <c r="R57" s="316"/>
      <c r="S57" s="326" t="s">
        <v>817</v>
      </c>
      <c r="T57" s="326" t="s">
        <v>817</v>
      </c>
      <c r="U57" s="326" t="s">
        <v>817</v>
      </c>
      <c r="V57" s="316"/>
      <c r="W57" s="316"/>
      <c r="X57" s="316" t="s">
        <v>1380</v>
      </c>
      <c r="Y57" s="316"/>
      <c r="Z57" s="316"/>
      <c r="AA57" s="316" t="s">
        <v>864</v>
      </c>
      <c r="AB57" s="316" t="s">
        <v>864</v>
      </c>
      <c r="AC57" s="320" t="s">
        <v>1725</v>
      </c>
      <c r="AD57" s="316"/>
      <c r="AE57" s="316"/>
      <c r="AF57" s="316"/>
      <c r="AG57" s="316"/>
      <c r="AH57" s="316"/>
      <c r="AI57" s="326" t="s">
        <v>817</v>
      </c>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4">
        <v>50</v>
      </c>
      <c r="B58" s="344"/>
      <c r="C58" s="344" t="s">
        <v>1946</v>
      </c>
      <c r="D58" s="346"/>
      <c r="E58" s="346"/>
      <c r="F58" s="346"/>
      <c r="G58" s="346"/>
      <c r="H58" s="322" t="s">
        <v>1759</v>
      </c>
      <c r="I58" s="322" t="s">
        <v>1947</v>
      </c>
      <c r="J58" s="329"/>
      <c r="K58" s="322"/>
      <c r="L58" s="322" t="s">
        <v>1948</v>
      </c>
      <c r="M58" s="322"/>
      <c r="N58" s="322" t="s">
        <v>1948</v>
      </c>
      <c r="O58" s="322"/>
      <c r="P58" s="322"/>
      <c r="Q58" s="322"/>
      <c r="R58" s="322"/>
      <c r="S58" s="330" t="s">
        <v>823</v>
      </c>
      <c r="T58" s="347" t="s">
        <v>823</v>
      </c>
      <c r="U58" s="347" t="s">
        <v>823</v>
      </c>
      <c r="V58" s="322"/>
      <c r="W58" s="322" t="s">
        <v>864</v>
      </c>
      <c r="X58" s="322" t="s">
        <v>1949</v>
      </c>
      <c r="Y58" s="322"/>
      <c r="Z58" s="322"/>
      <c r="AA58" s="322" t="s">
        <v>864</v>
      </c>
      <c r="AB58" s="322" t="s">
        <v>864</v>
      </c>
      <c r="AC58" s="320" t="s">
        <v>1725</v>
      </c>
      <c r="AD58" s="322"/>
      <c r="AE58" s="322"/>
      <c r="AF58" s="322"/>
      <c r="AG58" s="322"/>
      <c r="AH58" s="322"/>
      <c r="AI58" s="330" t="s">
        <v>823</v>
      </c>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1">
        <v>51</v>
      </c>
      <c r="B59" s="341"/>
      <c r="C59" s="341"/>
      <c r="D59" s="341" t="s">
        <v>1950</v>
      </c>
      <c r="E59" s="341"/>
      <c r="F59" s="341"/>
      <c r="G59" s="341"/>
      <c r="H59" s="316" t="s">
        <v>1759</v>
      </c>
      <c r="I59" s="316" t="s">
        <v>1951</v>
      </c>
      <c r="J59" s="316" t="s">
        <v>1952</v>
      </c>
      <c r="K59" s="316"/>
      <c r="L59" s="316" t="s">
        <v>1926</v>
      </c>
      <c r="M59" s="316"/>
      <c r="N59" s="316" t="s">
        <v>1926</v>
      </c>
      <c r="O59" s="316"/>
      <c r="P59" s="316"/>
      <c r="Q59" s="316"/>
      <c r="R59" s="316"/>
      <c r="S59" s="326" t="s">
        <v>817</v>
      </c>
      <c r="T59" s="326" t="s">
        <v>817</v>
      </c>
      <c r="U59" s="326" t="s">
        <v>817</v>
      </c>
      <c r="V59" s="316"/>
      <c r="W59" s="316"/>
      <c r="X59" s="316" t="s">
        <v>879</v>
      </c>
      <c r="Y59" s="316"/>
      <c r="Z59" s="316" t="s">
        <v>932</v>
      </c>
      <c r="AA59" s="316" t="s">
        <v>864</v>
      </c>
      <c r="AB59" s="316" t="s">
        <v>864</v>
      </c>
      <c r="AC59" s="320" t="s">
        <v>1725</v>
      </c>
      <c r="AD59" s="316"/>
      <c r="AE59" s="316"/>
      <c r="AF59" s="316"/>
      <c r="AG59" s="316"/>
      <c r="AH59" s="316"/>
      <c r="AI59" s="326" t="s">
        <v>817</v>
      </c>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4">
        <v>52</v>
      </c>
      <c r="B60" s="344"/>
      <c r="C60" s="344"/>
      <c r="D60" s="344" t="s">
        <v>1953</v>
      </c>
      <c r="E60" s="344"/>
      <c r="F60" s="344"/>
      <c r="G60" s="344"/>
      <c r="H60" s="322" t="s">
        <v>1759</v>
      </c>
      <c r="I60" s="322" t="s">
        <v>1954</v>
      </c>
      <c r="J60" s="322">
        <v>0</v>
      </c>
      <c r="K60" s="322"/>
      <c r="L60" s="322" t="s">
        <v>1955</v>
      </c>
      <c r="M60" s="322"/>
      <c r="N60" s="322" t="s">
        <v>1955</v>
      </c>
      <c r="O60" s="322"/>
      <c r="P60" s="322"/>
      <c r="Q60" s="322"/>
      <c r="R60" s="322"/>
      <c r="S60" s="332" t="s">
        <v>817</v>
      </c>
      <c r="T60" s="332" t="s">
        <v>817</v>
      </c>
      <c r="U60" s="332" t="s">
        <v>817</v>
      </c>
      <c r="V60" s="322"/>
      <c r="W60" s="322"/>
      <c r="X60" s="322" t="s">
        <v>1380</v>
      </c>
      <c r="Y60" s="322"/>
      <c r="Z60" s="322"/>
      <c r="AA60" s="322" t="s">
        <v>864</v>
      </c>
      <c r="AB60" s="322" t="s">
        <v>864</v>
      </c>
      <c r="AC60" s="331" t="s">
        <v>1725</v>
      </c>
      <c r="AD60" s="322"/>
      <c r="AE60" s="322"/>
      <c r="AF60" s="322"/>
      <c r="AG60" s="322"/>
      <c r="AH60" s="322"/>
      <c r="AI60" s="332" t="s">
        <v>817</v>
      </c>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1">
        <v>53</v>
      </c>
      <c r="B61" s="341"/>
      <c r="C61" s="341"/>
      <c r="D61" s="341" t="s">
        <v>1956</v>
      </c>
      <c r="E61" s="341"/>
      <c r="F61" s="341"/>
      <c r="G61" s="341"/>
      <c r="H61" s="316" t="s">
        <v>1759</v>
      </c>
      <c r="I61" s="316" t="s">
        <v>1957</v>
      </c>
      <c r="J61" s="316">
        <v>1</v>
      </c>
      <c r="K61" s="316"/>
      <c r="L61" s="316" t="s">
        <v>1958</v>
      </c>
      <c r="M61" s="316"/>
      <c r="N61" s="316" t="s">
        <v>1958</v>
      </c>
      <c r="O61" s="316"/>
      <c r="P61" s="316"/>
      <c r="Q61" s="316"/>
      <c r="R61" s="316"/>
      <c r="S61" s="326" t="s">
        <v>817</v>
      </c>
      <c r="T61" s="326" t="s">
        <v>817</v>
      </c>
      <c r="U61" s="326" t="s">
        <v>817</v>
      </c>
      <c r="V61" s="316"/>
      <c r="W61" s="316"/>
      <c r="X61" s="316" t="s">
        <v>1380</v>
      </c>
      <c r="Y61" s="316"/>
      <c r="Z61" s="316"/>
      <c r="AA61" s="316" t="s">
        <v>864</v>
      </c>
      <c r="AB61" s="316" t="s">
        <v>864</v>
      </c>
      <c r="AC61" s="320" t="s">
        <v>1725</v>
      </c>
      <c r="AD61" s="316"/>
      <c r="AE61" s="316"/>
      <c r="AF61" s="316"/>
      <c r="AG61" s="316"/>
      <c r="AH61" s="316"/>
      <c r="AI61" s="326" t="s">
        <v>817</v>
      </c>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1">
        <v>54</v>
      </c>
      <c r="B62" s="321"/>
      <c r="C62" s="321" t="s">
        <v>1959</v>
      </c>
      <c r="D62" s="321"/>
      <c r="E62" s="321"/>
      <c r="F62" s="321"/>
      <c r="G62" s="321"/>
      <c r="H62" s="322" t="s">
        <v>1960</v>
      </c>
      <c r="I62" s="322" t="s">
        <v>1961</v>
      </c>
      <c r="J62" s="329"/>
      <c r="K62" s="322" t="s">
        <v>864</v>
      </c>
      <c r="L62" s="322" t="s">
        <v>1962</v>
      </c>
      <c r="M62" s="322"/>
      <c r="N62" s="322" t="s">
        <v>1962</v>
      </c>
      <c r="O62" s="322"/>
      <c r="P62" s="322"/>
      <c r="Q62" s="322"/>
      <c r="R62" s="322"/>
      <c r="S62" s="330" t="s">
        <v>823</v>
      </c>
      <c r="T62" s="330" t="s">
        <v>823</v>
      </c>
      <c r="U62" s="330" t="s">
        <v>823</v>
      </c>
      <c r="V62" s="322"/>
      <c r="W62" s="322" t="s">
        <v>864</v>
      </c>
      <c r="X62" s="322" t="s">
        <v>1963</v>
      </c>
      <c r="Y62" s="322"/>
      <c r="Z62" s="322"/>
      <c r="AA62" s="322" t="s">
        <v>864</v>
      </c>
      <c r="AB62" s="322" t="s">
        <v>864</v>
      </c>
      <c r="AC62" s="320" t="s">
        <v>1725</v>
      </c>
      <c r="AD62" s="322"/>
      <c r="AE62" s="322"/>
      <c r="AF62" s="322"/>
      <c r="AG62" s="322">
        <v>1</v>
      </c>
      <c r="AH62" s="322">
        <v>1</v>
      </c>
      <c r="AI62" s="330" t="s">
        <v>823</v>
      </c>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5">
        <v>55</v>
      </c>
      <c r="B63" s="325"/>
      <c r="C63" s="325"/>
      <c r="D63" s="325" t="s">
        <v>1964</v>
      </c>
      <c r="E63" s="339"/>
      <c r="F63" s="325"/>
      <c r="G63" s="325"/>
      <c r="H63" s="316" t="s">
        <v>1965</v>
      </c>
      <c r="I63" s="316" t="s">
        <v>1966</v>
      </c>
      <c r="J63" s="316" t="s">
        <v>1889</v>
      </c>
      <c r="K63" s="316" t="s">
        <v>864</v>
      </c>
      <c r="L63" s="316" t="s">
        <v>1926</v>
      </c>
      <c r="M63" s="316"/>
      <c r="N63" s="316" t="s">
        <v>1926</v>
      </c>
      <c r="O63" s="316"/>
      <c r="P63" s="316"/>
      <c r="Q63" s="316"/>
      <c r="R63" s="316"/>
      <c r="S63" s="326" t="s">
        <v>817</v>
      </c>
      <c r="T63" s="328" t="s">
        <v>817</v>
      </c>
      <c r="U63" s="328" t="s">
        <v>817</v>
      </c>
      <c r="V63" s="316"/>
      <c r="W63" s="316"/>
      <c r="X63" s="316" t="s">
        <v>879</v>
      </c>
      <c r="Y63" s="316"/>
      <c r="Z63" s="316" t="s">
        <v>932</v>
      </c>
      <c r="AA63" s="316" t="s">
        <v>864</v>
      </c>
      <c r="AB63" s="316" t="s">
        <v>864</v>
      </c>
      <c r="AC63" s="320" t="s">
        <v>1725</v>
      </c>
      <c r="AD63" s="316"/>
      <c r="AE63" s="316"/>
      <c r="AF63" s="316"/>
      <c r="AG63" s="316">
        <v>1</v>
      </c>
      <c r="AH63" s="316">
        <v>1</v>
      </c>
      <c r="AI63" s="326" t="s">
        <v>817</v>
      </c>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5">
        <v>56</v>
      </c>
      <c r="B64" s="335"/>
      <c r="C64" s="335"/>
      <c r="D64" s="335" t="s">
        <v>1852</v>
      </c>
      <c r="E64" s="335"/>
      <c r="F64" s="335"/>
      <c r="G64" s="335"/>
      <c r="H64" s="322" t="s">
        <v>1967</v>
      </c>
      <c r="I64" s="322" t="s">
        <v>1968</v>
      </c>
      <c r="J64" s="322" t="s">
        <v>1969</v>
      </c>
      <c r="K64" s="322" t="s">
        <v>864</v>
      </c>
      <c r="L64" s="322" t="s">
        <v>1813</v>
      </c>
      <c r="M64" s="322"/>
      <c r="N64" s="322" t="s">
        <v>1813</v>
      </c>
      <c r="O64" s="322"/>
      <c r="P64" s="322"/>
      <c r="Q64" s="322"/>
      <c r="R64" s="322"/>
      <c r="S64" s="326" t="s">
        <v>817</v>
      </c>
      <c r="T64" s="324" t="s">
        <v>820</v>
      </c>
      <c r="U64" s="324" t="s">
        <v>820</v>
      </c>
      <c r="V64" s="322"/>
      <c r="W64" s="322"/>
      <c r="X64" s="322" t="s">
        <v>863</v>
      </c>
      <c r="Y64" s="322"/>
      <c r="Z64" s="322" t="s">
        <v>1970</v>
      </c>
      <c r="AA64" s="322" t="s">
        <v>864</v>
      </c>
      <c r="AB64" s="322" t="s">
        <v>864</v>
      </c>
      <c r="AC64" s="320" t="s">
        <v>1725</v>
      </c>
      <c r="AD64" s="322"/>
      <c r="AE64" s="322"/>
      <c r="AF64" s="322"/>
      <c r="AG64" s="322">
        <v>1</v>
      </c>
      <c r="AH64" s="322"/>
      <c r="AI64" s="326" t="s">
        <v>817</v>
      </c>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5">
        <v>57</v>
      </c>
      <c r="B65" s="315"/>
      <c r="C65" s="315"/>
      <c r="D65" s="315" t="s">
        <v>1971</v>
      </c>
      <c r="E65" s="315"/>
      <c r="F65" s="315"/>
      <c r="G65" s="315"/>
      <c r="H65" s="316" t="s">
        <v>1965</v>
      </c>
      <c r="I65" s="316" t="s">
        <v>1972</v>
      </c>
      <c r="J65" s="316" t="s">
        <v>1973</v>
      </c>
      <c r="K65" s="316"/>
      <c r="L65" s="316" t="s">
        <v>1974</v>
      </c>
      <c r="M65" s="316"/>
      <c r="N65" s="316" t="s">
        <v>1974</v>
      </c>
      <c r="O65" s="316"/>
      <c r="P65" s="316"/>
      <c r="Q65" s="316"/>
      <c r="R65" s="316"/>
      <c r="S65" s="343" t="s">
        <v>823</v>
      </c>
      <c r="T65" s="343" t="s">
        <v>823</v>
      </c>
      <c r="U65" s="343" t="s">
        <v>823</v>
      </c>
      <c r="V65" s="316"/>
      <c r="W65" s="316"/>
      <c r="X65" s="316" t="s">
        <v>863</v>
      </c>
      <c r="Y65" s="316"/>
      <c r="Z65" s="316" t="s">
        <v>1975</v>
      </c>
      <c r="AA65" s="316" t="s">
        <v>864</v>
      </c>
      <c r="AB65" s="316" t="s">
        <v>864</v>
      </c>
      <c r="AC65" s="331" t="s">
        <v>1725</v>
      </c>
      <c r="AD65" s="316"/>
      <c r="AE65" s="316"/>
      <c r="AF65" s="316"/>
      <c r="AG65" s="316">
        <v>1</v>
      </c>
      <c r="AH65" s="316"/>
      <c r="AI65" s="343" t="s">
        <v>823</v>
      </c>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1">
        <v>58</v>
      </c>
      <c r="B66" s="321"/>
      <c r="C66" s="321"/>
      <c r="D66" s="321" t="s">
        <v>1976</v>
      </c>
      <c r="E66" s="338"/>
      <c r="F66" s="321"/>
      <c r="G66" s="321"/>
      <c r="H66" s="322" t="s">
        <v>1965</v>
      </c>
      <c r="I66" s="322" t="s">
        <v>1977</v>
      </c>
      <c r="J66" s="322" t="s">
        <v>1978</v>
      </c>
      <c r="K66" s="322"/>
      <c r="L66" s="322" t="s">
        <v>1785</v>
      </c>
      <c r="M66" s="322"/>
      <c r="N66" s="322" t="s">
        <v>1785</v>
      </c>
      <c r="O66" s="322"/>
      <c r="P66" s="322"/>
      <c r="Q66" s="322"/>
      <c r="R66" s="322"/>
      <c r="S66" s="332" t="s">
        <v>817</v>
      </c>
      <c r="T66" s="332" t="s">
        <v>817</v>
      </c>
      <c r="U66" s="332" t="s">
        <v>817</v>
      </c>
      <c r="V66" s="322"/>
      <c r="W66" s="322"/>
      <c r="X66" s="322" t="s">
        <v>863</v>
      </c>
      <c r="Y66" s="322"/>
      <c r="Z66" s="322"/>
      <c r="AA66" s="322" t="s">
        <v>864</v>
      </c>
      <c r="AB66" s="322" t="s">
        <v>864</v>
      </c>
      <c r="AC66" s="320" t="s">
        <v>1725</v>
      </c>
      <c r="AD66" s="322"/>
      <c r="AE66" s="322"/>
      <c r="AF66" s="322"/>
      <c r="AG66" s="322">
        <v>1</v>
      </c>
      <c r="AH66" s="322">
        <v>1</v>
      </c>
      <c r="AI66" s="332" t="s">
        <v>817</v>
      </c>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5">
        <v>59</v>
      </c>
      <c r="B67" s="325"/>
      <c r="C67" s="325"/>
      <c r="D67" s="321" t="s">
        <v>1979</v>
      </c>
      <c r="E67" s="338"/>
      <c r="F67" s="321"/>
      <c r="G67" s="321"/>
      <c r="H67" s="316" t="s">
        <v>1965</v>
      </c>
      <c r="I67" s="316" t="s">
        <v>1980</v>
      </c>
      <c r="J67" s="337"/>
      <c r="K67" s="316"/>
      <c r="L67" s="316" t="s">
        <v>1981</v>
      </c>
      <c r="M67" s="316"/>
      <c r="N67" s="316" t="s">
        <v>1981</v>
      </c>
      <c r="O67" s="316"/>
      <c r="P67" s="316"/>
      <c r="Q67" s="316"/>
      <c r="R67" s="316"/>
      <c r="S67" s="332" t="s">
        <v>817</v>
      </c>
      <c r="T67" s="319" t="s">
        <v>820</v>
      </c>
      <c r="U67" s="319" t="s">
        <v>820</v>
      </c>
      <c r="V67" s="316"/>
      <c r="W67" s="316" t="s">
        <v>864</v>
      </c>
      <c r="X67" s="316" t="s">
        <v>1982</v>
      </c>
      <c r="Y67" s="316"/>
      <c r="Z67" s="316"/>
      <c r="AA67" s="316" t="s">
        <v>864</v>
      </c>
      <c r="AB67" s="316" t="s">
        <v>864</v>
      </c>
      <c r="AC67" s="320" t="s">
        <v>1725</v>
      </c>
      <c r="AD67" s="316" t="s">
        <v>864</v>
      </c>
      <c r="AE67" s="316"/>
      <c r="AF67" s="316"/>
      <c r="AG67" s="316">
        <v>1</v>
      </c>
      <c r="AH67" s="316">
        <v>1</v>
      </c>
      <c r="AI67" s="332" t="s">
        <v>817</v>
      </c>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1">
        <v>60</v>
      </c>
      <c r="B68" s="321"/>
      <c r="C68" s="321"/>
      <c r="D68" s="321"/>
      <c r="E68" s="321" t="s">
        <v>1983</v>
      </c>
      <c r="F68" s="321"/>
      <c r="G68" s="321"/>
      <c r="H68" s="322" t="s">
        <v>1984</v>
      </c>
      <c r="I68" s="322" t="s">
        <v>1985</v>
      </c>
      <c r="J68" s="322" t="s">
        <v>1057</v>
      </c>
      <c r="K68" s="322" t="s">
        <v>864</v>
      </c>
      <c r="L68" s="322" t="s">
        <v>1986</v>
      </c>
      <c r="M68" s="322"/>
      <c r="N68" s="322" t="s">
        <v>1986</v>
      </c>
      <c r="O68" s="322"/>
      <c r="P68" s="322"/>
      <c r="Q68" s="322"/>
      <c r="R68" s="322"/>
      <c r="S68" s="332" t="s">
        <v>817</v>
      </c>
      <c r="T68" s="334" t="s">
        <v>820</v>
      </c>
      <c r="U68" s="334" t="s">
        <v>820</v>
      </c>
      <c r="V68" s="322"/>
      <c r="W68" s="322"/>
      <c r="X68" s="322" t="s">
        <v>863</v>
      </c>
      <c r="Y68" s="322"/>
      <c r="Z68" s="322"/>
      <c r="AA68" s="322" t="s">
        <v>864</v>
      </c>
      <c r="AB68" s="322" t="s">
        <v>864</v>
      </c>
      <c r="AC68" s="320" t="s">
        <v>1725</v>
      </c>
      <c r="AD68" s="322" t="s">
        <v>864</v>
      </c>
      <c r="AE68" s="322"/>
      <c r="AF68" s="322"/>
      <c r="AG68" s="322">
        <v>1</v>
      </c>
      <c r="AH68" s="322">
        <v>1</v>
      </c>
      <c r="AI68" s="332" t="s">
        <v>817</v>
      </c>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1">
        <v>61</v>
      </c>
      <c r="B69" s="341"/>
      <c r="C69" s="341"/>
      <c r="D69" s="341"/>
      <c r="E69" s="341" t="s">
        <v>1987</v>
      </c>
      <c r="F69" s="341"/>
      <c r="G69" s="341"/>
      <c r="H69" s="316" t="s">
        <v>1988</v>
      </c>
      <c r="I69" s="316" t="s">
        <v>1989</v>
      </c>
      <c r="J69" s="316" t="s">
        <v>1065</v>
      </c>
      <c r="K69" s="316"/>
      <c r="L69" s="316" t="s">
        <v>1801</v>
      </c>
      <c r="M69" s="316"/>
      <c r="N69" s="316" t="s">
        <v>1801</v>
      </c>
      <c r="O69" s="316"/>
      <c r="P69" s="316"/>
      <c r="Q69" s="316"/>
      <c r="R69" s="316"/>
      <c r="S69" s="326" t="s">
        <v>817</v>
      </c>
      <c r="T69" s="326" t="s">
        <v>817</v>
      </c>
      <c r="U69" s="326" t="s">
        <v>817</v>
      </c>
      <c r="V69" s="316"/>
      <c r="W69" s="316"/>
      <c r="X69" s="316" t="s">
        <v>863</v>
      </c>
      <c r="Y69" s="316"/>
      <c r="Z69" s="316"/>
      <c r="AA69" s="316" t="s">
        <v>864</v>
      </c>
      <c r="AB69" s="316" t="s">
        <v>864</v>
      </c>
      <c r="AC69" s="320" t="s">
        <v>1725</v>
      </c>
      <c r="AD69" s="316" t="s">
        <v>864</v>
      </c>
      <c r="AE69" s="316"/>
      <c r="AF69" s="316"/>
      <c r="AG69" s="316"/>
      <c r="AH69" s="316"/>
      <c r="AI69" s="326" t="s">
        <v>817</v>
      </c>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1">
        <v>62</v>
      </c>
      <c r="B70" s="321"/>
      <c r="C70" s="321"/>
      <c r="D70" s="321"/>
      <c r="E70" s="321" t="s">
        <v>1102</v>
      </c>
      <c r="F70" s="321"/>
      <c r="G70" s="321"/>
      <c r="H70" s="322" t="s">
        <v>1990</v>
      </c>
      <c r="I70" s="322" t="s">
        <v>1991</v>
      </c>
      <c r="J70" s="322" t="s">
        <v>1992</v>
      </c>
      <c r="K70" s="322" t="s">
        <v>864</v>
      </c>
      <c r="L70" s="322" t="s">
        <v>1813</v>
      </c>
      <c r="M70" s="322"/>
      <c r="N70" s="322" t="s">
        <v>1813</v>
      </c>
      <c r="O70" s="322"/>
      <c r="P70" s="322"/>
      <c r="Q70" s="322"/>
      <c r="R70" s="322"/>
      <c r="S70" s="332" t="s">
        <v>817</v>
      </c>
      <c r="T70" s="332" t="s">
        <v>817</v>
      </c>
      <c r="U70" s="332" t="s">
        <v>817</v>
      </c>
      <c r="V70" s="322"/>
      <c r="W70" s="322"/>
      <c r="X70" s="322" t="s">
        <v>863</v>
      </c>
      <c r="Y70" s="322"/>
      <c r="Z70" s="322"/>
      <c r="AA70" s="322" t="s">
        <v>864</v>
      </c>
      <c r="AB70" s="322" t="s">
        <v>864</v>
      </c>
      <c r="AC70" s="331" t="s">
        <v>1725</v>
      </c>
      <c r="AD70" s="322" t="s">
        <v>864</v>
      </c>
      <c r="AE70" s="322"/>
      <c r="AF70" s="322"/>
      <c r="AG70" s="322">
        <v>1</v>
      </c>
      <c r="AH70" s="322">
        <v>1</v>
      </c>
      <c r="AI70" s="332" t="s">
        <v>817</v>
      </c>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5">
        <v>63</v>
      </c>
      <c r="B71" s="325"/>
      <c r="C71" s="325"/>
      <c r="D71" s="325"/>
      <c r="E71" s="325" t="s">
        <v>1993</v>
      </c>
      <c r="F71" s="339"/>
      <c r="G71" s="325"/>
      <c r="H71" s="316" t="s">
        <v>1759</v>
      </c>
      <c r="I71" s="316" t="s">
        <v>1994</v>
      </c>
      <c r="J71" s="316" t="s">
        <v>1995</v>
      </c>
      <c r="K71" s="316"/>
      <c r="L71" s="316" t="s">
        <v>1996</v>
      </c>
      <c r="M71" s="316"/>
      <c r="N71" s="316" t="s">
        <v>1996</v>
      </c>
      <c r="O71" s="316"/>
      <c r="P71" s="316"/>
      <c r="Q71" s="316"/>
      <c r="R71" s="316"/>
      <c r="S71" s="326" t="s">
        <v>817</v>
      </c>
      <c r="T71" s="326" t="s">
        <v>817</v>
      </c>
      <c r="U71" s="326" t="s">
        <v>817</v>
      </c>
      <c r="V71" s="316"/>
      <c r="W71" s="316"/>
      <c r="X71" s="316" t="s">
        <v>863</v>
      </c>
      <c r="Y71" s="316"/>
      <c r="Z71" s="316"/>
      <c r="AA71" s="316" t="s">
        <v>864</v>
      </c>
      <c r="AB71" s="316" t="s">
        <v>864</v>
      </c>
      <c r="AC71" s="320" t="s">
        <v>1725</v>
      </c>
      <c r="AD71" s="316" t="s">
        <v>864</v>
      </c>
      <c r="AE71" s="316"/>
      <c r="AF71" s="316"/>
      <c r="AG71" s="316">
        <v>1</v>
      </c>
      <c r="AH71" s="316">
        <v>1</v>
      </c>
      <c r="AI71" s="326" t="s">
        <v>817</v>
      </c>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1">
        <v>64</v>
      </c>
      <c r="B72" s="321"/>
      <c r="C72" s="321"/>
      <c r="D72" s="321"/>
      <c r="E72" s="321" t="s">
        <v>1197</v>
      </c>
      <c r="F72" s="321"/>
      <c r="G72" s="321"/>
      <c r="H72" s="322" t="s">
        <v>1759</v>
      </c>
      <c r="I72" s="322" t="s">
        <v>1997</v>
      </c>
      <c r="J72" s="322" t="s">
        <v>1199</v>
      </c>
      <c r="K72" s="322"/>
      <c r="L72" s="322" t="s">
        <v>1998</v>
      </c>
      <c r="M72" s="322"/>
      <c r="N72" s="322" t="s">
        <v>1998</v>
      </c>
      <c r="O72" s="322"/>
      <c r="P72" s="322"/>
      <c r="Q72" s="322"/>
      <c r="R72" s="322"/>
      <c r="S72" s="332" t="s">
        <v>817</v>
      </c>
      <c r="T72" s="332" t="s">
        <v>817</v>
      </c>
      <c r="U72" s="332" t="s">
        <v>817</v>
      </c>
      <c r="V72" s="322"/>
      <c r="W72" s="322"/>
      <c r="X72" s="322" t="s">
        <v>863</v>
      </c>
      <c r="Y72" s="322"/>
      <c r="Z72" s="322"/>
      <c r="AA72" s="322" t="s">
        <v>864</v>
      </c>
      <c r="AB72" s="322" t="s">
        <v>864</v>
      </c>
      <c r="AC72" s="320" t="s">
        <v>1725</v>
      </c>
      <c r="AD72" s="322" t="s">
        <v>864</v>
      </c>
      <c r="AE72" s="322"/>
      <c r="AF72" s="322"/>
      <c r="AG72" s="322">
        <v>1</v>
      </c>
      <c r="AH72" s="322">
        <v>1</v>
      </c>
      <c r="AI72" s="332" t="s">
        <v>817</v>
      </c>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5">
        <v>65</v>
      </c>
      <c r="B73" s="325"/>
      <c r="C73" s="325"/>
      <c r="D73" s="325"/>
      <c r="E73" s="325" t="s">
        <v>1167</v>
      </c>
      <c r="F73" s="325"/>
      <c r="G73" s="325"/>
      <c r="H73" s="316" t="s">
        <v>771</v>
      </c>
      <c r="I73" s="316"/>
      <c r="J73" s="337"/>
      <c r="K73" s="316"/>
      <c r="L73" s="316" t="s">
        <v>1999</v>
      </c>
      <c r="M73" s="316"/>
      <c r="N73" s="316" t="s">
        <v>1999</v>
      </c>
      <c r="O73" s="316"/>
      <c r="P73" s="316"/>
      <c r="Q73" s="316"/>
      <c r="R73" s="316"/>
      <c r="S73" s="343" t="s">
        <v>823</v>
      </c>
      <c r="T73" s="348" t="s">
        <v>2000</v>
      </c>
      <c r="U73" s="348" t="s">
        <v>2000</v>
      </c>
      <c r="V73" s="316"/>
      <c r="W73" s="316" t="s">
        <v>864</v>
      </c>
      <c r="X73" s="316" t="s">
        <v>1169</v>
      </c>
      <c r="Y73" s="316"/>
      <c r="Z73" s="316"/>
      <c r="AA73" s="316" t="s">
        <v>864</v>
      </c>
      <c r="AB73" s="316" t="s">
        <v>864</v>
      </c>
      <c r="AC73" s="320" t="s">
        <v>1725</v>
      </c>
      <c r="AD73" s="316" t="s">
        <v>864</v>
      </c>
      <c r="AE73" s="316"/>
      <c r="AF73" s="316"/>
      <c r="AG73" s="316">
        <v>1</v>
      </c>
      <c r="AH73" s="316">
        <v>1</v>
      </c>
      <c r="AI73" s="343" t="s">
        <v>823</v>
      </c>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1">
        <v>66</v>
      </c>
      <c r="B74" s="321"/>
      <c r="C74" s="321"/>
      <c r="D74" s="321"/>
      <c r="E74" s="321"/>
      <c r="F74" s="321" t="s">
        <v>2001</v>
      </c>
      <c r="G74" s="321"/>
      <c r="H74" s="322" t="s">
        <v>2002</v>
      </c>
      <c r="I74" s="322" t="s">
        <v>2003</v>
      </c>
      <c r="J74" s="322" t="s">
        <v>2004</v>
      </c>
      <c r="K74" s="322" t="s">
        <v>864</v>
      </c>
      <c r="L74" s="322" t="s">
        <v>2005</v>
      </c>
      <c r="M74" s="322"/>
      <c r="N74" s="322" t="s">
        <v>2005</v>
      </c>
      <c r="O74" s="322"/>
      <c r="P74" s="322"/>
      <c r="Q74" s="322"/>
      <c r="R74" s="322"/>
      <c r="S74" s="324" t="s">
        <v>820</v>
      </c>
      <c r="T74" s="324" t="s">
        <v>820</v>
      </c>
      <c r="U74" s="324" t="s">
        <v>820</v>
      </c>
      <c r="V74" s="322"/>
      <c r="W74" s="322"/>
      <c r="X74" s="322" t="s">
        <v>1092</v>
      </c>
      <c r="Y74" s="322"/>
      <c r="Z74" s="322"/>
      <c r="AA74" s="322" t="s">
        <v>864</v>
      </c>
      <c r="AB74" s="322" t="s">
        <v>864</v>
      </c>
      <c r="AC74" s="320" t="s">
        <v>1725</v>
      </c>
      <c r="AD74" s="322" t="s">
        <v>864</v>
      </c>
      <c r="AE74" s="322"/>
      <c r="AF74" s="322"/>
      <c r="AG74" s="322">
        <v>1</v>
      </c>
      <c r="AH74" s="322">
        <v>1</v>
      </c>
      <c r="AI74" s="324" t="s">
        <v>820</v>
      </c>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5">
        <v>67</v>
      </c>
      <c r="B75" s="325"/>
      <c r="C75" s="325"/>
      <c r="D75" s="325"/>
      <c r="E75" s="325"/>
      <c r="F75" s="325" t="s">
        <v>1176</v>
      </c>
      <c r="G75" s="325"/>
      <c r="H75" s="316" t="s">
        <v>2006</v>
      </c>
      <c r="I75" s="316" t="s">
        <v>2007</v>
      </c>
      <c r="J75" s="317" t="s">
        <v>2008</v>
      </c>
      <c r="K75" s="316" t="s">
        <v>864</v>
      </c>
      <c r="L75" s="316" t="s">
        <v>2009</v>
      </c>
      <c r="M75" s="316"/>
      <c r="N75" s="316" t="s">
        <v>2009</v>
      </c>
      <c r="O75" s="316"/>
      <c r="P75" s="316"/>
      <c r="Q75" s="316"/>
      <c r="R75" s="316"/>
      <c r="S75" s="319" t="s">
        <v>820</v>
      </c>
      <c r="T75" s="319" t="s">
        <v>820</v>
      </c>
      <c r="U75" s="319" t="s">
        <v>820</v>
      </c>
      <c r="V75" s="316"/>
      <c r="W75" s="316"/>
      <c r="X75" s="316" t="s">
        <v>1092</v>
      </c>
      <c r="Y75" s="316"/>
      <c r="Z75" s="316"/>
      <c r="AA75" s="316" t="s">
        <v>864</v>
      </c>
      <c r="AB75" s="316" t="s">
        <v>864</v>
      </c>
      <c r="AC75" s="331" t="s">
        <v>1725</v>
      </c>
      <c r="AD75" s="316" t="s">
        <v>864</v>
      </c>
      <c r="AE75" s="316"/>
      <c r="AF75" s="316"/>
      <c r="AG75" s="316">
        <v>1</v>
      </c>
      <c r="AH75" s="316">
        <v>1</v>
      </c>
      <c r="AI75" s="319" t="s">
        <v>820</v>
      </c>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1">
        <v>68</v>
      </c>
      <c r="B76" s="321"/>
      <c r="C76" s="321"/>
      <c r="D76" s="321"/>
      <c r="E76" s="321"/>
      <c r="F76" s="321" t="s">
        <v>2010</v>
      </c>
      <c r="G76" s="321"/>
      <c r="H76" s="322" t="s">
        <v>2011</v>
      </c>
      <c r="I76" s="322" t="s">
        <v>2012</v>
      </c>
      <c r="J76" s="322">
        <v>1</v>
      </c>
      <c r="K76" s="322" t="s">
        <v>864</v>
      </c>
      <c r="L76" s="322" t="s">
        <v>2013</v>
      </c>
      <c r="M76" s="322"/>
      <c r="N76" s="322" t="s">
        <v>2013</v>
      </c>
      <c r="O76" s="322"/>
      <c r="P76" s="322"/>
      <c r="Q76" s="322"/>
      <c r="R76" s="322"/>
      <c r="S76" s="332" t="s">
        <v>817</v>
      </c>
      <c r="T76" s="332" t="s">
        <v>817</v>
      </c>
      <c r="U76" s="332" t="s">
        <v>817</v>
      </c>
      <c r="V76" s="322"/>
      <c r="W76" s="322"/>
      <c r="X76" s="322" t="s">
        <v>1092</v>
      </c>
      <c r="Y76" s="322"/>
      <c r="Z76" s="322"/>
      <c r="AA76" s="322" t="s">
        <v>864</v>
      </c>
      <c r="AB76" s="322" t="s">
        <v>864</v>
      </c>
      <c r="AC76" s="320" t="s">
        <v>1725</v>
      </c>
      <c r="AD76" s="322" t="s">
        <v>864</v>
      </c>
      <c r="AE76" s="322"/>
      <c r="AF76" s="322"/>
      <c r="AG76" s="322">
        <v>1</v>
      </c>
      <c r="AH76" s="322">
        <v>1</v>
      </c>
      <c r="AI76" s="332" t="s">
        <v>817</v>
      </c>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5">
        <v>69</v>
      </c>
      <c r="B77" s="325"/>
      <c r="C77" s="325"/>
      <c r="D77" s="325"/>
      <c r="E77" s="325" t="s">
        <v>1051</v>
      </c>
      <c r="F77" s="325"/>
      <c r="G77" s="325"/>
      <c r="H77" s="316" t="s">
        <v>2014</v>
      </c>
      <c r="I77" s="316" t="s">
        <v>2015</v>
      </c>
      <c r="J77" s="316" t="s">
        <v>2016</v>
      </c>
      <c r="K77" s="316" t="s">
        <v>864</v>
      </c>
      <c r="L77" s="316" t="s">
        <v>1194</v>
      </c>
      <c r="M77" s="316"/>
      <c r="N77" s="316" t="s">
        <v>1194</v>
      </c>
      <c r="O77" s="316"/>
      <c r="P77" s="316"/>
      <c r="Q77" s="316"/>
      <c r="R77" s="316"/>
      <c r="S77" s="343" t="s">
        <v>823</v>
      </c>
      <c r="T77" s="343" t="s">
        <v>823</v>
      </c>
      <c r="U77" s="343" t="s">
        <v>823</v>
      </c>
      <c r="V77" s="316"/>
      <c r="W77" s="316"/>
      <c r="X77" s="316" t="s">
        <v>863</v>
      </c>
      <c r="Y77" s="316"/>
      <c r="Z77" s="316"/>
      <c r="AA77" s="316" t="s">
        <v>864</v>
      </c>
      <c r="AB77" s="316" t="s">
        <v>864</v>
      </c>
      <c r="AC77" s="320" t="s">
        <v>1725</v>
      </c>
      <c r="AD77" s="316" t="s">
        <v>864</v>
      </c>
      <c r="AE77" s="316"/>
      <c r="AF77" s="316"/>
      <c r="AG77" s="316">
        <v>1</v>
      </c>
      <c r="AH77" s="316">
        <v>1</v>
      </c>
      <c r="AI77" s="343" t="s">
        <v>823</v>
      </c>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1">
        <v>70</v>
      </c>
      <c r="B78" s="321"/>
      <c r="C78" s="321" t="s">
        <v>2017</v>
      </c>
      <c r="D78" s="321"/>
      <c r="E78" s="321"/>
      <c r="F78" s="321"/>
      <c r="G78" s="321"/>
      <c r="H78" s="322" t="s">
        <v>1759</v>
      </c>
      <c r="I78" s="322" t="s">
        <v>2018</v>
      </c>
      <c r="J78" s="322" t="s">
        <v>2019</v>
      </c>
      <c r="K78" s="322"/>
      <c r="L78" s="322" t="s">
        <v>2020</v>
      </c>
      <c r="M78" s="322"/>
      <c r="N78" s="322" t="s">
        <v>2020</v>
      </c>
      <c r="O78" s="322"/>
      <c r="P78" s="322"/>
      <c r="Q78" s="322"/>
      <c r="R78" s="322"/>
      <c r="S78" s="332" t="s">
        <v>817</v>
      </c>
      <c r="T78" s="333" t="s">
        <v>817</v>
      </c>
      <c r="U78" s="333" t="s">
        <v>817</v>
      </c>
      <c r="V78" s="322"/>
      <c r="W78" s="322"/>
      <c r="X78" s="322" t="s">
        <v>863</v>
      </c>
      <c r="Y78" s="322"/>
      <c r="Z78" s="322" t="s">
        <v>2021</v>
      </c>
      <c r="AA78" s="322" t="s">
        <v>864</v>
      </c>
      <c r="AB78" s="322" t="s">
        <v>864</v>
      </c>
      <c r="AC78" s="320" t="s">
        <v>1725</v>
      </c>
      <c r="AD78" s="322"/>
      <c r="AE78" s="322"/>
      <c r="AF78" s="322"/>
      <c r="AG78" s="322">
        <v>1</v>
      </c>
      <c r="AH78" s="322">
        <v>1</v>
      </c>
      <c r="AI78" s="332" t="s">
        <v>817</v>
      </c>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5">
        <v>71</v>
      </c>
      <c r="B79" s="325"/>
      <c r="C79" s="325" t="s">
        <v>1781</v>
      </c>
      <c r="D79" s="325"/>
      <c r="E79" s="325"/>
      <c r="F79" s="325"/>
      <c r="G79" s="325"/>
      <c r="H79" s="316" t="s">
        <v>1759</v>
      </c>
      <c r="I79" s="316" t="s">
        <v>2022</v>
      </c>
      <c r="J79" s="316" t="s">
        <v>2023</v>
      </c>
      <c r="K79" s="316" t="s">
        <v>864</v>
      </c>
      <c r="L79" s="316" t="s">
        <v>1785</v>
      </c>
      <c r="M79" s="316"/>
      <c r="N79" s="316" t="s">
        <v>1785</v>
      </c>
      <c r="O79" s="316"/>
      <c r="P79" s="316"/>
      <c r="Q79" s="316"/>
      <c r="R79" s="316"/>
      <c r="S79" s="326" t="s">
        <v>817</v>
      </c>
      <c r="T79" s="326" t="s">
        <v>817</v>
      </c>
      <c r="U79" s="326" t="s">
        <v>817</v>
      </c>
      <c r="V79" s="316"/>
      <c r="W79" s="316"/>
      <c r="X79" s="316" t="s">
        <v>863</v>
      </c>
      <c r="Y79" s="316"/>
      <c r="Z79" s="316"/>
      <c r="AA79" s="316" t="s">
        <v>864</v>
      </c>
      <c r="AB79" s="316" t="s">
        <v>864</v>
      </c>
      <c r="AC79" s="320" t="s">
        <v>1725</v>
      </c>
      <c r="AD79" s="316"/>
      <c r="AE79" s="316"/>
      <c r="AF79" s="316"/>
      <c r="AG79" s="316">
        <v>1</v>
      </c>
      <c r="AH79" s="316">
        <v>1</v>
      </c>
      <c r="AI79" s="326" t="s">
        <v>817</v>
      </c>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1">
        <v>72</v>
      </c>
      <c r="B80" s="321" t="s">
        <v>2024</v>
      </c>
      <c r="C80" s="321"/>
      <c r="D80" s="321"/>
      <c r="E80" s="321"/>
      <c r="F80" s="321"/>
      <c r="G80" s="321"/>
      <c r="H80" s="322" t="s">
        <v>2025</v>
      </c>
      <c r="I80" s="322" t="s">
        <v>2026</v>
      </c>
      <c r="J80" s="329"/>
      <c r="K80" s="322"/>
      <c r="L80" s="322" t="s">
        <v>2027</v>
      </c>
      <c r="M80" s="322"/>
      <c r="N80" s="322" t="s">
        <v>2027</v>
      </c>
      <c r="O80" s="322"/>
      <c r="P80" s="322"/>
      <c r="Q80" s="322"/>
      <c r="R80" s="322"/>
      <c r="S80" s="330" t="s">
        <v>823</v>
      </c>
      <c r="T80" s="330" t="s">
        <v>823</v>
      </c>
      <c r="U80" s="330" t="s">
        <v>823</v>
      </c>
      <c r="V80" s="322"/>
      <c r="W80" s="322" t="s">
        <v>864</v>
      </c>
      <c r="X80" s="322" t="s">
        <v>2028</v>
      </c>
      <c r="Y80" s="322"/>
      <c r="Z80" s="322"/>
      <c r="AA80" s="322" t="s">
        <v>864</v>
      </c>
      <c r="AB80" s="322" t="s">
        <v>864</v>
      </c>
      <c r="AC80" s="331" t="s">
        <v>1725</v>
      </c>
      <c r="AD80" s="322"/>
      <c r="AE80" s="322"/>
      <c r="AF80" s="322"/>
      <c r="AG80" s="322">
        <v>1</v>
      </c>
      <c r="AH80" s="322">
        <v>1</v>
      </c>
      <c r="AI80" s="330" t="s">
        <v>823</v>
      </c>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5">
        <v>73</v>
      </c>
      <c r="B81" s="325"/>
      <c r="C81" s="325" t="s">
        <v>1102</v>
      </c>
      <c r="D81" s="325"/>
      <c r="E81" s="325"/>
      <c r="F81" s="325"/>
      <c r="G81" s="325"/>
      <c r="H81" s="316" t="s">
        <v>2029</v>
      </c>
      <c r="I81" s="316" t="s">
        <v>2030</v>
      </c>
      <c r="J81" s="316" t="s">
        <v>2031</v>
      </c>
      <c r="K81" s="316" t="s">
        <v>864</v>
      </c>
      <c r="L81" s="316" t="s">
        <v>1813</v>
      </c>
      <c r="M81" s="316"/>
      <c r="N81" s="316" t="s">
        <v>1813</v>
      </c>
      <c r="O81" s="316"/>
      <c r="P81" s="316"/>
      <c r="Q81" s="316"/>
      <c r="R81" s="316"/>
      <c r="S81" s="319" t="s">
        <v>820</v>
      </c>
      <c r="T81" s="319" t="s">
        <v>820</v>
      </c>
      <c r="U81" s="319" t="s">
        <v>820</v>
      </c>
      <c r="V81" s="316"/>
      <c r="W81" s="316"/>
      <c r="X81" s="316" t="s">
        <v>863</v>
      </c>
      <c r="Y81" s="316"/>
      <c r="Z81" s="316" t="s">
        <v>2032</v>
      </c>
      <c r="AA81" s="316" t="s">
        <v>864</v>
      </c>
      <c r="AB81" s="316" t="s">
        <v>864</v>
      </c>
      <c r="AC81" s="320" t="s">
        <v>1725</v>
      </c>
      <c r="AD81" s="316"/>
      <c r="AE81" s="316"/>
      <c r="AF81" s="316"/>
      <c r="AG81" s="316">
        <v>1</v>
      </c>
      <c r="AH81" s="316">
        <v>1</v>
      </c>
      <c r="AI81" s="319" t="s">
        <v>820</v>
      </c>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1">
        <v>74</v>
      </c>
      <c r="B82" s="321"/>
      <c r="C82" s="321" t="s">
        <v>1781</v>
      </c>
      <c r="D82" s="321"/>
      <c r="E82" s="321"/>
      <c r="F82" s="321"/>
      <c r="G82" s="321"/>
      <c r="H82" s="322" t="s">
        <v>2033</v>
      </c>
      <c r="I82" s="322" t="s">
        <v>2034</v>
      </c>
      <c r="J82" s="322" t="s">
        <v>2035</v>
      </c>
      <c r="K82" s="322" t="s">
        <v>864</v>
      </c>
      <c r="L82" s="322" t="s">
        <v>1785</v>
      </c>
      <c r="M82" s="322"/>
      <c r="N82" s="322" t="s">
        <v>1785</v>
      </c>
      <c r="O82" s="322"/>
      <c r="P82" s="322"/>
      <c r="Q82" s="322"/>
      <c r="R82" s="322"/>
      <c r="S82" s="332" t="s">
        <v>817</v>
      </c>
      <c r="T82" s="332" t="s">
        <v>817</v>
      </c>
      <c r="U82" s="332" t="s">
        <v>817</v>
      </c>
      <c r="V82" s="322"/>
      <c r="W82" s="322"/>
      <c r="X82" s="322" t="s">
        <v>863</v>
      </c>
      <c r="Y82" s="322"/>
      <c r="Z82" s="322"/>
      <c r="AA82" s="322" t="s">
        <v>864</v>
      </c>
      <c r="AB82" s="322" t="s">
        <v>864</v>
      </c>
      <c r="AC82" s="320" t="s">
        <v>1725</v>
      </c>
      <c r="AD82" s="322"/>
      <c r="AE82" s="322"/>
      <c r="AF82" s="322"/>
      <c r="AG82" s="322">
        <v>1</v>
      </c>
      <c r="AH82" s="322">
        <v>1</v>
      </c>
      <c r="AI82" s="332" t="s">
        <v>817</v>
      </c>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5">
        <v>75</v>
      </c>
      <c r="B83" s="325"/>
      <c r="C83" s="325" t="s">
        <v>2036</v>
      </c>
      <c r="D83" s="325"/>
      <c r="E83" s="325"/>
      <c r="F83" s="325"/>
      <c r="G83" s="325"/>
      <c r="H83" s="316" t="s">
        <v>2037</v>
      </c>
      <c r="I83" s="316" t="s">
        <v>2038</v>
      </c>
      <c r="J83" s="316" t="s">
        <v>2039</v>
      </c>
      <c r="K83" s="316" t="s">
        <v>864</v>
      </c>
      <c r="L83" s="316" t="s">
        <v>831</v>
      </c>
      <c r="M83" s="316"/>
      <c r="N83" s="316" t="s">
        <v>831</v>
      </c>
      <c r="O83" s="316"/>
      <c r="P83" s="316"/>
      <c r="Q83" s="316"/>
      <c r="R83" s="316"/>
      <c r="S83" s="332" t="s">
        <v>817</v>
      </c>
      <c r="T83" s="327" t="s">
        <v>820</v>
      </c>
      <c r="U83" s="328" t="s">
        <v>817</v>
      </c>
      <c r="V83" s="316" t="s">
        <v>864</v>
      </c>
      <c r="W83" s="316"/>
      <c r="X83" s="316" t="s">
        <v>863</v>
      </c>
      <c r="Y83" s="316"/>
      <c r="Z83" s="316"/>
      <c r="AA83" s="316" t="s">
        <v>864</v>
      </c>
      <c r="AB83" s="316" t="s">
        <v>864</v>
      </c>
      <c r="AC83" s="320" t="s">
        <v>1725</v>
      </c>
      <c r="AD83" s="316"/>
      <c r="AE83" s="316"/>
      <c r="AF83" s="316"/>
      <c r="AG83" s="316">
        <v>1</v>
      </c>
      <c r="AH83" s="316">
        <v>1</v>
      </c>
      <c r="AI83" s="319" t="s">
        <v>820</v>
      </c>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1">
        <v>76</v>
      </c>
      <c r="B84" s="321"/>
      <c r="C84" s="321" t="s">
        <v>2040</v>
      </c>
      <c r="D84" s="338"/>
      <c r="E84" s="321"/>
      <c r="F84" s="321"/>
      <c r="G84" s="321"/>
      <c r="H84" s="322" t="s">
        <v>2041</v>
      </c>
      <c r="I84" s="322" t="s">
        <v>2042</v>
      </c>
      <c r="J84" s="322" t="s">
        <v>2043</v>
      </c>
      <c r="K84" s="322" t="s">
        <v>864</v>
      </c>
      <c r="L84" s="322" t="s">
        <v>1792</v>
      </c>
      <c r="M84" s="322"/>
      <c r="N84" s="322" t="s">
        <v>1792</v>
      </c>
      <c r="O84" s="322"/>
      <c r="P84" s="322"/>
      <c r="Q84" s="322"/>
      <c r="R84" s="322"/>
      <c r="S84" s="332" t="s">
        <v>817</v>
      </c>
      <c r="T84" s="332" t="s">
        <v>817</v>
      </c>
      <c r="U84" s="332" t="s">
        <v>817</v>
      </c>
      <c r="V84" s="322"/>
      <c r="W84" s="322"/>
      <c r="X84" s="322" t="s">
        <v>863</v>
      </c>
      <c r="Y84" s="322"/>
      <c r="Z84" s="322"/>
      <c r="AA84" s="322" t="s">
        <v>864</v>
      </c>
      <c r="AB84" s="322" t="s">
        <v>864</v>
      </c>
      <c r="AC84" s="320" t="s">
        <v>1725</v>
      </c>
      <c r="AD84" s="322"/>
      <c r="AE84" s="322"/>
      <c r="AF84" s="322"/>
      <c r="AG84" s="322">
        <v>1</v>
      </c>
      <c r="AH84" s="322">
        <v>1</v>
      </c>
      <c r="AI84" s="332" t="s">
        <v>817</v>
      </c>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5">
        <v>77</v>
      </c>
      <c r="B85" s="325"/>
      <c r="C85" s="325" t="s">
        <v>2044</v>
      </c>
      <c r="D85" s="325"/>
      <c r="E85" s="325"/>
      <c r="F85" s="325"/>
      <c r="G85" s="325"/>
      <c r="H85" s="316" t="s">
        <v>2045</v>
      </c>
      <c r="I85" s="316" t="s">
        <v>2046</v>
      </c>
      <c r="J85" s="316" t="s">
        <v>2047</v>
      </c>
      <c r="K85" s="316" t="s">
        <v>864</v>
      </c>
      <c r="L85" s="316" t="s">
        <v>1801</v>
      </c>
      <c r="M85" s="316"/>
      <c r="N85" s="316" t="s">
        <v>1801</v>
      </c>
      <c r="O85" s="316"/>
      <c r="P85" s="316"/>
      <c r="Q85" s="316"/>
      <c r="R85" s="316"/>
      <c r="S85" s="326" t="s">
        <v>817</v>
      </c>
      <c r="T85" s="327" t="s">
        <v>820</v>
      </c>
      <c r="U85" s="328" t="s">
        <v>817</v>
      </c>
      <c r="V85" s="316" t="s">
        <v>864</v>
      </c>
      <c r="W85" s="316"/>
      <c r="X85" s="316" t="s">
        <v>863</v>
      </c>
      <c r="Y85" s="316"/>
      <c r="Z85" s="316"/>
      <c r="AA85" s="316" t="s">
        <v>864</v>
      </c>
      <c r="AB85" s="316" t="s">
        <v>864</v>
      </c>
      <c r="AC85" s="331" t="s">
        <v>1725</v>
      </c>
      <c r="AD85" s="316"/>
      <c r="AE85" s="316"/>
      <c r="AF85" s="316"/>
      <c r="AG85" s="316">
        <v>1</v>
      </c>
      <c r="AH85" s="316">
        <v>1</v>
      </c>
      <c r="AI85" s="319" t="s">
        <v>820</v>
      </c>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1">
        <v>78</v>
      </c>
      <c r="B86" s="321"/>
      <c r="C86" s="321" t="s">
        <v>2048</v>
      </c>
      <c r="D86" s="321"/>
      <c r="E86" s="321"/>
      <c r="F86" s="321"/>
      <c r="G86" s="321"/>
      <c r="H86" s="322" t="s">
        <v>2049</v>
      </c>
      <c r="I86" s="322" t="s">
        <v>2050</v>
      </c>
      <c r="J86" s="322" t="s">
        <v>1894</v>
      </c>
      <c r="K86" s="322" t="s">
        <v>864</v>
      </c>
      <c r="L86" s="322" t="s">
        <v>1895</v>
      </c>
      <c r="M86" s="322"/>
      <c r="N86" s="322" t="s">
        <v>1895</v>
      </c>
      <c r="O86" s="322"/>
      <c r="P86" s="322"/>
      <c r="Q86" s="322"/>
      <c r="R86" s="322"/>
      <c r="S86" s="332" t="s">
        <v>817</v>
      </c>
      <c r="T86" s="332" t="s">
        <v>817</v>
      </c>
      <c r="U86" s="332" t="s">
        <v>817</v>
      </c>
      <c r="V86" s="322"/>
      <c r="W86" s="322"/>
      <c r="X86" s="322" t="s">
        <v>863</v>
      </c>
      <c r="Y86" s="322"/>
      <c r="Z86" s="322" t="s">
        <v>2051</v>
      </c>
      <c r="AA86" s="322" t="s">
        <v>864</v>
      </c>
      <c r="AB86" s="322" t="s">
        <v>864</v>
      </c>
      <c r="AC86" s="320" t="s">
        <v>1725</v>
      </c>
      <c r="AD86" s="322"/>
      <c r="AE86" s="322"/>
      <c r="AF86" s="322"/>
      <c r="AG86" s="322">
        <v>1</v>
      </c>
      <c r="AH86" s="322">
        <v>1</v>
      </c>
      <c r="AI86" s="319" t="s">
        <v>820</v>
      </c>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5">
        <v>79</v>
      </c>
      <c r="B87" s="325"/>
      <c r="C87" s="325" t="s">
        <v>2052</v>
      </c>
      <c r="D87" s="325"/>
      <c r="E87" s="325"/>
      <c r="F87" s="325"/>
      <c r="G87" s="325"/>
      <c r="H87" s="317" t="s">
        <v>2053</v>
      </c>
      <c r="I87" s="316" t="s">
        <v>2054</v>
      </c>
      <c r="J87" s="316" t="s">
        <v>2055</v>
      </c>
      <c r="K87" s="316" t="s">
        <v>864</v>
      </c>
      <c r="L87" s="316" t="s">
        <v>2056</v>
      </c>
      <c r="M87" s="316"/>
      <c r="N87" s="316" t="s">
        <v>2056</v>
      </c>
      <c r="O87" s="316"/>
      <c r="P87" s="316"/>
      <c r="Q87" s="316"/>
      <c r="R87" s="316"/>
      <c r="S87" s="326" t="s">
        <v>817</v>
      </c>
      <c r="T87" s="327" t="s">
        <v>820</v>
      </c>
      <c r="U87" s="328" t="s">
        <v>817</v>
      </c>
      <c r="V87" s="316" t="s">
        <v>864</v>
      </c>
      <c r="W87" s="316"/>
      <c r="X87" s="316" t="s">
        <v>879</v>
      </c>
      <c r="Y87" s="316"/>
      <c r="Z87" s="316"/>
      <c r="AA87" s="316" t="s">
        <v>864</v>
      </c>
      <c r="AB87" s="316" t="s">
        <v>864</v>
      </c>
      <c r="AC87" s="320" t="s">
        <v>1725</v>
      </c>
      <c r="AD87" s="316"/>
      <c r="AE87" s="316"/>
      <c r="AF87" s="316"/>
      <c r="AG87" s="316">
        <v>1</v>
      </c>
      <c r="AH87" s="316">
        <v>1</v>
      </c>
      <c r="AI87" s="326" t="s">
        <v>817</v>
      </c>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1">
        <v>80</v>
      </c>
      <c r="B88" s="321"/>
      <c r="C88" s="321" t="s">
        <v>2057</v>
      </c>
      <c r="D88" s="321"/>
      <c r="E88" s="321"/>
      <c r="F88" s="321"/>
      <c r="G88" s="321"/>
      <c r="H88" s="322" t="s">
        <v>2058</v>
      </c>
      <c r="I88" s="322" t="s">
        <v>2059</v>
      </c>
      <c r="J88" s="322" t="s">
        <v>2060</v>
      </c>
      <c r="K88" s="322" t="s">
        <v>864</v>
      </c>
      <c r="L88" s="322" t="s">
        <v>2061</v>
      </c>
      <c r="M88" s="322"/>
      <c r="N88" s="322" t="s">
        <v>2061</v>
      </c>
      <c r="O88" s="322"/>
      <c r="P88" s="322"/>
      <c r="Q88" s="322"/>
      <c r="R88" s="322"/>
      <c r="S88" s="332" t="s">
        <v>817</v>
      </c>
      <c r="T88" s="333" t="s">
        <v>817</v>
      </c>
      <c r="U88" s="333" t="s">
        <v>817</v>
      </c>
      <c r="V88" s="322"/>
      <c r="W88" s="322"/>
      <c r="X88" s="322" t="s">
        <v>879</v>
      </c>
      <c r="Y88" s="322"/>
      <c r="Z88" s="322"/>
      <c r="AA88" s="322" t="s">
        <v>864</v>
      </c>
      <c r="AB88" s="322" t="s">
        <v>864</v>
      </c>
      <c r="AC88" s="320" t="s">
        <v>1725</v>
      </c>
      <c r="AD88" s="322"/>
      <c r="AE88" s="322"/>
      <c r="AF88" s="322"/>
      <c r="AG88" s="322">
        <v>1</v>
      </c>
      <c r="AH88" s="322">
        <v>1</v>
      </c>
      <c r="AI88" s="326" t="s">
        <v>817</v>
      </c>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5">
        <v>81</v>
      </c>
      <c r="B89" s="325"/>
      <c r="C89" s="325" t="s">
        <v>2062</v>
      </c>
      <c r="D89" s="325"/>
      <c r="E89" s="325"/>
      <c r="F89" s="325"/>
      <c r="G89" s="325"/>
      <c r="H89" s="316" t="s">
        <v>2063</v>
      </c>
      <c r="I89" s="316" t="s">
        <v>2064</v>
      </c>
      <c r="J89" s="316" t="s">
        <v>2065</v>
      </c>
      <c r="K89" s="316" t="s">
        <v>864</v>
      </c>
      <c r="L89" s="316" t="s">
        <v>2066</v>
      </c>
      <c r="M89" s="316"/>
      <c r="N89" s="316" t="s">
        <v>2066</v>
      </c>
      <c r="O89" s="316"/>
      <c r="P89" s="316"/>
      <c r="Q89" s="316"/>
      <c r="R89" s="316"/>
      <c r="S89" s="330" t="s">
        <v>823</v>
      </c>
      <c r="T89" s="330" t="s">
        <v>823</v>
      </c>
      <c r="U89" s="330" t="s">
        <v>823</v>
      </c>
      <c r="V89" s="316"/>
      <c r="W89" s="316"/>
      <c r="X89" s="316" t="s">
        <v>863</v>
      </c>
      <c r="Y89" s="316"/>
      <c r="Z89" s="316"/>
      <c r="AA89" s="316" t="s">
        <v>864</v>
      </c>
      <c r="AB89" s="316" t="s">
        <v>864</v>
      </c>
      <c r="AC89" s="320" t="s">
        <v>1725</v>
      </c>
      <c r="AD89" s="316"/>
      <c r="AE89" s="316"/>
      <c r="AF89" s="316"/>
      <c r="AG89" s="316">
        <v>1</v>
      </c>
      <c r="AH89" s="316">
        <v>1</v>
      </c>
      <c r="AI89" s="330" t="s">
        <v>823</v>
      </c>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5">
        <v>82</v>
      </c>
      <c r="B90" s="335"/>
      <c r="C90" s="335" t="s">
        <v>2067</v>
      </c>
      <c r="D90" s="335"/>
      <c r="E90" s="335"/>
      <c r="F90" s="335"/>
      <c r="G90" s="335"/>
      <c r="H90" s="322" t="s">
        <v>2068</v>
      </c>
      <c r="I90" s="322" t="s">
        <v>2069</v>
      </c>
      <c r="J90" s="322"/>
      <c r="K90" s="322" t="s">
        <v>864</v>
      </c>
      <c r="L90" s="322" t="s">
        <v>2070</v>
      </c>
      <c r="M90" s="322"/>
      <c r="N90" s="322" t="s">
        <v>2070</v>
      </c>
      <c r="O90" s="322"/>
      <c r="P90" s="322"/>
      <c r="Q90" s="322"/>
      <c r="R90" s="322"/>
      <c r="S90" s="330" t="s">
        <v>823</v>
      </c>
      <c r="T90" s="330" t="s">
        <v>823</v>
      </c>
      <c r="U90" s="330" t="s">
        <v>823</v>
      </c>
      <c r="V90" s="322"/>
      <c r="W90" s="322"/>
      <c r="X90" s="322" t="s">
        <v>863</v>
      </c>
      <c r="Y90" s="322"/>
      <c r="Z90" s="322"/>
      <c r="AA90" s="322" t="s">
        <v>864</v>
      </c>
      <c r="AB90" s="322" t="s">
        <v>864</v>
      </c>
      <c r="AC90" s="331" t="s">
        <v>1725</v>
      </c>
      <c r="AD90" s="322"/>
      <c r="AE90" s="322"/>
      <c r="AF90" s="322"/>
      <c r="AG90" s="322">
        <v>1</v>
      </c>
      <c r="AH90" s="322"/>
      <c r="AI90" s="330" t="s">
        <v>823</v>
      </c>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5">
        <v>83</v>
      </c>
      <c r="B91" s="315"/>
      <c r="C91" s="315" t="s">
        <v>2071</v>
      </c>
      <c r="D91" s="315"/>
      <c r="E91" s="315"/>
      <c r="F91" s="315"/>
      <c r="G91" s="315"/>
      <c r="H91" s="316" t="s">
        <v>2072</v>
      </c>
      <c r="I91" s="316" t="s">
        <v>2073</v>
      </c>
      <c r="J91" s="316"/>
      <c r="K91" s="316" t="s">
        <v>864</v>
      </c>
      <c r="L91" s="316" t="s">
        <v>2074</v>
      </c>
      <c r="M91" s="316"/>
      <c r="N91" s="316" t="s">
        <v>2074</v>
      </c>
      <c r="O91" s="316"/>
      <c r="P91" s="316"/>
      <c r="Q91" s="316"/>
      <c r="R91" s="316"/>
      <c r="S91" s="343" t="s">
        <v>823</v>
      </c>
      <c r="T91" s="343" t="s">
        <v>823</v>
      </c>
      <c r="U91" s="343" t="s">
        <v>823</v>
      </c>
      <c r="V91" s="316"/>
      <c r="W91" s="316"/>
      <c r="X91" s="316" t="s">
        <v>863</v>
      </c>
      <c r="Y91" s="316"/>
      <c r="Z91" s="316"/>
      <c r="AA91" s="316" t="s">
        <v>864</v>
      </c>
      <c r="AB91" s="316" t="s">
        <v>864</v>
      </c>
      <c r="AC91" s="320" t="s">
        <v>1725</v>
      </c>
      <c r="AD91" s="316"/>
      <c r="AE91" s="316"/>
      <c r="AF91" s="316"/>
      <c r="AG91" s="316">
        <v>1</v>
      </c>
      <c r="AH91" s="316"/>
      <c r="AI91" s="330" t="s">
        <v>823</v>
      </c>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5">
        <v>84</v>
      </c>
      <c r="B92" s="335"/>
      <c r="C92" s="335" t="s">
        <v>2075</v>
      </c>
      <c r="D92" s="335"/>
      <c r="E92" s="335"/>
      <c r="F92" s="335"/>
      <c r="G92" s="335"/>
      <c r="H92" s="323" t="s">
        <v>2076</v>
      </c>
      <c r="I92" s="322" t="s">
        <v>2077</v>
      </c>
      <c r="J92" s="322" t="s">
        <v>2078</v>
      </c>
      <c r="K92" s="322" t="s">
        <v>864</v>
      </c>
      <c r="L92" s="322" t="s">
        <v>2079</v>
      </c>
      <c r="M92" s="322"/>
      <c r="N92" s="322" t="s">
        <v>2079</v>
      </c>
      <c r="O92" s="322"/>
      <c r="P92" s="322"/>
      <c r="Q92" s="322"/>
      <c r="R92" s="322"/>
      <c r="S92" s="332" t="s">
        <v>817</v>
      </c>
      <c r="T92" s="332" t="s">
        <v>817</v>
      </c>
      <c r="U92" s="332" t="s">
        <v>817</v>
      </c>
      <c r="V92" s="322"/>
      <c r="W92" s="322"/>
      <c r="X92" s="322" t="s">
        <v>863</v>
      </c>
      <c r="Y92" s="322"/>
      <c r="Z92" s="322"/>
      <c r="AA92" s="322" t="s">
        <v>864</v>
      </c>
      <c r="AB92" s="322" t="s">
        <v>864</v>
      </c>
      <c r="AC92" s="320" t="s">
        <v>1725</v>
      </c>
      <c r="AD92" s="322"/>
      <c r="AE92" s="322"/>
      <c r="AF92" s="322"/>
      <c r="AG92" s="322">
        <v>1</v>
      </c>
      <c r="AH92" s="322"/>
      <c r="AI92" s="332" t="s">
        <v>817</v>
      </c>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5">
        <v>85</v>
      </c>
      <c r="B93" s="325"/>
      <c r="C93" s="325" t="s">
        <v>2080</v>
      </c>
      <c r="D93" s="325" t="s">
        <v>2081</v>
      </c>
      <c r="E93" s="325"/>
      <c r="F93" s="325"/>
      <c r="G93" s="325"/>
      <c r="H93" s="316" t="s">
        <v>2082</v>
      </c>
      <c r="I93" s="316" t="s">
        <v>1980</v>
      </c>
      <c r="J93" s="337"/>
      <c r="K93" s="316" t="s">
        <v>864</v>
      </c>
      <c r="L93" s="316" t="s">
        <v>1981</v>
      </c>
      <c r="M93" s="316"/>
      <c r="N93" s="316" t="s">
        <v>1981</v>
      </c>
      <c r="O93" s="316"/>
      <c r="P93" s="316"/>
      <c r="Q93" s="316"/>
      <c r="R93" s="316"/>
      <c r="S93" s="326" t="s">
        <v>817</v>
      </c>
      <c r="T93" s="328" t="s">
        <v>817</v>
      </c>
      <c r="U93" s="328" t="s">
        <v>817</v>
      </c>
      <c r="V93" s="316"/>
      <c r="W93" s="316" t="s">
        <v>864</v>
      </c>
      <c r="X93" s="316" t="s">
        <v>1982</v>
      </c>
      <c r="Y93" s="316"/>
      <c r="Z93" s="316"/>
      <c r="AA93" s="316" t="s">
        <v>864</v>
      </c>
      <c r="AB93" s="316" t="s">
        <v>864</v>
      </c>
      <c r="AC93" s="320" t="s">
        <v>1725</v>
      </c>
      <c r="AD93" s="316"/>
      <c r="AE93" s="316" t="s">
        <v>2083</v>
      </c>
      <c r="AF93" s="316"/>
      <c r="AG93" s="316">
        <v>1</v>
      </c>
      <c r="AH93" s="316">
        <v>1</v>
      </c>
      <c r="AI93" s="332" t="s">
        <v>817</v>
      </c>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1">
        <v>86</v>
      </c>
      <c r="B94" s="321"/>
      <c r="C94" s="321" t="s">
        <v>2084</v>
      </c>
      <c r="D94" s="321"/>
      <c r="E94" s="321"/>
      <c r="F94" s="321"/>
      <c r="G94" s="321"/>
      <c r="H94" s="322" t="s">
        <v>2085</v>
      </c>
      <c r="I94" s="322" t="s">
        <v>2086</v>
      </c>
      <c r="J94" s="322">
        <v>5</v>
      </c>
      <c r="K94" s="322" t="s">
        <v>864</v>
      </c>
      <c r="L94" s="322" t="s">
        <v>2087</v>
      </c>
      <c r="M94" s="322"/>
      <c r="N94" s="322" t="s">
        <v>2087</v>
      </c>
      <c r="O94" s="322"/>
      <c r="P94" s="322"/>
      <c r="Q94" s="322"/>
      <c r="R94" s="322"/>
      <c r="S94" s="332" t="s">
        <v>817</v>
      </c>
      <c r="T94" s="332" t="s">
        <v>817</v>
      </c>
      <c r="U94" s="332" t="s">
        <v>817</v>
      </c>
      <c r="V94" s="322"/>
      <c r="W94" s="322"/>
      <c r="X94" s="322" t="s">
        <v>863</v>
      </c>
      <c r="Y94" s="322"/>
      <c r="Z94" s="322" t="s">
        <v>2088</v>
      </c>
      <c r="AA94" s="322" t="s">
        <v>864</v>
      </c>
      <c r="AB94" s="322" t="s">
        <v>864</v>
      </c>
      <c r="AC94" s="320" t="s">
        <v>1725</v>
      </c>
      <c r="AD94" s="322"/>
      <c r="AE94" s="322"/>
      <c r="AF94" s="322"/>
      <c r="AG94" s="322">
        <v>1</v>
      </c>
      <c r="AH94" s="322">
        <v>1</v>
      </c>
      <c r="AI94" s="332" t="s">
        <v>817</v>
      </c>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1">
        <v>87</v>
      </c>
      <c r="B95" s="341" t="s">
        <v>2089</v>
      </c>
      <c r="C95" s="342"/>
      <c r="D95" s="342"/>
      <c r="E95" s="342"/>
      <c r="F95" s="342"/>
      <c r="G95" s="342"/>
      <c r="H95" s="316" t="s">
        <v>2090</v>
      </c>
      <c r="I95" s="316" t="s">
        <v>2091</v>
      </c>
      <c r="J95" s="337"/>
      <c r="K95" s="316"/>
      <c r="L95" s="316" t="s">
        <v>2092</v>
      </c>
      <c r="M95" s="316"/>
      <c r="N95" s="316" t="s">
        <v>2092</v>
      </c>
      <c r="O95" s="316"/>
      <c r="P95" s="316"/>
      <c r="Q95" s="316"/>
      <c r="R95" s="316"/>
      <c r="S95" s="343" t="s">
        <v>823</v>
      </c>
      <c r="T95" s="316"/>
      <c r="U95" s="349" t="s">
        <v>823</v>
      </c>
      <c r="V95" s="316"/>
      <c r="W95" s="316" t="s">
        <v>864</v>
      </c>
      <c r="X95" s="316" t="s">
        <v>1365</v>
      </c>
      <c r="Y95" s="316"/>
      <c r="Z95" s="316"/>
      <c r="AA95" s="316" t="s">
        <v>864</v>
      </c>
      <c r="AB95" s="316" t="s">
        <v>864</v>
      </c>
      <c r="AC95" s="331" t="s">
        <v>1725</v>
      </c>
      <c r="AD95" s="316"/>
      <c r="AE95" s="316"/>
      <c r="AF95" s="316"/>
      <c r="AG95" s="316"/>
      <c r="AH95" s="316"/>
      <c r="AI95" s="343" t="s">
        <v>823</v>
      </c>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0">
        <v>88</v>
      </c>
      <c r="B96" s="350"/>
      <c r="C96" s="350" t="s">
        <v>2093</v>
      </c>
      <c r="D96" s="350"/>
      <c r="E96" s="350"/>
      <c r="F96" s="350"/>
      <c r="G96" s="350"/>
      <c r="H96" s="322" t="s">
        <v>2094</v>
      </c>
      <c r="I96" s="322" t="s">
        <v>2095</v>
      </c>
      <c r="J96" s="329"/>
      <c r="K96" s="322" t="s">
        <v>864</v>
      </c>
      <c r="L96" s="322" t="s">
        <v>2096</v>
      </c>
      <c r="M96" s="322"/>
      <c r="N96" s="322" t="s">
        <v>2096</v>
      </c>
      <c r="O96" s="322"/>
      <c r="P96" s="322"/>
      <c r="Q96" s="322"/>
      <c r="R96" s="322"/>
      <c r="S96" s="324" t="s">
        <v>820</v>
      </c>
      <c r="T96" s="322"/>
      <c r="U96" s="351" t="s">
        <v>820</v>
      </c>
      <c r="V96" s="322"/>
      <c r="W96" s="322" t="s">
        <v>864</v>
      </c>
      <c r="X96" s="322" t="s">
        <v>2097</v>
      </c>
      <c r="Y96" s="322"/>
      <c r="Z96" s="322"/>
      <c r="AA96" s="322" t="s">
        <v>864</v>
      </c>
      <c r="AB96" s="322" t="s">
        <v>864</v>
      </c>
      <c r="AC96" s="320" t="s">
        <v>1725</v>
      </c>
      <c r="AD96" s="322"/>
      <c r="AE96" s="322"/>
      <c r="AF96" s="322"/>
      <c r="AG96" s="322"/>
      <c r="AH96" s="322">
        <v>1</v>
      </c>
      <c r="AI96" s="324" t="s">
        <v>820</v>
      </c>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2">
        <v>89</v>
      </c>
      <c r="B97" s="352"/>
      <c r="C97" s="352"/>
      <c r="D97" s="352" t="s">
        <v>2098</v>
      </c>
      <c r="E97" s="353"/>
      <c r="F97" s="352"/>
      <c r="G97" s="352"/>
      <c r="H97" s="316" t="s">
        <v>2099</v>
      </c>
      <c r="I97" s="316" t="s">
        <v>2100</v>
      </c>
      <c r="J97" s="316" t="s">
        <v>2101</v>
      </c>
      <c r="K97" s="316"/>
      <c r="L97" s="316" t="s">
        <v>2102</v>
      </c>
      <c r="M97" s="316"/>
      <c r="N97" s="316" t="s">
        <v>2102</v>
      </c>
      <c r="O97" s="316"/>
      <c r="P97" s="316"/>
      <c r="Q97" s="316"/>
      <c r="R97" s="316"/>
      <c r="S97" s="316" t="s">
        <v>893</v>
      </c>
      <c r="T97" s="316"/>
      <c r="U97" s="354" t="s">
        <v>893</v>
      </c>
      <c r="V97" s="316"/>
      <c r="W97" s="316"/>
      <c r="X97" s="316" t="s">
        <v>863</v>
      </c>
      <c r="Y97" s="316"/>
      <c r="Z97" s="316" t="s">
        <v>2103</v>
      </c>
      <c r="AA97" s="316" t="s">
        <v>864</v>
      </c>
      <c r="AB97" s="316" t="s">
        <v>864</v>
      </c>
      <c r="AC97" s="320" t="s">
        <v>1725</v>
      </c>
      <c r="AD97" s="316"/>
      <c r="AE97" s="316"/>
      <c r="AF97" s="316"/>
      <c r="AG97" s="316"/>
      <c r="AH97" s="316">
        <v>1</v>
      </c>
      <c r="AI97" s="316" t="s">
        <v>893</v>
      </c>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4">
        <v>90</v>
      </c>
      <c r="B98" s="344"/>
      <c r="C98" s="344"/>
      <c r="D98" s="344" t="s">
        <v>2104</v>
      </c>
      <c r="E98" s="344"/>
      <c r="F98" s="344"/>
      <c r="G98" s="344"/>
      <c r="H98" s="322" t="s">
        <v>2105</v>
      </c>
      <c r="I98" s="322" t="s">
        <v>2106</v>
      </c>
      <c r="J98" s="322"/>
      <c r="K98" s="322"/>
      <c r="L98" s="322" t="s">
        <v>2107</v>
      </c>
      <c r="M98" s="322"/>
      <c r="N98" s="322" t="s">
        <v>2107</v>
      </c>
      <c r="O98" s="322"/>
      <c r="P98" s="322"/>
      <c r="Q98" s="322"/>
      <c r="R98" s="322"/>
      <c r="S98" s="330" t="s">
        <v>823</v>
      </c>
      <c r="T98" s="340"/>
      <c r="U98" s="355" t="s">
        <v>823</v>
      </c>
      <c r="V98" s="322"/>
      <c r="W98" s="322"/>
      <c r="X98" s="322" t="s">
        <v>863</v>
      </c>
      <c r="Y98" s="322"/>
      <c r="Z98" s="322" t="s">
        <v>2108</v>
      </c>
      <c r="AA98" s="322" t="s">
        <v>864</v>
      </c>
      <c r="AB98" s="322" t="s">
        <v>864</v>
      </c>
      <c r="AC98" s="320" t="s">
        <v>1725</v>
      </c>
      <c r="AD98" s="322"/>
      <c r="AE98" s="322"/>
      <c r="AF98" s="322"/>
      <c r="AG98" s="322"/>
      <c r="AH98" s="322"/>
      <c r="AI98" s="330" t="s">
        <v>823</v>
      </c>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1">
        <v>91</v>
      </c>
      <c r="B99" s="341"/>
      <c r="C99" s="341"/>
      <c r="D99" s="341" t="s">
        <v>2109</v>
      </c>
      <c r="E99" s="341"/>
      <c r="F99" s="341"/>
      <c r="G99" s="341"/>
      <c r="H99" s="316" t="s">
        <v>2110</v>
      </c>
      <c r="I99" s="316" t="s">
        <v>2111</v>
      </c>
      <c r="J99" s="316"/>
      <c r="K99" s="316"/>
      <c r="L99" s="316" t="s">
        <v>2112</v>
      </c>
      <c r="M99" s="316"/>
      <c r="N99" s="316" t="s">
        <v>2112</v>
      </c>
      <c r="O99" s="316"/>
      <c r="P99" s="316"/>
      <c r="Q99" s="316"/>
      <c r="R99" s="316"/>
      <c r="S99" s="343" t="s">
        <v>823</v>
      </c>
      <c r="T99" s="316"/>
      <c r="U99" s="349" t="s">
        <v>823</v>
      </c>
      <c r="V99" s="316"/>
      <c r="W99" s="316"/>
      <c r="X99" s="316" t="s">
        <v>863</v>
      </c>
      <c r="Y99" s="316"/>
      <c r="Z99" s="316"/>
      <c r="AA99" s="316" t="s">
        <v>864</v>
      </c>
      <c r="AB99" s="316" t="s">
        <v>864</v>
      </c>
      <c r="AC99" s="320" t="s">
        <v>1725</v>
      </c>
      <c r="AD99" s="316"/>
      <c r="AE99" s="316"/>
      <c r="AF99" s="316"/>
      <c r="AG99" s="316"/>
      <c r="AH99" s="316"/>
      <c r="AI99" s="343" t="s">
        <v>823</v>
      </c>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0">
        <v>92</v>
      </c>
      <c r="B100" s="350"/>
      <c r="C100" s="350" t="s">
        <v>2113</v>
      </c>
      <c r="D100" s="350"/>
      <c r="E100" s="350"/>
      <c r="F100" s="350"/>
      <c r="G100" s="350"/>
      <c r="H100" s="322" t="s">
        <v>2114</v>
      </c>
      <c r="I100" s="322" t="s">
        <v>2115</v>
      </c>
      <c r="J100" s="322" t="s">
        <v>2065</v>
      </c>
      <c r="K100" s="322" t="s">
        <v>864</v>
      </c>
      <c r="L100" s="322" t="s">
        <v>831</v>
      </c>
      <c r="M100" s="322"/>
      <c r="N100" s="322" t="s">
        <v>831</v>
      </c>
      <c r="O100" s="322"/>
      <c r="P100" s="322"/>
      <c r="Q100" s="322"/>
      <c r="R100" s="322"/>
      <c r="S100" s="332" t="s">
        <v>817</v>
      </c>
      <c r="T100" s="322"/>
      <c r="U100" s="356" t="s">
        <v>817</v>
      </c>
      <c r="V100" s="322"/>
      <c r="W100" s="322"/>
      <c r="X100" s="322" t="s">
        <v>863</v>
      </c>
      <c r="Y100" s="322"/>
      <c r="Z100" s="322" t="s">
        <v>2116</v>
      </c>
      <c r="AA100" s="322" t="s">
        <v>864</v>
      </c>
      <c r="AB100" s="322" t="s">
        <v>864</v>
      </c>
      <c r="AC100" s="331" t="s">
        <v>1725</v>
      </c>
      <c r="AD100" s="322"/>
      <c r="AE100" s="322"/>
      <c r="AF100" s="322"/>
      <c r="AG100" s="322"/>
      <c r="AH100" s="322">
        <v>1</v>
      </c>
      <c r="AI100" s="324" t="s">
        <v>820</v>
      </c>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2">
        <v>93</v>
      </c>
      <c r="B101" s="352"/>
      <c r="C101" s="352" t="s">
        <v>2040</v>
      </c>
      <c r="D101" s="353"/>
      <c r="E101" s="352"/>
      <c r="F101" s="352"/>
      <c r="G101" s="352"/>
      <c r="H101" s="316" t="s">
        <v>2117</v>
      </c>
      <c r="I101" s="316" t="s">
        <v>2118</v>
      </c>
      <c r="J101" s="316" t="s">
        <v>2043</v>
      </c>
      <c r="K101" s="316" t="s">
        <v>864</v>
      </c>
      <c r="L101" s="316" t="s">
        <v>1792</v>
      </c>
      <c r="M101" s="316"/>
      <c r="N101" s="316" t="s">
        <v>1792</v>
      </c>
      <c r="O101" s="316"/>
      <c r="P101" s="316"/>
      <c r="Q101" s="316"/>
      <c r="R101" s="316"/>
      <c r="S101" s="326" t="s">
        <v>817</v>
      </c>
      <c r="T101" s="316"/>
      <c r="U101" s="357" t="s">
        <v>817</v>
      </c>
      <c r="V101" s="316"/>
      <c r="W101" s="316"/>
      <c r="X101" s="316" t="s">
        <v>863</v>
      </c>
      <c r="Y101" s="316"/>
      <c r="Z101" s="316"/>
      <c r="AA101" s="316" t="s">
        <v>864</v>
      </c>
      <c r="AB101" s="316" t="s">
        <v>864</v>
      </c>
      <c r="AC101" s="320" t="s">
        <v>1725</v>
      </c>
      <c r="AD101" s="316"/>
      <c r="AE101" s="316"/>
      <c r="AF101" s="316"/>
      <c r="AG101" s="316"/>
      <c r="AH101" s="316">
        <v>1</v>
      </c>
      <c r="AI101" s="326" t="s">
        <v>817</v>
      </c>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0">
        <v>94</v>
      </c>
      <c r="B102" s="350"/>
      <c r="C102" s="350" t="s">
        <v>2119</v>
      </c>
      <c r="D102" s="350"/>
      <c r="E102" s="350"/>
      <c r="F102" s="350"/>
      <c r="G102" s="350"/>
      <c r="H102" s="322" t="s">
        <v>2120</v>
      </c>
      <c r="I102" s="322" t="s">
        <v>2121</v>
      </c>
      <c r="J102" s="322" t="s">
        <v>2122</v>
      </c>
      <c r="K102" s="322" t="s">
        <v>864</v>
      </c>
      <c r="L102" s="322" t="s">
        <v>1801</v>
      </c>
      <c r="M102" s="322"/>
      <c r="N102" s="322" t="s">
        <v>1801</v>
      </c>
      <c r="O102" s="322"/>
      <c r="P102" s="322"/>
      <c r="Q102" s="322"/>
      <c r="R102" s="322"/>
      <c r="S102" s="332" t="s">
        <v>817</v>
      </c>
      <c r="T102" s="322"/>
      <c r="U102" s="356" t="s">
        <v>817</v>
      </c>
      <c r="V102" s="322"/>
      <c r="W102" s="322"/>
      <c r="X102" s="322" t="s">
        <v>863</v>
      </c>
      <c r="Y102" s="322"/>
      <c r="Z102" s="322"/>
      <c r="AA102" s="322" t="s">
        <v>864</v>
      </c>
      <c r="AB102" s="322" t="s">
        <v>864</v>
      </c>
      <c r="AC102" s="320" t="s">
        <v>1725</v>
      </c>
      <c r="AD102" s="322"/>
      <c r="AE102" s="322"/>
      <c r="AF102" s="322"/>
      <c r="AG102" s="322"/>
      <c r="AH102" s="322">
        <v>1</v>
      </c>
      <c r="AI102" s="324" t="s">
        <v>820</v>
      </c>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2">
        <v>95</v>
      </c>
      <c r="B103" s="352"/>
      <c r="C103" s="352" t="s">
        <v>2123</v>
      </c>
      <c r="D103" s="352"/>
      <c r="E103" s="352"/>
      <c r="F103" s="352"/>
      <c r="G103" s="352"/>
      <c r="H103" s="316" t="s">
        <v>2124</v>
      </c>
      <c r="I103" s="316"/>
      <c r="J103" s="316"/>
      <c r="K103" s="316" t="s">
        <v>864</v>
      </c>
      <c r="L103" s="316" t="s">
        <v>1785</v>
      </c>
      <c r="M103" s="316"/>
      <c r="N103" s="316" t="s">
        <v>1785</v>
      </c>
      <c r="O103" s="316"/>
      <c r="P103" s="316"/>
      <c r="Q103" s="316"/>
      <c r="R103" s="316"/>
      <c r="S103" s="326" t="s">
        <v>817</v>
      </c>
      <c r="T103" s="348"/>
      <c r="U103" s="357" t="s">
        <v>817</v>
      </c>
      <c r="V103" s="316"/>
      <c r="W103" s="316"/>
      <c r="X103" s="316" t="s">
        <v>863</v>
      </c>
      <c r="Y103" s="316"/>
      <c r="Z103" s="316"/>
      <c r="AA103" s="316" t="s">
        <v>864</v>
      </c>
      <c r="AB103" s="316" t="s">
        <v>864</v>
      </c>
      <c r="AC103" s="320" t="s">
        <v>1725</v>
      </c>
      <c r="AD103" s="316"/>
      <c r="AE103" s="316"/>
      <c r="AF103" s="316"/>
      <c r="AG103" s="316"/>
      <c r="AH103" s="316">
        <v>1</v>
      </c>
      <c r="AI103" s="326" t="s">
        <v>817</v>
      </c>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0">
        <v>96</v>
      </c>
      <c r="B104" s="350"/>
      <c r="C104" s="350" t="s">
        <v>2125</v>
      </c>
      <c r="D104" s="350"/>
      <c r="E104" s="350"/>
      <c r="F104" s="350"/>
      <c r="G104" s="350"/>
      <c r="H104" s="322" t="s">
        <v>2126</v>
      </c>
      <c r="I104" s="322" t="s">
        <v>2127</v>
      </c>
      <c r="J104" s="329"/>
      <c r="K104" s="322" t="s">
        <v>864</v>
      </c>
      <c r="L104" s="322" t="s">
        <v>2128</v>
      </c>
      <c r="M104" s="322"/>
      <c r="N104" s="322" t="s">
        <v>2128</v>
      </c>
      <c r="O104" s="322"/>
      <c r="P104" s="322"/>
      <c r="Q104" s="322"/>
      <c r="R104" s="322"/>
      <c r="S104" s="330" t="s">
        <v>823</v>
      </c>
      <c r="T104" s="322"/>
      <c r="U104" s="355" t="s">
        <v>823</v>
      </c>
      <c r="V104" s="322"/>
      <c r="W104" s="322" t="s">
        <v>864</v>
      </c>
      <c r="X104" s="322" t="s">
        <v>2129</v>
      </c>
      <c r="Y104" s="322"/>
      <c r="Z104" s="322"/>
      <c r="AA104" s="322" t="s">
        <v>864</v>
      </c>
      <c r="AB104" s="322" t="s">
        <v>864</v>
      </c>
      <c r="AC104" s="320" t="s">
        <v>1725</v>
      </c>
      <c r="AD104" s="322"/>
      <c r="AE104" s="322"/>
      <c r="AF104" s="322"/>
      <c r="AG104" s="322"/>
      <c r="AH104" s="322">
        <v>1</v>
      </c>
      <c r="AI104" s="330" t="s">
        <v>823</v>
      </c>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2">
        <v>97</v>
      </c>
      <c r="B105" s="352"/>
      <c r="C105" s="352"/>
      <c r="D105" s="352" t="s">
        <v>2130</v>
      </c>
      <c r="E105" s="353"/>
      <c r="F105" s="352"/>
      <c r="G105" s="352"/>
      <c r="H105" s="316" t="s">
        <v>2131</v>
      </c>
      <c r="I105" s="316" t="s">
        <v>2132</v>
      </c>
      <c r="J105" s="316" t="s">
        <v>2133</v>
      </c>
      <c r="K105" s="316" t="s">
        <v>864</v>
      </c>
      <c r="L105" s="316" t="s">
        <v>1926</v>
      </c>
      <c r="M105" s="316"/>
      <c r="N105" s="316" t="s">
        <v>1926</v>
      </c>
      <c r="O105" s="316"/>
      <c r="P105" s="316"/>
      <c r="Q105" s="316"/>
      <c r="R105" s="316"/>
      <c r="S105" s="326" t="s">
        <v>817</v>
      </c>
      <c r="T105" s="316"/>
      <c r="U105" s="357" t="s">
        <v>817</v>
      </c>
      <c r="V105" s="316"/>
      <c r="W105" s="316"/>
      <c r="X105" s="316" t="s">
        <v>879</v>
      </c>
      <c r="Y105" s="316"/>
      <c r="Z105" s="316"/>
      <c r="AA105" s="316" t="s">
        <v>864</v>
      </c>
      <c r="AB105" s="316" t="s">
        <v>864</v>
      </c>
      <c r="AC105" s="331" t="s">
        <v>1725</v>
      </c>
      <c r="AD105" s="316"/>
      <c r="AE105" s="316"/>
      <c r="AF105" s="316"/>
      <c r="AG105" s="316"/>
      <c r="AH105" s="316">
        <v>1</v>
      </c>
      <c r="AI105" s="326" t="s">
        <v>817</v>
      </c>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0">
        <v>98</v>
      </c>
      <c r="B106" s="350"/>
      <c r="C106" s="350"/>
      <c r="D106" s="350" t="s">
        <v>1852</v>
      </c>
      <c r="E106" s="350"/>
      <c r="F106" s="350"/>
      <c r="G106" s="350"/>
      <c r="H106" s="322" t="s">
        <v>2134</v>
      </c>
      <c r="I106" s="322" t="s">
        <v>2135</v>
      </c>
      <c r="J106" s="322" t="s">
        <v>2136</v>
      </c>
      <c r="K106" s="322" t="s">
        <v>864</v>
      </c>
      <c r="L106" s="322" t="s">
        <v>1813</v>
      </c>
      <c r="M106" s="322"/>
      <c r="N106" s="322" t="s">
        <v>1813</v>
      </c>
      <c r="O106" s="322"/>
      <c r="P106" s="322"/>
      <c r="Q106" s="322"/>
      <c r="R106" s="322"/>
      <c r="S106" s="324" t="s">
        <v>820</v>
      </c>
      <c r="T106" s="322"/>
      <c r="U106" s="351" t="s">
        <v>820</v>
      </c>
      <c r="V106" s="322"/>
      <c r="W106" s="322"/>
      <c r="X106" s="322" t="s">
        <v>863</v>
      </c>
      <c r="Y106" s="322"/>
      <c r="Z106" s="322" t="s">
        <v>2137</v>
      </c>
      <c r="AA106" s="322" t="s">
        <v>864</v>
      </c>
      <c r="AB106" s="322" t="s">
        <v>864</v>
      </c>
      <c r="AC106" s="320" t="s">
        <v>1725</v>
      </c>
      <c r="AD106" s="322"/>
      <c r="AE106" s="322"/>
      <c r="AF106" s="322"/>
      <c r="AG106" s="322"/>
      <c r="AH106" s="322">
        <v>1</v>
      </c>
      <c r="AI106" s="324" t="s">
        <v>820</v>
      </c>
      <c r="AJ106" s="511" t="s">
        <v>2138</v>
      </c>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2">
        <v>99</v>
      </c>
      <c r="B107" s="352"/>
      <c r="C107" s="352"/>
      <c r="D107" s="352" t="s">
        <v>1806</v>
      </c>
      <c r="E107" s="352"/>
      <c r="F107" s="352"/>
      <c r="G107" s="352"/>
      <c r="H107" s="316" t="s">
        <v>2139</v>
      </c>
      <c r="I107" s="316"/>
      <c r="J107" s="316" t="s">
        <v>2140</v>
      </c>
      <c r="K107" s="316" t="s">
        <v>864</v>
      </c>
      <c r="L107" s="316" t="s">
        <v>1785</v>
      </c>
      <c r="M107" s="316"/>
      <c r="N107" s="316" t="s">
        <v>1785</v>
      </c>
      <c r="O107" s="316"/>
      <c r="P107" s="316"/>
      <c r="Q107" s="316"/>
      <c r="R107" s="316"/>
      <c r="S107" s="326" t="s">
        <v>817</v>
      </c>
      <c r="T107" s="316"/>
      <c r="U107" s="357" t="s">
        <v>817</v>
      </c>
      <c r="V107" s="316"/>
      <c r="W107" s="316"/>
      <c r="X107" s="316" t="s">
        <v>863</v>
      </c>
      <c r="Y107" s="316"/>
      <c r="Z107" s="316"/>
      <c r="AA107" s="316" t="s">
        <v>864</v>
      </c>
      <c r="AB107" s="316" t="s">
        <v>864</v>
      </c>
      <c r="AC107" s="320" t="s">
        <v>1725</v>
      </c>
      <c r="AD107" s="316"/>
      <c r="AE107" s="316"/>
      <c r="AF107" s="316"/>
      <c r="AG107" s="316"/>
      <c r="AH107" s="316">
        <v>1</v>
      </c>
      <c r="AI107" s="326" t="s">
        <v>817</v>
      </c>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0">
        <v>100</v>
      </c>
      <c r="B108" s="350"/>
      <c r="C108" s="350"/>
      <c r="D108" s="350" t="s">
        <v>2141</v>
      </c>
      <c r="E108" s="350"/>
      <c r="F108" s="350"/>
      <c r="G108" s="350"/>
      <c r="H108" s="322" t="s">
        <v>2142</v>
      </c>
      <c r="I108" s="322" t="s">
        <v>2143</v>
      </c>
      <c r="J108" s="322"/>
      <c r="K108" s="322"/>
      <c r="L108" s="322" t="s">
        <v>831</v>
      </c>
      <c r="M108" s="322"/>
      <c r="N108" s="322" t="s">
        <v>831</v>
      </c>
      <c r="O108" s="322"/>
      <c r="P108" s="322"/>
      <c r="Q108" s="322"/>
      <c r="R108" s="322"/>
      <c r="S108" s="332" t="s">
        <v>817</v>
      </c>
      <c r="T108" s="340"/>
      <c r="U108" s="356" t="s">
        <v>817</v>
      </c>
      <c r="V108" s="322"/>
      <c r="W108" s="322"/>
      <c r="X108" s="322" t="s">
        <v>863</v>
      </c>
      <c r="Y108" s="322"/>
      <c r="Z108" s="322"/>
      <c r="AA108" s="322" t="s">
        <v>864</v>
      </c>
      <c r="AB108" s="322" t="s">
        <v>864</v>
      </c>
      <c r="AC108" s="320" t="s">
        <v>1725</v>
      </c>
      <c r="AD108" s="322"/>
      <c r="AE108" s="322"/>
      <c r="AF108" s="322"/>
      <c r="AG108" s="322"/>
      <c r="AH108" s="322">
        <v>1</v>
      </c>
      <c r="AI108" s="332" t="s">
        <v>817</v>
      </c>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2">
        <v>101</v>
      </c>
      <c r="B109" s="352"/>
      <c r="C109" s="352"/>
      <c r="D109" s="352" t="s">
        <v>2144</v>
      </c>
      <c r="E109" s="353" t="s">
        <v>2081</v>
      </c>
      <c r="F109" s="352"/>
      <c r="G109" s="352"/>
      <c r="H109" s="316" t="s">
        <v>2145</v>
      </c>
      <c r="I109" s="316" t="s">
        <v>2146</v>
      </c>
      <c r="J109" s="337"/>
      <c r="K109" s="316" t="s">
        <v>864</v>
      </c>
      <c r="L109" s="316" t="s">
        <v>1981</v>
      </c>
      <c r="M109" s="316"/>
      <c r="N109" s="316" t="s">
        <v>1981</v>
      </c>
      <c r="O109" s="316"/>
      <c r="P109" s="316"/>
      <c r="Q109" s="316"/>
      <c r="R109" s="316"/>
      <c r="S109" s="343" t="s">
        <v>823</v>
      </c>
      <c r="T109" s="316"/>
      <c r="U109" s="349" t="s">
        <v>823</v>
      </c>
      <c r="V109" s="316"/>
      <c r="W109" s="316" t="s">
        <v>864</v>
      </c>
      <c r="X109" s="316" t="s">
        <v>1982</v>
      </c>
      <c r="Y109" s="316"/>
      <c r="Z109" s="316"/>
      <c r="AA109" s="316" t="s">
        <v>864</v>
      </c>
      <c r="AB109" s="316" t="s">
        <v>864</v>
      </c>
      <c r="AC109" s="320" t="s">
        <v>1725</v>
      </c>
      <c r="AD109" s="316"/>
      <c r="AE109" s="316"/>
      <c r="AF109" s="316"/>
      <c r="AG109" s="316"/>
      <c r="AH109" s="316">
        <v>1</v>
      </c>
      <c r="AI109" s="343" t="s">
        <v>823</v>
      </c>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4">
        <v>102</v>
      </c>
      <c r="B110" s="344"/>
      <c r="C110" s="344" t="s">
        <v>2147</v>
      </c>
      <c r="D110" s="344"/>
      <c r="E110" s="344"/>
      <c r="F110" s="344"/>
      <c r="G110" s="344"/>
      <c r="H110" s="322" t="s">
        <v>2148</v>
      </c>
      <c r="I110" s="322" t="s">
        <v>2149</v>
      </c>
      <c r="J110" s="322">
        <v>1</v>
      </c>
      <c r="K110" s="322"/>
      <c r="L110" s="322" t="s">
        <v>2150</v>
      </c>
      <c r="M110" s="322"/>
      <c r="N110" s="322" t="s">
        <v>2150</v>
      </c>
      <c r="O110" s="322"/>
      <c r="P110" s="322"/>
      <c r="Q110" s="322"/>
      <c r="R110" s="322"/>
      <c r="S110" s="332" t="s">
        <v>817</v>
      </c>
      <c r="T110" s="322"/>
      <c r="U110" s="356" t="s">
        <v>817</v>
      </c>
      <c r="V110" s="322"/>
      <c r="W110" s="322"/>
      <c r="X110" s="322" t="s">
        <v>1092</v>
      </c>
      <c r="Y110" s="322"/>
      <c r="Z110" s="322"/>
      <c r="AA110" s="322" t="s">
        <v>864</v>
      </c>
      <c r="AB110" s="322" t="s">
        <v>864</v>
      </c>
      <c r="AC110" s="331" t="s">
        <v>1725</v>
      </c>
      <c r="AD110" s="322"/>
      <c r="AE110" s="322"/>
      <c r="AF110" s="322"/>
      <c r="AG110" s="322"/>
      <c r="AH110" s="322"/>
      <c r="AI110" s="332" t="s">
        <v>817</v>
      </c>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1">
        <v>103</v>
      </c>
      <c r="B111" s="341"/>
      <c r="C111" s="341" t="s">
        <v>2151</v>
      </c>
      <c r="D111" s="345"/>
      <c r="E111" s="341"/>
      <c r="F111" s="341"/>
      <c r="G111" s="341"/>
      <c r="H111" s="316" t="s">
        <v>2152</v>
      </c>
      <c r="I111" s="316" t="s">
        <v>2153</v>
      </c>
      <c r="J111" s="316"/>
      <c r="K111" s="316"/>
      <c r="L111" s="316" t="s">
        <v>2154</v>
      </c>
      <c r="M111" s="316"/>
      <c r="N111" s="316" t="s">
        <v>2154</v>
      </c>
      <c r="O111" s="316"/>
      <c r="P111" s="316"/>
      <c r="Q111" s="316"/>
      <c r="R111" s="316"/>
      <c r="S111" s="326" t="s">
        <v>817</v>
      </c>
      <c r="T111" s="316"/>
      <c r="U111" s="357" t="s">
        <v>817</v>
      </c>
      <c r="V111" s="316"/>
      <c r="W111" s="316"/>
      <c r="X111" s="316" t="s">
        <v>863</v>
      </c>
      <c r="Y111" s="316"/>
      <c r="Z111" s="316" t="s">
        <v>2155</v>
      </c>
      <c r="AA111" s="316" t="s">
        <v>864</v>
      </c>
      <c r="AB111" s="316" t="s">
        <v>864</v>
      </c>
      <c r="AC111" s="320" t="s">
        <v>1725</v>
      </c>
      <c r="AD111" s="316"/>
      <c r="AE111" s="316"/>
      <c r="AF111" s="316"/>
      <c r="AG111" s="316"/>
      <c r="AH111" s="316"/>
      <c r="AI111" s="326" t="s">
        <v>817</v>
      </c>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0">
        <v>104</v>
      </c>
      <c r="B112" s="350"/>
      <c r="C112" s="350" t="s">
        <v>2156</v>
      </c>
      <c r="D112" s="350"/>
      <c r="E112" s="350"/>
      <c r="F112" s="350"/>
      <c r="G112" s="350"/>
      <c r="H112" s="322" t="s">
        <v>2157</v>
      </c>
      <c r="I112" s="322" t="s">
        <v>2158</v>
      </c>
      <c r="J112" s="322" t="s">
        <v>2159</v>
      </c>
      <c r="K112" s="322" t="s">
        <v>864</v>
      </c>
      <c r="L112" s="322" t="s">
        <v>1895</v>
      </c>
      <c r="M112" s="322"/>
      <c r="N112" s="322" t="s">
        <v>1895</v>
      </c>
      <c r="O112" s="322"/>
      <c r="P112" s="322"/>
      <c r="Q112" s="322"/>
      <c r="R112" s="322"/>
      <c r="S112" s="332" t="s">
        <v>817</v>
      </c>
      <c r="T112" s="322"/>
      <c r="U112" s="356" t="s">
        <v>817</v>
      </c>
      <c r="V112" s="322"/>
      <c r="W112" s="322"/>
      <c r="X112" s="322" t="s">
        <v>863</v>
      </c>
      <c r="Y112" s="322"/>
      <c r="Z112" s="322" t="s">
        <v>2160</v>
      </c>
      <c r="AA112" s="322" t="s">
        <v>864</v>
      </c>
      <c r="AB112" s="322" t="s">
        <v>864</v>
      </c>
      <c r="AC112" s="320" t="s">
        <v>1725</v>
      </c>
      <c r="AD112" s="322"/>
      <c r="AE112" s="322"/>
      <c r="AF112" s="322"/>
      <c r="AG112" s="322"/>
      <c r="AH112" s="322">
        <v>1</v>
      </c>
      <c r="AI112" s="324" t="s">
        <v>820</v>
      </c>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1">
        <v>105</v>
      </c>
      <c r="B113" s="341"/>
      <c r="C113" s="341" t="s">
        <v>2161</v>
      </c>
      <c r="D113" s="341"/>
      <c r="E113" s="341"/>
      <c r="F113" s="341"/>
      <c r="G113" s="341"/>
      <c r="H113" s="316" t="s">
        <v>2162</v>
      </c>
      <c r="I113" s="316" t="s">
        <v>2163</v>
      </c>
      <c r="J113" s="316" t="s">
        <v>1282</v>
      </c>
      <c r="K113" s="316"/>
      <c r="L113" s="316" t="s">
        <v>2164</v>
      </c>
      <c r="M113" s="316"/>
      <c r="N113" s="316" t="s">
        <v>2164</v>
      </c>
      <c r="O113" s="316"/>
      <c r="P113" s="316"/>
      <c r="Q113" s="316"/>
      <c r="R113" s="316"/>
      <c r="S113" s="326" t="s">
        <v>817</v>
      </c>
      <c r="T113" s="348"/>
      <c r="U113" s="357" t="s">
        <v>817</v>
      </c>
      <c r="V113" s="316"/>
      <c r="W113" s="316"/>
      <c r="X113" s="316" t="s">
        <v>863</v>
      </c>
      <c r="Y113" s="316"/>
      <c r="Z113" s="316"/>
      <c r="AA113" s="316" t="s">
        <v>864</v>
      </c>
      <c r="AB113" s="316" t="s">
        <v>864</v>
      </c>
      <c r="AC113" s="320" t="s">
        <v>1725</v>
      </c>
      <c r="AD113" s="316"/>
      <c r="AE113" s="316"/>
      <c r="AF113" s="316"/>
      <c r="AG113" s="316"/>
      <c r="AH113" s="316"/>
      <c r="AI113" s="326" t="s">
        <v>817</v>
      </c>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4">
        <v>106</v>
      </c>
      <c r="B114" s="344"/>
      <c r="C114" s="344" t="s">
        <v>2165</v>
      </c>
      <c r="D114" s="346"/>
      <c r="E114" s="346"/>
      <c r="F114" s="346"/>
      <c r="G114" s="346"/>
      <c r="H114" s="322" t="s">
        <v>2166</v>
      </c>
      <c r="I114" s="322" t="s">
        <v>2167</v>
      </c>
      <c r="J114" s="329"/>
      <c r="K114" s="322" t="s">
        <v>864</v>
      </c>
      <c r="L114" s="322" t="s">
        <v>2168</v>
      </c>
      <c r="M114" s="322"/>
      <c r="N114" s="322" t="s">
        <v>2168</v>
      </c>
      <c r="O114" s="322"/>
      <c r="P114" s="322"/>
      <c r="Q114" s="322"/>
      <c r="R114" s="322"/>
      <c r="S114" s="330" t="s">
        <v>823</v>
      </c>
      <c r="T114" s="322"/>
      <c r="U114" s="355" t="s">
        <v>823</v>
      </c>
      <c r="V114" s="322"/>
      <c r="W114" s="322" t="s">
        <v>864</v>
      </c>
      <c r="X114" s="322" t="s">
        <v>1264</v>
      </c>
      <c r="Y114" s="322"/>
      <c r="Z114" s="322"/>
      <c r="AA114" s="322" t="s">
        <v>864</v>
      </c>
      <c r="AB114" s="322" t="s">
        <v>864</v>
      </c>
      <c r="AC114" s="320" t="s">
        <v>1725</v>
      </c>
      <c r="AD114" s="322"/>
      <c r="AE114" s="322"/>
      <c r="AF114" s="322"/>
      <c r="AG114" s="322"/>
      <c r="AH114" s="322"/>
      <c r="AI114" s="330" t="s">
        <v>823</v>
      </c>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1">
        <v>107</v>
      </c>
      <c r="B115" s="341"/>
      <c r="C115" s="341"/>
      <c r="D115" s="341" t="s">
        <v>1666</v>
      </c>
      <c r="E115" s="341"/>
      <c r="F115" s="341"/>
      <c r="G115" s="341"/>
      <c r="H115" s="316" t="s">
        <v>2169</v>
      </c>
      <c r="I115" s="316" t="s">
        <v>2170</v>
      </c>
      <c r="J115" s="316" t="s">
        <v>1268</v>
      </c>
      <c r="K115" s="316" t="s">
        <v>864</v>
      </c>
      <c r="L115" s="316" t="s">
        <v>1813</v>
      </c>
      <c r="M115" s="316"/>
      <c r="N115" s="316" t="s">
        <v>1813</v>
      </c>
      <c r="O115" s="316"/>
      <c r="P115" s="316"/>
      <c r="Q115" s="316"/>
      <c r="R115" s="316"/>
      <c r="S115" s="319" t="s">
        <v>820</v>
      </c>
      <c r="T115" s="316"/>
      <c r="U115" s="358" t="s">
        <v>820</v>
      </c>
      <c r="V115" s="316"/>
      <c r="W115" s="316"/>
      <c r="X115" s="316" t="s">
        <v>863</v>
      </c>
      <c r="Y115" s="316"/>
      <c r="Z115" s="316" t="s">
        <v>1269</v>
      </c>
      <c r="AA115" s="316" t="s">
        <v>864</v>
      </c>
      <c r="AB115" s="316" t="s">
        <v>864</v>
      </c>
      <c r="AC115" s="331" t="s">
        <v>1725</v>
      </c>
      <c r="AD115" s="316"/>
      <c r="AE115" s="316"/>
      <c r="AF115" s="316"/>
      <c r="AG115" s="316"/>
      <c r="AH115" s="316"/>
      <c r="AI115" s="319" t="s">
        <v>820</v>
      </c>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4">
        <v>108</v>
      </c>
      <c r="B116" s="344"/>
      <c r="C116" s="344"/>
      <c r="D116" s="344" t="s">
        <v>2171</v>
      </c>
      <c r="E116" s="344"/>
      <c r="F116" s="344"/>
      <c r="G116" s="344"/>
      <c r="H116" s="322" t="s">
        <v>2172</v>
      </c>
      <c r="I116" s="322" t="s">
        <v>2173</v>
      </c>
      <c r="J116" s="375">
        <v>606070707</v>
      </c>
      <c r="K116" s="322" t="s">
        <v>864</v>
      </c>
      <c r="L116" s="322" t="s">
        <v>2174</v>
      </c>
      <c r="M116" s="322"/>
      <c r="N116" s="322" t="s">
        <v>2174</v>
      </c>
      <c r="O116" s="322"/>
      <c r="P116" s="322"/>
      <c r="Q116" s="322"/>
      <c r="R116" s="322"/>
      <c r="S116" s="324" t="s">
        <v>820</v>
      </c>
      <c r="T116" s="322"/>
      <c r="U116" s="351" t="s">
        <v>820</v>
      </c>
      <c r="V116" s="322"/>
      <c r="W116" s="322"/>
      <c r="X116" s="322" t="s">
        <v>863</v>
      </c>
      <c r="Y116" s="322"/>
      <c r="Z116" s="322"/>
      <c r="AA116" s="322" t="s">
        <v>864</v>
      </c>
      <c r="AB116" s="322" t="s">
        <v>864</v>
      </c>
      <c r="AC116" s="320" t="s">
        <v>1725</v>
      </c>
      <c r="AD116" s="322"/>
      <c r="AE116" s="322"/>
      <c r="AF116" s="322"/>
      <c r="AG116" s="322"/>
      <c r="AH116" s="322"/>
      <c r="AI116" s="324" t="s">
        <v>820</v>
      </c>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59">
        <f>COUNTA(A9:A116)</f>
        <v>108</v>
      </c>
      <c r="B117" s="359">
        <f t="shared" ref="B117:G117" si="0">COUNTA(B9:B116)</f>
        <v>4</v>
      </c>
      <c r="C117" s="359">
        <f t="shared" si="0"/>
        <v>54</v>
      </c>
      <c r="D117" s="359">
        <f t="shared" si="0"/>
        <v>41</v>
      </c>
      <c r="E117" s="359">
        <f t="shared" si="0"/>
        <v>8</v>
      </c>
      <c r="F117" s="359">
        <f t="shared" si="0"/>
        <v>3</v>
      </c>
      <c r="G117" s="359">
        <f t="shared" si="0"/>
        <v>0</v>
      </c>
      <c r="H117" s="360"/>
      <c r="I117" s="360"/>
      <c r="J117" s="360"/>
      <c r="K117" s="360"/>
      <c r="L117" s="360"/>
      <c r="M117" s="360"/>
      <c r="N117" s="360"/>
      <c r="O117" s="360"/>
      <c r="P117" s="360"/>
      <c r="Q117" s="360"/>
      <c r="R117" s="360"/>
      <c r="S117" s="360"/>
      <c r="T117" s="360"/>
      <c r="U117" s="360"/>
      <c r="V117" s="360"/>
      <c r="W117" s="360">
        <v>21</v>
      </c>
      <c r="X117" s="360">
        <v>128</v>
      </c>
      <c r="Y117" s="360"/>
      <c r="Z117" s="360"/>
      <c r="AA117" s="360"/>
      <c r="AB117" s="360"/>
      <c r="AC117" s="361" t="s">
        <v>1725</v>
      </c>
      <c r="AD117" s="360">
        <v>11</v>
      </c>
      <c r="AE117" s="360">
        <v>1</v>
      </c>
      <c r="AF117" s="360">
        <v>0</v>
      </c>
      <c r="AG117" s="360">
        <v>82</v>
      </c>
      <c r="AH117" s="360">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2"/>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ht="15">
      <c r="A119" s="129"/>
      <c r="B119" s="363"/>
      <c r="C119" s="363"/>
      <c r="D119" s="363"/>
      <c r="E119" s="363"/>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2"/>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2"/>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2"/>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2"/>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2"/>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ht="15">
      <c r="A124" s="128"/>
      <c r="B124" s="128"/>
      <c r="C124" s="128"/>
      <c r="D124" s="128"/>
      <c r="E124" s="128"/>
      <c r="F124" s="128"/>
      <c r="G124" s="128"/>
      <c r="H124" s="128"/>
      <c r="I124" s="128"/>
      <c r="J124" s="128"/>
      <c r="K124" s="128"/>
      <c r="L124" s="128"/>
      <c r="M124" s="128"/>
      <c r="N124" s="128"/>
      <c r="P124" s="128"/>
      <c r="Q124" s="128"/>
      <c r="R124" s="128"/>
      <c r="S124" s="128"/>
      <c r="AC124" s="362"/>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ht="15">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2"/>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ht="15">
      <c r="A126" s="117"/>
      <c r="B126" s="117"/>
      <c r="C126" s="117"/>
      <c r="D126" s="117"/>
      <c r="E126" s="117"/>
      <c r="F126" s="117"/>
      <c r="G126" s="117"/>
      <c r="H126" s="117"/>
      <c r="I126" s="117"/>
      <c r="J126" s="117"/>
      <c r="K126" s="117"/>
      <c r="L126" s="117"/>
      <c r="M126" s="117"/>
      <c r="N126" s="117"/>
      <c r="P126" s="117"/>
      <c r="Q126" s="117"/>
      <c r="R126" s="117"/>
      <c r="S126" s="117"/>
      <c r="AC126" s="362"/>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ht="15">
      <c r="A127" s="128"/>
      <c r="B127" s="128"/>
      <c r="C127" s="128"/>
      <c r="D127" s="128"/>
      <c r="E127" s="128"/>
      <c r="F127" s="96"/>
      <c r="G127" s="96"/>
      <c r="H127" s="96"/>
      <c r="I127" s="96"/>
      <c r="J127" s="96"/>
      <c r="K127" s="96"/>
      <c r="L127" s="96"/>
      <c r="M127" s="96"/>
      <c r="N127" s="96"/>
      <c r="P127" s="96"/>
      <c r="Q127" s="96"/>
      <c r="R127" s="96"/>
      <c r="S127" s="96"/>
      <c r="AC127" s="362"/>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ht="15">
      <c r="A128" s="128"/>
      <c r="B128" s="128"/>
      <c r="C128" s="128"/>
      <c r="D128" s="128"/>
      <c r="E128" s="128"/>
      <c r="F128" s="96"/>
      <c r="G128" s="96"/>
      <c r="H128" s="96"/>
      <c r="I128" s="96"/>
      <c r="J128" s="96"/>
      <c r="K128" s="96"/>
      <c r="L128" s="96"/>
      <c r="M128" s="96"/>
      <c r="N128" s="96"/>
      <c r="P128" s="96"/>
      <c r="Q128" s="96"/>
      <c r="R128" s="96"/>
      <c r="S128" s="96"/>
      <c r="AC128" s="362"/>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ht="15">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ht="15">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ht="15">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ht="15">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ht="15">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ht="15">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ht="15">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ht="15">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ht="15">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ht="15">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ht="15">
      <c r="A139" s="130"/>
      <c r="B139" s="364"/>
      <c r="C139" s="364"/>
      <c r="D139" s="364"/>
      <c r="E139" s="364"/>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ht="15">
      <c r="A140" s="365"/>
      <c r="B140" s="366"/>
      <c r="C140" s="366"/>
      <c r="D140" s="366"/>
      <c r="E140" s="366"/>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ht="15">
      <c r="A141" s="365"/>
      <c r="B141" s="366"/>
      <c r="C141" s="366"/>
      <c r="D141" s="366"/>
      <c r="E141" s="366"/>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ht="15">
      <c r="A142" s="365"/>
      <c r="B142" s="366"/>
      <c r="C142" s="366"/>
      <c r="D142" s="366"/>
      <c r="E142" s="366"/>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ht="15">
      <c r="A143" s="365"/>
      <c r="B143" s="366"/>
      <c r="C143" s="366"/>
      <c r="D143" s="366"/>
      <c r="E143" s="366"/>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ht="15">
      <c r="A144" s="365"/>
      <c r="B144" s="366"/>
      <c r="C144" s="366"/>
      <c r="D144" s="366"/>
      <c r="E144" s="366"/>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ht="15">
      <c r="A145" s="365"/>
      <c r="B145" s="366"/>
      <c r="C145" s="366"/>
      <c r="D145" s="366"/>
      <c r="E145" s="366"/>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ht="15">
      <c r="A146" s="365"/>
      <c r="B146" s="366"/>
      <c r="C146" s="366"/>
      <c r="D146" s="366"/>
      <c r="E146" s="366"/>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ht="15">
      <c r="A147" s="367"/>
      <c r="B147" s="368"/>
      <c r="C147" s="368"/>
      <c r="D147" s="368"/>
      <c r="E147" s="368"/>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ht="15">
      <c r="A148" s="367"/>
      <c r="B148" s="368"/>
      <c r="C148" s="368"/>
      <c r="D148" s="368"/>
      <c r="E148" s="368"/>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ht="15">
      <c r="A149" s="367"/>
      <c r="B149" s="368"/>
      <c r="C149" s="368"/>
      <c r="D149" s="368"/>
      <c r="E149" s="368"/>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ht="15">
      <c r="A150" s="367"/>
      <c r="B150" s="368"/>
      <c r="C150" s="368"/>
      <c r="D150" s="368"/>
      <c r="E150" s="368"/>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ht="15">
      <c r="A151" s="367"/>
      <c r="B151" s="368"/>
      <c r="C151" s="368"/>
      <c r="D151" s="368"/>
      <c r="E151" s="368"/>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ht="15">
      <c r="A152" s="367"/>
      <c r="B152" s="368"/>
      <c r="C152" s="368"/>
      <c r="D152" s="368"/>
      <c r="E152" s="368"/>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ht="15">
      <c r="A153" s="367"/>
      <c r="B153" s="368"/>
      <c r="C153" s="368"/>
      <c r="D153" s="368"/>
      <c r="E153" s="368"/>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ht="15">
      <c r="A154" s="367"/>
      <c r="B154" s="368"/>
      <c r="C154" s="368"/>
      <c r="D154" s="368"/>
      <c r="E154" s="368"/>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ht="15">
      <c r="A155" s="365"/>
      <c r="B155" s="366"/>
      <c r="C155" s="366"/>
      <c r="D155" s="366"/>
      <c r="E155" s="366"/>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ht="15">
      <c r="A156" s="369"/>
      <c r="B156" s="370"/>
      <c r="C156" s="370"/>
      <c r="D156" s="370"/>
      <c r="E156" s="370"/>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ht="15">
      <c r="A157" s="369"/>
      <c r="B157" s="370"/>
      <c r="C157" s="370"/>
      <c r="D157" s="370"/>
      <c r="E157" s="370"/>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ht="15">
      <c r="A158" s="369"/>
      <c r="B158" s="370"/>
      <c r="C158" s="370"/>
      <c r="D158" s="370"/>
      <c r="E158" s="370"/>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ht="15">
      <c r="A159" s="369"/>
      <c r="B159" s="370"/>
      <c r="C159" s="370"/>
      <c r="D159" s="370"/>
      <c r="E159" s="370"/>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ht="15">
      <c r="A160" s="369"/>
      <c r="B160" s="370"/>
      <c r="C160" s="370"/>
      <c r="D160" s="370"/>
      <c r="E160" s="370"/>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ht="15">
      <c r="A161" s="369"/>
      <c r="B161" s="370"/>
      <c r="C161" s="370"/>
      <c r="D161" s="370"/>
      <c r="E161" s="370"/>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ht="15">
      <c r="A162" s="369"/>
      <c r="B162" s="370"/>
      <c r="C162" s="370"/>
      <c r="D162" s="370"/>
      <c r="E162" s="370"/>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ht="15">
      <c r="A163" s="365"/>
      <c r="B163" s="366"/>
      <c r="C163" s="366"/>
      <c r="D163" s="366"/>
      <c r="E163" s="366"/>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ht="15">
      <c r="A164" s="365"/>
      <c r="B164" s="366"/>
      <c r="C164" s="366"/>
      <c r="D164" s="366"/>
      <c r="E164" s="366"/>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ht="15">
      <c r="A165" s="365"/>
      <c r="B165" s="366"/>
      <c r="C165" s="366"/>
      <c r="D165" s="366"/>
      <c r="E165" s="366"/>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ht="15">
      <c r="A166" s="136"/>
      <c r="B166" s="371"/>
      <c r="C166" s="371"/>
      <c r="D166" s="371"/>
      <c r="E166" s="371"/>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ht="15">
      <c r="A167" s="136"/>
      <c r="B167" s="371"/>
      <c r="C167" s="371"/>
      <c r="D167" s="371"/>
      <c r="E167" s="371"/>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3">
    <mergeCell ref="H1:L2"/>
    <mergeCell ref="O7:R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sheetPr>
    <tabColor theme="4" tint="0.79998168889431442"/>
  </sheetPr>
  <dimension ref="A1:ALU98"/>
  <sheetViews>
    <sheetView zoomScaleNormal="100" workbookViewId="0">
      <pane xSplit="7" ySplit="8" topLeftCell="I9" activePane="bottomRight" state="frozen"/>
      <selection pane="topRight" activeCell="H1" sqref="H1"/>
      <selection pane="bottomLeft" activeCell="A9" sqref="A9"/>
      <selection pane="bottomRight" activeCell="D14" sqref="D14"/>
    </sheetView>
  </sheetViews>
  <sheetFormatPr baseColWidth="10" defaultColWidth="9.5" defaultRowHeight="12" customHeight="1"/>
  <cols>
    <col min="1" max="1" width="6" style="128" customWidth="1"/>
    <col min="2" max="2" width="21.1640625" style="128" customWidth="1"/>
    <col min="3" max="3" width="29.33203125" style="128" customWidth="1"/>
    <col min="4" max="4" width="27.33203125" style="128" customWidth="1"/>
    <col min="5" max="5" width="9.1640625" style="128" customWidth="1"/>
    <col min="6" max="6" width="8.6640625" style="128" customWidth="1"/>
    <col min="7" max="7" width="9.1640625" style="96" customWidth="1"/>
    <col min="8" max="8" width="63.83203125" style="96" customWidth="1"/>
    <col min="9" max="9" width="38.6640625" style="225" customWidth="1"/>
    <col min="10" max="10" width="17.83203125" style="159" hidden="1" customWidth="1"/>
    <col min="11" max="11" width="12.1640625" style="96" customWidth="1"/>
    <col min="12" max="12" width="6" style="173" customWidth="1"/>
    <col min="13" max="13" width="10.1640625" style="277" customWidth="1"/>
    <col min="14" max="14" width="12.6640625" style="277" customWidth="1"/>
    <col min="15" max="15" width="28.1640625" style="96" customWidth="1"/>
    <col min="16" max="16" width="8.83203125" style="96" customWidth="1"/>
    <col min="17" max="17" width="9.5" style="96" hidden="1" customWidth="1"/>
    <col min="18" max="18" width="10.6640625" customWidth="1"/>
    <col min="19" max="19" width="4" style="179" customWidth="1"/>
    <col min="20" max="20" width="16.33203125" style="96" customWidth="1"/>
    <col min="21" max="21" width="13.33203125" style="159" customWidth="1"/>
    <col min="22" max="22" width="12.83203125" style="96" customWidth="1"/>
    <col min="23" max="23" width="11.1640625" style="96" customWidth="1"/>
    <col min="25" max="1005" width="9.5" style="128"/>
    <col min="1006" max="1006" width="9" style="128" customWidth="1"/>
    <col min="1007" max="1008" width="9" customWidth="1"/>
  </cols>
  <sheetData>
    <row r="1" spans="1:1006" ht="13.5" customHeight="1">
      <c r="A1" s="228" t="s">
        <v>2175</v>
      </c>
      <c r="C1" s="130"/>
      <c r="F1" s="157"/>
      <c r="G1" s="128"/>
      <c r="H1" s="801"/>
      <c r="I1" s="801"/>
      <c r="X1" s="128"/>
      <c r="ALR1"/>
    </row>
    <row r="2" spans="1:1006" ht="13.5" customHeight="1">
      <c r="C2" s="141"/>
      <c r="D2" s="284"/>
      <c r="E2" s="157"/>
      <c r="F2" s="157"/>
      <c r="G2" s="128"/>
      <c r="H2" s="801"/>
      <c r="I2" s="801"/>
      <c r="X2" s="128"/>
      <c r="ALR2"/>
    </row>
    <row r="3" spans="1:1006" ht="13.5" customHeight="1">
      <c r="A3" s="128" t="s">
        <v>851</v>
      </c>
      <c r="B3" s="128" t="s">
        <v>2176</v>
      </c>
      <c r="C3" s="142"/>
      <c r="E3" s="157"/>
      <c r="G3" s="128"/>
      <c r="X3" s="128"/>
      <c r="ALR3"/>
    </row>
    <row r="4" spans="1:1006" ht="13.5" customHeight="1">
      <c r="C4" s="128" t="s">
        <v>2177</v>
      </c>
      <c r="G4" s="137"/>
      <c r="X4" s="128"/>
      <c r="ALR4"/>
    </row>
    <row r="5" spans="1:1006" s="149" customFormat="1" ht="13.5" customHeight="1">
      <c r="A5" s="128"/>
      <c r="B5" s="128" t="s">
        <v>2178</v>
      </c>
      <c r="D5" s="146"/>
      <c r="E5" s="128"/>
      <c r="F5" s="146"/>
      <c r="G5" s="148"/>
      <c r="H5" s="148"/>
      <c r="I5" s="275"/>
      <c r="J5" s="160"/>
      <c r="K5" s="148"/>
      <c r="L5" s="186"/>
      <c r="M5" s="279"/>
      <c r="N5" s="279"/>
      <c r="O5" s="148"/>
      <c r="P5" s="148"/>
      <c r="Q5" s="148"/>
      <c r="R5"/>
      <c r="S5" s="181"/>
      <c r="T5" s="148"/>
      <c r="U5" s="160"/>
      <c r="V5" s="148"/>
      <c r="W5" s="148"/>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row>
    <row r="6" spans="1:1006" ht="13.5" customHeight="1">
      <c r="C6" s="128" t="s">
        <v>2179</v>
      </c>
      <c r="D6" s="138"/>
      <c r="E6" s="146"/>
      <c r="F6" s="138"/>
      <c r="X6" s="128"/>
      <c r="ALR6"/>
    </row>
    <row r="7" spans="1:1006" ht="13.5" customHeight="1">
      <c r="A7"/>
      <c r="B7"/>
      <c r="C7" s="138"/>
      <c r="D7" s="377"/>
      <c r="E7" s="138"/>
      <c r="F7" s="138"/>
      <c r="Q7" s="702" t="s">
        <v>829</v>
      </c>
      <c r="R7" s="702" t="s">
        <v>829</v>
      </c>
      <c r="W7" s="649" t="s">
        <v>685</v>
      </c>
      <c r="X7" s="128"/>
      <c r="ALR7"/>
    </row>
    <row r="8" spans="1:1006" s="238" customFormat="1" ht="55.5" customHeight="1">
      <c r="A8" s="233" t="s">
        <v>831</v>
      </c>
      <c r="B8" s="381" t="s">
        <v>832</v>
      </c>
      <c r="C8" s="278" t="s">
        <v>833</v>
      </c>
      <c r="D8" s="278" t="s">
        <v>834</v>
      </c>
      <c r="E8" s="278" t="s">
        <v>835</v>
      </c>
      <c r="F8" s="278" t="s">
        <v>836</v>
      </c>
      <c r="G8" s="278" t="s">
        <v>837</v>
      </c>
      <c r="H8" s="234" t="s">
        <v>9</v>
      </c>
      <c r="I8" s="234" t="s">
        <v>838</v>
      </c>
      <c r="J8" s="234" t="s">
        <v>841</v>
      </c>
      <c r="K8" s="234" t="s">
        <v>842</v>
      </c>
      <c r="L8" s="234" t="s">
        <v>677</v>
      </c>
      <c r="M8" s="234" t="s">
        <v>3</v>
      </c>
      <c r="N8" s="234" t="s">
        <v>913</v>
      </c>
      <c r="O8" s="283" t="s">
        <v>914</v>
      </c>
      <c r="P8" s="234" t="s">
        <v>849</v>
      </c>
      <c r="Q8" s="229" t="s">
        <v>850</v>
      </c>
      <c r="R8" s="229" t="s">
        <v>851</v>
      </c>
      <c r="S8" s="230" t="s">
        <v>852</v>
      </c>
      <c r="T8" s="235" t="s">
        <v>853</v>
      </c>
      <c r="U8" s="235" t="s">
        <v>854</v>
      </c>
      <c r="V8" s="236" t="s">
        <v>855</v>
      </c>
      <c r="W8" s="235" t="s">
        <v>856</v>
      </c>
      <c r="X8" s="237" t="s">
        <v>915</v>
      </c>
    </row>
    <row r="9" spans="1:1006" s="224" customFormat="1" ht="13.5" customHeight="1">
      <c r="A9" s="225">
        <v>1</v>
      </c>
      <c r="B9" s="217" t="s">
        <v>916</v>
      </c>
      <c r="C9" s="240"/>
      <c r="D9" s="727"/>
      <c r="E9" s="727"/>
      <c r="F9" s="727"/>
      <c r="G9" s="727"/>
      <c r="H9" s="728" t="s">
        <v>2180</v>
      </c>
      <c r="I9" s="316" t="s">
        <v>1612</v>
      </c>
      <c r="J9" s="672"/>
      <c r="K9" s="729" t="s">
        <v>919</v>
      </c>
      <c r="L9" s="728" t="s">
        <v>820</v>
      </c>
      <c r="M9" s="730"/>
      <c r="N9" s="728" t="s">
        <v>863</v>
      </c>
      <c r="O9" s="731"/>
      <c r="P9" s="728"/>
      <c r="Q9" s="732"/>
      <c r="R9" s="732" t="s">
        <v>864</v>
      </c>
      <c r="S9" s="232"/>
      <c r="T9" s="733"/>
      <c r="U9" s="728"/>
      <c r="V9" s="734"/>
      <c r="W9" s="728"/>
      <c r="X9" s="731"/>
    </row>
    <row r="10" spans="1:1006" s="517" customFormat="1" ht="13.5" hidden="1" customHeight="1">
      <c r="A10" s="225">
        <v>2</v>
      </c>
      <c r="B10" s="707" t="s">
        <v>2181</v>
      </c>
      <c r="C10" s="708"/>
      <c r="D10" s="709"/>
      <c r="E10" s="709"/>
      <c r="F10" s="709"/>
      <c r="G10" s="709"/>
      <c r="H10" s="385" t="s">
        <v>2182</v>
      </c>
      <c r="I10" s="710" t="s">
        <v>2183</v>
      </c>
      <c r="J10" s="711"/>
      <c r="K10" s="712" t="s">
        <v>2184</v>
      </c>
      <c r="L10" s="385" t="s">
        <v>820</v>
      </c>
      <c r="M10" s="713"/>
      <c r="N10" s="385" t="s">
        <v>863</v>
      </c>
      <c r="O10" s="714"/>
      <c r="P10" s="385"/>
      <c r="Q10" s="715"/>
      <c r="R10" s="715"/>
      <c r="S10" s="716"/>
      <c r="T10" s="717"/>
      <c r="U10" s="385"/>
      <c r="V10" s="718"/>
      <c r="W10" s="385"/>
      <c r="X10" s="714"/>
    </row>
    <row r="11" spans="1:1006" s="224" customFormat="1" ht="14.25" customHeight="1">
      <c r="A11" s="225">
        <v>3</v>
      </c>
      <c r="B11" s="217" t="s">
        <v>2062</v>
      </c>
      <c r="C11" s="240"/>
      <c r="D11" s="241"/>
      <c r="E11" s="241"/>
      <c r="F11" s="241"/>
      <c r="G11" s="241"/>
      <c r="H11" s="728" t="s">
        <v>2185</v>
      </c>
      <c r="I11" s="729"/>
      <c r="J11" s="729"/>
      <c r="K11" s="729" t="s">
        <v>2186</v>
      </c>
      <c r="L11" s="744" t="s">
        <v>893</v>
      </c>
      <c r="M11" s="730" t="s">
        <v>864</v>
      </c>
      <c r="N11" s="243" t="s">
        <v>1365</v>
      </c>
      <c r="O11" s="731"/>
      <c r="P11" s="728"/>
      <c r="Q11" s="732"/>
      <c r="R11" s="732" t="s">
        <v>864</v>
      </c>
      <c r="S11" s="232"/>
      <c r="T11" s="733"/>
      <c r="U11" s="728"/>
      <c r="V11" s="734"/>
      <c r="W11" s="728"/>
      <c r="X11" s="731"/>
    </row>
    <row r="12" spans="1:1006" s="224" customFormat="1" ht="14.25" customHeight="1">
      <c r="A12" s="225">
        <v>4</v>
      </c>
      <c r="B12" s="217"/>
      <c r="C12" s="727" t="s">
        <v>2187</v>
      </c>
      <c r="D12" s="241"/>
      <c r="E12" s="241"/>
      <c r="F12" s="241"/>
      <c r="G12" s="241"/>
      <c r="H12" s="728" t="s">
        <v>2188</v>
      </c>
      <c r="I12" s="729"/>
      <c r="J12" s="729"/>
      <c r="K12" s="729" t="s">
        <v>2189</v>
      </c>
      <c r="L12" s="728" t="s">
        <v>820</v>
      </c>
      <c r="M12" s="730"/>
      <c r="N12" s="728" t="s">
        <v>879</v>
      </c>
      <c r="O12" s="731"/>
      <c r="P12" s="728" t="s">
        <v>932</v>
      </c>
      <c r="Q12" s="732"/>
      <c r="R12" s="732" t="s">
        <v>864</v>
      </c>
      <c r="S12" s="232"/>
      <c r="T12" s="733"/>
      <c r="U12" s="728"/>
      <c r="V12" s="734"/>
      <c r="W12" s="728"/>
      <c r="X12" s="731"/>
    </row>
    <row r="13" spans="1:1006" s="224" customFormat="1" ht="14.25" hidden="1" customHeight="1">
      <c r="A13" s="225">
        <v>5</v>
      </c>
      <c r="B13" s="217"/>
      <c r="C13" s="727" t="s">
        <v>2190</v>
      </c>
      <c r="D13" s="241"/>
      <c r="E13" s="241"/>
      <c r="F13" s="241"/>
      <c r="G13" s="241"/>
      <c r="H13" s="728"/>
      <c r="I13" s="729"/>
      <c r="J13" s="225"/>
      <c r="K13" s="729"/>
      <c r="L13" s="728"/>
      <c r="M13" s="730"/>
      <c r="N13" s="728"/>
      <c r="O13" s="731"/>
      <c r="P13" s="728"/>
      <c r="Q13" s="732"/>
      <c r="R13" s="732"/>
      <c r="S13" s="232"/>
      <c r="T13" s="733"/>
      <c r="U13" s="728"/>
      <c r="V13" s="734"/>
      <c r="W13" s="728"/>
      <c r="X13" s="731"/>
    </row>
    <row r="14" spans="1:1006" s="158" customFormat="1" ht="13.5" customHeight="1">
      <c r="A14" s="225">
        <v>6</v>
      </c>
      <c r="B14" s="219"/>
      <c r="C14" s="219" t="s">
        <v>2191</v>
      </c>
      <c r="D14" s="219"/>
      <c r="E14" s="219"/>
      <c r="F14" s="219"/>
      <c r="G14" s="219"/>
      <c r="H14" s="263" t="s">
        <v>2192</v>
      </c>
      <c r="I14" s="264" t="s">
        <v>2193</v>
      </c>
      <c r="J14" s="264"/>
      <c r="K14" s="264" t="s">
        <v>2194</v>
      </c>
      <c r="L14" s="263" t="s">
        <v>820</v>
      </c>
      <c r="M14" s="265"/>
      <c r="N14" s="263" t="s">
        <v>863</v>
      </c>
      <c r="O14" s="268"/>
      <c r="P14" s="263"/>
      <c r="Q14" s="260"/>
      <c r="R14" s="260" t="s">
        <v>864</v>
      </c>
      <c r="S14" s="232"/>
      <c r="T14" s="266"/>
      <c r="U14" s="263"/>
      <c r="V14" s="261"/>
      <c r="W14" s="263"/>
      <c r="X14" s="268"/>
    </row>
    <row r="15" spans="1:1006" s="224" customFormat="1" ht="13.5" customHeight="1">
      <c r="A15" s="225">
        <v>2</v>
      </c>
      <c r="B15" s="217"/>
      <c r="C15" s="217" t="s">
        <v>2195</v>
      </c>
      <c r="D15" s="241"/>
      <c r="E15" s="241"/>
      <c r="F15" s="241"/>
      <c r="G15" s="241"/>
      <c r="H15" s="728" t="s">
        <v>2196</v>
      </c>
      <c r="I15" s="316" t="s">
        <v>2197</v>
      </c>
      <c r="J15" s="745"/>
      <c r="K15" s="729" t="s">
        <v>2198</v>
      </c>
      <c r="L15" s="728" t="s">
        <v>817</v>
      </c>
      <c r="M15" s="730"/>
      <c r="N15" s="728" t="s">
        <v>863</v>
      </c>
      <c r="O15" s="731"/>
      <c r="P15" s="728"/>
      <c r="Q15" s="732"/>
      <c r="R15" s="732" t="s">
        <v>864</v>
      </c>
      <c r="S15" s="232"/>
      <c r="T15" s="733"/>
      <c r="U15" s="728"/>
      <c r="V15" s="734"/>
      <c r="W15" s="728"/>
      <c r="X15" s="731"/>
    </row>
    <row r="16" spans="1:1006" s="158" customFormat="1" ht="13.5" customHeight="1">
      <c r="A16" s="225">
        <v>7</v>
      </c>
      <c r="B16" s="219"/>
      <c r="C16" s="219" t="s">
        <v>2199</v>
      </c>
      <c r="D16" s="219"/>
      <c r="E16" s="219"/>
      <c r="F16" s="219"/>
      <c r="G16" s="219"/>
      <c r="H16" s="263" t="s">
        <v>2200</v>
      </c>
      <c r="I16" s="219" t="s">
        <v>2201</v>
      </c>
      <c r="J16" s="264"/>
      <c r="K16" s="264" t="s">
        <v>2202</v>
      </c>
      <c r="L16" s="263" t="s">
        <v>817</v>
      </c>
      <c r="M16" s="265"/>
      <c r="N16" s="263" t="s">
        <v>863</v>
      </c>
      <c r="O16" s="268"/>
      <c r="P16" s="263"/>
      <c r="Q16" s="260"/>
      <c r="R16" s="260" t="s">
        <v>864</v>
      </c>
      <c r="S16" s="660"/>
      <c r="T16" s="266"/>
      <c r="U16" s="263"/>
      <c r="V16" s="261"/>
      <c r="W16" s="263"/>
      <c r="X16" s="268"/>
    </row>
    <row r="17" spans="1:24" s="158" customFormat="1" ht="13.5" customHeight="1">
      <c r="A17" s="225">
        <v>8</v>
      </c>
      <c r="B17" s="219"/>
      <c r="C17" s="219" t="s">
        <v>2203</v>
      </c>
      <c r="D17" s="219"/>
      <c r="E17" s="219"/>
      <c r="F17" s="219"/>
      <c r="G17" s="219"/>
      <c r="H17" s="263" t="s">
        <v>2204</v>
      </c>
      <c r="I17" s="264" t="s">
        <v>1341</v>
      </c>
      <c r="J17" s="264"/>
      <c r="K17" s="264" t="s">
        <v>2205</v>
      </c>
      <c r="L17" s="263" t="s">
        <v>817</v>
      </c>
      <c r="M17" s="265"/>
      <c r="N17" s="263" t="s">
        <v>863</v>
      </c>
      <c r="O17" s="268"/>
      <c r="P17" s="263"/>
      <c r="Q17" s="260"/>
      <c r="R17" s="260" t="s">
        <v>864</v>
      </c>
      <c r="S17" s="660"/>
      <c r="T17" s="266"/>
      <c r="U17" s="263"/>
      <c r="V17" s="261"/>
      <c r="W17" s="263"/>
      <c r="X17" s="268"/>
    </row>
    <row r="18" spans="1:24" s="224" customFormat="1" ht="13.5" customHeight="1">
      <c r="A18" s="225">
        <v>9</v>
      </c>
      <c r="B18" s="217"/>
      <c r="C18" s="241" t="s">
        <v>2206</v>
      </c>
      <c r="D18" s="241"/>
      <c r="E18" s="241"/>
      <c r="F18" s="241"/>
      <c r="G18" s="241"/>
      <c r="H18" s="728" t="s">
        <v>2207</v>
      </c>
      <c r="I18" s="729" t="s">
        <v>2208</v>
      </c>
      <c r="J18" s="729"/>
      <c r="K18" s="729" t="s">
        <v>2209</v>
      </c>
      <c r="L18" s="728" t="s">
        <v>817</v>
      </c>
      <c r="M18" s="730"/>
      <c r="N18" s="728" t="s">
        <v>863</v>
      </c>
      <c r="O18" s="731"/>
      <c r="P18" s="728"/>
      <c r="Q18" s="732"/>
      <c r="R18" s="732" t="s">
        <v>864</v>
      </c>
      <c r="S18" s="232"/>
      <c r="T18" s="733"/>
      <c r="U18" s="728"/>
      <c r="V18" s="734"/>
      <c r="W18" s="728"/>
      <c r="X18" s="731"/>
    </row>
    <row r="19" spans="1:24" s="224" customFormat="1" ht="13.5" customHeight="1">
      <c r="A19" s="225">
        <v>10</v>
      </c>
      <c r="B19" s="217"/>
      <c r="C19" s="241" t="s">
        <v>1699</v>
      </c>
      <c r="D19" s="241"/>
      <c r="E19" s="241"/>
      <c r="F19" s="241"/>
      <c r="G19" s="241"/>
      <c r="H19" s="728" t="s">
        <v>2210</v>
      </c>
      <c r="I19" s="720" t="s">
        <v>2211</v>
      </c>
      <c r="J19" s="729"/>
      <c r="K19" s="729" t="s">
        <v>1707</v>
      </c>
      <c r="L19" s="728" t="s">
        <v>820</v>
      </c>
      <c r="M19" s="730"/>
      <c r="N19" s="728" t="s">
        <v>863</v>
      </c>
      <c r="O19" s="731" t="s">
        <v>864</v>
      </c>
      <c r="P19" s="728" t="s">
        <v>1703</v>
      </c>
      <c r="Q19" s="732"/>
      <c r="R19" s="732" t="s">
        <v>864</v>
      </c>
      <c r="S19" s="232"/>
      <c r="T19" s="733" t="s">
        <v>2212</v>
      </c>
      <c r="U19" s="728"/>
      <c r="V19" s="734"/>
      <c r="W19" s="728"/>
      <c r="X19" s="731"/>
    </row>
    <row r="20" spans="1:24" s="224" customFormat="1" ht="13.5" customHeight="1">
      <c r="A20" s="225">
        <v>11</v>
      </c>
      <c r="B20" s="217"/>
      <c r="C20" s="719" t="s">
        <v>1704</v>
      </c>
      <c r="D20" s="241"/>
      <c r="E20" s="241"/>
      <c r="F20" s="241"/>
      <c r="G20" s="241"/>
      <c r="H20" s="728" t="s">
        <v>2213</v>
      </c>
      <c r="I20" s="729" t="s">
        <v>2214</v>
      </c>
      <c r="J20" s="225"/>
      <c r="K20" s="729" t="s">
        <v>2215</v>
      </c>
      <c r="L20" s="728" t="s">
        <v>817</v>
      </c>
      <c r="M20" s="730"/>
      <c r="N20" s="728" t="s">
        <v>863</v>
      </c>
      <c r="O20" s="731" t="s">
        <v>864</v>
      </c>
      <c r="P20" s="728" t="s">
        <v>1708</v>
      </c>
      <c r="Q20" s="732"/>
      <c r="R20" s="732" t="s">
        <v>864</v>
      </c>
      <c r="S20" s="232"/>
      <c r="T20" s="733" t="s">
        <v>2216</v>
      </c>
      <c r="U20" s="728" t="s">
        <v>2217</v>
      </c>
      <c r="V20" s="734"/>
      <c r="W20" s="728"/>
      <c r="X20" s="731"/>
    </row>
    <row r="21" spans="1:24" s="224" customFormat="1" ht="13.5" customHeight="1">
      <c r="A21" s="225">
        <v>12</v>
      </c>
      <c r="B21" s="217"/>
      <c r="C21" s="727" t="s">
        <v>2218</v>
      </c>
      <c r="D21" s="241"/>
      <c r="E21" s="241"/>
      <c r="F21" s="241"/>
      <c r="G21" s="241"/>
      <c r="H21" s="728" t="s">
        <v>2219</v>
      </c>
      <c r="I21" s="729"/>
      <c r="J21" s="729"/>
      <c r="K21" s="729" t="s">
        <v>2220</v>
      </c>
      <c r="L21" s="728" t="s">
        <v>817</v>
      </c>
      <c r="M21" s="730"/>
      <c r="N21" s="728" t="s">
        <v>863</v>
      </c>
      <c r="O21" s="731"/>
      <c r="P21" s="728"/>
      <c r="Q21" s="732"/>
      <c r="R21" s="732" t="s">
        <v>864</v>
      </c>
      <c r="S21" s="232"/>
      <c r="T21" s="733"/>
      <c r="U21" s="728"/>
      <c r="V21" s="734"/>
      <c r="W21" s="728"/>
      <c r="X21" s="731"/>
    </row>
    <row r="22" spans="1:24" s="224" customFormat="1" ht="13.5" customHeight="1">
      <c r="A22" s="225">
        <v>13</v>
      </c>
      <c r="B22" s="217"/>
      <c r="C22" s="241" t="s">
        <v>1104</v>
      </c>
      <c r="D22" s="241"/>
      <c r="E22" s="241"/>
      <c r="F22" s="241"/>
      <c r="G22" s="241"/>
      <c r="H22" s="263" t="s">
        <v>2221</v>
      </c>
      <c r="I22" s="729" t="s">
        <v>2222</v>
      </c>
      <c r="J22" s="729"/>
      <c r="K22" s="729" t="s">
        <v>871</v>
      </c>
      <c r="L22" s="728" t="s">
        <v>817</v>
      </c>
      <c r="M22" s="730"/>
      <c r="N22" s="728" t="s">
        <v>863</v>
      </c>
      <c r="O22" s="731"/>
      <c r="P22" s="728"/>
      <c r="Q22" s="732"/>
      <c r="R22" s="732" t="s">
        <v>864</v>
      </c>
      <c r="S22" s="232"/>
      <c r="T22" s="733"/>
      <c r="U22" s="728"/>
      <c r="V22" s="734"/>
      <c r="W22" s="728"/>
      <c r="X22" s="731"/>
    </row>
    <row r="23" spans="1:24" s="224" customFormat="1" ht="13.5" hidden="1" customHeight="1">
      <c r="A23" s="225">
        <v>14</v>
      </c>
      <c r="B23" s="217"/>
      <c r="C23" s="719" t="s">
        <v>2223</v>
      </c>
      <c r="D23" s="241"/>
      <c r="E23" s="241"/>
      <c r="F23" s="241"/>
      <c r="G23" s="241"/>
      <c r="H23" s="728"/>
      <c r="I23" s="729"/>
      <c r="J23" s="729"/>
      <c r="K23" s="729" t="s">
        <v>2224</v>
      </c>
      <c r="L23" s="728" t="s">
        <v>817</v>
      </c>
      <c r="M23" s="730"/>
      <c r="N23" s="728" t="s">
        <v>863</v>
      </c>
      <c r="O23" s="731"/>
      <c r="P23" s="728"/>
      <c r="Q23" s="732"/>
      <c r="R23" s="732"/>
      <c r="S23" s="232"/>
      <c r="T23" s="733" t="s">
        <v>2225</v>
      </c>
      <c r="U23" s="728"/>
      <c r="V23" s="734"/>
      <c r="W23" s="728"/>
      <c r="X23" s="731"/>
    </row>
    <row r="24" spans="1:24" s="224" customFormat="1" ht="13.5" customHeight="1">
      <c r="A24" s="225">
        <v>15</v>
      </c>
      <c r="B24" s="217"/>
      <c r="C24" s="241" t="s">
        <v>2226</v>
      </c>
      <c r="D24" s="241"/>
      <c r="E24" s="241"/>
      <c r="F24" s="241"/>
      <c r="G24" s="241"/>
      <c r="H24" s="728" t="s">
        <v>2227</v>
      </c>
      <c r="I24" s="729">
        <v>44109</v>
      </c>
      <c r="J24" s="729"/>
      <c r="K24" s="264" t="s">
        <v>2228</v>
      </c>
      <c r="L24" s="728" t="s">
        <v>817</v>
      </c>
      <c r="M24" s="730"/>
      <c r="N24" s="728" t="s">
        <v>863</v>
      </c>
      <c r="O24" s="731"/>
      <c r="P24" s="728" t="s">
        <v>1116</v>
      </c>
      <c r="Q24" s="732"/>
      <c r="R24" s="732" t="s">
        <v>864</v>
      </c>
      <c r="S24" s="232"/>
      <c r="T24" s="733"/>
      <c r="U24" s="728"/>
      <c r="V24" s="734"/>
      <c r="W24" s="728"/>
      <c r="X24" s="731"/>
    </row>
    <row r="25" spans="1:24" s="224" customFormat="1" ht="13.5" hidden="1" customHeight="1">
      <c r="A25" s="225">
        <v>16</v>
      </c>
      <c r="B25" s="217"/>
      <c r="C25" s="241" t="s">
        <v>2229</v>
      </c>
      <c r="D25" s="241"/>
      <c r="E25" s="241"/>
      <c r="F25" s="241"/>
      <c r="G25" s="241"/>
      <c r="H25" s="728" t="s">
        <v>2229</v>
      </c>
      <c r="I25" s="729"/>
      <c r="J25" s="729"/>
      <c r="K25" s="264" t="s">
        <v>2230</v>
      </c>
      <c r="L25" s="728" t="s">
        <v>817</v>
      </c>
      <c r="M25" s="730"/>
      <c r="N25" s="728" t="s">
        <v>863</v>
      </c>
      <c r="O25" s="731"/>
      <c r="P25" s="728"/>
      <c r="Q25" s="732"/>
      <c r="R25" s="732"/>
      <c r="S25" s="232"/>
      <c r="T25" s="733"/>
      <c r="U25" s="728"/>
      <c r="V25" s="734"/>
      <c r="W25" s="728"/>
      <c r="X25" s="731"/>
    </row>
    <row r="26" spans="1:24" s="224" customFormat="1" ht="13.5" hidden="1" customHeight="1">
      <c r="A26" s="225">
        <v>17</v>
      </c>
      <c r="B26" s="217"/>
      <c r="C26" s="241" t="s">
        <v>2231</v>
      </c>
      <c r="D26" s="241"/>
      <c r="E26" s="241"/>
      <c r="F26" s="241"/>
      <c r="G26" s="241"/>
      <c r="H26" s="728" t="s">
        <v>2231</v>
      </c>
      <c r="I26" s="729"/>
      <c r="J26" s="729"/>
      <c r="K26" s="264" t="s">
        <v>2232</v>
      </c>
      <c r="L26" s="728" t="s">
        <v>817</v>
      </c>
      <c r="M26" s="730"/>
      <c r="N26" s="728" t="s">
        <v>863</v>
      </c>
      <c r="O26" s="731"/>
      <c r="P26" s="728"/>
      <c r="Q26" s="732"/>
      <c r="R26" s="732"/>
      <c r="S26" s="232"/>
      <c r="T26" s="733"/>
      <c r="U26" s="728"/>
      <c r="V26" s="734"/>
      <c r="W26" s="728"/>
      <c r="X26" s="731"/>
    </row>
    <row r="27" spans="1:24" s="224" customFormat="1" ht="13.5" customHeight="1">
      <c r="A27" s="225">
        <v>18</v>
      </c>
      <c r="B27" s="217"/>
      <c r="C27" s="241" t="s">
        <v>2233</v>
      </c>
      <c r="D27" s="241"/>
      <c r="E27" s="241"/>
      <c r="F27" s="241"/>
      <c r="G27" s="241"/>
      <c r="H27" s="728" t="s">
        <v>2234</v>
      </c>
      <c r="I27" s="729"/>
      <c r="J27" s="729"/>
      <c r="K27" s="264" t="s">
        <v>2235</v>
      </c>
      <c r="L27" s="263" t="s">
        <v>817</v>
      </c>
      <c r="M27" s="265" t="s">
        <v>864</v>
      </c>
      <c r="N27" s="726" t="s">
        <v>2235</v>
      </c>
      <c r="O27" s="731"/>
      <c r="P27" s="728"/>
      <c r="Q27" s="732"/>
      <c r="R27" s="732" t="s">
        <v>864</v>
      </c>
      <c r="S27" s="232"/>
      <c r="T27" s="733"/>
      <c r="U27" s="728"/>
      <c r="V27" s="734"/>
      <c r="W27" s="728"/>
      <c r="X27" s="731"/>
    </row>
    <row r="28" spans="1:24" s="224" customFormat="1" ht="13.5" customHeight="1">
      <c r="A28" s="225">
        <v>19</v>
      </c>
      <c r="B28" s="217"/>
      <c r="C28" s="241"/>
      <c r="D28" s="719" t="s">
        <v>1102</v>
      </c>
      <c r="E28" s="241"/>
      <c r="F28" s="241"/>
      <c r="G28" s="241"/>
      <c r="H28" s="728" t="s">
        <v>2236</v>
      </c>
      <c r="I28" s="729"/>
      <c r="J28" s="729"/>
      <c r="K28" s="264" t="s">
        <v>1575</v>
      </c>
      <c r="L28" s="263" t="s">
        <v>817</v>
      </c>
      <c r="M28" s="265"/>
      <c r="N28" s="263" t="s">
        <v>863</v>
      </c>
      <c r="O28" s="731" t="s">
        <v>864</v>
      </c>
      <c r="P28" s="728" t="s">
        <v>1712</v>
      </c>
      <c r="Q28" s="732"/>
      <c r="R28" s="732" t="s">
        <v>864</v>
      </c>
      <c r="S28" s="232"/>
      <c r="T28" s="733" t="s">
        <v>2237</v>
      </c>
      <c r="U28" s="728" t="s">
        <v>2238</v>
      </c>
      <c r="V28" s="734"/>
      <c r="W28" s="728"/>
      <c r="X28" s="731"/>
    </row>
    <row r="29" spans="1:24" s="224" customFormat="1" ht="13.5" customHeight="1">
      <c r="A29" s="225">
        <v>20</v>
      </c>
      <c r="B29" s="217"/>
      <c r="C29" s="241"/>
      <c r="D29" s="241" t="s">
        <v>1104</v>
      </c>
      <c r="E29" s="241"/>
      <c r="F29" s="241"/>
      <c r="G29" s="241"/>
      <c r="H29" s="728" t="s">
        <v>2239</v>
      </c>
      <c r="I29" s="729"/>
      <c r="J29" s="729"/>
      <c r="K29" s="264" t="s">
        <v>871</v>
      </c>
      <c r="L29" s="263" t="s">
        <v>817</v>
      </c>
      <c r="M29" s="265"/>
      <c r="N29" s="263" t="s">
        <v>863</v>
      </c>
      <c r="O29" s="731"/>
      <c r="P29" s="728"/>
      <c r="Q29" s="732"/>
      <c r="R29" s="732" t="s">
        <v>864</v>
      </c>
      <c r="S29" s="232"/>
      <c r="T29" s="733"/>
      <c r="U29" s="728"/>
      <c r="V29" s="734"/>
      <c r="W29" s="728"/>
      <c r="X29" s="731"/>
    </row>
    <row r="30" spans="1:24" s="249" customFormat="1" ht="13.5" customHeight="1">
      <c r="A30" s="225">
        <v>21</v>
      </c>
      <c r="B30" s="218"/>
      <c r="C30" s="727" t="s">
        <v>2240</v>
      </c>
      <c r="D30" s="218"/>
      <c r="E30" s="218"/>
      <c r="F30" s="218"/>
      <c r="G30" s="218"/>
      <c r="H30" s="255"/>
      <c r="I30" s="497"/>
      <c r="J30" s="497"/>
      <c r="K30" s="264" t="s">
        <v>2241</v>
      </c>
      <c r="L30" s="263" t="s">
        <v>823</v>
      </c>
      <c r="M30" s="265" t="s">
        <v>864</v>
      </c>
      <c r="N30" s="726" t="s">
        <v>2241</v>
      </c>
      <c r="O30" s="373"/>
      <c r="P30" s="255"/>
      <c r="Q30" s="374"/>
      <c r="R30" s="374" t="s">
        <v>864</v>
      </c>
      <c r="S30" s="500"/>
      <c r="T30" s="379"/>
      <c r="U30" s="255"/>
      <c r="V30" s="245"/>
      <c r="W30" s="255"/>
      <c r="X30" s="373"/>
    </row>
    <row r="31" spans="1:24" s="224" customFormat="1" ht="13.5" customHeight="1">
      <c r="A31" s="225">
        <v>22</v>
      </c>
      <c r="B31" s="217"/>
      <c r="C31" s="727"/>
      <c r="D31" s="241" t="s">
        <v>2242</v>
      </c>
      <c r="E31" s="241"/>
      <c r="F31" s="241"/>
      <c r="G31" s="241"/>
      <c r="H31" s="728"/>
      <c r="I31" s="729"/>
      <c r="J31" s="729"/>
      <c r="K31" s="264" t="s">
        <v>2189</v>
      </c>
      <c r="L31" s="263" t="s">
        <v>817</v>
      </c>
      <c r="M31" s="265"/>
      <c r="N31" s="263" t="s">
        <v>879</v>
      </c>
      <c r="O31" s="731"/>
      <c r="P31" s="728" t="s">
        <v>932</v>
      </c>
      <c r="Q31" s="732"/>
      <c r="R31" s="732" t="s">
        <v>864</v>
      </c>
      <c r="S31" s="232"/>
      <c r="T31" s="733"/>
      <c r="U31" s="728"/>
      <c r="V31" s="734"/>
      <c r="W31" s="728"/>
      <c r="X31" s="731"/>
    </row>
    <row r="32" spans="1:24" s="224" customFormat="1" ht="13.5" customHeight="1">
      <c r="A32" s="225">
        <v>23</v>
      </c>
      <c r="B32" s="217"/>
      <c r="C32" s="727"/>
      <c r="D32" s="719" t="s">
        <v>2243</v>
      </c>
      <c r="E32" s="241"/>
      <c r="F32" s="241"/>
      <c r="G32" s="241"/>
      <c r="H32" s="728" t="s">
        <v>2244</v>
      </c>
      <c r="I32" s="729"/>
      <c r="J32" s="729"/>
      <c r="K32" s="264" t="s">
        <v>888</v>
      </c>
      <c r="L32" s="263" t="s">
        <v>817</v>
      </c>
      <c r="M32" s="265"/>
      <c r="N32" s="263" t="s">
        <v>863</v>
      </c>
      <c r="O32" s="731" t="s">
        <v>864</v>
      </c>
      <c r="P32" s="728" t="s">
        <v>2245</v>
      </c>
      <c r="Q32" s="732"/>
      <c r="R32" s="732" t="s">
        <v>864</v>
      </c>
      <c r="S32" s="232"/>
      <c r="T32" s="733" t="s">
        <v>2246</v>
      </c>
      <c r="U32" s="728"/>
      <c r="V32" s="734"/>
      <c r="W32" s="728"/>
      <c r="X32" s="731"/>
    </row>
    <row r="33" spans="1:32" s="224" customFormat="1" ht="13.5" customHeight="1">
      <c r="A33" s="225">
        <v>24</v>
      </c>
      <c r="B33" s="217"/>
      <c r="C33" s="727"/>
      <c r="D33" s="719" t="s">
        <v>2247</v>
      </c>
      <c r="E33" s="241"/>
      <c r="F33" s="241"/>
      <c r="G33" s="241"/>
      <c r="H33" s="728" t="s">
        <v>2248</v>
      </c>
      <c r="I33" s="729"/>
      <c r="J33" s="729"/>
      <c r="K33" s="264" t="s">
        <v>2249</v>
      </c>
      <c r="L33" s="263" t="s">
        <v>817</v>
      </c>
      <c r="M33" s="265"/>
      <c r="N33" s="263" t="s">
        <v>863</v>
      </c>
      <c r="O33" s="731" t="s">
        <v>864</v>
      </c>
      <c r="P33" s="728" t="s">
        <v>2250</v>
      </c>
      <c r="Q33" s="732"/>
      <c r="R33" s="732" t="s">
        <v>864</v>
      </c>
      <c r="S33" s="232"/>
      <c r="T33" s="733"/>
      <c r="U33" s="728"/>
      <c r="V33" s="734"/>
      <c r="W33" s="728"/>
      <c r="X33" s="731"/>
    </row>
    <row r="34" spans="1:32" s="249" customFormat="1" ht="13.5" customHeight="1">
      <c r="A34" s="225">
        <v>25</v>
      </c>
      <c r="B34" s="218"/>
      <c r="C34" s="727" t="s">
        <v>2251</v>
      </c>
      <c r="D34" s="218"/>
      <c r="E34" s="218"/>
      <c r="F34" s="218"/>
      <c r="G34" s="218"/>
      <c r="H34" s="255"/>
      <c r="I34" s="497"/>
      <c r="J34" s="497"/>
      <c r="K34" s="264" t="s">
        <v>1169</v>
      </c>
      <c r="L34" s="263" t="s">
        <v>817</v>
      </c>
      <c r="M34" s="265" t="s">
        <v>864</v>
      </c>
      <c r="N34" s="518" t="s">
        <v>1169</v>
      </c>
      <c r="O34" s="373"/>
      <c r="P34" s="255"/>
      <c r="Q34" s="374"/>
      <c r="R34" s="732" t="s">
        <v>864</v>
      </c>
      <c r="S34" s="500"/>
      <c r="T34" s="379"/>
      <c r="U34" s="255"/>
      <c r="V34" s="245"/>
      <c r="W34" s="255"/>
      <c r="X34" s="373"/>
    </row>
    <row r="35" spans="1:32" s="224" customFormat="1" ht="13.5" customHeight="1">
      <c r="A35" s="225">
        <v>26</v>
      </c>
      <c r="B35" s="217"/>
      <c r="C35" s="217"/>
      <c r="D35" s="217" t="s">
        <v>1170</v>
      </c>
      <c r="E35" s="241"/>
      <c r="F35" s="241"/>
      <c r="G35" s="241"/>
      <c r="H35" s="728" t="s">
        <v>1171</v>
      </c>
      <c r="I35" s="729" t="s">
        <v>1172</v>
      </c>
      <c r="J35" s="729"/>
      <c r="K35" s="264" t="s">
        <v>1173</v>
      </c>
      <c r="L35" s="263" t="s">
        <v>820</v>
      </c>
      <c r="M35" s="265"/>
      <c r="N35" s="263" t="s">
        <v>1092</v>
      </c>
      <c r="O35" s="731"/>
      <c r="P35" s="728"/>
      <c r="Q35" s="732"/>
      <c r="R35" s="732" t="s">
        <v>864</v>
      </c>
      <c r="S35" s="232"/>
      <c r="T35" s="733"/>
      <c r="U35" s="728"/>
      <c r="V35" s="734"/>
      <c r="W35" s="728"/>
      <c r="X35" s="731"/>
    </row>
    <row r="36" spans="1:32" s="224" customFormat="1" ht="13.5" customHeight="1">
      <c r="A36" s="225">
        <v>27</v>
      </c>
      <c r="B36" s="217"/>
      <c r="C36" s="217"/>
      <c r="D36" s="217" t="s">
        <v>1176</v>
      </c>
      <c r="E36" s="241"/>
      <c r="F36" s="241"/>
      <c r="G36" s="241"/>
      <c r="H36" s="728" t="s">
        <v>1177</v>
      </c>
      <c r="I36" s="729" t="s">
        <v>1178</v>
      </c>
      <c r="J36" s="729"/>
      <c r="K36" s="729" t="s">
        <v>1179</v>
      </c>
      <c r="L36" s="728" t="s">
        <v>820</v>
      </c>
      <c r="M36" s="730"/>
      <c r="N36" s="728" t="s">
        <v>1092</v>
      </c>
      <c r="O36" s="731"/>
      <c r="P36" s="728"/>
      <c r="Q36" s="732"/>
      <c r="R36" s="732" t="s">
        <v>864</v>
      </c>
      <c r="S36" s="232"/>
      <c r="T36" s="733"/>
      <c r="U36" s="728"/>
      <c r="V36" s="734"/>
      <c r="W36" s="728"/>
      <c r="X36" s="731"/>
    </row>
    <row r="37" spans="1:32" s="224" customFormat="1" ht="13.5" customHeight="1">
      <c r="A37" s="225">
        <v>28</v>
      </c>
      <c r="B37" s="217"/>
      <c r="C37" s="217"/>
      <c r="D37" s="219" t="s">
        <v>1180</v>
      </c>
      <c r="E37" s="241"/>
      <c r="F37" s="241"/>
      <c r="G37" s="241"/>
      <c r="H37" s="728" t="s">
        <v>1181</v>
      </c>
      <c r="I37" s="729">
        <v>120</v>
      </c>
      <c r="J37" s="729"/>
      <c r="K37" s="728" t="s">
        <v>1182</v>
      </c>
      <c r="L37" s="728" t="s">
        <v>817</v>
      </c>
      <c r="M37" s="730"/>
      <c r="N37" s="728" t="s">
        <v>1092</v>
      </c>
      <c r="O37" s="731"/>
      <c r="P37" s="728"/>
      <c r="Q37" s="732"/>
      <c r="R37" s="732" t="s">
        <v>864</v>
      </c>
      <c r="S37" s="232"/>
      <c r="T37" s="733"/>
      <c r="U37" s="728"/>
      <c r="V37" s="734"/>
      <c r="W37" s="728"/>
      <c r="X37" s="731"/>
    </row>
    <row r="38" spans="1:32" s="224" customFormat="1" ht="13.5" customHeight="1">
      <c r="A38" s="225">
        <v>29</v>
      </c>
      <c r="B38" s="217"/>
      <c r="C38" s="217"/>
      <c r="D38" s="241" t="s">
        <v>1184</v>
      </c>
      <c r="E38" s="241"/>
      <c r="F38" s="241"/>
      <c r="G38" s="241"/>
      <c r="H38" s="728" t="s">
        <v>1185</v>
      </c>
      <c r="I38" s="729">
        <v>96</v>
      </c>
      <c r="J38" s="729"/>
      <c r="K38" s="728" t="s">
        <v>1186</v>
      </c>
      <c r="L38" s="728" t="s">
        <v>817</v>
      </c>
      <c r="M38" s="730"/>
      <c r="N38" s="728" t="s">
        <v>1092</v>
      </c>
      <c r="O38" s="731"/>
      <c r="P38" s="728"/>
      <c r="Q38" s="732"/>
      <c r="R38" s="732" t="s">
        <v>864</v>
      </c>
      <c r="S38" s="232"/>
      <c r="T38" s="733"/>
      <c r="U38" s="728"/>
      <c r="V38" s="734"/>
      <c r="W38" s="728"/>
      <c r="X38" s="731"/>
    </row>
    <row r="39" spans="1:32" s="224" customFormat="1" ht="13.5" customHeight="1">
      <c r="A39" s="225">
        <v>30</v>
      </c>
      <c r="B39" s="217"/>
      <c r="C39" s="217"/>
      <c r="D39" s="241" t="s">
        <v>1188</v>
      </c>
      <c r="E39" s="241"/>
      <c r="F39" s="241"/>
      <c r="G39" s="241"/>
      <c r="H39" s="728" t="s">
        <v>1189</v>
      </c>
      <c r="I39" s="729">
        <v>34</v>
      </c>
      <c r="J39" s="729"/>
      <c r="K39" s="728" t="s">
        <v>1190</v>
      </c>
      <c r="L39" s="728" t="s">
        <v>817</v>
      </c>
      <c r="M39" s="730"/>
      <c r="N39" s="728" t="s">
        <v>1092</v>
      </c>
      <c r="O39" s="731"/>
      <c r="P39" s="728"/>
      <c r="Q39" s="732"/>
      <c r="R39" s="732" t="s">
        <v>864</v>
      </c>
      <c r="S39" s="232"/>
      <c r="T39" s="733"/>
      <c r="U39" s="728"/>
      <c r="V39" s="734"/>
      <c r="W39" s="728"/>
      <c r="X39" s="731"/>
    </row>
    <row r="40" spans="1:32" s="224" customFormat="1" ht="13.5" customHeight="1">
      <c r="A40" s="225">
        <v>31</v>
      </c>
      <c r="B40" s="217"/>
      <c r="C40" s="217"/>
      <c r="D40" s="241" t="s">
        <v>1192</v>
      </c>
      <c r="E40" s="241"/>
      <c r="F40" s="241"/>
      <c r="G40" s="241"/>
      <c r="H40" s="728" t="s">
        <v>1193</v>
      </c>
      <c r="I40" s="729" t="s">
        <v>1194</v>
      </c>
      <c r="J40" s="729"/>
      <c r="K40" s="729" t="s">
        <v>1195</v>
      </c>
      <c r="L40" s="728" t="s">
        <v>820</v>
      </c>
      <c r="M40" s="730"/>
      <c r="N40" s="728" t="s">
        <v>863</v>
      </c>
      <c r="O40" s="731" t="s">
        <v>864</v>
      </c>
      <c r="P40" s="728" t="s">
        <v>1653</v>
      </c>
      <c r="Q40" s="732"/>
      <c r="R40" s="732" t="s">
        <v>864</v>
      </c>
      <c r="S40" s="232"/>
      <c r="T40" s="733"/>
      <c r="U40" s="728"/>
      <c r="V40" s="734"/>
      <c r="W40" s="728"/>
      <c r="X40" s="731"/>
    </row>
    <row r="41" spans="1:32" s="224" customFormat="1" ht="13.5" customHeight="1">
      <c r="A41" s="225">
        <v>32</v>
      </c>
      <c r="B41" s="217"/>
      <c r="C41" s="727" t="s">
        <v>1259</v>
      </c>
      <c r="D41" s="241"/>
      <c r="E41" s="241"/>
      <c r="F41" s="241"/>
      <c r="G41" s="241"/>
      <c r="H41" s="728" t="s">
        <v>2252</v>
      </c>
      <c r="I41" s="729"/>
      <c r="J41" s="729"/>
      <c r="K41" s="729" t="s">
        <v>1264</v>
      </c>
      <c r="L41" s="728" t="s">
        <v>817</v>
      </c>
      <c r="M41" s="730" t="s">
        <v>864</v>
      </c>
      <c r="N41" s="728" t="s">
        <v>1264</v>
      </c>
      <c r="O41" s="731"/>
      <c r="P41" s="728"/>
      <c r="Q41" s="732"/>
      <c r="R41" s="732" t="s">
        <v>864</v>
      </c>
      <c r="S41" s="232"/>
      <c r="T41" s="733"/>
      <c r="U41" s="728"/>
      <c r="V41" s="734"/>
      <c r="W41" s="728"/>
      <c r="X41" s="731"/>
    </row>
    <row r="42" spans="1:32" s="224" customFormat="1" ht="13.5" customHeight="1">
      <c r="A42" s="225">
        <v>33</v>
      </c>
      <c r="B42" s="217"/>
      <c r="C42" s="241"/>
      <c r="D42" s="241" t="s">
        <v>2253</v>
      </c>
      <c r="E42" s="241"/>
      <c r="F42" s="241"/>
      <c r="G42" s="241"/>
      <c r="H42" s="728" t="s">
        <v>2254</v>
      </c>
      <c r="I42" s="729" t="s">
        <v>1268</v>
      </c>
      <c r="J42" s="729"/>
      <c r="K42" s="729" t="s">
        <v>970</v>
      </c>
      <c r="L42" s="728" t="s">
        <v>817</v>
      </c>
      <c r="M42" s="730"/>
      <c r="N42" s="728" t="s">
        <v>863</v>
      </c>
      <c r="O42" s="731" t="s">
        <v>864</v>
      </c>
      <c r="P42" s="728" t="s">
        <v>1667</v>
      </c>
      <c r="Q42" s="732"/>
      <c r="R42" s="732" t="s">
        <v>864</v>
      </c>
      <c r="S42" s="232"/>
      <c r="T42" s="733"/>
      <c r="U42" s="728"/>
      <c r="V42" s="734"/>
      <c r="W42" s="728"/>
      <c r="X42" s="731"/>
    </row>
    <row r="43" spans="1:32" s="224" customFormat="1" ht="13.5" customHeight="1">
      <c r="A43" s="225">
        <v>34</v>
      </c>
      <c r="B43" s="217"/>
      <c r="D43" s="224" t="s">
        <v>1668</v>
      </c>
      <c r="F43" s="225"/>
      <c r="G43" s="241"/>
      <c r="H43" s="728" t="s">
        <v>2255</v>
      </c>
      <c r="I43" s="273" t="s">
        <v>1273</v>
      </c>
      <c r="J43" s="273"/>
      <c r="K43" s="729" t="s">
        <v>1013</v>
      </c>
      <c r="L43" s="728" t="s">
        <v>817</v>
      </c>
      <c r="M43" s="730"/>
      <c r="N43" s="728" t="s">
        <v>863</v>
      </c>
      <c r="O43" s="277"/>
      <c r="P43" s="728"/>
      <c r="Q43" s="732"/>
      <c r="R43" s="732" t="s">
        <v>864</v>
      </c>
      <c r="S43" s="232"/>
      <c r="T43" s="733"/>
      <c r="U43" s="728"/>
      <c r="V43" s="734"/>
      <c r="W43" s="728"/>
      <c r="X43" s="731"/>
    </row>
    <row r="44" spans="1:32" s="224" customFormat="1" ht="13.5" customHeight="1">
      <c r="A44" s="225">
        <v>35</v>
      </c>
      <c r="B44" s="217"/>
      <c r="C44" s="727" t="s">
        <v>12</v>
      </c>
      <c r="D44" s="241"/>
      <c r="E44" s="241"/>
      <c r="F44" s="241"/>
      <c r="G44" s="241"/>
      <c r="H44" s="728" t="s">
        <v>2256</v>
      </c>
      <c r="I44" s="729"/>
      <c r="J44" s="729"/>
      <c r="K44" s="729" t="s">
        <v>939</v>
      </c>
      <c r="L44" s="728" t="s">
        <v>823</v>
      </c>
      <c r="M44" s="730"/>
      <c r="N44" s="728" t="s">
        <v>863</v>
      </c>
      <c r="O44" s="731"/>
      <c r="P44" s="728"/>
      <c r="Q44" s="728"/>
      <c r="R44" s="731" t="s">
        <v>864</v>
      </c>
      <c r="S44" s="232"/>
      <c r="T44" s="733"/>
      <c r="U44" s="728"/>
      <c r="V44" s="734"/>
      <c r="W44" s="728"/>
      <c r="X44" s="731"/>
    </row>
    <row r="45" spans="1:32" s="224" customFormat="1" ht="13.5" hidden="1" customHeight="1">
      <c r="A45" s="225">
        <v>36</v>
      </c>
      <c r="B45" s="217"/>
      <c r="C45" s="217" t="s">
        <v>2257</v>
      </c>
      <c r="D45" s="241"/>
      <c r="E45" s="241"/>
      <c r="F45" s="241"/>
      <c r="G45" s="217"/>
      <c r="H45" s="263" t="s">
        <v>2258</v>
      </c>
      <c r="I45" s="729"/>
      <c r="J45" s="729"/>
      <c r="K45" s="263" t="s">
        <v>2259</v>
      </c>
      <c r="L45" s="728" t="s">
        <v>817</v>
      </c>
      <c r="M45" s="731" t="s">
        <v>864</v>
      </c>
      <c r="N45" s="243" t="s">
        <v>1054</v>
      </c>
      <c r="O45" s="280"/>
      <c r="P45" s="728"/>
      <c r="Q45" s="730"/>
      <c r="R45" s="731"/>
      <c r="S45" s="232"/>
      <c r="T45" s="733"/>
      <c r="U45" s="728"/>
      <c r="V45" s="734"/>
      <c r="W45" s="732"/>
      <c r="X45" s="732"/>
      <c r="Y45" s="731"/>
      <c r="AA45" s="733"/>
      <c r="AB45" s="728"/>
      <c r="AC45" s="729"/>
      <c r="AD45" s="728"/>
      <c r="AE45" s="731"/>
      <c r="AF45" s="731"/>
    </row>
    <row r="46" spans="1:32" s="224" customFormat="1" ht="13.5" hidden="1" customHeight="1">
      <c r="A46" s="225">
        <v>37</v>
      </c>
      <c r="B46" s="217"/>
      <c r="C46" s="217"/>
      <c r="D46" s="709" t="s">
        <v>1055</v>
      </c>
      <c r="E46" s="241"/>
      <c r="F46" s="241"/>
      <c r="G46" s="217"/>
      <c r="H46" s="728" t="s">
        <v>1056</v>
      </c>
      <c r="I46" s="729" t="s">
        <v>1057</v>
      </c>
      <c r="J46" s="729"/>
      <c r="K46" s="728" t="s">
        <v>1058</v>
      </c>
      <c r="L46" s="728" t="s">
        <v>817</v>
      </c>
      <c r="M46" s="731"/>
      <c r="N46" s="728" t="s">
        <v>863</v>
      </c>
      <c r="O46" s="731"/>
      <c r="P46" s="728"/>
      <c r="Q46" s="730"/>
      <c r="R46" s="731"/>
      <c r="S46" s="232"/>
      <c r="T46" s="733"/>
      <c r="U46" s="728"/>
      <c r="V46" s="734"/>
      <c r="W46" s="732"/>
      <c r="X46" s="732"/>
      <c r="Y46" s="731"/>
      <c r="AA46" s="733"/>
      <c r="AB46" s="728"/>
      <c r="AC46" s="729"/>
      <c r="AD46" s="728"/>
      <c r="AE46" s="731"/>
      <c r="AF46" s="731"/>
    </row>
    <row r="47" spans="1:32" s="224" customFormat="1" ht="13.5" hidden="1" customHeight="1">
      <c r="A47" s="225">
        <v>38</v>
      </c>
      <c r="B47" s="217"/>
      <c r="C47" s="217"/>
      <c r="D47" s="719" t="s">
        <v>2260</v>
      </c>
      <c r="E47" s="241"/>
      <c r="F47" s="241"/>
      <c r="G47" s="241"/>
      <c r="H47" s="728"/>
      <c r="I47" s="269" t="s">
        <v>2261</v>
      </c>
      <c r="J47" s="269"/>
      <c r="K47" s="729" t="s">
        <v>970</v>
      </c>
      <c r="L47" s="728" t="s">
        <v>817</v>
      </c>
      <c r="M47" s="730"/>
      <c r="N47" s="728" t="s">
        <v>863</v>
      </c>
      <c r="O47" s="268" t="s">
        <v>864</v>
      </c>
      <c r="P47" s="263" t="s">
        <v>1721</v>
      </c>
      <c r="Q47" s="732"/>
      <c r="R47" s="731"/>
      <c r="S47" s="232"/>
      <c r="T47" s="733" t="s">
        <v>2262</v>
      </c>
      <c r="U47" s="728" t="s">
        <v>2263</v>
      </c>
      <c r="V47" s="734"/>
      <c r="W47" s="746"/>
      <c r="X47" s="732"/>
      <c r="Y47" s="731"/>
      <c r="AA47" s="733"/>
      <c r="AB47" s="728"/>
      <c r="AC47" s="729"/>
      <c r="AD47" s="728"/>
      <c r="AE47" s="731"/>
      <c r="AF47" s="731"/>
    </row>
    <row r="48" spans="1:32" s="249" customFormat="1" ht="13.5" hidden="1" customHeight="1">
      <c r="A48" s="225">
        <v>39</v>
      </c>
      <c r="B48" s="217"/>
      <c r="C48" s="217"/>
      <c r="D48" s="241" t="s">
        <v>1059</v>
      </c>
      <c r="E48" s="241"/>
      <c r="F48" s="241"/>
      <c r="G48" s="220"/>
      <c r="H48" s="728" t="s">
        <v>1639</v>
      </c>
      <c r="I48" s="729" t="s">
        <v>1061</v>
      </c>
      <c r="J48" s="729"/>
      <c r="K48" s="728" t="s">
        <v>1062</v>
      </c>
      <c r="L48" s="728" t="s">
        <v>817</v>
      </c>
      <c r="M48" s="731"/>
      <c r="N48" s="728" t="s">
        <v>863</v>
      </c>
      <c r="O48" s="731"/>
      <c r="P48" s="728"/>
      <c r="Q48" s="252"/>
      <c r="R48" s="731"/>
      <c r="S48" s="500"/>
      <c r="T48" s="733"/>
      <c r="U48" s="728"/>
      <c r="V48" s="734"/>
      <c r="W48" s="732"/>
      <c r="X48" s="732"/>
      <c r="Y48" s="731"/>
      <c r="Z48" s="224"/>
      <c r="AA48" s="733"/>
      <c r="AB48" s="728"/>
      <c r="AC48" s="729"/>
      <c r="AD48" s="728"/>
      <c r="AE48" s="731"/>
      <c r="AF48" s="731"/>
    </row>
    <row r="49" spans="1:32" s="224" customFormat="1" ht="13.5" hidden="1" customHeight="1">
      <c r="A49" s="225">
        <v>40</v>
      </c>
      <c r="B49" s="217"/>
      <c r="C49" s="217"/>
      <c r="D49" s="241" t="s">
        <v>1063</v>
      </c>
      <c r="E49" s="241"/>
      <c r="F49" s="241"/>
      <c r="G49" s="217"/>
      <c r="H49" s="263" t="s">
        <v>1064</v>
      </c>
      <c r="I49" s="729" t="s">
        <v>1065</v>
      </c>
      <c r="J49" s="729"/>
      <c r="K49" s="728" t="s">
        <v>871</v>
      </c>
      <c r="L49" s="728" t="s">
        <v>817</v>
      </c>
      <c r="M49" s="731"/>
      <c r="N49" s="728" t="s">
        <v>863</v>
      </c>
      <c r="O49" s="731"/>
      <c r="P49" s="728"/>
      <c r="Q49" s="252"/>
      <c r="R49" s="731"/>
      <c r="S49" s="232"/>
      <c r="T49" s="733"/>
      <c r="U49" s="728"/>
      <c r="V49" s="734"/>
      <c r="W49" s="732"/>
      <c r="X49" s="732"/>
      <c r="Y49" s="731"/>
      <c r="AA49" s="733"/>
      <c r="AB49" s="728"/>
      <c r="AC49" s="729"/>
      <c r="AD49" s="728"/>
      <c r="AE49" s="731"/>
      <c r="AF49" s="731"/>
    </row>
    <row r="50" spans="1:32" s="158" customFormat="1" ht="13.5" hidden="1" customHeight="1">
      <c r="A50" s="225">
        <v>41</v>
      </c>
      <c r="B50" s="217"/>
      <c r="C50" s="219"/>
      <c r="D50" s="241" t="s">
        <v>1068</v>
      </c>
      <c r="E50" s="241"/>
      <c r="F50" s="241"/>
      <c r="G50" s="262"/>
      <c r="H50" s="263" t="s">
        <v>1069</v>
      </c>
      <c r="I50" s="264"/>
      <c r="J50" s="264"/>
      <c r="K50" s="264" t="s">
        <v>1070</v>
      </c>
      <c r="L50" s="263" t="s">
        <v>823</v>
      </c>
      <c r="M50" s="268" t="s">
        <v>864</v>
      </c>
      <c r="N50" s="518" t="s">
        <v>1070</v>
      </c>
      <c r="O50" s="268"/>
      <c r="P50" s="268"/>
      <c r="Q50" s="265"/>
      <c r="R50" s="268"/>
      <c r="S50" s="660"/>
      <c r="T50" s="266"/>
      <c r="U50" s="263"/>
      <c r="V50" s="261"/>
      <c r="W50" s="260"/>
      <c r="X50" s="260"/>
      <c r="Y50" s="268"/>
      <c r="AA50" s="266"/>
      <c r="AB50" s="263"/>
      <c r="AC50" s="264"/>
      <c r="AD50" s="263"/>
      <c r="AE50" s="268"/>
      <c r="AF50" s="268"/>
    </row>
    <row r="51" spans="1:32" s="224" customFormat="1" ht="13.5" hidden="1" customHeight="1">
      <c r="A51" s="225">
        <v>42</v>
      </c>
      <c r="B51" s="217"/>
      <c r="C51" s="217"/>
      <c r="D51" s="241"/>
      <c r="E51" s="241" t="s">
        <v>1071</v>
      </c>
      <c r="F51" s="241"/>
      <c r="G51" s="241"/>
      <c r="H51" s="728" t="s">
        <v>1072</v>
      </c>
      <c r="I51" s="736" t="s">
        <v>1073</v>
      </c>
      <c r="J51" s="736"/>
      <c r="K51" s="729" t="s">
        <v>908</v>
      </c>
      <c r="L51" s="728" t="s">
        <v>820</v>
      </c>
      <c r="M51" s="731"/>
      <c r="N51" s="728" t="s">
        <v>863</v>
      </c>
      <c r="O51" s="731" t="s">
        <v>864</v>
      </c>
      <c r="P51" s="729" t="s">
        <v>1640</v>
      </c>
      <c r="Q51" s="730"/>
      <c r="R51" s="731"/>
      <c r="S51" s="232"/>
      <c r="T51" s="733"/>
      <c r="U51" s="728"/>
      <c r="V51" s="734"/>
      <c r="W51" s="374"/>
      <c r="X51" s="260"/>
      <c r="Y51" s="731"/>
      <c r="AA51" s="266"/>
      <c r="AB51" s="728"/>
      <c r="AC51" s="497"/>
      <c r="AD51" s="728"/>
      <c r="AE51" s="731"/>
      <c r="AF51" s="731"/>
    </row>
    <row r="52" spans="1:32" s="224" customFormat="1" ht="13.5" hidden="1" customHeight="1">
      <c r="A52" s="225">
        <v>43</v>
      </c>
      <c r="B52" s="217"/>
      <c r="C52" s="217"/>
      <c r="D52" s="241"/>
      <c r="E52" s="241" t="s">
        <v>1077</v>
      </c>
      <c r="F52" s="241"/>
      <c r="G52" s="241"/>
      <c r="H52" s="728" t="s">
        <v>1078</v>
      </c>
      <c r="I52" s="736" t="s">
        <v>1079</v>
      </c>
      <c r="J52" s="736"/>
      <c r="K52" s="729" t="s">
        <v>1080</v>
      </c>
      <c r="L52" s="728" t="s">
        <v>820</v>
      </c>
      <c r="M52" s="731"/>
      <c r="N52" s="728" t="s">
        <v>863</v>
      </c>
      <c r="O52" s="731"/>
      <c r="P52" s="731"/>
      <c r="Q52" s="730"/>
      <c r="R52" s="731"/>
      <c r="S52" s="232"/>
      <c r="T52" s="733"/>
      <c r="U52" s="728"/>
      <c r="V52" s="734"/>
      <c r="W52" s="374"/>
      <c r="X52" s="260"/>
      <c r="Y52" s="731"/>
      <c r="AA52" s="733"/>
      <c r="AB52" s="728"/>
      <c r="AC52" s="497"/>
      <c r="AD52" s="728"/>
      <c r="AE52" s="731"/>
      <c r="AF52" s="731"/>
    </row>
    <row r="53" spans="1:32" s="224" customFormat="1" ht="13.5" hidden="1" customHeight="1">
      <c r="A53" s="225">
        <v>44</v>
      </c>
      <c r="B53" s="217"/>
      <c r="C53" s="217"/>
      <c r="D53" s="241" t="s">
        <v>1081</v>
      </c>
      <c r="E53" s="241"/>
      <c r="F53" s="241"/>
      <c r="G53" s="221"/>
      <c r="H53" s="728"/>
      <c r="I53" s="729"/>
      <c r="J53" s="729"/>
      <c r="K53" s="729" t="s">
        <v>1082</v>
      </c>
      <c r="L53" s="728" t="s">
        <v>817</v>
      </c>
      <c r="M53" s="731" t="s">
        <v>864</v>
      </c>
      <c r="N53" s="243" t="s">
        <v>1082</v>
      </c>
      <c r="O53" s="731"/>
      <c r="P53" s="728"/>
      <c r="Q53" s="730"/>
      <c r="R53" s="731"/>
      <c r="S53" s="232"/>
      <c r="T53" s="733"/>
      <c r="U53" s="728"/>
      <c r="V53" s="734"/>
      <c r="W53" s="732"/>
      <c r="X53" s="732"/>
      <c r="Y53" s="731"/>
      <c r="AA53" s="733"/>
      <c r="AB53" s="728"/>
      <c r="AC53" s="729"/>
      <c r="AD53" s="728"/>
      <c r="AE53" s="731"/>
      <c r="AF53" s="731"/>
    </row>
    <row r="54" spans="1:32" s="224" customFormat="1" ht="13.5" hidden="1" customHeight="1">
      <c r="A54" s="225">
        <v>45</v>
      </c>
      <c r="B54" s="217"/>
      <c r="C54" s="217"/>
      <c r="D54" s="241"/>
      <c r="E54" s="241" t="s">
        <v>1083</v>
      </c>
      <c r="F54" s="241"/>
      <c r="G54" s="239"/>
      <c r="H54" s="728" t="s">
        <v>1648</v>
      </c>
      <c r="I54" s="729" t="s">
        <v>1085</v>
      </c>
      <c r="J54" s="729"/>
      <c r="K54" s="729" t="s">
        <v>1087</v>
      </c>
      <c r="L54" s="728" t="s">
        <v>820</v>
      </c>
      <c r="M54" s="731"/>
      <c r="N54" s="728" t="s">
        <v>863</v>
      </c>
      <c r="O54" s="731"/>
      <c r="P54" s="728" t="s">
        <v>1088</v>
      </c>
      <c r="Q54" s="730"/>
      <c r="R54" s="731"/>
      <c r="S54" s="232"/>
      <c r="T54" s="733"/>
      <c r="U54" s="728"/>
      <c r="V54" s="734"/>
      <c r="W54" s="732"/>
      <c r="X54" s="732"/>
      <c r="Y54" s="731"/>
      <c r="AA54" s="733"/>
      <c r="AB54" s="728"/>
      <c r="AC54" s="729"/>
      <c r="AD54" s="728"/>
      <c r="AE54" s="731"/>
      <c r="AF54" s="731"/>
    </row>
    <row r="55" spans="1:32" s="254" customFormat="1" ht="13.5" hidden="1" customHeight="1">
      <c r="A55" s="225">
        <v>46</v>
      </c>
      <c r="B55" s="217"/>
      <c r="C55" s="217"/>
      <c r="D55" s="241"/>
      <c r="E55" s="241" t="s">
        <v>1089</v>
      </c>
      <c r="F55" s="241"/>
      <c r="G55" s="221"/>
      <c r="H55" s="728" t="s">
        <v>1090</v>
      </c>
      <c r="I55" s="729" t="s">
        <v>1091</v>
      </c>
      <c r="J55" s="729"/>
      <c r="K55" s="729" t="s">
        <v>1092</v>
      </c>
      <c r="L55" s="728" t="s">
        <v>817</v>
      </c>
      <c r="M55" s="731"/>
      <c r="N55" s="728" t="s">
        <v>863</v>
      </c>
      <c r="O55" s="731"/>
      <c r="P55" s="728"/>
      <c r="Q55" s="730"/>
      <c r="R55" s="731"/>
      <c r="S55" s="664"/>
      <c r="T55" s="733"/>
      <c r="U55" s="728"/>
      <c r="V55" s="734"/>
      <c r="W55" s="732"/>
      <c r="X55" s="732"/>
      <c r="Y55" s="731"/>
      <c r="Z55" s="224"/>
      <c r="AA55" s="733"/>
      <c r="AB55" s="728"/>
      <c r="AC55" s="729"/>
      <c r="AD55" s="728"/>
      <c r="AE55" s="731"/>
      <c r="AF55" s="731"/>
    </row>
    <row r="56" spans="1:32" s="254" customFormat="1" ht="13.5" hidden="1" customHeight="1">
      <c r="A56" s="225">
        <v>47</v>
      </c>
      <c r="B56" s="217"/>
      <c r="C56" s="217"/>
      <c r="D56" s="241"/>
      <c r="E56" s="241" t="s">
        <v>1094</v>
      </c>
      <c r="F56" s="241"/>
      <c r="G56" s="221"/>
      <c r="H56" s="728"/>
      <c r="I56" s="729"/>
      <c r="J56" s="729"/>
      <c r="K56" s="729" t="s">
        <v>1095</v>
      </c>
      <c r="L56" s="728" t="s">
        <v>817</v>
      </c>
      <c r="M56" s="731" t="s">
        <v>864</v>
      </c>
      <c r="N56" s="243" t="s">
        <v>1095</v>
      </c>
      <c r="O56" s="731"/>
      <c r="P56" s="728"/>
      <c r="Q56" s="730"/>
      <c r="R56" s="731"/>
      <c r="S56" s="664"/>
      <c r="T56" s="733"/>
      <c r="U56" s="728"/>
      <c r="V56" s="734"/>
      <c r="W56" s="732"/>
      <c r="X56" s="732"/>
      <c r="Y56" s="731"/>
      <c r="Z56" s="224"/>
      <c r="AA56" s="733"/>
      <c r="AB56" s="728"/>
      <c r="AC56" s="729"/>
      <c r="AD56" s="728"/>
      <c r="AE56" s="731"/>
      <c r="AF56" s="731"/>
    </row>
    <row r="57" spans="1:32" s="254" customFormat="1" ht="13.5" hidden="1" customHeight="1">
      <c r="A57" s="225">
        <v>48</v>
      </c>
      <c r="B57" s="217"/>
      <c r="C57" s="217"/>
      <c r="D57" s="241"/>
      <c r="E57" s="241"/>
      <c r="F57" s="241" t="s">
        <v>1098</v>
      </c>
      <c r="G57" s="241"/>
      <c r="H57" s="728" t="s">
        <v>1099</v>
      </c>
      <c r="I57" s="729" t="s">
        <v>1100</v>
      </c>
      <c r="J57" s="729"/>
      <c r="K57" s="729" t="s">
        <v>1087</v>
      </c>
      <c r="L57" s="728" t="s">
        <v>820</v>
      </c>
      <c r="M57" s="731"/>
      <c r="N57" s="728" t="s">
        <v>863</v>
      </c>
      <c r="O57" s="731"/>
      <c r="P57" s="728" t="s">
        <v>1101</v>
      </c>
      <c r="Q57" s="730"/>
      <c r="R57" s="731"/>
      <c r="S57" s="664"/>
      <c r="T57" s="733"/>
      <c r="U57" s="728"/>
      <c r="V57" s="734"/>
      <c r="W57" s="732"/>
      <c r="X57" s="732"/>
      <c r="Y57" s="731"/>
      <c r="Z57" s="224"/>
      <c r="AA57" s="733"/>
      <c r="AB57" s="728"/>
      <c r="AC57" s="729"/>
      <c r="AD57" s="728"/>
      <c r="AE57" s="731"/>
      <c r="AF57" s="731"/>
    </row>
    <row r="58" spans="1:32" s="224" customFormat="1" ht="13.5" hidden="1" customHeight="1">
      <c r="A58" s="225">
        <v>49</v>
      </c>
      <c r="B58" s="217"/>
      <c r="C58" s="217"/>
      <c r="D58" s="241"/>
      <c r="E58" s="241"/>
      <c r="F58" s="241" t="s">
        <v>1102</v>
      </c>
      <c r="G58" s="241"/>
      <c r="H58" s="728" t="s">
        <v>1649</v>
      </c>
      <c r="I58" s="729" t="s">
        <v>1103</v>
      </c>
      <c r="J58" s="729"/>
      <c r="K58" s="729" t="s">
        <v>970</v>
      </c>
      <c r="L58" s="728" t="s">
        <v>817</v>
      </c>
      <c r="M58" s="731"/>
      <c r="N58" s="728" t="s">
        <v>863</v>
      </c>
      <c r="O58" s="731"/>
      <c r="P58" s="728"/>
      <c r="Q58" s="730"/>
      <c r="R58" s="731"/>
      <c r="S58" s="232"/>
      <c r="T58" s="733"/>
      <c r="U58" s="728"/>
      <c r="V58" s="734"/>
      <c r="W58" s="732"/>
      <c r="X58" s="732"/>
      <c r="Y58" s="731"/>
      <c r="AA58" s="733"/>
      <c r="AB58" s="728"/>
      <c r="AC58" s="729"/>
      <c r="AD58" s="728"/>
      <c r="AE58" s="731"/>
      <c r="AF58" s="731"/>
    </row>
    <row r="59" spans="1:32" s="224" customFormat="1" ht="13.5" hidden="1" customHeight="1">
      <c r="A59" s="225">
        <v>50</v>
      </c>
      <c r="B59" s="217"/>
      <c r="C59" s="217"/>
      <c r="D59" s="241"/>
      <c r="E59" s="241"/>
      <c r="F59" s="241" t="s">
        <v>1104</v>
      </c>
      <c r="G59" s="241"/>
      <c r="H59" s="728" t="s">
        <v>1650</v>
      </c>
      <c r="I59" s="729" t="s">
        <v>1105</v>
      </c>
      <c r="J59" s="729"/>
      <c r="K59" s="729" t="s">
        <v>871</v>
      </c>
      <c r="L59" s="728" t="s">
        <v>817</v>
      </c>
      <c r="M59" s="731"/>
      <c r="N59" s="728" t="s">
        <v>863</v>
      </c>
      <c r="O59" s="731"/>
      <c r="P59" s="728"/>
      <c r="Q59" s="730"/>
      <c r="R59" s="731"/>
      <c r="S59" s="232"/>
      <c r="T59" s="733"/>
      <c r="U59" s="728"/>
      <c r="V59" s="734"/>
      <c r="W59" s="732"/>
      <c r="X59" s="732"/>
      <c r="Y59" s="731"/>
      <c r="AA59" s="733"/>
      <c r="AB59" s="728"/>
      <c r="AC59" s="729"/>
      <c r="AD59" s="728"/>
      <c r="AE59" s="731"/>
      <c r="AF59" s="731"/>
    </row>
    <row r="60" spans="1:32" s="224" customFormat="1" ht="13.5" hidden="1" customHeight="1">
      <c r="A60" s="225">
        <v>51</v>
      </c>
      <c r="B60" s="217"/>
      <c r="C60" s="217"/>
      <c r="D60" s="241" t="s">
        <v>1106</v>
      </c>
      <c r="E60" s="241"/>
      <c r="F60" s="241"/>
      <c r="G60" s="221"/>
      <c r="H60" s="728"/>
      <c r="I60" s="729"/>
      <c r="J60" s="729"/>
      <c r="K60" s="729" t="s">
        <v>1107</v>
      </c>
      <c r="L60" s="728" t="s">
        <v>817</v>
      </c>
      <c r="M60" s="731" t="s">
        <v>864</v>
      </c>
      <c r="N60" s="243" t="s">
        <v>1107</v>
      </c>
      <c r="O60" s="731"/>
      <c r="P60" s="728"/>
      <c r="Q60" s="730"/>
      <c r="R60" s="731"/>
      <c r="S60" s="232"/>
      <c r="T60" s="733"/>
      <c r="U60" s="728"/>
      <c r="V60" s="734"/>
      <c r="W60" s="732"/>
      <c r="X60" s="732"/>
      <c r="Y60" s="731"/>
      <c r="AA60" s="733"/>
      <c r="AB60" s="728"/>
      <c r="AC60" s="729"/>
      <c r="AD60" s="728"/>
      <c r="AE60" s="731"/>
      <c r="AF60" s="731"/>
    </row>
    <row r="61" spans="1:32" s="663" customFormat="1" ht="13.5" hidden="1" customHeight="1">
      <c r="A61" s="225">
        <v>52</v>
      </c>
      <c r="B61" s="217"/>
      <c r="C61" s="217"/>
      <c r="D61" s="241"/>
      <c r="E61" s="241" t="s">
        <v>388</v>
      </c>
      <c r="F61" s="241"/>
      <c r="G61" s="217"/>
      <c r="H61" s="728" t="s">
        <v>1108</v>
      </c>
      <c r="I61" s="729" t="s">
        <v>1109</v>
      </c>
      <c r="J61" s="729"/>
      <c r="K61" s="729" t="s">
        <v>871</v>
      </c>
      <c r="L61" s="728" t="s">
        <v>817</v>
      </c>
      <c r="M61" s="731"/>
      <c r="N61" s="728" t="s">
        <v>863</v>
      </c>
      <c r="O61" s="731"/>
      <c r="P61" s="728"/>
      <c r="Q61" s="252"/>
      <c r="R61" s="731"/>
      <c r="S61" s="747"/>
      <c r="T61" s="733"/>
      <c r="U61" s="728"/>
      <c r="V61" s="734"/>
      <c r="W61" s="732"/>
      <c r="X61" s="732"/>
      <c r="Y61" s="731"/>
      <c r="Z61" s="224"/>
      <c r="AA61" s="733"/>
      <c r="AB61" s="255"/>
      <c r="AC61" s="497"/>
      <c r="AD61" s="728"/>
      <c r="AE61" s="731"/>
      <c r="AF61" s="731"/>
    </row>
    <row r="62" spans="1:32" s="224" customFormat="1" ht="13.5" hidden="1" customHeight="1">
      <c r="A62" s="225">
        <v>53</v>
      </c>
      <c r="B62" s="217"/>
      <c r="C62" s="217"/>
      <c r="D62" s="241"/>
      <c r="E62" s="241" t="s">
        <v>392</v>
      </c>
      <c r="F62" s="241"/>
      <c r="G62" s="217"/>
      <c r="H62" s="728" t="s">
        <v>1112</v>
      </c>
      <c r="I62" s="729">
        <v>59350</v>
      </c>
      <c r="J62" s="729"/>
      <c r="K62" s="729" t="s">
        <v>1114</v>
      </c>
      <c r="L62" s="728" t="s">
        <v>817</v>
      </c>
      <c r="M62" s="731"/>
      <c r="N62" s="728" t="s">
        <v>863</v>
      </c>
      <c r="O62" s="731"/>
      <c r="P62" s="728" t="s">
        <v>1116</v>
      </c>
      <c r="Q62" s="252"/>
      <c r="R62" s="731"/>
      <c r="S62" s="232"/>
      <c r="T62" s="733"/>
      <c r="U62" s="728"/>
      <c r="V62" s="734"/>
      <c r="W62" s="732"/>
      <c r="X62" s="732"/>
      <c r="Y62" s="731"/>
      <c r="AA62" s="733"/>
      <c r="AB62" s="728"/>
      <c r="AC62" s="729"/>
      <c r="AD62" s="728"/>
      <c r="AE62" s="731"/>
      <c r="AF62" s="731"/>
    </row>
    <row r="63" spans="1:32" s="224" customFormat="1" ht="13.5" hidden="1" customHeight="1">
      <c r="A63" s="225">
        <v>54</v>
      </c>
      <c r="B63" s="217"/>
      <c r="C63" s="217"/>
      <c r="D63" s="241"/>
      <c r="E63" s="241" t="s">
        <v>1117</v>
      </c>
      <c r="F63" s="241"/>
      <c r="G63" s="241"/>
      <c r="H63" s="263" t="s">
        <v>1651</v>
      </c>
      <c r="I63" s="729" t="s">
        <v>1119</v>
      </c>
      <c r="J63" s="729"/>
      <c r="K63" s="729" t="s">
        <v>1120</v>
      </c>
      <c r="L63" s="728" t="s">
        <v>817</v>
      </c>
      <c r="M63" s="731"/>
      <c r="N63" s="735" t="s">
        <v>863</v>
      </c>
      <c r="O63" s="281"/>
      <c r="P63" s="728"/>
      <c r="Q63" s="730"/>
      <c r="R63" s="731"/>
      <c r="S63" s="232"/>
      <c r="T63" s="733"/>
      <c r="U63" s="728"/>
      <c r="V63" s="734"/>
      <c r="W63" s="732"/>
      <c r="X63" s="732"/>
      <c r="Y63" s="731"/>
      <c r="AA63" s="733"/>
      <c r="AB63" s="728"/>
      <c r="AC63" s="729"/>
      <c r="AD63" s="728"/>
      <c r="AE63" s="731"/>
      <c r="AF63" s="731"/>
    </row>
    <row r="64" spans="1:32" s="256" customFormat="1" ht="13.5" hidden="1" customHeight="1">
      <c r="A64" s="225">
        <v>55</v>
      </c>
      <c r="B64" s="217"/>
      <c r="C64" s="217"/>
      <c r="D64" s="241" t="s">
        <v>1121</v>
      </c>
      <c r="E64" s="241"/>
      <c r="F64" s="241"/>
      <c r="G64" s="221"/>
      <c r="H64" s="728" t="s">
        <v>1652</v>
      </c>
      <c r="I64" s="729"/>
      <c r="J64" s="729"/>
      <c r="K64" s="729" t="s">
        <v>1123</v>
      </c>
      <c r="L64" s="728" t="s">
        <v>817</v>
      </c>
      <c r="M64" s="731" t="s">
        <v>864</v>
      </c>
      <c r="N64" s="243" t="s">
        <v>1123</v>
      </c>
      <c r="O64" s="731"/>
      <c r="P64" s="728"/>
      <c r="Q64" s="730"/>
      <c r="R64" s="731"/>
      <c r="S64" s="665"/>
      <c r="T64" s="733"/>
      <c r="U64" s="728"/>
      <c r="V64" s="734"/>
      <c r="W64" s="732"/>
      <c r="X64" s="732"/>
      <c r="Y64" s="731"/>
      <c r="Z64" s="224"/>
      <c r="AA64" s="733"/>
      <c r="AB64" s="728"/>
      <c r="AC64" s="729"/>
      <c r="AD64" s="728"/>
      <c r="AE64" s="731"/>
      <c r="AF64" s="731"/>
    </row>
    <row r="65" spans="1:32" s="256" customFormat="1" ht="13.5" hidden="1" customHeight="1">
      <c r="A65" s="225">
        <v>56</v>
      </c>
      <c r="B65" s="217"/>
      <c r="C65" s="217"/>
      <c r="D65" s="241"/>
      <c r="E65" s="241" t="s">
        <v>415</v>
      </c>
      <c r="F65" s="241"/>
      <c r="G65" s="221"/>
      <c r="H65" s="728" t="s">
        <v>1124</v>
      </c>
      <c r="I65" s="729" t="s">
        <v>1125</v>
      </c>
      <c r="J65" s="729"/>
      <c r="K65" s="729" t="s">
        <v>1126</v>
      </c>
      <c r="L65" s="728" t="s">
        <v>817</v>
      </c>
      <c r="M65" s="731"/>
      <c r="N65" s="735" t="s">
        <v>863</v>
      </c>
      <c r="O65" s="281"/>
      <c r="P65" s="728"/>
      <c r="Q65" s="730"/>
      <c r="R65" s="731"/>
      <c r="S65" s="665"/>
      <c r="T65" s="733"/>
      <c r="U65" s="728"/>
      <c r="V65" s="734"/>
      <c r="W65" s="732"/>
      <c r="X65" s="732"/>
      <c r="Y65" s="731"/>
      <c r="Z65" s="224"/>
      <c r="AA65" s="733"/>
      <c r="AB65" s="728"/>
      <c r="AC65" s="729"/>
      <c r="AD65" s="728"/>
      <c r="AE65" s="731"/>
      <c r="AF65" s="731"/>
    </row>
    <row r="66" spans="1:32" s="256" customFormat="1" ht="13.5" hidden="1" customHeight="1">
      <c r="A66" s="225">
        <v>57</v>
      </c>
      <c r="B66" s="217"/>
      <c r="C66" s="217"/>
      <c r="D66" s="241"/>
      <c r="E66" s="241" t="s">
        <v>1128</v>
      </c>
      <c r="F66" s="241"/>
      <c r="G66" s="221"/>
      <c r="H66" s="728" t="s">
        <v>1129</v>
      </c>
      <c r="I66" s="729" t="s">
        <v>1130</v>
      </c>
      <c r="J66" s="729"/>
      <c r="K66" s="729" t="s">
        <v>1131</v>
      </c>
      <c r="L66" s="728" t="s">
        <v>817</v>
      </c>
      <c r="M66" s="731"/>
      <c r="N66" s="735" t="s">
        <v>863</v>
      </c>
      <c r="O66" s="281"/>
      <c r="P66" s="728"/>
      <c r="Q66" s="730"/>
      <c r="R66" s="731"/>
      <c r="S66" s="665"/>
      <c r="T66" s="733"/>
      <c r="U66" s="728"/>
      <c r="V66" s="734"/>
      <c r="W66" s="732"/>
      <c r="X66" s="732"/>
      <c r="Y66" s="731"/>
      <c r="Z66" s="224"/>
      <c r="AA66" s="733"/>
      <c r="AB66" s="728"/>
      <c r="AC66" s="729"/>
      <c r="AD66" s="728"/>
      <c r="AE66" s="731"/>
      <c r="AF66" s="731"/>
    </row>
    <row r="67" spans="1:32" s="244" customFormat="1" ht="13.5" hidden="1" customHeight="1">
      <c r="A67" s="225">
        <v>58</v>
      </c>
      <c r="B67" s="217"/>
      <c r="C67" s="217"/>
      <c r="D67" s="241"/>
      <c r="E67" s="241" t="s">
        <v>429</v>
      </c>
      <c r="F67" s="241"/>
      <c r="G67" s="221"/>
      <c r="H67" s="728" t="s">
        <v>1133</v>
      </c>
      <c r="I67" s="729" t="s">
        <v>1134</v>
      </c>
      <c r="J67" s="729"/>
      <c r="K67" s="729" t="s">
        <v>1135</v>
      </c>
      <c r="L67" s="728" t="s">
        <v>817</v>
      </c>
      <c r="M67" s="731"/>
      <c r="N67" s="735" t="s">
        <v>863</v>
      </c>
      <c r="O67" s="281"/>
      <c r="P67" s="728"/>
      <c r="Q67" s="730"/>
      <c r="R67" s="731"/>
      <c r="S67" s="666"/>
      <c r="T67" s="733"/>
      <c r="U67" s="728"/>
      <c r="V67" s="734"/>
      <c r="W67" s="732"/>
      <c r="X67" s="732"/>
      <c r="Y67" s="731"/>
      <c r="Z67" s="224"/>
      <c r="AA67" s="733"/>
      <c r="AB67" s="728"/>
      <c r="AC67" s="729"/>
      <c r="AD67" s="728"/>
      <c r="AE67" s="731"/>
      <c r="AF67" s="731"/>
    </row>
    <row r="68" spans="1:32" s="244" customFormat="1" ht="13.5" hidden="1" customHeight="1">
      <c r="A68" s="225">
        <v>59</v>
      </c>
      <c r="B68" s="217"/>
      <c r="C68" s="217"/>
      <c r="D68" s="241"/>
      <c r="E68" s="241" t="s">
        <v>426</v>
      </c>
      <c r="F68" s="241"/>
      <c r="G68" s="221"/>
      <c r="H68" s="728" t="s">
        <v>1136</v>
      </c>
      <c r="I68" s="729" t="s">
        <v>1137</v>
      </c>
      <c r="J68" s="729"/>
      <c r="K68" s="729" t="s">
        <v>1138</v>
      </c>
      <c r="L68" s="728" t="s">
        <v>823</v>
      </c>
      <c r="M68" s="731"/>
      <c r="N68" s="735" t="s">
        <v>863</v>
      </c>
      <c r="O68" s="281"/>
      <c r="P68" s="728"/>
      <c r="Q68" s="730"/>
      <c r="R68" s="731"/>
      <c r="S68" s="666"/>
      <c r="T68" s="733"/>
      <c r="U68" s="728"/>
      <c r="V68" s="734"/>
      <c r="W68" s="732"/>
      <c r="X68" s="732"/>
      <c r="Y68" s="731"/>
      <c r="Z68" s="224"/>
      <c r="AA68" s="733"/>
      <c r="AB68" s="728"/>
      <c r="AC68" s="729"/>
      <c r="AD68" s="728"/>
      <c r="AE68" s="731"/>
      <c r="AF68" s="731"/>
    </row>
    <row r="69" spans="1:32" s="244" customFormat="1" ht="13.5" hidden="1" customHeight="1">
      <c r="A69" s="225">
        <v>60</v>
      </c>
      <c r="B69" s="217"/>
      <c r="C69" s="217"/>
      <c r="D69" s="241"/>
      <c r="E69" s="241" t="s">
        <v>1140</v>
      </c>
      <c r="F69" s="241"/>
      <c r="G69" s="221"/>
      <c r="H69" s="728" t="s">
        <v>1141</v>
      </c>
      <c r="I69" s="729" t="s">
        <v>1142</v>
      </c>
      <c r="J69" s="729"/>
      <c r="K69" s="729" t="s">
        <v>1143</v>
      </c>
      <c r="L69" s="728" t="s">
        <v>817</v>
      </c>
      <c r="M69" s="731"/>
      <c r="N69" s="735" t="s">
        <v>863</v>
      </c>
      <c r="O69" s="281"/>
      <c r="P69" s="728"/>
      <c r="Q69" s="730"/>
      <c r="R69" s="731"/>
      <c r="S69" s="666"/>
      <c r="T69" s="733"/>
      <c r="U69" s="728"/>
      <c r="V69" s="734"/>
      <c r="W69" s="732"/>
      <c r="X69" s="732"/>
      <c r="Y69" s="731"/>
      <c r="Z69" s="224"/>
      <c r="AA69" s="733"/>
      <c r="AB69" s="728"/>
      <c r="AC69" s="729"/>
      <c r="AD69" s="728"/>
      <c r="AE69" s="731"/>
      <c r="AF69" s="731"/>
    </row>
    <row r="70" spans="1:32" s="257" customFormat="1" ht="13.5" hidden="1" customHeight="1">
      <c r="A70" s="225">
        <v>61</v>
      </c>
      <c r="B70" s="217"/>
      <c r="C70" s="217"/>
      <c r="D70" s="241"/>
      <c r="E70" s="241" t="s">
        <v>1144</v>
      </c>
      <c r="F70" s="241"/>
      <c r="G70" s="221"/>
      <c r="H70" s="728" t="s">
        <v>410</v>
      </c>
      <c r="I70" s="729" t="s">
        <v>1145</v>
      </c>
      <c r="J70" s="729"/>
      <c r="K70" s="729" t="s">
        <v>1146</v>
      </c>
      <c r="L70" s="728" t="s">
        <v>817</v>
      </c>
      <c r="M70" s="731"/>
      <c r="N70" s="735" t="s">
        <v>863</v>
      </c>
      <c r="O70" s="281"/>
      <c r="P70" s="728"/>
      <c r="Q70" s="730"/>
      <c r="R70" s="731"/>
      <c r="S70" s="667"/>
      <c r="T70" s="733"/>
      <c r="U70" s="728"/>
      <c r="V70" s="734"/>
      <c r="W70" s="732"/>
      <c r="X70" s="732"/>
      <c r="Y70" s="731"/>
      <c r="Z70" s="224"/>
      <c r="AA70" s="733"/>
      <c r="AB70" s="728"/>
      <c r="AC70" s="729"/>
      <c r="AD70" s="728"/>
      <c r="AE70" s="731"/>
      <c r="AF70" s="731"/>
    </row>
    <row r="71" spans="1:32" s="258" customFormat="1" ht="13.5" hidden="1" customHeight="1">
      <c r="A71" s="225">
        <v>62</v>
      </c>
      <c r="B71" s="217"/>
      <c r="C71" s="217"/>
      <c r="D71" s="241"/>
      <c r="E71" s="241" t="s">
        <v>1147</v>
      </c>
      <c r="F71" s="241"/>
      <c r="G71" s="221"/>
      <c r="H71" s="728"/>
      <c r="I71" s="729" t="s">
        <v>1148</v>
      </c>
      <c r="J71" s="729"/>
      <c r="K71" s="729" t="s">
        <v>1149</v>
      </c>
      <c r="L71" s="728" t="s">
        <v>817</v>
      </c>
      <c r="M71" s="731"/>
      <c r="N71" s="735" t="s">
        <v>863</v>
      </c>
      <c r="O71" s="281"/>
      <c r="P71" s="728"/>
      <c r="Q71" s="730"/>
      <c r="R71" s="731"/>
      <c r="S71" s="668"/>
      <c r="T71" s="733"/>
      <c r="U71" s="728"/>
      <c r="V71" s="734"/>
      <c r="W71" s="732"/>
      <c r="X71" s="732"/>
      <c r="Y71" s="731"/>
      <c r="Z71" s="224"/>
      <c r="AA71" s="733"/>
      <c r="AB71" s="728"/>
      <c r="AC71" s="729"/>
      <c r="AD71" s="728"/>
      <c r="AE71" s="731"/>
      <c r="AF71" s="731"/>
    </row>
    <row r="72" spans="1:32" s="256" customFormat="1" ht="13.5" hidden="1" customHeight="1">
      <c r="A72" s="225">
        <v>63</v>
      </c>
      <c r="B72" s="217"/>
      <c r="C72" s="217"/>
      <c r="D72" s="241"/>
      <c r="E72" s="241" t="s">
        <v>178</v>
      </c>
      <c r="F72" s="241"/>
      <c r="G72" s="221"/>
      <c r="H72" s="728" t="s">
        <v>1150</v>
      </c>
      <c r="I72" s="729" t="s">
        <v>1151</v>
      </c>
      <c r="J72" s="729"/>
      <c r="K72" s="729" t="s">
        <v>1152</v>
      </c>
      <c r="L72" s="728" t="s">
        <v>817</v>
      </c>
      <c r="M72" s="731"/>
      <c r="N72" s="735" t="s">
        <v>863</v>
      </c>
      <c r="O72" s="281"/>
      <c r="P72" s="728"/>
      <c r="Q72" s="730"/>
      <c r="R72" s="731"/>
      <c r="S72" s="665"/>
      <c r="T72" s="733"/>
      <c r="U72" s="728"/>
      <c r="V72" s="734"/>
      <c r="W72" s="732"/>
      <c r="X72" s="732"/>
      <c r="Y72" s="731"/>
      <c r="Z72" s="224"/>
      <c r="AA72" s="733"/>
      <c r="AB72" s="728"/>
      <c r="AC72" s="729"/>
      <c r="AD72" s="728"/>
      <c r="AE72" s="731"/>
      <c r="AF72" s="731"/>
    </row>
    <row r="73" spans="1:32" s="256" customFormat="1" ht="13.5" hidden="1" customHeight="1">
      <c r="A73" s="225">
        <v>64</v>
      </c>
      <c r="B73" s="217"/>
      <c r="C73" s="217"/>
      <c r="D73" s="241"/>
      <c r="E73" s="241" t="s">
        <v>1153</v>
      </c>
      <c r="F73" s="241"/>
      <c r="G73" s="241"/>
      <c r="H73" s="728" t="s">
        <v>1154</v>
      </c>
      <c r="I73" s="729">
        <v>33123452323</v>
      </c>
      <c r="J73" s="729"/>
      <c r="K73" s="729" t="s">
        <v>1155</v>
      </c>
      <c r="L73" s="728" t="s">
        <v>817</v>
      </c>
      <c r="M73" s="731"/>
      <c r="N73" s="728" t="s">
        <v>1092</v>
      </c>
      <c r="O73" s="731"/>
      <c r="P73" s="728"/>
      <c r="Q73" s="730"/>
      <c r="R73" s="731"/>
      <c r="S73" s="665"/>
      <c r="T73" s="733"/>
      <c r="U73" s="728"/>
      <c r="V73" s="734"/>
      <c r="W73" s="732"/>
      <c r="X73" s="732"/>
      <c r="Y73" s="731"/>
      <c r="Z73" s="224"/>
      <c r="AA73" s="733"/>
      <c r="AB73" s="728"/>
      <c r="AC73" s="729"/>
      <c r="AD73" s="728"/>
      <c r="AE73" s="731"/>
      <c r="AF73" s="731"/>
    </row>
    <row r="74" spans="1:32" s="224" customFormat="1" ht="13.5" hidden="1" customHeight="1">
      <c r="A74" s="225">
        <v>65</v>
      </c>
      <c r="B74" s="217"/>
      <c r="C74" s="217"/>
      <c r="D74" s="241" t="s">
        <v>1157</v>
      </c>
      <c r="E74" s="241"/>
      <c r="F74" s="241"/>
      <c r="G74" s="217"/>
      <c r="H74" s="728"/>
      <c r="I74" s="729"/>
      <c r="J74" s="729"/>
      <c r="K74" s="729" t="s">
        <v>1159</v>
      </c>
      <c r="L74" s="728" t="s">
        <v>817</v>
      </c>
      <c r="M74" s="731" t="s">
        <v>864</v>
      </c>
      <c r="N74" s="243" t="s">
        <v>1159</v>
      </c>
      <c r="O74" s="731"/>
      <c r="P74" s="728"/>
      <c r="Q74" s="252"/>
      <c r="R74" s="731"/>
      <c r="S74" s="232"/>
      <c r="T74" s="733"/>
      <c r="U74" s="728"/>
      <c r="V74" s="734"/>
      <c r="W74" s="732"/>
      <c r="X74" s="732"/>
      <c r="Y74" s="731"/>
      <c r="AA74" s="733"/>
      <c r="AB74" s="728"/>
      <c r="AC74" s="729"/>
      <c r="AD74" s="728"/>
      <c r="AE74" s="731"/>
      <c r="AF74" s="731"/>
    </row>
    <row r="75" spans="1:32" s="224" customFormat="1" ht="13.5" hidden="1" customHeight="1">
      <c r="A75" s="225">
        <v>66</v>
      </c>
      <c r="B75" s="217"/>
      <c r="C75" s="217"/>
      <c r="D75" s="241"/>
      <c r="E75" s="241" t="s">
        <v>1160</v>
      </c>
      <c r="F75" s="241"/>
      <c r="G75" s="241"/>
      <c r="H75" s="728" t="s">
        <v>1161</v>
      </c>
      <c r="I75" s="729" t="s">
        <v>930</v>
      </c>
      <c r="J75" s="729"/>
      <c r="K75" s="729" t="s">
        <v>1162</v>
      </c>
      <c r="L75" s="728" t="s">
        <v>820</v>
      </c>
      <c r="M75" s="731"/>
      <c r="N75" s="728" t="s">
        <v>879</v>
      </c>
      <c r="O75" s="731"/>
      <c r="P75" s="728"/>
      <c r="Q75" s="730"/>
      <c r="R75" s="731"/>
      <c r="S75" s="232"/>
      <c r="T75" s="733"/>
      <c r="U75" s="728"/>
      <c r="V75" s="734"/>
      <c r="W75" s="732"/>
      <c r="X75" s="732"/>
      <c r="Y75" s="731"/>
      <c r="AA75" s="733"/>
      <c r="AB75" s="728"/>
      <c r="AC75" s="729"/>
      <c r="AD75" s="728"/>
      <c r="AE75" s="731"/>
      <c r="AF75" s="731"/>
    </row>
    <row r="76" spans="1:32" s="224" customFormat="1" ht="13.5" hidden="1" customHeight="1">
      <c r="A76" s="225">
        <v>67</v>
      </c>
      <c r="B76" s="217"/>
      <c r="C76" s="217"/>
      <c r="D76" s="241"/>
      <c r="E76" s="241" t="s">
        <v>1164</v>
      </c>
      <c r="F76" s="241"/>
      <c r="G76" s="217"/>
      <c r="H76" s="728" t="s">
        <v>1165</v>
      </c>
      <c r="I76" s="729"/>
      <c r="J76" s="729"/>
      <c r="K76" s="729" t="s">
        <v>1166</v>
      </c>
      <c r="L76" s="728" t="s">
        <v>817</v>
      </c>
      <c r="M76" s="731" t="s">
        <v>864</v>
      </c>
      <c r="N76" s="243" t="s">
        <v>1166</v>
      </c>
      <c r="O76" s="731"/>
      <c r="P76" s="728"/>
      <c r="Q76" s="252"/>
      <c r="R76" s="731"/>
      <c r="S76" s="232"/>
      <c r="T76" s="733"/>
      <c r="U76" s="728"/>
      <c r="V76" s="734"/>
      <c r="W76" s="732"/>
      <c r="X76" s="732"/>
      <c r="Y76" s="731"/>
      <c r="AA76" s="733"/>
      <c r="AB76" s="728"/>
      <c r="AC76" s="729"/>
      <c r="AD76" s="728"/>
      <c r="AE76" s="731"/>
      <c r="AF76" s="731"/>
    </row>
    <row r="77" spans="1:32" s="224" customFormat="1" ht="13.5" hidden="1" customHeight="1">
      <c r="A77" s="225">
        <v>68</v>
      </c>
      <c r="B77" s="217"/>
      <c r="C77" s="217"/>
      <c r="D77" s="241"/>
      <c r="E77" s="241"/>
      <c r="F77" s="241" t="s">
        <v>1167</v>
      </c>
      <c r="G77" s="217"/>
      <c r="H77" s="728" t="s">
        <v>1168</v>
      </c>
      <c r="I77" s="729"/>
      <c r="J77" s="729"/>
      <c r="K77" s="729" t="s">
        <v>1169</v>
      </c>
      <c r="L77" s="728" t="s">
        <v>820</v>
      </c>
      <c r="M77" s="731" t="s">
        <v>864</v>
      </c>
      <c r="N77" s="243" t="s">
        <v>1169</v>
      </c>
      <c r="O77" s="731"/>
      <c r="P77" s="728"/>
      <c r="Q77" s="252"/>
      <c r="R77" s="731"/>
      <c r="S77" s="232"/>
      <c r="T77" s="733"/>
      <c r="U77" s="728"/>
      <c r="V77" s="734"/>
      <c r="W77" s="732"/>
      <c r="X77" s="732"/>
      <c r="Y77" s="731"/>
      <c r="AA77" s="733"/>
      <c r="AB77" s="728"/>
      <c r="AC77" s="729"/>
      <c r="AD77" s="728"/>
      <c r="AE77" s="731"/>
      <c r="AF77" s="731"/>
    </row>
    <row r="78" spans="1:32" s="224" customFormat="1" ht="13.5" hidden="1" customHeight="1">
      <c r="A78" s="225">
        <v>69</v>
      </c>
      <c r="B78" s="217"/>
      <c r="C78" s="217"/>
      <c r="D78" s="241"/>
      <c r="E78" s="241"/>
      <c r="F78" s="241"/>
      <c r="G78" s="217" t="s">
        <v>1170</v>
      </c>
      <c r="H78" s="728" t="s">
        <v>1171</v>
      </c>
      <c r="I78" s="729" t="s">
        <v>1172</v>
      </c>
      <c r="J78" s="729"/>
      <c r="K78" s="729" t="s">
        <v>1173</v>
      </c>
      <c r="L78" s="728" t="s">
        <v>820</v>
      </c>
      <c r="M78" s="731"/>
      <c r="N78" s="728" t="s">
        <v>1092</v>
      </c>
      <c r="O78" s="731"/>
      <c r="P78" s="728"/>
      <c r="Q78" s="252"/>
      <c r="R78" s="731"/>
      <c r="S78" s="232"/>
      <c r="T78" s="733"/>
      <c r="U78" s="728"/>
      <c r="V78" s="734"/>
      <c r="W78" s="732"/>
      <c r="X78" s="732"/>
      <c r="Y78" s="731"/>
      <c r="AA78" s="728"/>
      <c r="AB78" s="728"/>
      <c r="AC78" s="497"/>
      <c r="AD78" s="728"/>
      <c r="AE78" s="731"/>
      <c r="AF78" s="731"/>
    </row>
    <row r="79" spans="1:32" s="256" customFormat="1" ht="13.5" hidden="1" customHeight="1">
      <c r="A79" s="225">
        <v>70</v>
      </c>
      <c r="B79" s="217"/>
      <c r="C79" s="217"/>
      <c r="D79" s="241"/>
      <c r="E79" s="241"/>
      <c r="F79" s="241"/>
      <c r="G79" s="217" t="s">
        <v>1176</v>
      </c>
      <c r="H79" s="728" t="s">
        <v>1177</v>
      </c>
      <c r="I79" s="729" t="s">
        <v>1178</v>
      </c>
      <c r="J79" s="729"/>
      <c r="K79" s="729" t="s">
        <v>1179</v>
      </c>
      <c r="L79" s="728" t="s">
        <v>820</v>
      </c>
      <c r="M79" s="731"/>
      <c r="N79" s="728" t="s">
        <v>1092</v>
      </c>
      <c r="O79" s="731"/>
      <c r="P79" s="728"/>
      <c r="Q79" s="252"/>
      <c r="R79" s="731"/>
      <c r="S79" s="665"/>
      <c r="T79" s="733"/>
      <c r="U79" s="728"/>
      <c r="V79" s="734"/>
      <c r="W79" s="732"/>
      <c r="X79" s="732"/>
      <c r="Y79" s="731"/>
      <c r="Z79" s="224"/>
      <c r="AA79" s="728"/>
      <c r="AB79" s="728"/>
      <c r="AC79" s="497"/>
      <c r="AD79" s="728"/>
      <c r="AE79" s="731"/>
      <c r="AF79" s="731"/>
    </row>
    <row r="80" spans="1:32" s="244" customFormat="1" ht="13.5" hidden="1" customHeight="1">
      <c r="A80" s="225">
        <v>71</v>
      </c>
      <c r="B80" s="217"/>
      <c r="C80" s="217"/>
      <c r="D80" s="241"/>
      <c r="E80" s="241"/>
      <c r="F80" s="241"/>
      <c r="G80" s="669" t="s">
        <v>1180</v>
      </c>
      <c r="H80" s="728" t="s">
        <v>1181</v>
      </c>
      <c r="I80" s="729">
        <v>120</v>
      </c>
      <c r="J80" s="729"/>
      <c r="K80" s="728" t="s">
        <v>1182</v>
      </c>
      <c r="L80" s="728" t="s">
        <v>817</v>
      </c>
      <c r="M80" s="731"/>
      <c r="N80" s="728" t="s">
        <v>1092</v>
      </c>
      <c r="O80" s="731"/>
      <c r="P80" s="728"/>
      <c r="Q80" s="730"/>
      <c r="R80" s="731"/>
      <c r="S80" s="666"/>
      <c r="T80" s="733"/>
      <c r="U80" s="728"/>
      <c r="V80" s="734"/>
      <c r="W80" s="732"/>
      <c r="X80" s="732"/>
      <c r="Y80" s="731"/>
      <c r="Z80" s="224"/>
      <c r="AA80" s="728"/>
      <c r="AB80" s="728"/>
      <c r="AC80" s="729"/>
      <c r="AD80" s="728"/>
      <c r="AE80" s="731"/>
      <c r="AF80" s="731"/>
    </row>
    <row r="81" spans="1:1009" s="244" customFormat="1" ht="13.5" hidden="1" customHeight="1">
      <c r="A81" s="225">
        <v>72</v>
      </c>
      <c r="B81" s="217"/>
      <c r="C81" s="217"/>
      <c r="D81" s="241"/>
      <c r="E81" s="241"/>
      <c r="F81" s="241"/>
      <c r="G81" s="241" t="s">
        <v>1192</v>
      </c>
      <c r="H81" s="728" t="s">
        <v>1193</v>
      </c>
      <c r="I81" s="729" t="s">
        <v>1194</v>
      </c>
      <c r="J81" s="729"/>
      <c r="K81" s="729" t="s">
        <v>1195</v>
      </c>
      <c r="L81" s="728" t="s">
        <v>820</v>
      </c>
      <c r="M81" s="731"/>
      <c r="N81" s="728" t="s">
        <v>863</v>
      </c>
      <c r="O81" s="731" t="s">
        <v>864</v>
      </c>
      <c r="P81" s="728" t="s">
        <v>1653</v>
      </c>
      <c r="Q81" s="730"/>
      <c r="R81" s="731"/>
      <c r="S81" s="666"/>
      <c r="T81" s="733"/>
      <c r="U81" s="728"/>
      <c r="V81" s="734"/>
      <c r="W81" s="732"/>
      <c r="X81" s="732"/>
      <c r="Y81" s="731"/>
      <c r="Z81" s="224"/>
      <c r="AA81" s="733"/>
      <c r="AB81" s="728"/>
      <c r="AC81" s="729"/>
      <c r="AD81" s="728"/>
      <c r="AE81" s="731"/>
      <c r="AF81" s="731"/>
    </row>
    <row r="82" spans="1:1009" s="256" customFormat="1" ht="13.5" hidden="1" customHeight="1">
      <c r="A82" s="225">
        <v>73</v>
      </c>
      <c r="B82" s="217"/>
      <c r="C82" s="217"/>
      <c r="D82" s="241"/>
      <c r="E82" s="241"/>
      <c r="F82" s="241" t="s">
        <v>1197</v>
      </c>
      <c r="G82" s="217"/>
      <c r="H82" s="728" t="s">
        <v>1198</v>
      </c>
      <c r="I82" s="729" t="s">
        <v>1199</v>
      </c>
      <c r="J82" s="729"/>
      <c r="K82" s="729" t="s">
        <v>1201</v>
      </c>
      <c r="L82" s="728" t="s">
        <v>817</v>
      </c>
      <c r="M82" s="731"/>
      <c r="N82" s="728" t="s">
        <v>863</v>
      </c>
      <c r="O82" s="731"/>
      <c r="P82" s="728"/>
      <c r="Q82" s="730"/>
      <c r="R82" s="731"/>
      <c r="S82" s="665"/>
      <c r="T82" s="733"/>
      <c r="U82" s="728"/>
      <c r="V82" s="734"/>
      <c r="W82" s="732"/>
      <c r="X82" s="732"/>
      <c r="Y82" s="731"/>
      <c r="Z82" s="224"/>
      <c r="AA82" s="733"/>
      <c r="AB82" s="728"/>
      <c r="AC82" s="729"/>
      <c r="AD82" s="728"/>
      <c r="AE82" s="731"/>
      <c r="AF82" s="731"/>
    </row>
    <row r="83" spans="1:1009" s="256" customFormat="1" ht="13.5" hidden="1" customHeight="1">
      <c r="A83" s="225">
        <v>74</v>
      </c>
      <c r="B83" s="217"/>
      <c r="C83" s="217"/>
      <c r="D83" s="241"/>
      <c r="E83" s="241" t="s">
        <v>1202</v>
      </c>
      <c r="F83" s="241"/>
      <c r="G83" s="217"/>
      <c r="H83" s="728" t="s">
        <v>1203</v>
      </c>
      <c r="I83" s="729"/>
      <c r="J83" s="729"/>
      <c r="K83" s="729" t="s">
        <v>1204</v>
      </c>
      <c r="L83" s="728" t="s">
        <v>817</v>
      </c>
      <c r="M83" s="731"/>
      <c r="N83" s="728" t="s">
        <v>863</v>
      </c>
      <c r="O83" s="731"/>
      <c r="P83" s="728"/>
      <c r="Q83" s="252"/>
      <c r="R83" s="731"/>
      <c r="S83" s="665"/>
      <c r="T83" s="733"/>
      <c r="U83" s="728"/>
      <c r="V83" s="734"/>
      <c r="W83" s="732"/>
      <c r="X83" s="732"/>
      <c r="Y83" s="731"/>
      <c r="Z83" s="224"/>
      <c r="AA83" s="733"/>
      <c r="AB83" s="728"/>
      <c r="AC83" s="729"/>
      <c r="AD83" s="728"/>
      <c r="AE83" s="731"/>
      <c r="AF83" s="731"/>
    </row>
    <row r="84" spans="1:1009" s="224" customFormat="1" ht="13.5" hidden="1" customHeight="1">
      <c r="A84" s="225">
        <v>75</v>
      </c>
      <c r="B84" s="217"/>
      <c r="C84" s="217"/>
      <c r="D84" s="241" t="s">
        <v>1205</v>
      </c>
      <c r="E84" s="241"/>
      <c r="F84" s="241"/>
      <c r="G84" s="217"/>
      <c r="H84" s="728" t="s">
        <v>1206</v>
      </c>
      <c r="I84" s="729"/>
      <c r="J84" s="729"/>
      <c r="K84" s="729" t="s">
        <v>1207</v>
      </c>
      <c r="L84" s="728" t="s">
        <v>823</v>
      </c>
      <c r="M84" s="731" t="s">
        <v>864</v>
      </c>
      <c r="N84" s="243" t="s">
        <v>1207</v>
      </c>
      <c r="O84" s="731"/>
      <c r="P84" s="728"/>
      <c r="Q84" s="252"/>
      <c r="R84" s="731"/>
      <c r="S84" s="232"/>
      <c r="T84" s="733"/>
      <c r="U84" s="728"/>
      <c r="V84" s="734"/>
      <c r="W84" s="732"/>
      <c r="X84" s="732"/>
      <c r="Y84" s="731"/>
      <c r="AA84" s="733"/>
      <c r="AB84" s="728"/>
      <c r="AC84" s="729"/>
      <c r="AD84" s="728"/>
      <c r="AE84" s="731"/>
      <c r="AF84" s="731"/>
    </row>
    <row r="85" spans="1:1009" s="224" customFormat="1" ht="13.5" hidden="1" customHeight="1">
      <c r="A85" s="225">
        <v>76</v>
      </c>
      <c r="B85" s="217"/>
      <c r="C85" s="217"/>
      <c r="D85" s="241"/>
      <c r="E85" s="241" t="s">
        <v>1208</v>
      </c>
      <c r="F85" s="241"/>
      <c r="G85" s="217"/>
      <c r="H85" s="728" t="s">
        <v>1209</v>
      </c>
      <c r="I85" s="729" t="s">
        <v>1210</v>
      </c>
      <c r="J85" s="729"/>
      <c r="K85" s="729" t="s">
        <v>939</v>
      </c>
      <c r="L85" s="728" t="s">
        <v>820</v>
      </c>
      <c r="M85" s="731"/>
      <c r="N85" s="728" t="s">
        <v>863</v>
      </c>
      <c r="O85" s="731" t="s">
        <v>864</v>
      </c>
      <c r="P85" s="728" t="s">
        <v>1657</v>
      </c>
      <c r="Q85" s="252"/>
      <c r="R85" s="731"/>
      <c r="S85" s="232"/>
      <c r="T85" s="733"/>
      <c r="U85" s="728"/>
      <c r="V85" s="734"/>
      <c r="W85" s="732"/>
      <c r="X85" s="732"/>
      <c r="Y85" s="731"/>
      <c r="AA85" s="733"/>
      <c r="AB85" s="728"/>
      <c r="AC85" s="729"/>
      <c r="AD85" s="728"/>
      <c r="AE85" s="731"/>
      <c r="AF85" s="731"/>
    </row>
    <row r="86" spans="1:1009" s="224" customFormat="1" ht="13.5" hidden="1" customHeight="1">
      <c r="A86" s="225">
        <v>77</v>
      </c>
      <c r="B86" s="217"/>
      <c r="C86" s="217"/>
      <c r="D86" s="241"/>
      <c r="E86" s="241" t="s">
        <v>1212</v>
      </c>
      <c r="F86" s="241"/>
      <c r="G86" s="217"/>
      <c r="H86" s="728" t="s">
        <v>1213</v>
      </c>
      <c r="I86" s="729" t="s">
        <v>1214</v>
      </c>
      <c r="J86" s="729"/>
      <c r="K86" s="729" t="s">
        <v>970</v>
      </c>
      <c r="L86" s="728" t="s">
        <v>820</v>
      </c>
      <c r="M86" s="731"/>
      <c r="N86" s="728" t="s">
        <v>863</v>
      </c>
      <c r="O86" s="731" t="s">
        <v>864</v>
      </c>
      <c r="P86" s="728" t="s">
        <v>1658</v>
      </c>
      <c r="Q86" s="252"/>
      <c r="R86" s="731"/>
      <c r="S86" s="232"/>
      <c r="T86" s="733"/>
      <c r="U86" s="728"/>
      <c r="V86" s="734"/>
      <c r="W86" s="732"/>
      <c r="X86" s="732"/>
      <c r="Y86" s="731"/>
      <c r="AA86" s="733"/>
      <c r="AB86" s="728"/>
      <c r="AC86" s="729"/>
      <c r="AD86" s="728"/>
      <c r="AE86" s="731"/>
      <c r="AF86" s="731"/>
    </row>
    <row r="87" spans="1:1009" s="663" customFormat="1" ht="13.5" hidden="1" customHeight="1">
      <c r="A87" s="225">
        <v>78</v>
      </c>
      <c r="B87" s="217"/>
      <c r="C87" s="217"/>
      <c r="D87" s="241"/>
      <c r="E87" s="241" t="s">
        <v>1077</v>
      </c>
      <c r="F87" s="241"/>
      <c r="G87" s="217"/>
      <c r="H87" s="728" t="s">
        <v>1216</v>
      </c>
      <c r="I87" s="729" t="s">
        <v>1217</v>
      </c>
      <c r="J87" s="729"/>
      <c r="K87" s="729" t="s">
        <v>1219</v>
      </c>
      <c r="L87" s="728" t="s">
        <v>820</v>
      </c>
      <c r="M87" s="731"/>
      <c r="N87" s="735" t="s">
        <v>863</v>
      </c>
      <c r="O87" s="281"/>
      <c r="P87" s="728"/>
      <c r="Q87" s="252"/>
      <c r="R87" s="731"/>
      <c r="S87" s="747"/>
      <c r="T87" s="733"/>
      <c r="U87" s="728"/>
      <c r="V87" s="734"/>
      <c r="W87" s="732"/>
      <c r="X87" s="732"/>
      <c r="Y87" s="731"/>
      <c r="Z87" s="224"/>
      <c r="AA87" s="733"/>
      <c r="AB87" s="728"/>
      <c r="AC87" s="729"/>
      <c r="AD87" s="728"/>
      <c r="AE87" s="731"/>
      <c r="AF87" s="731"/>
      <c r="AG87" s="738"/>
      <c r="AH87" s="738"/>
      <c r="AI87" s="738"/>
      <c r="AJ87" s="738"/>
      <c r="AK87" s="738"/>
      <c r="AL87" s="738"/>
      <c r="AM87" s="738"/>
      <c r="AN87" s="738"/>
      <c r="AO87" s="738"/>
      <c r="AP87" s="738"/>
      <c r="AQ87" s="738"/>
      <c r="AR87" s="738"/>
      <c r="AS87" s="738"/>
      <c r="AT87" s="738"/>
      <c r="AU87" s="738"/>
      <c r="AV87" s="738"/>
      <c r="AW87" s="738"/>
      <c r="AX87" s="738"/>
      <c r="AY87" s="738"/>
      <c r="AZ87" s="738"/>
      <c r="BA87" s="738"/>
      <c r="BB87" s="738"/>
      <c r="BC87" s="738"/>
      <c r="BD87" s="738"/>
      <c r="BE87" s="738"/>
      <c r="BF87" s="738"/>
      <c r="BG87" s="738"/>
      <c r="BH87" s="738"/>
      <c r="BI87" s="738"/>
      <c r="BJ87" s="738"/>
      <c r="BK87" s="738"/>
      <c r="BL87" s="738"/>
      <c r="BM87" s="738"/>
      <c r="BN87" s="738"/>
      <c r="BO87" s="738"/>
      <c r="BP87" s="738"/>
      <c r="BQ87" s="738"/>
      <c r="BR87" s="738"/>
      <c r="BS87" s="738"/>
      <c r="BT87" s="738"/>
      <c r="BU87" s="738"/>
      <c r="BV87" s="738"/>
      <c r="BW87" s="738"/>
      <c r="BX87" s="738"/>
      <c r="BY87" s="738"/>
      <c r="BZ87" s="738"/>
      <c r="CA87" s="738"/>
      <c r="CB87" s="738"/>
      <c r="CC87" s="738"/>
      <c r="CD87" s="738"/>
      <c r="CE87" s="738"/>
      <c r="CF87" s="738"/>
      <c r="CG87" s="738"/>
      <c r="CH87" s="738"/>
      <c r="CI87" s="738"/>
      <c r="CJ87" s="738"/>
      <c r="CK87" s="738"/>
      <c r="CL87" s="738"/>
      <c r="CM87" s="738"/>
      <c r="CN87" s="738"/>
      <c r="CO87" s="738"/>
      <c r="CP87" s="738"/>
      <c r="CQ87" s="738"/>
      <c r="CR87" s="738"/>
      <c r="CS87" s="738"/>
      <c r="CT87" s="738"/>
      <c r="CU87" s="738"/>
      <c r="CV87" s="738"/>
      <c r="CW87" s="738"/>
      <c r="CX87" s="738"/>
      <c r="CY87" s="738"/>
      <c r="CZ87" s="738"/>
      <c r="DA87" s="738"/>
      <c r="DB87" s="738"/>
      <c r="DC87" s="738"/>
      <c r="DD87" s="738"/>
      <c r="DE87" s="738"/>
      <c r="DF87" s="738"/>
      <c r="DG87" s="738"/>
      <c r="DH87" s="738"/>
      <c r="DI87" s="738"/>
      <c r="DJ87" s="738"/>
      <c r="DK87" s="738"/>
      <c r="DL87" s="738"/>
      <c r="DM87" s="738"/>
      <c r="DN87" s="738"/>
      <c r="DO87" s="738"/>
      <c r="DP87" s="738"/>
      <c r="DQ87" s="738"/>
      <c r="DR87" s="738"/>
      <c r="DS87" s="738"/>
      <c r="DT87" s="738"/>
      <c r="DU87" s="738"/>
      <c r="DV87" s="738"/>
      <c r="DW87" s="738"/>
      <c r="DX87" s="738"/>
      <c r="DY87" s="738"/>
      <c r="DZ87" s="738"/>
      <c r="EA87" s="738"/>
      <c r="EB87" s="738"/>
      <c r="EC87" s="738"/>
      <c r="ED87" s="738"/>
      <c r="EE87" s="738"/>
      <c r="EF87" s="738"/>
      <c r="EG87" s="738"/>
      <c r="EH87" s="738"/>
      <c r="EI87" s="738"/>
      <c r="EJ87" s="738"/>
      <c r="EK87" s="738"/>
      <c r="EL87" s="738"/>
      <c r="EM87" s="738"/>
      <c r="EN87" s="738"/>
      <c r="EO87" s="738"/>
      <c r="EP87" s="738"/>
      <c r="EQ87" s="738"/>
      <c r="ER87" s="738"/>
      <c r="ES87" s="738"/>
      <c r="ET87" s="738"/>
      <c r="EU87" s="738"/>
      <c r="EV87" s="738"/>
      <c r="EW87" s="738"/>
      <c r="EX87" s="738"/>
      <c r="EY87" s="738"/>
      <c r="EZ87" s="738"/>
      <c r="FA87" s="738"/>
      <c r="FB87" s="738"/>
      <c r="FC87" s="738"/>
      <c r="FD87" s="738"/>
      <c r="FE87" s="738"/>
      <c r="FF87" s="738"/>
      <c r="FG87" s="738"/>
      <c r="FH87" s="738"/>
      <c r="FI87" s="738"/>
      <c r="FJ87" s="738"/>
      <c r="FK87" s="738"/>
      <c r="FL87" s="738"/>
      <c r="FM87" s="738"/>
      <c r="FN87" s="738"/>
      <c r="FO87" s="738"/>
      <c r="FP87" s="738"/>
      <c r="FQ87" s="738"/>
      <c r="FR87" s="738"/>
      <c r="FS87" s="738"/>
      <c r="FT87" s="738"/>
      <c r="FU87" s="738"/>
      <c r="FV87" s="738"/>
      <c r="FW87" s="738"/>
      <c r="FX87" s="738"/>
      <c r="FY87" s="738"/>
      <c r="FZ87" s="738"/>
      <c r="GA87" s="738"/>
      <c r="GB87" s="738"/>
      <c r="GC87" s="738"/>
      <c r="GD87" s="738"/>
      <c r="GE87" s="738"/>
      <c r="GF87" s="738"/>
      <c r="GG87" s="738"/>
      <c r="GH87" s="738"/>
      <c r="GI87" s="738"/>
      <c r="GJ87" s="738"/>
      <c r="GK87" s="738"/>
      <c r="GL87" s="738"/>
      <c r="GM87" s="738"/>
      <c r="GN87" s="738"/>
      <c r="GO87" s="738"/>
      <c r="GP87" s="738"/>
      <c r="GQ87" s="738"/>
      <c r="GR87" s="738"/>
      <c r="GS87" s="738"/>
      <c r="GT87" s="738"/>
      <c r="GU87" s="738"/>
      <c r="GV87" s="738"/>
      <c r="GW87" s="738"/>
      <c r="GX87" s="738"/>
      <c r="GY87" s="738"/>
      <c r="GZ87" s="738"/>
      <c r="HA87" s="738"/>
      <c r="HB87" s="738"/>
      <c r="HC87" s="738"/>
      <c r="HD87" s="738"/>
      <c r="HE87" s="738"/>
      <c r="HF87" s="738"/>
      <c r="HG87" s="738"/>
      <c r="HH87" s="738"/>
      <c r="HI87" s="738"/>
      <c r="HJ87" s="738"/>
      <c r="HK87" s="738"/>
      <c r="HL87" s="738"/>
      <c r="HM87" s="738"/>
      <c r="HN87" s="738"/>
      <c r="HO87" s="738"/>
      <c r="HP87" s="738"/>
      <c r="HQ87" s="738"/>
      <c r="HR87" s="738"/>
      <c r="HS87" s="738"/>
      <c r="HT87" s="738"/>
      <c r="HU87" s="738"/>
      <c r="HV87" s="738"/>
      <c r="HW87" s="738"/>
      <c r="HX87" s="738"/>
      <c r="HY87" s="738"/>
      <c r="HZ87" s="738"/>
      <c r="IA87" s="738"/>
      <c r="IB87" s="738"/>
      <c r="IC87" s="738"/>
      <c r="ID87" s="738"/>
      <c r="IE87" s="738"/>
      <c r="IF87" s="738"/>
      <c r="IG87" s="738"/>
      <c r="IH87" s="738"/>
      <c r="II87" s="738"/>
      <c r="IJ87" s="738"/>
      <c r="IK87" s="738"/>
      <c r="IL87" s="738"/>
      <c r="IM87" s="738"/>
      <c r="IN87" s="738"/>
      <c r="IO87" s="738"/>
      <c r="IP87" s="738"/>
      <c r="IQ87" s="738"/>
      <c r="IR87" s="738"/>
      <c r="IS87" s="738"/>
      <c r="IT87" s="738"/>
      <c r="IU87" s="738"/>
      <c r="IV87" s="738"/>
      <c r="IW87" s="738"/>
      <c r="IX87" s="738"/>
      <c r="IY87" s="738"/>
      <c r="IZ87" s="738"/>
      <c r="JA87" s="738"/>
      <c r="JB87" s="738"/>
      <c r="JC87" s="738"/>
      <c r="JD87" s="738"/>
      <c r="JE87" s="738"/>
      <c r="JF87" s="738"/>
      <c r="JG87" s="738"/>
      <c r="JH87" s="738"/>
      <c r="JI87" s="738"/>
      <c r="JJ87" s="738"/>
      <c r="JK87" s="738"/>
      <c r="JL87" s="738"/>
      <c r="JM87" s="738"/>
      <c r="JN87" s="738"/>
      <c r="JO87" s="738"/>
      <c r="JP87" s="738"/>
      <c r="JQ87" s="738"/>
      <c r="JR87" s="738"/>
      <c r="JS87" s="738"/>
      <c r="JT87" s="738"/>
      <c r="JU87" s="738"/>
      <c r="JV87" s="738"/>
      <c r="JW87" s="738"/>
      <c r="JX87" s="738"/>
      <c r="JY87" s="738"/>
      <c r="JZ87" s="738"/>
      <c r="KA87" s="738"/>
      <c r="KB87" s="738"/>
      <c r="KC87" s="738"/>
      <c r="KD87" s="738"/>
      <c r="KE87" s="738"/>
      <c r="KF87" s="738"/>
      <c r="KG87" s="738"/>
      <c r="KH87" s="738"/>
      <c r="KI87" s="738"/>
      <c r="KJ87" s="738"/>
      <c r="KK87" s="738"/>
      <c r="KL87" s="738"/>
      <c r="KM87" s="738"/>
      <c r="KN87" s="738"/>
      <c r="KO87" s="738"/>
      <c r="KP87" s="738"/>
      <c r="KQ87" s="738"/>
      <c r="KR87" s="738"/>
      <c r="KS87" s="738"/>
      <c r="KT87" s="738"/>
      <c r="KU87" s="738"/>
      <c r="KV87" s="738"/>
      <c r="KW87" s="738"/>
      <c r="KX87" s="738"/>
      <c r="KY87" s="738"/>
      <c r="KZ87" s="738"/>
      <c r="LA87" s="738"/>
      <c r="LB87" s="738"/>
      <c r="LC87" s="738"/>
      <c r="LD87" s="738"/>
      <c r="LE87" s="738"/>
      <c r="LF87" s="738"/>
      <c r="LG87" s="738"/>
      <c r="LH87" s="738"/>
      <c r="LI87" s="738"/>
      <c r="LJ87" s="738"/>
      <c r="LK87" s="738"/>
      <c r="LL87" s="738"/>
      <c r="LM87" s="738"/>
      <c r="LN87" s="738"/>
      <c r="LO87" s="738"/>
      <c r="LP87" s="738"/>
      <c r="LQ87" s="738"/>
      <c r="LR87" s="738"/>
      <c r="LS87" s="738"/>
      <c r="LT87" s="738"/>
      <c r="LU87" s="738"/>
      <c r="LV87" s="738"/>
      <c r="LW87" s="738"/>
      <c r="LX87" s="738"/>
      <c r="LY87" s="738"/>
      <c r="LZ87" s="738"/>
      <c r="MA87" s="738"/>
      <c r="MB87" s="738"/>
      <c r="MC87" s="738"/>
      <c r="MD87" s="738"/>
      <c r="ME87" s="738"/>
      <c r="MF87" s="738"/>
      <c r="MG87" s="738"/>
      <c r="MH87" s="738"/>
      <c r="MI87" s="738"/>
      <c r="MJ87" s="738"/>
      <c r="MK87" s="738"/>
      <c r="ML87" s="738"/>
      <c r="MM87" s="738"/>
      <c r="MN87" s="738"/>
      <c r="MO87" s="738"/>
      <c r="MP87" s="738"/>
      <c r="MQ87" s="738"/>
      <c r="MR87" s="738"/>
      <c r="MS87" s="738"/>
      <c r="MT87" s="738"/>
      <c r="MU87" s="738"/>
      <c r="MV87" s="738"/>
      <c r="MW87" s="738"/>
      <c r="MX87" s="738"/>
      <c r="MY87" s="738"/>
      <c r="MZ87" s="738"/>
      <c r="NA87" s="738"/>
      <c r="NB87" s="738"/>
      <c r="NC87" s="738"/>
      <c r="ND87" s="738"/>
      <c r="NE87" s="738"/>
      <c r="NF87" s="738"/>
      <c r="NG87" s="738"/>
      <c r="NH87" s="738"/>
      <c r="NI87" s="738"/>
      <c r="NJ87" s="738"/>
      <c r="NK87" s="738"/>
      <c r="NL87" s="738"/>
      <c r="NM87" s="738"/>
      <c r="NN87" s="738"/>
      <c r="NO87" s="738"/>
      <c r="NP87" s="738"/>
      <c r="NQ87" s="738"/>
      <c r="NR87" s="738"/>
      <c r="NS87" s="738"/>
      <c r="NT87" s="738"/>
      <c r="NU87" s="738"/>
      <c r="NV87" s="738"/>
      <c r="NW87" s="738"/>
      <c r="NX87" s="738"/>
      <c r="NY87" s="738"/>
      <c r="NZ87" s="738"/>
      <c r="OA87" s="738"/>
      <c r="OB87" s="738"/>
      <c r="OC87" s="738"/>
      <c r="OD87" s="738"/>
      <c r="OE87" s="738"/>
      <c r="OF87" s="738"/>
      <c r="OG87" s="738"/>
      <c r="OH87" s="738"/>
      <c r="OI87" s="738"/>
      <c r="OJ87" s="738"/>
      <c r="OK87" s="738"/>
      <c r="OL87" s="738"/>
      <c r="OM87" s="738"/>
      <c r="ON87" s="738"/>
      <c r="OO87" s="738"/>
      <c r="OP87" s="738"/>
      <c r="OQ87" s="738"/>
      <c r="OR87" s="738"/>
      <c r="OS87" s="738"/>
      <c r="OT87" s="738"/>
      <c r="OU87" s="738"/>
      <c r="OV87" s="738"/>
      <c r="OW87" s="738"/>
      <c r="OX87" s="738"/>
      <c r="OY87" s="738"/>
      <c r="OZ87" s="738"/>
      <c r="PA87" s="738"/>
      <c r="PB87" s="738"/>
      <c r="PC87" s="738"/>
      <c r="PD87" s="738"/>
      <c r="PE87" s="738"/>
      <c r="PF87" s="738"/>
      <c r="PG87" s="738"/>
      <c r="PH87" s="738"/>
      <c r="PI87" s="738"/>
      <c r="PJ87" s="738"/>
      <c r="PK87" s="738"/>
      <c r="PL87" s="738"/>
      <c r="PM87" s="738"/>
      <c r="PN87" s="738"/>
      <c r="PO87" s="738"/>
      <c r="PP87" s="738"/>
      <c r="PQ87" s="738"/>
      <c r="PR87" s="738"/>
      <c r="PS87" s="738"/>
      <c r="PT87" s="738"/>
      <c r="PU87" s="738"/>
      <c r="PV87" s="738"/>
      <c r="PW87" s="738"/>
      <c r="PX87" s="738"/>
      <c r="PY87" s="738"/>
      <c r="PZ87" s="738"/>
      <c r="QA87" s="738"/>
      <c r="QB87" s="738"/>
      <c r="QC87" s="738"/>
      <c r="QD87" s="738"/>
      <c r="QE87" s="738"/>
      <c r="QF87" s="738"/>
      <c r="QG87" s="738"/>
      <c r="QH87" s="738"/>
      <c r="QI87" s="738"/>
      <c r="QJ87" s="738"/>
      <c r="QK87" s="738"/>
      <c r="QL87" s="738"/>
      <c r="QM87" s="738"/>
      <c r="QN87" s="738"/>
      <c r="QO87" s="738"/>
      <c r="QP87" s="738"/>
      <c r="QQ87" s="738"/>
      <c r="QR87" s="738"/>
      <c r="QS87" s="738"/>
      <c r="QT87" s="738"/>
      <c r="QU87" s="738"/>
      <c r="QV87" s="738"/>
      <c r="QW87" s="738"/>
      <c r="QX87" s="738"/>
      <c r="QY87" s="738"/>
      <c r="QZ87" s="738"/>
      <c r="RA87" s="738"/>
      <c r="RB87" s="738"/>
      <c r="RC87" s="738"/>
      <c r="RD87" s="738"/>
      <c r="RE87" s="738"/>
      <c r="RF87" s="738"/>
      <c r="RG87" s="738"/>
      <c r="RH87" s="738"/>
      <c r="RI87" s="738"/>
      <c r="RJ87" s="738"/>
      <c r="RK87" s="738"/>
      <c r="RL87" s="738"/>
      <c r="RM87" s="738"/>
      <c r="RN87" s="738"/>
      <c r="RO87" s="738"/>
      <c r="RP87" s="738"/>
      <c r="RQ87" s="738"/>
      <c r="RR87" s="738"/>
      <c r="RS87" s="738"/>
      <c r="RT87" s="738"/>
      <c r="RU87" s="738"/>
      <c r="RV87" s="738"/>
      <c r="RW87" s="738"/>
      <c r="RX87" s="738"/>
      <c r="RY87" s="738"/>
      <c r="RZ87" s="738"/>
      <c r="SA87" s="738"/>
      <c r="SB87" s="738"/>
      <c r="SC87" s="738"/>
      <c r="SD87" s="738"/>
      <c r="SE87" s="738"/>
      <c r="SF87" s="738"/>
      <c r="SG87" s="738"/>
      <c r="SH87" s="738"/>
      <c r="SI87" s="738"/>
      <c r="SJ87" s="738"/>
      <c r="SK87" s="738"/>
      <c r="SL87" s="738"/>
      <c r="SM87" s="738"/>
      <c r="SN87" s="738"/>
      <c r="SO87" s="738"/>
      <c r="SP87" s="738"/>
      <c r="SQ87" s="738"/>
      <c r="SR87" s="738"/>
      <c r="SS87" s="738"/>
      <c r="ST87" s="738"/>
      <c r="SU87" s="738"/>
      <c r="SV87" s="738"/>
      <c r="SW87" s="738"/>
      <c r="SX87" s="738"/>
      <c r="SY87" s="738"/>
      <c r="SZ87" s="738"/>
      <c r="TA87" s="738"/>
      <c r="TB87" s="738"/>
      <c r="TC87" s="738"/>
      <c r="TD87" s="738"/>
      <c r="TE87" s="738"/>
      <c r="TF87" s="738"/>
      <c r="TG87" s="738"/>
      <c r="TH87" s="738"/>
      <c r="TI87" s="738"/>
      <c r="TJ87" s="738"/>
      <c r="TK87" s="738"/>
      <c r="TL87" s="738"/>
      <c r="TM87" s="738"/>
      <c r="TN87" s="738"/>
      <c r="TO87" s="738"/>
      <c r="TP87" s="738"/>
      <c r="TQ87" s="738"/>
      <c r="TR87" s="738"/>
      <c r="TS87" s="738"/>
      <c r="TT87" s="738"/>
      <c r="TU87" s="738"/>
      <c r="TV87" s="738"/>
      <c r="TW87" s="738"/>
      <c r="TX87" s="738"/>
      <c r="TY87" s="738"/>
      <c r="TZ87" s="738"/>
      <c r="UA87" s="738"/>
      <c r="UB87" s="738"/>
      <c r="UC87" s="738"/>
      <c r="UD87" s="738"/>
      <c r="UE87" s="738"/>
      <c r="UF87" s="738"/>
      <c r="UG87" s="738"/>
      <c r="UH87" s="738"/>
      <c r="UI87" s="738"/>
      <c r="UJ87" s="738"/>
      <c r="UK87" s="738"/>
      <c r="UL87" s="738"/>
      <c r="UM87" s="738"/>
      <c r="UN87" s="738"/>
      <c r="UO87" s="738"/>
      <c r="UP87" s="738"/>
      <c r="UQ87" s="738"/>
      <c r="UR87" s="738"/>
      <c r="US87" s="738"/>
      <c r="UT87" s="738"/>
      <c r="UU87" s="738"/>
      <c r="UV87" s="738"/>
      <c r="UW87" s="738"/>
      <c r="UX87" s="738"/>
      <c r="UY87" s="738"/>
      <c r="UZ87" s="738"/>
      <c r="VA87" s="738"/>
      <c r="VB87" s="738"/>
      <c r="VC87" s="738"/>
      <c r="VD87" s="738"/>
      <c r="VE87" s="738"/>
      <c r="VF87" s="738"/>
      <c r="VG87" s="738"/>
      <c r="VH87" s="738"/>
      <c r="VI87" s="738"/>
      <c r="VJ87" s="738"/>
      <c r="VK87" s="738"/>
      <c r="VL87" s="738"/>
      <c r="VM87" s="738"/>
      <c r="VN87" s="738"/>
      <c r="VO87" s="738"/>
      <c r="VP87" s="738"/>
      <c r="VQ87" s="738"/>
      <c r="VR87" s="738"/>
      <c r="VS87" s="738"/>
      <c r="VT87" s="738"/>
      <c r="VU87" s="738"/>
      <c r="VV87" s="738"/>
      <c r="VW87" s="738"/>
      <c r="VX87" s="738"/>
      <c r="VY87" s="738"/>
      <c r="VZ87" s="738"/>
      <c r="WA87" s="738"/>
      <c r="WB87" s="738"/>
      <c r="WC87" s="738"/>
      <c r="WD87" s="738"/>
      <c r="WE87" s="738"/>
      <c r="WF87" s="738"/>
      <c r="WG87" s="738"/>
      <c r="WH87" s="738"/>
      <c r="WI87" s="738"/>
      <c r="WJ87" s="738"/>
      <c r="WK87" s="738"/>
      <c r="WL87" s="738"/>
      <c r="WM87" s="738"/>
      <c r="WN87" s="738"/>
      <c r="WO87" s="738"/>
      <c r="WP87" s="738"/>
      <c r="WQ87" s="738"/>
      <c r="WR87" s="738"/>
      <c r="WS87" s="738"/>
      <c r="WT87" s="738"/>
      <c r="WU87" s="738"/>
      <c r="WV87" s="738"/>
      <c r="WW87" s="738"/>
      <c r="WX87" s="738"/>
      <c r="WY87" s="738"/>
      <c r="WZ87" s="738"/>
      <c r="XA87" s="738"/>
      <c r="XB87" s="738"/>
      <c r="XC87" s="738"/>
      <c r="XD87" s="738"/>
      <c r="XE87" s="738"/>
      <c r="XF87" s="738"/>
      <c r="XG87" s="738"/>
      <c r="XH87" s="738"/>
      <c r="XI87" s="738"/>
      <c r="XJ87" s="738"/>
      <c r="XK87" s="738"/>
      <c r="XL87" s="738"/>
      <c r="XM87" s="738"/>
      <c r="XN87" s="738"/>
      <c r="XO87" s="738"/>
      <c r="XP87" s="738"/>
      <c r="XQ87" s="738"/>
      <c r="XR87" s="738"/>
      <c r="XS87" s="738"/>
      <c r="XT87" s="738"/>
      <c r="XU87" s="738"/>
      <c r="XV87" s="738"/>
      <c r="XW87" s="738"/>
      <c r="XX87" s="738"/>
      <c r="XY87" s="738"/>
      <c r="XZ87" s="738"/>
      <c r="YA87" s="738"/>
      <c r="YB87" s="738"/>
      <c r="YC87" s="738"/>
      <c r="YD87" s="738"/>
      <c r="YE87" s="738"/>
      <c r="YF87" s="738"/>
      <c r="YG87" s="738"/>
      <c r="YH87" s="738"/>
      <c r="YI87" s="738"/>
      <c r="YJ87" s="738"/>
      <c r="YK87" s="738"/>
      <c r="YL87" s="738"/>
      <c r="YM87" s="738"/>
      <c r="YN87" s="738"/>
      <c r="YO87" s="738"/>
      <c r="YP87" s="738"/>
      <c r="YQ87" s="738"/>
      <c r="YR87" s="738"/>
      <c r="YS87" s="738"/>
      <c r="YT87" s="738"/>
      <c r="YU87" s="738"/>
      <c r="YV87" s="738"/>
      <c r="YW87" s="738"/>
      <c r="YX87" s="738"/>
      <c r="YY87" s="738"/>
      <c r="YZ87" s="738"/>
      <c r="ZA87" s="738"/>
      <c r="ZB87" s="738"/>
      <c r="ZC87" s="738"/>
      <c r="ZD87" s="738"/>
      <c r="ZE87" s="738"/>
      <c r="ZF87" s="738"/>
      <c r="ZG87" s="738"/>
      <c r="ZH87" s="738"/>
      <c r="ZI87" s="738"/>
      <c r="ZJ87" s="738"/>
      <c r="ZK87" s="738"/>
      <c r="ZL87" s="738"/>
      <c r="ZM87" s="738"/>
      <c r="ZN87" s="738"/>
      <c r="ZO87" s="738"/>
      <c r="ZP87" s="738"/>
      <c r="ZQ87" s="738"/>
      <c r="ZR87" s="738"/>
      <c r="ZS87" s="738"/>
      <c r="ZT87" s="738"/>
      <c r="ZU87" s="738"/>
      <c r="ZV87" s="738"/>
      <c r="ZW87" s="738"/>
      <c r="ZX87" s="738"/>
      <c r="ZY87" s="738"/>
      <c r="ZZ87" s="738"/>
      <c r="AAA87" s="738"/>
      <c r="AAB87" s="738"/>
      <c r="AAC87" s="738"/>
      <c r="AAD87" s="738"/>
      <c r="AAE87" s="738"/>
      <c r="AAF87" s="738"/>
      <c r="AAG87" s="738"/>
      <c r="AAH87" s="738"/>
      <c r="AAI87" s="738"/>
      <c r="AAJ87" s="738"/>
      <c r="AAK87" s="738"/>
      <c r="AAL87" s="738"/>
      <c r="AAM87" s="738"/>
      <c r="AAN87" s="738"/>
      <c r="AAO87" s="738"/>
      <c r="AAP87" s="738"/>
      <c r="AAQ87" s="738"/>
      <c r="AAR87" s="738"/>
      <c r="AAS87" s="738"/>
      <c r="AAT87" s="738"/>
      <c r="AAU87" s="738"/>
      <c r="AAV87" s="738"/>
      <c r="AAW87" s="738"/>
      <c r="AAX87" s="738"/>
      <c r="AAY87" s="738"/>
      <c r="AAZ87" s="738"/>
      <c r="ABA87" s="738"/>
      <c r="ABB87" s="738"/>
      <c r="ABC87" s="738"/>
      <c r="ABD87" s="738"/>
      <c r="ABE87" s="738"/>
      <c r="ABF87" s="738"/>
      <c r="ABG87" s="738"/>
      <c r="ABH87" s="738"/>
      <c r="ABI87" s="738"/>
      <c r="ABJ87" s="738"/>
      <c r="ABK87" s="738"/>
      <c r="ABL87" s="738"/>
      <c r="ABM87" s="738"/>
      <c r="ABN87" s="738"/>
      <c r="ABO87" s="738"/>
      <c r="ABP87" s="738"/>
      <c r="ABQ87" s="738"/>
      <c r="ABR87" s="738"/>
      <c r="ABS87" s="738"/>
      <c r="ABT87" s="738"/>
      <c r="ABU87" s="738"/>
      <c r="ABV87" s="738"/>
      <c r="ABW87" s="738"/>
      <c r="ABX87" s="738"/>
      <c r="ABY87" s="738"/>
      <c r="ABZ87" s="738"/>
      <c r="ACA87" s="738"/>
      <c r="ACB87" s="738"/>
      <c r="ACC87" s="738"/>
      <c r="ACD87" s="738"/>
      <c r="ACE87" s="738"/>
      <c r="ACF87" s="738"/>
      <c r="ACG87" s="738"/>
      <c r="ACH87" s="738"/>
      <c r="ACI87" s="738"/>
      <c r="ACJ87" s="738"/>
      <c r="ACK87" s="738"/>
      <c r="ACL87" s="738"/>
      <c r="ACM87" s="738"/>
      <c r="ACN87" s="738"/>
      <c r="ACO87" s="738"/>
      <c r="ACP87" s="738"/>
      <c r="ACQ87" s="738"/>
      <c r="ACR87" s="738"/>
      <c r="ACS87" s="738"/>
      <c r="ACT87" s="738"/>
      <c r="ACU87" s="738"/>
      <c r="ACV87" s="738"/>
      <c r="ACW87" s="738"/>
      <c r="ACX87" s="738"/>
      <c r="ACY87" s="738"/>
      <c r="ACZ87" s="738"/>
      <c r="ADA87" s="738"/>
      <c r="ADB87" s="738"/>
      <c r="ADC87" s="738"/>
      <c r="ADD87" s="738"/>
      <c r="ADE87" s="738"/>
      <c r="ADF87" s="738"/>
      <c r="ADG87" s="738"/>
      <c r="ADH87" s="738"/>
      <c r="ADI87" s="738"/>
      <c r="ADJ87" s="738"/>
      <c r="ADK87" s="738"/>
      <c r="ADL87" s="738"/>
      <c r="ADM87" s="738"/>
      <c r="ADN87" s="738"/>
      <c r="ADO87" s="738"/>
      <c r="ADP87" s="738"/>
      <c r="ADQ87" s="738"/>
      <c r="ADR87" s="738"/>
      <c r="ADS87" s="738"/>
      <c r="ADT87" s="738"/>
      <c r="ADU87" s="738"/>
      <c r="ADV87" s="738"/>
      <c r="ADW87" s="738"/>
      <c r="ADX87" s="738"/>
      <c r="ADY87" s="738"/>
      <c r="ADZ87" s="738"/>
      <c r="AEA87" s="738"/>
      <c r="AEB87" s="738"/>
      <c r="AEC87" s="738"/>
      <c r="AED87" s="738"/>
      <c r="AEE87" s="738"/>
      <c r="AEF87" s="738"/>
      <c r="AEG87" s="738"/>
      <c r="AEH87" s="738"/>
      <c r="AEI87" s="738"/>
      <c r="AEJ87" s="738"/>
      <c r="AEK87" s="738"/>
      <c r="AEL87" s="738"/>
      <c r="AEM87" s="738"/>
      <c r="AEN87" s="738"/>
      <c r="AEO87" s="738"/>
      <c r="AEP87" s="738"/>
      <c r="AEQ87" s="738"/>
      <c r="AER87" s="738"/>
      <c r="AES87" s="738"/>
      <c r="AET87" s="738"/>
      <c r="AEU87" s="738"/>
      <c r="AEV87" s="738"/>
      <c r="AEW87" s="738"/>
      <c r="AEX87" s="738"/>
      <c r="AEY87" s="738"/>
      <c r="AEZ87" s="738"/>
      <c r="AFA87" s="738"/>
      <c r="AFB87" s="738"/>
      <c r="AFC87" s="738"/>
      <c r="AFD87" s="738"/>
      <c r="AFE87" s="738"/>
      <c r="AFF87" s="738"/>
      <c r="AFG87" s="738"/>
      <c r="AFH87" s="738"/>
      <c r="AFI87" s="738"/>
      <c r="AFJ87" s="738"/>
      <c r="AFK87" s="738"/>
      <c r="AFL87" s="738"/>
      <c r="AFM87" s="738"/>
      <c r="AFN87" s="738"/>
      <c r="AFO87" s="738"/>
      <c r="AFP87" s="738"/>
      <c r="AFQ87" s="738"/>
      <c r="AFR87" s="738"/>
      <c r="AFS87" s="738"/>
      <c r="AFT87" s="738"/>
      <c r="AFU87" s="738"/>
      <c r="AFV87" s="738"/>
      <c r="AFW87" s="738"/>
      <c r="AFX87" s="738"/>
      <c r="AFY87" s="738"/>
      <c r="AFZ87" s="738"/>
      <c r="AGA87" s="738"/>
      <c r="AGB87" s="738"/>
      <c r="AGC87" s="738"/>
      <c r="AGD87" s="738"/>
      <c r="AGE87" s="738"/>
      <c r="AGF87" s="738"/>
      <c r="AGG87" s="738"/>
      <c r="AGH87" s="738"/>
      <c r="AGI87" s="738"/>
      <c r="AGJ87" s="738"/>
      <c r="AGK87" s="738"/>
      <c r="AGL87" s="738"/>
      <c r="AGM87" s="738"/>
      <c r="AGN87" s="738"/>
      <c r="AGO87" s="738"/>
      <c r="AGP87" s="738"/>
      <c r="AGQ87" s="738"/>
      <c r="AGR87" s="738"/>
      <c r="AGS87" s="738"/>
      <c r="AGT87" s="738"/>
      <c r="AGU87" s="738"/>
      <c r="AGV87" s="738"/>
      <c r="AGW87" s="738"/>
      <c r="AGX87" s="738"/>
      <c r="AGY87" s="738"/>
      <c r="AGZ87" s="738"/>
      <c r="AHA87" s="738"/>
      <c r="AHB87" s="738"/>
      <c r="AHC87" s="738"/>
      <c r="AHD87" s="738"/>
      <c r="AHE87" s="738"/>
      <c r="AHF87" s="738"/>
      <c r="AHG87" s="738"/>
      <c r="AHH87" s="738"/>
      <c r="AHI87" s="738"/>
      <c r="AHJ87" s="738"/>
      <c r="AHK87" s="738"/>
      <c r="AHL87" s="738"/>
      <c r="AHM87" s="738"/>
      <c r="AHN87" s="738"/>
      <c r="AHO87" s="738"/>
      <c r="AHP87" s="738"/>
      <c r="AHQ87" s="738"/>
      <c r="AHR87" s="738"/>
      <c r="AHS87" s="738"/>
      <c r="AHT87" s="738"/>
      <c r="AHU87" s="738"/>
      <c r="AHV87" s="738"/>
      <c r="AHW87" s="738"/>
      <c r="AHX87" s="738"/>
      <c r="AHY87" s="738"/>
      <c r="AHZ87" s="738"/>
      <c r="AIA87" s="738"/>
      <c r="AIB87" s="738"/>
      <c r="AIC87" s="738"/>
      <c r="AID87" s="738"/>
      <c r="AIE87" s="738"/>
      <c r="AIF87" s="738"/>
      <c r="AIG87" s="738"/>
      <c r="AIH87" s="738"/>
      <c r="AII87" s="738"/>
      <c r="AIJ87" s="738"/>
      <c r="AIK87" s="738"/>
      <c r="AIL87" s="738"/>
      <c r="AIM87" s="738"/>
      <c r="AIN87" s="738"/>
      <c r="AIO87" s="738"/>
      <c r="AIP87" s="738"/>
      <c r="AIQ87" s="738"/>
      <c r="AIR87" s="738"/>
      <c r="AIS87" s="738"/>
      <c r="AIT87" s="738"/>
      <c r="AIU87" s="738"/>
      <c r="AIV87" s="738"/>
      <c r="AIW87" s="738"/>
      <c r="AIX87" s="738"/>
      <c r="AIY87" s="738"/>
      <c r="AIZ87" s="738"/>
      <c r="AJA87" s="738"/>
      <c r="AJB87" s="738"/>
      <c r="AJC87" s="738"/>
      <c r="AJD87" s="738"/>
      <c r="AJE87" s="738"/>
      <c r="AJF87" s="738"/>
      <c r="AJG87" s="738"/>
      <c r="AJH87" s="738"/>
      <c r="AJI87" s="738"/>
      <c r="AJJ87" s="738"/>
      <c r="AJK87" s="738"/>
      <c r="AJL87" s="738"/>
      <c r="AJM87" s="738"/>
      <c r="AJN87" s="738"/>
      <c r="AJO87" s="738"/>
      <c r="AJP87" s="738"/>
      <c r="AJQ87" s="738"/>
      <c r="AJR87" s="738"/>
      <c r="AJS87" s="738"/>
      <c r="AJT87" s="738"/>
      <c r="AJU87" s="738"/>
      <c r="AJV87" s="738"/>
      <c r="AJW87" s="738"/>
      <c r="AJX87" s="738"/>
      <c r="AJY87" s="738"/>
      <c r="AJZ87" s="738"/>
      <c r="AKA87" s="738"/>
      <c r="AKB87" s="738"/>
      <c r="AKC87" s="738"/>
      <c r="AKD87" s="738"/>
      <c r="AKE87" s="738"/>
      <c r="AKF87" s="738"/>
      <c r="AKG87" s="738"/>
      <c r="AKH87" s="738"/>
      <c r="AKI87" s="738"/>
      <c r="AKJ87" s="738"/>
      <c r="AKK87" s="738"/>
      <c r="AKL87" s="738"/>
      <c r="AKM87" s="738"/>
      <c r="AKN87" s="738"/>
      <c r="AKO87" s="738"/>
      <c r="AKP87" s="738"/>
      <c r="AKQ87" s="738"/>
      <c r="AKR87" s="738"/>
      <c r="AKS87" s="738"/>
      <c r="AKT87" s="738"/>
      <c r="AKU87" s="738"/>
      <c r="AKV87" s="738"/>
      <c r="AKW87" s="738"/>
      <c r="AKX87" s="738"/>
      <c r="AKY87" s="738"/>
      <c r="AKZ87" s="738"/>
      <c r="ALA87" s="738"/>
      <c r="ALB87" s="738"/>
      <c r="ALC87" s="738"/>
      <c r="ALD87" s="738"/>
      <c r="ALE87" s="738"/>
      <c r="ALF87" s="738"/>
      <c r="ALG87" s="738"/>
      <c r="ALH87" s="738"/>
      <c r="ALI87" s="738"/>
      <c r="ALJ87" s="738"/>
      <c r="ALK87" s="738"/>
      <c r="ALL87" s="738"/>
      <c r="ALM87" s="738"/>
      <c r="ALN87" s="738"/>
      <c r="ALO87" s="738"/>
      <c r="ALP87" s="738"/>
      <c r="ALQ87" s="738"/>
      <c r="ALR87" s="738"/>
      <c r="ALS87" s="738"/>
      <c r="ALT87" s="738"/>
      <c r="ALU87" s="738"/>
    </row>
    <row r="88" spans="1:1009" s="224" customFormat="1" ht="13.5" hidden="1" customHeight="1">
      <c r="A88" s="225">
        <v>79</v>
      </c>
      <c r="B88" s="217"/>
      <c r="C88" s="217"/>
      <c r="D88" s="241" t="s">
        <v>264</v>
      </c>
      <c r="E88" s="241"/>
      <c r="F88" s="241"/>
      <c r="G88" s="217"/>
      <c r="H88" s="728"/>
      <c r="I88" s="729" t="s">
        <v>1220</v>
      </c>
      <c r="J88" s="729"/>
      <c r="K88" s="728" t="s">
        <v>1221</v>
      </c>
      <c r="L88" s="728" t="s">
        <v>820</v>
      </c>
      <c r="M88" s="731"/>
      <c r="N88" s="735" t="s">
        <v>863</v>
      </c>
      <c r="O88" s="281" t="s">
        <v>864</v>
      </c>
      <c r="P88" s="728" t="s">
        <v>1222</v>
      </c>
      <c r="Q88" s="252"/>
      <c r="R88" s="731"/>
      <c r="S88" s="232"/>
      <c r="T88" s="733"/>
      <c r="U88" s="728"/>
      <c r="V88" s="734"/>
      <c r="W88" s="732"/>
      <c r="X88" s="732"/>
      <c r="Y88" s="731"/>
      <c r="AA88" s="733"/>
      <c r="AB88" s="728"/>
      <c r="AC88" s="497"/>
      <c r="AD88" s="728"/>
      <c r="AE88" s="731"/>
      <c r="AF88" s="731"/>
    </row>
    <row r="89" spans="1:1009" s="224" customFormat="1" ht="13.5" hidden="1" customHeight="1">
      <c r="A89" s="225">
        <v>80</v>
      </c>
      <c r="B89" s="217"/>
      <c r="C89" s="217"/>
      <c r="D89" s="241" t="s">
        <v>1659</v>
      </c>
      <c r="E89" s="241"/>
      <c r="F89" s="241"/>
      <c r="G89" s="217"/>
      <c r="H89" s="728" t="s">
        <v>1225</v>
      </c>
      <c r="I89" s="729" t="s">
        <v>1226</v>
      </c>
      <c r="J89" s="729"/>
      <c r="K89" s="729" t="s">
        <v>939</v>
      </c>
      <c r="L89" s="728" t="s">
        <v>817</v>
      </c>
      <c r="M89" s="731"/>
      <c r="N89" s="728" t="s">
        <v>863</v>
      </c>
      <c r="O89" s="731"/>
      <c r="P89" s="728"/>
      <c r="Q89" s="252"/>
      <c r="R89" s="731"/>
      <c r="S89" s="232"/>
      <c r="T89" s="733"/>
      <c r="U89" s="728"/>
      <c r="V89" s="734"/>
      <c r="W89" s="732"/>
      <c r="X89" s="732"/>
      <c r="Y89" s="731"/>
      <c r="AA89" s="733"/>
      <c r="AB89" s="728"/>
      <c r="AC89" s="729"/>
      <c r="AD89" s="728"/>
      <c r="AE89" s="731"/>
      <c r="AF89" s="731"/>
    </row>
    <row r="90" spans="1:1009" s="224" customFormat="1" ht="13.5" hidden="1" customHeight="1">
      <c r="A90" s="225">
        <v>81</v>
      </c>
      <c r="B90" s="217"/>
      <c r="C90" s="217" t="s">
        <v>1577</v>
      </c>
      <c r="D90" s="241" t="s">
        <v>2264</v>
      </c>
      <c r="E90" s="241"/>
      <c r="F90" s="241"/>
      <c r="G90" s="217"/>
      <c r="H90" s="263" t="s">
        <v>2265</v>
      </c>
      <c r="I90" s="729"/>
      <c r="J90" s="729"/>
      <c r="K90" s="255" t="s">
        <v>1585</v>
      </c>
      <c r="L90" s="728" t="s">
        <v>817</v>
      </c>
      <c r="M90" s="731" t="s">
        <v>864</v>
      </c>
      <c r="N90" s="243" t="s">
        <v>1054</v>
      </c>
      <c r="O90" s="280"/>
      <c r="P90" s="728"/>
      <c r="Q90" s="730"/>
      <c r="R90" s="731"/>
      <c r="S90" s="232"/>
      <c r="T90" s="733"/>
      <c r="U90" s="728"/>
      <c r="V90" s="734"/>
      <c r="W90" s="732"/>
      <c r="X90" s="732"/>
      <c r="Y90" s="731"/>
      <c r="AA90" s="733"/>
      <c r="AB90" s="728"/>
      <c r="AC90" s="729"/>
      <c r="AD90" s="728"/>
      <c r="AE90" s="731"/>
      <c r="AF90" s="731"/>
    </row>
    <row r="91" spans="1:1009" s="224" customFormat="1" ht="12" customHeight="1">
      <c r="A91" s="225">
        <f>SUBTOTAL(103,createCase1418[ID])</f>
        <v>31</v>
      </c>
      <c r="C91" s="225">
        <f>SUBTOTAL(103,createCase1418[Donnée (Niveau 2)])</f>
        <v>16</v>
      </c>
      <c r="D91" s="225">
        <f>SUBTOTAL(103,createCase1418[Donnée (Niveau 3)])</f>
        <v>13</v>
      </c>
      <c r="E91" s="225">
        <f>SUBTOTAL(103,createCase1418[Donnée (Niveau 4)])</f>
        <v>0</v>
      </c>
      <c r="F91" s="225">
        <f>SUBTOTAL(103,createCase1418[Donnée (Niveau 5)])</f>
        <v>0</v>
      </c>
      <c r="G91" s="225">
        <f>SUBTOTAL(103,createCase1418[Donnée (Niveau 6)])</f>
        <v>0</v>
      </c>
      <c r="H91" s="225">
        <f>SUBTOTAL(103,createCase1418[Description])</f>
        <v>28</v>
      </c>
      <c r="I91" s="225">
        <f>SUBTOTAL(103,createCase1418[Exemples])</f>
        <v>18</v>
      </c>
      <c r="J91" s="225"/>
      <c r="K91" s="724">
        <f>SUBTOTAL(103,createCase1418[Nouvelle balise])</f>
        <v>31</v>
      </c>
      <c r="L91" s="724"/>
      <c r="M91" s="725">
        <f>SUBTOTAL(103,createCase1418[Objet])</f>
        <v>5</v>
      </c>
      <c r="N91" s="724">
        <f>SUBTOTAL(103,createCase1418[Format (ou type)])</f>
        <v>31</v>
      </c>
      <c r="O91" s="274"/>
      <c r="P91" s="225"/>
      <c r="Q91" s="225"/>
      <c r="R91" s="225"/>
      <c r="T91" s="271">
        <f>SUBTOTAL(103,createCase1418[Commentaire Hub Santé])</f>
        <v>4</v>
      </c>
      <c r="U91" s="225">
        <f>SUBTOTAL(103,createCase1418[Commentaire Philippe Dreyfus])</f>
        <v>2</v>
      </c>
      <c r="V91" s="239"/>
      <c r="W91" s="225">
        <f>SUBTOTAL(103,createCase1418[Commentaire Yann Penverne])</f>
        <v>0</v>
      </c>
      <c r="X91" s="225">
        <f>SUBTOTAL(103,createCase1418[Métier])-COUNTIFS(createCase1418[Métier],"=X")</f>
        <v>0</v>
      </c>
    </row>
    <row r="92" spans="1:1009" s="128" customFormat="1" ht="12" customHeight="1">
      <c r="A92" s="3"/>
      <c r="B92" s="3"/>
      <c r="C92" s="131"/>
      <c r="D92" s="131"/>
      <c r="E92" s="131"/>
      <c r="F92" s="131"/>
      <c r="G92" s="5"/>
      <c r="H92" s="155"/>
      <c r="I92" s="225"/>
      <c r="J92" s="155"/>
      <c r="K92" s="5"/>
      <c r="L92" s="188"/>
      <c r="M92" s="56"/>
      <c r="N92" s="56"/>
      <c r="O92" s="56"/>
      <c r="P92" s="728"/>
      <c r="Q92" s="728"/>
      <c r="R92"/>
      <c r="S92" s="178"/>
      <c r="T92" s="5"/>
      <c r="U92" s="159"/>
      <c r="V92" s="56"/>
      <c r="W92" s="56"/>
      <c r="ALS92"/>
      <c r="ALT92"/>
      <c r="ALU92"/>
    </row>
    <row r="93" spans="1:1009" s="128" customFormat="1" ht="12" customHeight="1">
      <c r="A93" s="129"/>
      <c r="B93" s="129"/>
      <c r="C93" s="129"/>
      <c r="D93" s="129"/>
      <c r="E93" s="129"/>
      <c r="F93" s="129"/>
      <c r="G93" s="96"/>
      <c r="H93" s="96"/>
      <c r="I93" s="225"/>
      <c r="J93" s="159"/>
      <c r="K93" s="96"/>
      <c r="L93" s="173"/>
      <c r="M93" s="277"/>
      <c r="N93" s="277"/>
      <c r="O93" s="96"/>
      <c r="P93" s="96"/>
      <c r="Q93" s="96"/>
      <c r="R93"/>
      <c r="S93" s="179"/>
      <c r="T93" s="96"/>
      <c r="U93" s="159"/>
      <c r="V93" s="96"/>
      <c r="W93" s="96"/>
      <c r="ALS93"/>
      <c r="ALT93"/>
      <c r="ALU93"/>
    </row>
    <row r="94" spans="1:1009" s="128" customFormat="1" ht="12" customHeight="1">
      <c r="I94" s="224"/>
      <c r="L94" s="173"/>
      <c r="M94" s="277"/>
      <c r="N94" s="277"/>
      <c r="O94" s="96"/>
      <c r="P94" s="96"/>
      <c r="Q94" s="96"/>
      <c r="R94"/>
      <c r="S94" s="179"/>
      <c r="T94" s="96"/>
      <c r="U94" s="159"/>
      <c r="V94" s="96"/>
      <c r="W94" s="96"/>
      <c r="ALS94"/>
      <c r="ALT94"/>
      <c r="ALU94"/>
    </row>
    <row r="95" spans="1:1009" s="128" customFormat="1" ht="12" customHeight="1">
      <c r="I95" s="224"/>
      <c r="L95" s="173"/>
      <c r="M95" s="277"/>
      <c r="N95" s="277"/>
      <c r="O95" s="96"/>
      <c r="P95" s="96"/>
      <c r="Q95" s="96"/>
      <c r="R95"/>
      <c r="S95" s="179"/>
      <c r="T95" s="96"/>
      <c r="U95" s="159"/>
      <c r="V95" s="96"/>
      <c r="W95" s="96"/>
      <c r="ALS95"/>
      <c r="ALT95"/>
      <c r="ALU95"/>
    </row>
    <row r="96" spans="1:1009" ht="12" customHeight="1">
      <c r="A96" s="123"/>
      <c r="B96" s="662"/>
      <c r="C96" s="661"/>
      <c r="D96" s="123"/>
      <c r="E96" s="123"/>
      <c r="F96" s="123"/>
      <c r="G96" s="112"/>
      <c r="H96" s="112"/>
      <c r="I96" s="276"/>
      <c r="J96" s="161"/>
      <c r="K96" s="112"/>
      <c r="L96" s="190"/>
      <c r="M96" s="125"/>
      <c r="N96" s="125"/>
      <c r="O96" s="112"/>
      <c r="P96" s="112"/>
      <c r="Q96" s="112"/>
      <c r="S96" s="180"/>
      <c r="T96" s="112"/>
      <c r="V96" s="112"/>
      <c r="W96" s="112"/>
    </row>
    <row r="97" spans="1:23" ht="12" customHeight="1">
      <c r="A97" s="123"/>
      <c r="B97" s="661"/>
      <c r="C97" s="661"/>
      <c r="D97" s="123"/>
      <c r="E97" s="123"/>
      <c r="F97" s="123"/>
      <c r="G97" s="112"/>
      <c r="H97" s="112"/>
      <c r="I97" s="276"/>
      <c r="J97" s="161"/>
      <c r="K97" s="112"/>
      <c r="L97" s="190"/>
      <c r="M97" s="125"/>
      <c r="N97" s="125"/>
      <c r="O97" s="112"/>
      <c r="P97" s="112"/>
      <c r="Q97" s="112"/>
      <c r="S97" s="180"/>
      <c r="T97" s="112"/>
      <c r="V97" s="112"/>
      <c r="W97" s="112"/>
    </row>
    <row r="98" spans="1:23" ht="12" customHeight="1">
      <c r="A98" s="130"/>
      <c r="B98" s="661"/>
      <c r="C98" s="661"/>
      <c r="D98" s="130"/>
      <c r="E98" s="130"/>
      <c r="F98" s="130"/>
    </row>
  </sheetData>
  <mergeCells count="1">
    <mergeCell ref="H1:I2"/>
  </mergeCells>
  <phoneticPr fontId="82" type="noConversion"/>
  <conditionalFormatting sqref="A15 C15:G15">
    <cfRule type="expression" dxfId="481" priority="5">
      <formula>#REF!=1</formula>
    </cfRule>
    <cfRule type="expression" dxfId="480" priority="7">
      <formula>AND(NOT(ISBLANK($R15)),ISBLANK(#REF!),ISBLANK($X15))</formula>
    </cfRule>
    <cfRule type="expression" dxfId="479" priority="6">
      <formula>AND($X15=1,#REF!=1)</formula>
    </cfRule>
    <cfRule type="expression" dxfId="478" priority="8">
      <formula>OR($X15="X",#REF!="X")</formula>
    </cfRule>
  </conditionalFormatting>
  <conditionalFormatting sqref="A92:F93 A96 C96:F96 A97:F98 A145:F914">
    <cfRule type="expression" dxfId="477" priority="186">
      <formula>$V92=1</formula>
    </cfRule>
    <cfRule type="expression" dxfId="476" priority="185">
      <formula>$W92=1</formula>
    </cfRule>
    <cfRule type="expression" dxfId="475" priority="184">
      <formula>AND($W92=1,$V92=1)</formula>
    </cfRule>
    <cfRule type="expression" dxfId="474" priority="183">
      <formula>OR($W92="X",$V92="X")</formula>
    </cfRule>
  </conditionalFormatting>
  <conditionalFormatting sqref="A9:G9 B10:G10 A10:A14 A16:A90">
    <cfRule type="expression" dxfId="473" priority="187">
      <formula>#REF!=1</formula>
    </cfRule>
    <cfRule type="expression" dxfId="472" priority="190">
      <formula>OR($X9="X",#REF!="X")</formula>
    </cfRule>
  </conditionalFormatting>
  <conditionalFormatting sqref="A9:G14 A16:G16 A16:A90 A17:C18 A19:G21 A22:B22 E17:G18 D22:G22 B23:C26 E23:G26 B27:G29 D30:G34 B30:B43 E35:G40 B44:G44">
    <cfRule type="expression" dxfId="471" priority="188">
      <formula>AND($X9=1,#REF!=1)</formula>
    </cfRule>
  </conditionalFormatting>
  <conditionalFormatting sqref="A9:G14 A16:G16 A16:A90 A17:C18 E17:G18 A19:G21 A22:B22 D22:G22 B23:C26 E23:G26 B27:G29 D30:G34 B30:B43 E35:G40 B44:G44">
    <cfRule type="expression" dxfId="470" priority="189">
      <formula>AND(NOT(ISBLANK($R9)),ISBLANK(#REF!),ISBLANK($X9))</formula>
    </cfRule>
  </conditionalFormatting>
  <conditionalFormatting sqref="B11:G14 B16:G16 B17:C18 E17:G18 B19:G21 B22 D22:G22 B23:C26 E23:G26 B27:G29 D30:G34 B30:B43 E35:G40 B44:G44">
    <cfRule type="expression" dxfId="469" priority="191">
      <formula>OR($X11="X",#REF!="X")</formula>
    </cfRule>
    <cfRule type="expression" dxfId="468" priority="192">
      <formula>#REF!=1</formula>
    </cfRule>
  </conditionalFormatting>
  <conditionalFormatting sqref="C9:C14 C16:C29 D22 C44">
    <cfRule type="expression" dxfId="467" priority="4273">
      <formula>AND($M9="X",$B9&lt;&gt;"")</formula>
    </cfRule>
  </conditionalFormatting>
  <conditionalFormatting sqref="C22">
    <cfRule type="expression" dxfId="466" priority="152">
      <formula>#REF!=1</formula>
    </cfRule>
    <cfRule type="expression" dxfId="465" priority="151">
      <formula>OR($X22="X",#REF!="X")</formula>
    </cfRule>
    <cfRule type="expression" dxfId="464" priority="150">
      <formula>AND(NOT(ISBLANK($R22)),ISBLANK(#REF!),ISBLANK($X22))</formula>
    </cfRule>
    <cfRule type="expression" dxfId="463" priority="149">
      <formula>AND($X22=1,#REF!=1)</formula>
    </cfRule>
    <cfRule type="expression" dxfId="462" priority="148">
      <formula>$X22=1</formula>
    </cfRule>
  </conditionalFormatting>
  <conditionalFormatting sqref="C30:C40">
    <cfRule type="expression" dxfId="461" priority="4279">
      <formula>OR($X30="X",#REF!="X")</formula>
    </cfRule>
    <cfRule type="expression" dxfId="460" priority="4281">
      <formula>AND($M30="X",$B30&lt;&gt;"")</formula>
    </cfRule>
    <cfRule type="expression" dxfId="459" priority="4277">
      <formula>$X30=1</formula>
    </cfRule>
    <cfRule type="expression" dxfId="458" priority="4280">
      <formula>#REF!=1</formula>
    </cfRule>
    <cfRule type="expression" dxfId="457" priority="4278">
      <formula>AND(NOT(ISBLANK($R30)),ISBLANK(#REF!),ISBLANK($X30))</formula>
    </cfRule>
    <cfRule type="expression" dxfId="456" priority="4276">
      <formula>AND($X30=1,#REF!=1)</formula>
    </cfRule>
  </conditionalFormatting>
  <conditionalFormatting sqref="C41 C42:F42">
    <cfRule type="expression" dxfId="455" priority="146">
      <formula>$AD41=1</formula>
    </cfRule>
  </conditionalFormatting>
  <conditionalFormatting sqref="C41 C42:F43">
    <cfRule type="expression" dxfId="454" priority="143">
      <formula>AND($AE41=1,$AD41=1)</formula>
    </cfRule>
    <cfRule type="expression" dxfId="453" priority="145">
      <formula>OR($AE41="X",$AD41="X")</formula>
    </cfRule>
    <cfRule type="expression" dxfId="452" priority="144">
      <formula>$AE41=1</formula>
    </cfRule>
    <cfRule type="expression" dxfId="451" priority="147">
      <formula>AND(NOT(ISBLANK($X41)),ISBLANK($AD41),ISBLANK($AE41))</formula>
    </cfRule>
  </conditionalFormatting>
  <conditionalFormatting sqref="C41:C43">
    <cfRule type="expression" dxfId="450" priority="4286">
      <formula>AND($S41="X",OR($B41&lt;&gt;"",$C41&lt;&gt;""))</formula>
    </cfRule>
  </conditionalFormatting>
  <conditionalFormatting sqref="C15:G15 A15:A90">
    <cfRule type="expression" dxfId="449" priority="4">
      <formula>$X15=1</formula>
    </cfRule>
  </conditionalFormatting>
  <conditionalFormatting sqref="C45:G49 C50:D50 E50:E52 C51:C52 G51:G52 C53:G90">
    <cfRule type="expression" dxfId="448" priority="29">
      <formula>OR($AF45="X",$AE45="X")</formula>
    </cfRule>
  </conditionalFormatting>
  <conditionalFormatting sqref="C45:G49 C50:E50 C51:C52 E51:E52 G51:G52 C53:G90">
    <cfRule type="expression" dxfId="447" priority="30">
      <formula>AND($AF45=1,$AE45=1)</formula>
    </cfRule>
    <cfRule type="expression" dxfId="446" priority="31">
      <formula>$AF45=1</formula>
    </cfRule>
  </conditionalFormatting>
  <conditionalFormatting sqref="C45:G49 E50:G50 C50:D52 E51:E52 G51:G52 C53:G90">
    <cfRule type="expression" dxfId="445" priority="33">
      <formula>AND(NOT(ISBLANK($X45)),ISBLANK($AE45),ISBLANK($AF45))</formula>
    </cfRule>
  </conditionalFormatting>
  <conditionalFormatting sqref="C45:G50 C51:C52 E51:E52 G51:G52 C53:G90">
    <cfRule type="expression" dxfId="444" priority="32">
      <formula>$AE45=1</formula>
    </cfRule>
  </conditionalFormatting>
  <conditionalFormatting sqref="D9:D14 D16 D19:D21 D27:D34 D44 D41">
    <cfRule type="expression" dxfId="443" priority="4288">
      <formula>AND($M9="X",OR($B9&lt;&gt;"",$C9&lt;&gt;""))</formula>
    </cfRule>
  </conditionalFormatting>
  <conditionalFormatting sqref="D15">
    <cfRule type="expression" dxfId="442" priority="4637">
      <formula>AND($M15="X",OR($C15&lt;&gt;"",#REF!&lt;&gt;""))</formula>
    </cfRule>
  </conditionalFormatting>
  <conditionalFormatting sqref="D35:D40">
    <cfRule type="expression" dxfId="441" priority="73">
      <formula>AND($AF35=1,$AE35=1)</formula>
    </cfRule>
    <cfRule type="expression" dxfId="440" priority="74">
      <formula>$AF35=1</formula>
    </cfRule>
    <cfRule type="expression" dxfId="439" priority="76">
      <formula>AND(NOT(ISBLANK($X35)),ISBLANK($AE35),ISBLANK($AF35))</formula>
    </cfRule>
    <cfRule type="expression" dxfId="438" priority="75">
      <formula>$AE35=1</formula>
    </cfRule>
    <cfRule type="expression" dxfId="437" priority="72">
      <formula>OR($AF35="X",$AE35="X")</formula>
    </cfRule>
  </conditionalFormatting>
  <conditionalFormatting sqref="D42:D43">
    <cfRule type="expression" dxfId="436" priority="4292">
      <formula>AND($S42="X",OR($B42&lt;&gt;"",$C42&lt;&gt;"",$D42&lt;&gt;""))</formula>
    </cfRule>
  </conditionalFormatting>
  <conditionalFormatting sqref="D45:D49 D53:D90">
    <cfRule type="expression" dxfId="435" priority="4580">
      <formula>AND($M45="X",$C45&lt;&gt;"")</formula>
    </cfRule>
  </conditionalFormatting>
  <conditionalFormatting sqref="D50 E50:E52">
    <cfRule type="expression" dxfId="434" priority="4589">
      <formula>AND($M50="X",OR($C50&lt;&gt;"",#REF!&lt;&gt;""))</formula>
    </cfRule>
  </conditionalFormatting>
  <conditionalFormatting sqref="D51:D52">
    <cfRule type="expression" dxfId="433" priority="4582">
      <formula>AND($M51="X",OR(#REF!&lt;&gt;"",$C51&lt;&gt;""))</formula>
    </cfRule>
    <cfRule type="expression" dxfId="432" priority="4586">
      <formula>$AE51=1</formula>
    </cfRule>
    <cfRule type="expression" dxfId="431" priority="4583">
      <formula>OR($AF51="X",$AE51="X")</formula>
    </cfRule>
    <cfRule type="expression" dxfId="430" priority="4584">
      <formula>AND($AF51=1,$AE51=1)</formula>
    </cfRule>
    <cfRule type="expression" dxfId="429" priority="4585">
      <formula>$AF51=1</formula>
    </cfRule>
  </conditionalFormatting>
  <conditionalFormatting sqref="D41:G41 E17:G18 A9:G14 A16:G16 A17:C18 A19:G21 A22:B22 D22:G22 B23:C26 E23:G26 B27:G29 D30:G34 B30:B43 E35:G40 B44:G44">
    <cfRule type="expression" dxfId="428" priority="177">
      <formula>$X9=1</formula>
    </cfRule>
  </conditionalFormatting>
  <conditionalFormatting sqref="D41:G41">
    <cfRule type="expression" dxfId="427" priority="130">
      <formula>AND($X41=1,#REF!=1)</formula>
    </cfRule>
    <cfRule type="expression" dxfId="426" priority="133">
      <formula>#REF!=1</formula>
    </cfRule>
    <cfRule type="expression" dxfId="425" priority="132">
      <formula>OR($X41="X",#REF!="X")</formula>
    </cfRule>
    <cfRule type="expression" dxfId="424" priority="131">
      <formula>AND(NOT(ISBLANK($R41)),ISBLANK(#REF!),ISBLANK($X41))</formula>
    </cfRule>
  </conditionalFormatting>
  <conditionalFormatting sqref="E2:E3">
    <cfRule type="dataBar" priority="128">
      <dataBar>
        <cfvo type="num" val="0"/>
        <cfvo type="num" val="1"/>
        <color rgb="FF63C384"/>
      </dataBar>
      <extLst>
        <ext xmlns:x14="http://schemas.microsoft.com/office/spreadsheetml/2009/9/main" uri="{B025F937-C7B1-47D3-B67F-A62EFF666E3E}">
          <x14:id>{353620B0-817E-4A29-B217-2CC937CE171A}</x14:id>
        </ext>
      </extLst>
    </cfRule>
  </conditionalFormatting>
  <conditionalFormatting sqref="E9:E14 E16 E19:E21 E27:E41 E44">
    <cfRule type="expression" dxfId="423" priority="4304">
      <formula>AND($M9="X",OR($B9&lt;&gt;"",$C9&lt;&gt;"",$D9&lt;&gt;""))</formula>
    </cfRule>
  </conditionalFormatting>
  <conditionalFormatting sqref="E15">
    <cfRule type="expression" dxfId="422" priority="4638">
      <formula>AND($M15="X",OR($C15&lt;&gt;"",#REF!&lt;&gt;"",$D15&lt;&gt;""))</formula>
    </cfRule>
  </conditionalFormatting>
  <conditionalFormatting sqref="E17:E18">
    <cfRule type="expression" dxfId="421" priority="14">
      <formula>AND($M17="X",OR($B17&lt;&gt;"",$C17&lt;&gt;"",#REF!&lt;&gt;""))</formula>
    </cfRule>
  </conditionalFormatting>
  <conditionalFormatting sqref="E22">
    <cfRule type="expression" dxfId="420" priority="4307">
      <formula>AND($M22="X",OR($B22&lt;&gt;"",$D22&lt;&gt;"",#REF!&lt;&gt;""))</formula>
    </cfRule>
  </conditionalFormatting>
  <conditionalFormatting sqref="E23:E26">
    <cfRule type="expression" dxfId="419" priority="4308">
      <formula>AND($M23="X",OR($B23&lt;&gt;"",$C23&lt;&gt;"",#REF!&lt;&gt;""))</formula>
    </cfRule>
  </conditionalFormatting>
  <conditionalFormatting sqref="E42:E43 D35:D40">
    <cfRule type="expression" dxfId="418" priority="4309">
      <formula>AND($S35="X",OR($B35&lt;&gt;"",$C35&lt;&gt;"",$D35&lt;&gt;"",$E35&lt;&gt;""))</formula>
    </cfRule>
  </conditionalFormatting>
  <conditionalFormatting sqref="E45:E49 E53:E90">
    <cfRule type="expression" dxfId="417" priority="4587">
      <formula>AND($M45="X",OR($C45&lt;&gt;"",$D45&lt;&gt;""))</formula>
    </cfRule>
  </conditionalFormatting>
  <conditionalFormatting sqref="E50">
    <cfRule type="expression" dxfId="416" priority="4597">
      <formula>$AF50=1</formula>
    </cfRule>
    <cfRule type="expression" dxfId="415" priority="4598">
      <formula>AND($M50="X",$C50&lt;&gt;"")</formula>
    </cfRule>
    <cfRule type="expression" dxfId="414" priority="4594">
      <formula>$AE50=1</formula>
    </cfRule>
    <cfRule type="expression" dxfId="413" priority="4599">
      <formula>AND($M50="X",OR($C50&lt;&gt;"",#REF!&lt;&gt;""))</formula>
    </cfRule>
    <cfRule type="expression" dxfId="412" priority="4593">
      <formula>AND($M50="X",OR($C50&lt;&gt;"",#REF!&lt;&gt;"",$E50&lt;&gt;"",#REF!&lt;&gt;""))</formula>
    </cfRule>
    <cfRule type="expression" dxfId="411" priority="4592">
      <formula>AND($M50="X",OR($C50&lt;&gt;"",#REF!&lt;&gt;"",$D50&lt;&gt;"",$E50&lt;&gt;""))</formula>
    </cfRule>
    <cfRule type="expression" dxfId="410" priority="4591">
      <formula>AND($M50="X",OR($C50&lt;&gt;"",#REF!&lt;&gt;"",$D50&lt;&gt;""))</formula>
    </cfRule>
    <cfRule type="expression" dxfId="409" priority="4595">
      <formula>AND($M50="X",OR($C50&lt;&gt;"",#REF!&lt;&gt;"",$D50&lt;&gt;""))</formula>
    </cfRule>
    <cfRule type="expression" dxfId="408" priority="4596">
      <formula>AND($AF50=1,$AE50=1)</formula>
    </cfRule>
  </conditionalFormatting>
  <conditionalFormatting sqref="E50:G50">
    <cfRule type="expression" dxfId="407" priority="4600">
      <formula>AND($M50="X",OR($C50&lt;&gt;"",$D50&lt;&gt;"",$E50&lt;&gt;"",$F50&lt;&gt;"",$G50&lt;&gt;""))</formula>
    </cfRule>
    <cfRule type="expression" dxfId="406" priority="4601">
      <formula>AND($AF50=1,$AE50=1)</formula>
    </cfRule>
    <cfRule type="expression" dxfId="405" priority="4602">
      <formula>$AF50=1</formula>
    </cfRule>
    <cfRule type="expression" dxfId="404" priority="4603">
      <formula>OR($AF50="X",$AE50="X")</formula>
    </cfRule>
  </conditionalFormatting>
  <conditionalFormatting sqref="F1:F2">
    <cfRule type="dataBar" priority="175">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4 F16 F19:F21 F27:F41 F44">
    <cfRule type="expression" dxfId="403" priority="4310">
      <formula>AND($M9="X",OR($B9&lt;&gt;"",$C9&lt;&gt;"",$D9&lt;&gt;"",$E9&lt;&gt;""))</formula>
    </cfRule>
  </conditionalFormatting>
  <conditionalFormatting sqref="F15">
    <cfRule type="expression" dxfId="402" priority="4639">
      <formula>AND($M15="X",OR($C15&lt;&gt;"",#REF!&lt;&gt;"",$D15&lt;&gt;"",$E15&lt;&gt;""))</formula>
    </cfRule>
  </conditionalFormatting>
  <conditionalFormatting sqref="F17:F18">
    <cfRule type="expression" dxfId="401" priority="15">
      <formula>AND($M17="X",OR($B17&lt;&gt;"",$C17&lt;&gt;"",#REF!&lt;&gt;"",$E17&lt;&gt;""))</formula>
    </cfRule>
  </conditionalFormatting>
  <conditionalFormatting sqref="F22">
    <cfRule type="expression" dxfId="400" priority="4313">
      <formula>AND($M22="X",OR($B22&lt;&gt;"",$D22&lt;&gt;"",#REF!&lt;&gt;"",$E22&lt;&gt;""))</formula>
    </cfRule>
  </conditionalFormatting>
  <conditionalFormatting sqref="F23:F26">
    <cfRule type="expression" dxfId="399" priority="4314">
      <formula>AND($M23="X",OR($B23&lt;&gt;"",$C23&lt;&gt;"",#REF!&lt;&gt;"",$E23&lt;&gt;""))</formula>
    </cfRule>
  </conditionalFormatting>
  <conditionalFormatting sqref="F42:F43">
    <cfRule type="expression" dxfId="398" priority="4315">
      <formula>AND($S42="X",OR($B42&lt;&gt;"",$C42&lt;&gt;"",$D42&lt;&gt;"",$E42&lt;&gt;"",$F42&lt;&gt;""))</formula>
    </cfRule>
  </conditionalFormatting>
  <conditionalFormatting sqref="F45:F49 F53:F90">
    <cfRule type="expression" dxfId="397" priority="4604">
      <formula>AND($M45="X",OR($C45&lt;&gt;"",$D45&lt;&gt;"",$E45&lt;&gt;""))</formula>
    </cfRule>
  </conditionalFormatting>
  <conditionalFormatting sqref="F51:F52">
    <cfRule type="expression" dxfId="396" priority="4608">
      <formula>$AF51=1</formula>
    </cfRule>
    <cfRule type="expression" dxfId="395" priority="4610">
      <formula>AND(NOT(ISBLANK($X51)),ISBLANK($AE51),ISBLANK($AF51))</formula>
    </cfRule>
    <cfRule type="expression" dxfId="394" priority="4609">
      <formula>$AE51=1</formula>
    </cfRule>
    <cfRule type="expression" dxfId="393" priority="4607">
      <formula>AND($AF51=1,$AE51=1)</formula>
    </cfRule>
    <cfRule type="expression" dxfId="392" priority="4606">
      <formula>OR($AF51="X",$AE51="X")</formula>
    </cfRule>
    <cfRule type="expression" dxfId="391" priority="4611">
      <formula>AND($M51="X",OR($C51&lt;&gt;"",#REF!&lt;&gt;"",$E51&lt;&gt;"",#REF!&lt;&gt;""))</formula>
    </cfRule>
  </conditionalFormatting>
  <conditionalFormatting sqref="G9:G14 G16 G19:G21 G27:G41 G44">
    <cfRule type="expression" dxfId="390" priority="4316">
      <formula>AND($M9="X",OR($B9&lt;&gt;"",$C9&lt;&gt;"",$D9&lt;&gt;"",$E9&lt;&gt;"",$F9&lt;&gt;""))</formula>
    </cfRule>
  </conditionalFormatting>
  <conditionalFormatting sqref="G15">
    <cfRule type="expression" dxfId="389" priority="4640">
      <formula>AND($M15="X",OR($C15&lt;&gt;"",#REF!&lt;&gt;"",$D15&lt;&gt;"",$E15&lt;&gt;"",$F15&lt;&gt;""))</formula>
    </cfRule>
  </conditionalFormatting>
  <conditionalFormatting sqref="G17:G18">
    <cfRule type="expression" dxfId="388" priority="16">
      <formula>AND($M17="X",OR($B17&lt;&gt;"",$C17&lt;&gt;"",#REF!&lt;&gt;"",$E17&lt;&gt;"",$F17&lt;&gt;""))</formula>
    </cfRule>
  </conditionalFormatting>
  <conditionalFormatting sqref="G22">
    <cfRule type="expression" dxfId="387" priority="4319">
      <formula>AND($M22="X",OR($B22&lt;&gt;"",$D22&lt;&gt;"",#REF!&lt;&gt;"",$E22&lt;&gt;"",$F22&lt;&gt;""))</formula>
    </cfRule>
  </conditionalFormatting>
  <conditionalFormatting sqref="G23:G26">
    <cfRule type="expression" dxfId="386" priority="4320">
      <formula>AND($M23="X",OR($B23&lt;&gt;"",$C23&lt;&gt;"",#REF!&lt;&gt;"",$E23&lt;&gt;"",$F23&lt;&gt;""))</formula>
    </cfRule>
  </conditionalFormatting>
  <conditionalFormatting sqref="G45:G49 G53:G90">
    <cfRule type="expression" dxfId="385" priority="4612">
      <formula>AND($M45="X",OR($C45&lt;&gt;"",$D45&lt;&gt;"",$E45&lt;&gt;"",$F45&lt;&gt;""))</formula>
    </cfRule>
  </conditionalFormatting>
  <conditionalFormatting sqref="G51:G52">
    <cfRule type="expression" dxfId="384" priority="4614">
      <formula>AND($M51="X",OR($C51&lt;&gt;"",#REF!&lt;&gt;"",$E51&lt;&gt;"",#REF!&lt;&gt;""))</formula>
    </cfRule>
  </conditionalFormatting>
  <conditionalFormatting sqref="H92:H93 H96:H98 H145:H914">
    <cfRule type="expression" dxfId="383" priority="176">
      <formula>$K92="X"</formula>
    </cfRule>
  </conditionalFormatting>
  <conditionalFormatting sqref="I16">
    <cfRule type="expression" dxfId="382" priority="20">
      <formula>OR($X16="X",#REF!="X")</formula>
    </cfRule>
    <cfRule type="expression" dxfId="381" priority="17">
      <formula>$X16=1</formula>
    </cfRule>
    <cfRule type="expression" dxfId="380" priority="18">
      <formula>AND($X16=1,#REF!=1)</formula>
    </cfRule>
    <cfRule type="expression" dxfId="379" priority="22">
      <formula>AND($M16="X",OR($B16&lt;&gt;"",$C16&lt;&gt;"",$D16&lt;&gt;"",$E16&lt;&gt;"",$F16&lt;&gt;""))</formula>
    </cfRule>
    <cfRule type="expression" dxfId="378" priority="21">
      <formula>#REF!=1</formula>
    </cfRule>
    <cfRule type="expression" dxfId="377" priority="19">
      <formula>AND(NOT(ISBLANK($R16)),ISBLANK(#REF!),ISBLANK($X16))</formula>
    </cfRule>
  </conditionalFormatting>
  <conditionalFormatting sqref="I19">
    <cfRule type="expression" dxfId="376" priority="4621">
      <formula>$M20="X"</formula>
    </cfRule>
  </conditionalFormatting>
  <conditionalFormatting sqref="I11:J14 J16 I17:J18 J19:J20 I21:J34 I48:J90">
    <cfRule type="expression" dxfId="375" priority="174">
      <formula>$M11="X"</formula>
    </cfRule>
  </conditionalFormatting>
  <conditionalFormatting sqref="I35:J43">
    <cfRule type="expression" dxfId="374" priority="70">
      <formula>$S35="X"</formula>
    </cfRule>
  </conditionalFormatting>
  <conditionalFormatting sqref="I41:J46">
    <cfRule type="expression" dxfId="373" priority="34">
      <formula>$M41="X"</formula>
    </cfRule>
  </conditionalFormatting>
  <conditionalFormatting sqref="K50:K87 K89">
    <cfRule type="cellIs" dxfId="372" priority="24" operator="equal">
      <formula>"0..n"</formula>
    </cfRule>
    <cfRule type="cellIs" dxfId="371" priority="25" operator="equal">
      <formula>"0..1"</formula>
    </cfRule>
    <cfRule type="cellIs" dxfId="370" priority="23" operator="equal">
      <formula>"1..1"</formula>
    </cfRule>
  </conditionalFormatting>
  <conditionalFormatting sqref="L9:L89">
    <cfRule type="cellIs" dxfId="369" priority="3" operator="equal">
      <formula>"0..1"</formula>
    </cfRule>
    <cfRule type="cellIs" dxfId="368" priority="2" operator="equal">
      <formula>"0..n"</formula>
    </cfRule>
    <cfRule type="cellIs" dxfId="367" priority="1"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53620B0-817E-4A29-B217-2CC937CE171A}">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sheetPr>
    <tabColor theme="4" tint="0.79998168889431442"/>
  </sheetPr>
  <dimension ref="A1:ALU73"/>
  <sheetViews>
    <sheetView zoomScale="85" zoomScaleNormal="85" workbookViewId="0">
      <pane xSplit="7" ySplit="8" topLeftCell="K9" activePane="bottomRight" state="frozen"/>
      <selection pane="topRight" activeCell="H1" sqref="H1"/>
      <selection pane="bottomLeft" activeCell="A9" sqref="A9"/>
      <selection pane="bottomRight" activeCell="R13" sqref="R13"/>
    </sheetView>
  </sheetViews>
  <sheetFormatPr baseColWidth="10" defaultColWidth="9.5" defaultRowHeight="12" customHeight="1"/>
  <cols>
    <col min="1" max="1" width="6.33203125" style="128" customWidth="1"/>
    <col min="2" max="2" width="23.6640625" style="128" customWidth="1"/>
    <col min="3" max="3" width="29.33203125" style="128" customWidth="1"/>
    <col min="4" max="4" width="27.33203125" style="128" customWidth="1"/>
    <col min="5" max="5" width="20" style="128" customWidth="1"/>
    <col min="6" max="6" width="8.6640625" style="128" customWidth="1"/>
    <col min="7" max="7" width="15.1640625" style="96" customWidth="1"/>
    <col min="8" max="8" width="63.83203125" style="96" customWidth="1"/>
    <col min="9" max="9" width="33.5" style="225" customWidth="1"/>
    <col min="10" max="10" width="17.83203125" style="159" hidden="1" customWidth="1"/>
    <col min="11" max="11" width="25.5" style="96" customWidth="1"/>
    <col min="12" max="12" width="6" style="173" customWidth="1"/>
    <col min="13" max="13" width="7" style="96" customWidth="1"/>
    <col min="14" max="14" width="12.6640625" style="277" customWidth="1"/>
    <col min="15" max="15" width="28.1640625" style="96" customWidth="1"/>
    <col min="16" max="16" width="8.83203125" style="96" customWidth="1"/>
    <col min="17" max="17" width="9.5" style="96" hidden="1" customWidth="1"/>
    <col min="18" max="18" width="11" customWidth="1"/>
    <col min="19" max="19" width="22.6640625" style="179" customWidth="1"/>
    <col min="20" max="20" width="16.33203125" style="96" customWidth="1"/>
    <col min="21" max="21" width="13.33203125" style="159" customWidth="1"/>
    <col min="22" max="22" width="12.83203125" style="96" customWidth="1"/>
    <col min="23" max="23" width="11.1640625" style="96" customWidth="1"/>
    <col min="25" max="1005" width="9.5" style="128"/>
    <col min="1006" max="1006" width="9" style="128" customWidth="1"/>
    <col min="1007" max="1008" width="9" customWidth="1"/>
  </cols>
  <sheetData>
    <row r="1" spans="1:1006" ht="13.5" customHeight="1">
      <c r="A1" s="228" t="s">
        <v>2266</v>
      </c>
      <c r="C1" s="129"/>
      <c r="G1" s="128"/>
      <c r="H1" s="128"/>
      <c r="I1" s="128"/>
      <c r="X1" s="128"/>
      <c r="ALR1"/>
    </row>
    <row r="2" spans="1:1006" ht="13.5" customHeight="1">
      <c r="A2" s="128" t="s">
        <v>851</v>
      </c>
      <c r="B2" s="128" t="s">
        <v>2267</v>
      </c>
      <c r="C2" s="142"/>
      <c r="E2" s="157"/>
      <c r="G2" s="128"/>
      <c r="X2" s="128"/>
      <c r="ALR2"/>
    </row>
    <row r="3" spans="1:1006" ht="13.5" customHeight="1">
      <c r="C3" s="128" t="s">
        <v>2268</v>
      </c>
      <c r="G3" s="137"/>
      <c r="X3" s="128"/>
      <c r="ALR3"/>
    </row>
    <row r="4" spans="1:1006" s="149" customFormat="1" ht="13.5" customHeight="1">
      <c r="A4" s="128"/>
      <c r="B4" s="128"/>
      <c r="C4" s="128" t="s">
        <v>2269</v>
      </c>
      <c r="D4" s="146"/>
      <c r="E4" s="128"/>
      <c r="F4" s="146"/>
      <c r="G4" s="148"/>
      <c r="H4" s="148"/>
      <c r="I4" s="275"/>
      <c r="J4" s="160"/>
      <c r="K4" s="148"/>
      <c r="L4" s="186"/>
      <c r="M4" s="148"/>
      <c r="N4" s="279"/>
      <c r="O4" s="148"/>
      <c r="P4" s="148"/>
      <c r="Q4" s="148"/>
      <c r="R4"/>
      <c r="S4" s="181"/>
      <c r="T4" s="148"/>
      <c r="U4" s="160"/>
      <c r="V4" s="148"/>
      <c r="W4" s="148"/>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47"/>
      <c r="AV4" s="147"/>
      <c r="AW4" s="147"/>
      <c r="AX4" s="147"/>
      <c r="AY4" s="147"/>
      <c r="AZ4" s="147"/>
      <c r="BA4" s="147"/>
      <c r="BB4" s="147"/>
      <c r="BC4" s="147"/>
      <c r="BD4" s="147"/>
      <c r="BE4" s="147"/>
      <c r="BF4" s="147"/>
      <c r="BG4" s="147"/>
      <c r="BH4" s="147"/>
      <c r="BI4" s="147"/>
      <c r="BJ4" s="147"/>
      <c r="BK4" s="147"/>
      <c r="BL4" s="147"/>
      <c r="BM4" s="147"/>
      <c r="BN4" s="147"/>
      <c r="BO4" s="147"/>
      <c r="BP4" s="147"/>
      <c r="BQ4" s="147"/>
      <c r="BR4" s="147"/>
      <c r="BS4" s="147"/>
      <c r="BT4" s="147"/>
      <c r="BU4" s="147"/>
      <c r="BV4" s="147"/>
      <c r="BW4" s="147"/>
      <c r="BX4" s="147"/>
      <c r="BY4" s="147"/>
      <c r="BZ4" s="147"/>
      <c r="CA4" s="147"/>
      <c r="CB4" s="147"/>
      <c r="CC4" s="147"/>
      <c r="CD4" s="147"/>
      <c r="CE4" s="147"/>
      <c r="CF4" s="147"/>
      <c r="CG4" s="147"/>
      <c r="CH4" s="147"/>
      <c r="CI4" s="147"/>
      <c r="CJ4" s="147"/>
      <c r="CK4" s="147"/>
      <c r="CL4" s="147"/>
      <c r="CM4" s="147"/>
      <c r="CN4" s="147"/>
      <c r="CO4" s="147"/>
      <c r="CP4" s="147"/>
      <c r="CQ4" s="147"/>
      <c r="CR4" s="147"/>
      <c r="CS4" s="147"/>
      <c r="CT4" s="147"/>
      <c r="CU4" s="147"/>
      <c r="CV4" s="147"/>
      <c r="CW4" s="147"/>
      <c r="CX4" s="147"/>
      <c r="CY4" s="147"/>
      <c r="CZ4" s="147"/>
      <c r="DA4" s="147"/>
      <c r="DB4" s="147"/>
      <c r="DC4" s="147"/>
      <c r="DD4" s="147"/>
      <c r="DE4" s="147"/>
      <c r="DF4" s="147"/>
      <c r="DG4" s="147"/>
      <c r="DH4" s="147"/>
      <c r="DI4" s="147"/>
      <c r="DJ4" s="147"/>
      <c r="DK4" s="147"/>
      <c r="DL4" s="147"/>
      <c r="DM4" s="147"/>
      <c r="DN4" s="147"/>
      <c r="DO4" s="147"/>
      <c r="DP4" s="147"/>
      <c r="DQ4" s="147"/>
      <c r="DR4" s="147"/>
      <c r="DS4" s="147"/>
      <c r="DT4" s="147"/>
      <c r="DU4" s="147"/>
      <c r="DV4" s="147"/>
      <c r="DW4" s="147"/>
      <c r="DX4" s="147"/>
      <c r="DY4" s="147"/>
      <c r="DZ4" s="147"/>
      <c r="EA4" s="147"/>
      <c r="EB4" s="147"/>
      <c r="EC4" s="147"/>
      <c r="ED4" s="147"/>
      <c r="EE4" s="147"/>
      <c r="EF4" s="147"/>
      <c r="EG4" s="147"/>
      <c r="EH4" s="147"/>
      <c r="EI4" s="147"/>
      <c r="EJ4" s="147"/>
      <c r="EK4" s="147"/>
      <c r="EL4" s="147"/>
      <c r="EM4" s="147"/>
      <c r="EN4" s="147"/>
      <c r="EO4" s="147"/>
      <c r="EP4" s="147"/>
      <c r="EQ4" s="147"/>
      <c r="ER4" s="147"/>
      <c r="ES4" s="147"/>
      <c r="ET4" s="147"/>
      <c r="EU4" s="147"/>
      <c r="EV4" s="147"/>
      <c r="EW4" s="147"/>
      <c r="EX4" s="147"/>
      <c r="EY4" s="147"/>
      <c r="EZ4" s="147"/>
      <c r="FA4" s="147"/>
      <c r="FB4" s="147"/>
      <c r="FC4" s="147"/>
      <c r="FD4" s="147"/>
      <c r="FE4" s="147"/>
      <c r="FF4" s="147"/>
      <c r="FG4" s="147"/>
      <c r="FH4" s="147"/>
      <c r="FI4" s="147"/>
      <c r="FJ4" s="147"/>
      <c r="FK4" s="147"/>
      <c r="FL4" s="147"/>
      <c r="FM4" s="147"/>
      <c r="FN4" s="147"/>
      <c r="FO4" s="147"/>
      <c r="FP4" s="147"/>
      <c r="FQ4" s="147"/>
      <c r="FR4" s="147"/>
      <c r="FS4" s="147"/>
      <c r="FT4" s="147"/>
      <c r="FU4" s="147"/>
      <c r="FV4" s="147"/>
      <c r="FW4" s="147"/>
      <c r="FX4" s="147"/>
      <c r="FY4" s="147"/>
      <c r="FZ4" s="147"/>
      <c r="GA4" s="147"/>
      <c r="GB4" s="147"/>
      <c r="GC4" s="147"/>
      <c r="GD4" s="147"/>
      <c r="GE4" s="147"/>
      <c r="GF4" s="147"/>
      <c r="GG4" s="147"/>
      <c r="GH4" s="147"/>
      <c r="GI4" s="147"/>
      <c r="GJ4" s="147"/>
      <c r="GK4" s="147"/>
      <c r="GL4" s="147"/>
      <c r="GM4" s="147"/>
      <c r="GN4" s="147"/>
      <c r="GO4" s="147"/>
      <c r="GP4" s="147"/>
      <c r="GQ4" s="147"/>
      <c r="GR4" s="147"/>
      <c r="GS4" s="147"/>
      <c r="GT4" s="147"/>
      <c r="GU4" s="147"/>
      <c r="GV4" s="147"/>
      <c r="GW4" s="147"/>
      <c r="GX4" s="147"/>
      <c r="GY4" s="147"/>
      <c r="GZ4" s="147"/>
      <c r="HA4" s="147"/>
      <c r="HB4" s="147"/>
      <c r="HC4" s="147"/>
      <c r="HD4" s="147"/>
      <c r="HE4" s="147"/>
      <c r="HF4" s="147"/>
      <c r="HG4" s="147"/>
      <c r="HH4" s="147"/>
      <c r="HI4" s="147"/>
      <c r="HJ4" s="147"/>
      <c r="HK4" s="147"/>
      <c r="HL4" s="147"/>
      <c r="HM4" s="147"/>
      <c r="HN4" s="147"/>
      <c r="HO4" s="147"/>
      <c r="HP4" s="147"/>
      <c r="HQ4" s="147"/>
      <c r="HR4" s="147"/>
      <c r="HS4" s="147"/>
      <c r="HT4" s="147"/>
      <c r="HU4" s="147"/>
      <c r="HV4" s="147"/>
      <c r="HW4" s="147"/>
      <c r="HX4" s="147"/>
      <c r="HY4" s="147"/>
      <c r="HZ4" s="147"/>
      <c r="IA4" s="147"/>
      <c r="IB4" s="147"/>
      <c r="IC4" s="147"/>
      <c r="ID4" s="147"/>
      <c r="IE4" s="147"/>
      <c r="IF4" s="147"/>
      <c r="IG4" s="147"/>
      <c r="IH4" s="147"/>
      <c r="II4" s="147"/>
      <c r="IJ4" s="147"/>
      <c r="IK4" s="147"/>
      <c r="IL4" s="147"/>
      <c r="IM4" s="147"/>
      <c r="IN4" s="147"/>
      <c r="IO4" s="147"/>
      <c r="IP4" s="147"/>
      <c r="IQ4" s="147"/>
      <c r="IR4" s="147"/>
      <c r="IS4" s="147"/>
      <c r="IT4" s="147"/>
      <c r="IU4" s="147"/>
      <c r="IV4" s="147"/>
      <c r="IW4" s="147"/>
      <c r="IX4" s="147"/>
      <c r="IY4" s="147"/>
      <c r="IZ4" s="147"/>
      <c r="JA4" s="147"/>
      <c r="JB4" s="147"/>
      <c r="JC4" s="147"/>
      <c r="JD4" s="147"/>
      <c r="JE4" s="147"/>
      <c r="JF4" s="147"/>
      <c r="JG4" s="147"/>
      <c r="JH4" s="147"/>
      <c r="JI4" s="147"/>
      <c r="JJ4" s="147"/>
      <c r="JK4" s="147"/>
      <c r="JL4" s="147"/>
      <c r="JM4" s="147"/>
      <c r="JN4" s="147"/>
      <c r="JO4" s="147"/>
      <c r="JP4" s="147"/>
      <c r="JQ4" s="147"/>
      <c r="JR4" s="147"/>
      <c r="JS4" s="147"/>
      <c r="JT4" s="147"/>
      <c r="JU4" s="147"/>
      <c r="JV4" s="147"/>
      <c r="JW4" s="147"/>
      <c r="JX4" s="147"/>
      <c r="JY4" s="147"/>
      <c r="JZ4" s="147"/>
      <c r="KA4" s="147"/>
      <c r="KB4" s="147"/>
      <c r="KC4" s="147"/>
      <c r="KD4" s="147"/>
      <c r="KE4" s="147"/>
      <c r="KF4" s="147"/>
      <c r="KG4" s="147"/>
      <c r="KH4" s="147"/>
      <c r="KI4" s="147"/>
      <c r="KJ4" s="147"/>
      <c r="KK4" s="147"/>
      <c r="KL4" s="147"/>
      <c r="KM4" s="147"/>
      <c r="KN4" s="147"/>
      <c r="KO4" s="147"/>
      <c r="KP4" s="147"/>
      <c r="KQ4" s="147"/>
      <c r="KR4" s="147"/>
      <c r="KS4" s="147"/>
      <c r="KT4" s="147"/>
      <c r="KU4" s="147"/>
      <c r="KV4" s="147"/>
      <c r="KW4" s="147"/>
      <c r="KX4" s="147"/>
      <c r="KY4" s="147"/>
      <c r="KZ4" s="147"/>
      <c r="LA4" s="147"/>
      <c r="LB4" s="147"/>
      <c r="LC4" s="147"/>
      <c r="LD4" s="147"/>
      <c r="LE4" s="147"/>
      <c r="LF4" s="147"/>
      <c r="LG4" s="147"/>
      <c r="LH4" s="147"/>
      <c r="LI4" s="147"/>
      <c r="LJ4" s="147"/>
      <c r="LK4" s="147"/>
      <c r="LL4" s="147"/>
      <c r="LM4" s="147"/>
      <c r="LN4" s="147"/>
      <c r="LO4" s="147"/>
      <c r="LP4" s="147"/>
      <c r="LQ4" s="147"/>
      <c r="LR4" s="147"/>
      <c r="LS4" s="147"/>
      <c r="LT4" s="147"/>
      <c r="LU4" s="147"/>
      <c r="LV4" s="147"/>
      <c r="LW4" s="147"/>
      <c r="LX4" s="147"/>
      <c r="LY4" s="147"/>
      <c r="LZ4" s="147"/>
      <c r="MA4" s="147"/>
      <c r="MB4" s="147"/>
      <c r="MC4" s="147"/>
      <c r="MD4" s="147"/>
      <c r="ME4" s="147"/>
      <c r="MF4" s="147"/>
      <c r="MG4" s="147"/>
      <c r="MH4" s="147"/>
      <c r="MI4" s="147"/>
      <c r="MJ4" s="147"/>
      <c r="MK4" s="147"/>
      <c r="ML4" s="147"/>
      <c r="MM4" s="147"/>
      <c r="MN4" s="147"/>
      <c r="MO4" s="147"/>
      <c r="MP4" s="147"/>
      <c r="MQ4" s="147"/>
      <c r="MR4" s="147"/>
      <c r="MS4" s="147"/>
      <c r="MT4" s="147"/>
      <c r="MU4" s="147"/>
      <c r="MV4" s="147"/>
      <c r="MW4" s="147"/>
      <c r="MX4" s="147"/>
      <c r="MY4" s="147"/>
      <c r="MZ4" s="147"/>
      <c r="NA4" s="147"/>
      <c r="NB4" s="147"/>
      <c r="NC4" s="147"/>
      <c r="ND4" s="147"/>
      <c r="NE4" s="147"/>
      <c r="NF4" s="147"/>
      <c r="NG4" s="147"/>
      <c r="NH4" s="147"/>
      <c r="NI4" s="147"/>
      <c r="NJ4" s="147"/>
      <c r="NK4" s="147"/>
      <c r="NL4" s="147"/>
      <c r="NM4" s="147"/>
      <c r="NN4" s="147"/>
      <c r="NO4" s="147"/>
      <c r="NP4" s="147"/>
      <c r="NQ4" s="147"/>
      <c r="NR4" s="147"/>
      <c r="NS4" s="147"/>
      <c r="NT4" s="147"/>
      <c r="NU4" s="147"/>
      <c r="NV4" s="147"/>
      <c r="NW4" s="147"/>
      <c r="NX4" s="147"/>
      <c r="NY4" s="147"/>
      <c r="NZ4" s="147"/>
      <c r="OA4" s="147"/>
      <c r="OB4" s="147"/>
      <c r="OC4" s="147"/>
      <c r="OD4" s="147"/>
      <c r="OE4" s="147"/>
      <c r="OF4" s="147"/>
      <c r="OG4" s="147"/>
      <c r="OH4" s="147"/>
      <c r="OI4" s="147"/>
      <c r="OJ4" s="147"/>
      <c r="OK4" s="147"/>
      <c r="OL4" s="147"/>
      <c r="OM4" s="147"/>
      <c r="ON4" s="147"/>
      <c r="OO4" s="147"/>
      <c r="OP4" s="147"/>
      <c r="OQ4" s="147"/>
      <c r="OR4" s="147"/>
      <c r="OS4" s="147"/>
      <c r="OT4" s="147"/>
      <c r="OU4" s="147"/>
      <c r="OV4" s="147"/>
      <c r="OW4" s="147"/>
      <c r="OX4" s="147"/>
      <c r="OY4" s="147"/>
      <c r="OZ4" s="147"/>
      <c r="PA4" s="147"/>
      <c r="PB4" s="147"/>
      <c r="PC4" s="147"/>
      <c r="PD4" s="147"/>
      <c r="PE4" s="147"/>
      <c r="PF4" s="147"/>
      <c r="PG4" s="147"/>
      <c r="PH4" s="147"/>
      <c r="PI4" s="147"/>
      <c r="PJ4" s="147"/>
      <c r="PK4" s="147"/>
      <c r="PL4" s="147"/>
      <c r="PM4" s="147"/>
      <c r="PN4" s="147"/>
      <c r="PO4" s="147"/>
      <c r="PP4" s="147"/>
      <c r="PQ4" s="147"/>
      <c r="PR4" s="147"/>
      <c r="PS4" s="147"/>
      <c r="PT4" s="147"/>
      <c r="PU4" s="147"/>
      <c r="PV4" s="147"/>
      <c r="PW4" s="147"/>
      <c r="PX4" s="147"/>
      <c r="PY4" s="147"/>
      <c r="PZ4" s="147"/>
      <c r="QA4" s="147"/>
      <c r="QB4" s="147"/>
      <c r="QC4" s="147"/>
      <c r="QD4" s="147"/>
      <c r="QE4" s="147"/>
      <c r="QF4" s="147"/>
      <c r="QG4" s="147"/>
      <c r="QH4" s="147"/>
      <c r="QI4" s="147"/>
      <c r="QJ4" s="147"/>
      <c r="QK4" s="147"/>
      <c r="QL4" s="147"/>
      <c r="QM4" s="147"/>
      <c r="QN4" s="147"/>
      <c r="QO4" s="147"/>
      <c r="QP4" s="147"/>
      <c r="QQ4" s="147"/>
      <c r="QR4" s="147"/>
      <c r="QS4" s="147"/>
      <c r="QT4" s="147"/>
      <c r="QU4" s="147"/>
      <c r="QV4" s="147"/>
      <c r="QW4" s="147"/>
      <c r="QX4" s="147"/>
      <c r="QY4" s="147"/>
      <c r="QZ4" s="147"/>
      <c r="RA4" s="147"/>
      <c r="RB4" s="147"/>
      <c r="RC4" s="147"/>
      <c r="RD4" s="147"/>
      <c r="RE4" s="147"/>
      <c r="RF4" s="147"/>
      <c r="RG4" s="147"/>
      <c r="RH4" s="147"/>
      <c r="RI4" s="147"/>
      <c r="RJ4" s="147"/>
      <c r="RK4" s="147"/>
      <c r="RL4" s="147"/>
      <c r="RM4" s="147"/>
      <c r="RN4" s="147"/>
      <c r="RO4" s="147"/>
      <c r="RP4" s="147"/>
      <c r="RQ4" s="147"/>
      <c r="RR4" s="147"/>
      <c r="RS4" s="147"/>
      <c r="RT4" s="147"/>
      <c r="RU4" s="147"/>
      <c r="RV4" s="147"/>
      <c r="RW4" s="147"/>
      <c r="RX4" s="147"/>
      <c r="RY4" s="147"/>
      <c r="RZ4" s="147"/>
      <c r="SA4" s="147"/>
      <c r="SB4" s="147"/>
      <c r="SC4" s="147"/>
      <c r="SD4" s="147"/>
      <c r="SE4" s="147"/>
      <c r="SF4" s="147"/>
      <c r="SG4" s="147"/>
      <c r="SH4" s="147"/>
      <c r="SI4" s="147"/>
      <c r="SJ4" s="147"/>
      <c r="SK4" s="147"/>
      <c r="SL4" s="147"/>
      <c r="SM4" s="147"/>
      <c r="SN4" s="147"/>
      <c r="SO4" s="147"/>
      <c r="SP4" s="147"/>
      <c r="SQ4" s="147"/>
      <c r="SR4" s="147"/>
      <c r="SS4" s="147"/>
      <c r="ST4" s="147"/>
      <c r="SU4" s="147"/>
      <c r="SV4" s="147"/>
      <c r="SW4" s="147"/>
      <c r="SX4" s="147"/>
      <c r="SY4" s="147"/>
      <c r="SZ4" s="147"/>
      <c r="TA4" s="147"/>
      <c r="TB4" s="147"/>
      <c r="TC4" s="147"/>
      <c r="TD4" s="147"/>
      <c r="TE4" s="147"/>
      <c r="TF4" s="147"/>
      <c r="TG4" s="147"/>
      <c r="TH4" s="147"/>
      <c r="TI4" s="147"/>
      <c r="TJ4" s="147"/>
      <c r="TK4" s="147"/>
      <c r="TL4" s="147"/>
      <c r="TM4" s="147"/>
      <c r="TN4" s="147"/>
      <c r="TO4" s="147"/>
      <c r="TP4" s="147"/>
      <c r="TQ4" s="147"/>
      <c r="TR4" s="147"/>
      <c r="TS4" s="147"/>
      <c r="TT4" s="147"/>
      <c r="TU4" s="147"/>
      <c r="TV4" s="147"/>
      <c r="TW4" s="147"/>
      <c r="TX4" s="147"/>
      <c r="TY4" s="147"/>
      <c r="TZ4" s="147"/>
      <c r="UA4" s="147"/>
      <c r="UB4" s="147"/>
      <c r="UC4" s="147"/>
      <c r="UD4" s="147"/>
      <c r="UE4" s="147"/>
      <c r="UF4" s="147"/>
      <c r="UG4" s="147"/>
      <c r="UH4" s="147"/>
      <c r="UI4" s="147"/>
      <c r="UJ4" s="147"/>
      <c r="UK4" s="147"/>
      <c r="UL4" s="147"/>
      <c r="UM4" s="147"/>
      <c r="UN4" s="147"/>
      <c r="UO4" s="147"/>
      <c r="UP4" s="147"/>
      <c r="UQ4" s="147"/>
      <c r="UR4" s="147"/>
      <c r="US4" s="147"/>
      <c r="UT4" s="147"/>
      <c r="UU4" s="147"/>
      <c r="UV4" s="147"/>
      <c r="UW4" s="147"/>
      <c r="UX4" s="147"/>
      <c r="UY4" s="147"/>
      <c r="UZ4" s="147"/>
      <c r="VA4" s="147"/>
      <c r="VB4" s="147"/>
      <c r="VC4" s="147"/>
      <c r="VD4" s="147"/>
      <c r="VE4" s="147"/>
      <c r="VF4" s="147"/>
      <c r="VG4" s="147"/>
      <c r="VH4" s="147"/>
      <c r="VI4" s="147"/>
      <c r="VJ4" s="147"/>
      <c r="VK4" s="147"/>
      <c r="VL4" s="147"/>
      <c r="VM4" s="147"/>
      <c r="VN4" s="147"/>
      <c r="VO4" s="147"/>
      <c r="VP4" s="147"/>
      <c r="VQ4" s="147"/>
      <c r="VR4" s="147"/>
      <c r="VS4" s="147"/>
      <c r="VT4" s="147"/>
      <c r="VU4" s="147"/>
      <c r="VV4" s="147"/>
      <c r="VW4" s="147"/>
      <c r="VX4" s="147"/>
      <c r="VY4" s="147"/>
      <c r="VZ4" s="147"/>
      <c r="WA4" s="147"/>
      <c r="WB4" s="147"/>
      <c r="WC4" s="147"/>
      <c r="WD4" s="147"/>
      <c r="WE4" s="147"/>
      <c r="WF4" s="147"/>
      <c r="WG4" s="147"/>
      <c r="WH4" s="147"/>
      <c r="WI4" s="147"/>
      <c r="WJ4" s="147"/>
      <c r="WK4" s="147"/>
      <c r="WL4" s="147"/>
      <c r="WM4" s="147"/>
      <c r="WN4" s="147"/>
      <c r="WO4" s="147"/>
      <c r="WP4" s="147"/>
      <c r="WQ4" s="147"/>
      <c r="WR4" s="147"/>
      <c r="WS4" s="147"/>
      <c r="WT4" s="147"/>
      <c r="WU4" s="147"/>
      <c r="WV4" s="147"/>
      <c r="WW4" s="147"/>
      <c r="WX4" s="147"/>
      <c r="WY4" s="147"/>
      <c r="WZ4" s="147"/>
      <c r="XA4" s="147"/>
      <c r="XB4" s="147"/>
      <c r="XC4" s="147"/>
      <c r="XD4" s="147"/>
      <c r="XE4" s="147"/>
      <c r="XF4" s="147"/>
      <c r="XG4" s="147"/>
      <c r="XH4" s="147"/>
      <c r="XI4" s="147"/>
      <c r="XJ4" s="147"/>
      <c r="XK4" s="147"/>
      <c r="XL4" s="147"/>
      <c r="XM4" s="147"/>
      <c r="XN4" s="147"/>
      <c r="XO4" s="147"/>
      <c r="XP4" s="147"/>
      <c r="XQ4" s="147"/>
      <c r="XR4" s="147"/>
      <c r="XS4" s="147"/>
      <c r="XT4" s="147"/>
      <c r="XU4" s="147"/>
      <c r="XV4" s="147"/>
      <c r="XW4" s="147"/>
      <c r="XX4" s="147"/>
      <c r="XY4" s="147"/>
      <c r="XZ4" s="147"/>
      <c r="YA4" s="147"/>
      <c r="YB4" s="147"/>
      <c r="YC4" s="147"/>
      <c r="YD4" s="147"/>
      <c r="YE4" s="147"/>
      <c r="YF4" s="147"/>
      <c r="YG4" s="147"/>
      <c r="YH4" s="147"/>
      <c r="YI4" s="147"/>
      <c r="YJ4" s="147"/>
      <c r="YK4" s="147"/>
      <c r="YL4" s="147"/>
      <c r="YM4" s="147"/>
      <c r="YN4" s="147"/>
      <c r="YO4" s="147"/>
      <c r="YP4" s="147"/>
      <c r="YQ4" s="147"/>
      <c r="YR4" s="147"/>
      <c r="YS4" s="147"/>
      <c r="YT4" s="147"/>
      <c r="YU4" s="147"/>
      <c r="YV4" s="147"/>
      <c r="YW4" s="147"/>
      <c r="YX4" s="147"/>
      <c r="YY4" s="147"/>
      <c r="YZ4" s="147"/>
      <c r="ZA4" s="147"/>
      <c r="ZB4" s="147"/>
      <c r="ZC4" s="147"/>
      <c r="ZD4" s="147"/>
      <c r="ZE4" s="147"/>
      <c r="ZF4" s="147"/>
      <c r="ZG4" s="147"/>
      <c r="ZH4" s="147"/>
      <c r="ZI4" s="147"/>
      <c r="ZJ4" s="147"/>
      <c r="ZK4" s="147"/>
      <c r="ZL4" s="147"/>
      <c r="ZM4" s="147"/>
      <c r="ZN4" s="147"/>
      <c r="ZO4" s="147"/>
      <c r="ZP4" s="147"/>
      <c r="ZQ4" s="147"/>
      <c r="ZR4" s="147"/>
      <c r="ZS4" s="147"/>
      <c r="ZT4" s="147"/>
      <c r="ZU4" s="147"/>
      <c r="ZV4" s="147"/>
      <c r="ZW4" s="147"/>
      <c r="ZX4" s="147"/>
      <c r="ZY4" s="147"/>
      <c r="ZZ4" s="147"/>
      <c r="AAA4" s="147"/>
      <c r="AAB4" s="147"/>
      <c r="AAC4" s="147"/>
      <c r="AAD4" s="147"/>
      <c r="AAE4" s="147"/>
      <c r="AAF4" s="147"/>
      <c r="AAG4" s="147"/>
      <c r="AAH4" s="147"/>
      <c r="AAI4" s="147"/>
      <c r="AAJ4" s="147"/>
      <c r="AAK4" s="147"/>
      <c r="AAL4" s="147"/>
      <c r="AAM4" s="147"/>
      <c r="AAN4" s="147"/>
      <c r="AAO4" s="147"/>
      <c r="AAP4" s="147"/>
      <c r="AAQ4" s="147"/>
      <c r="AAR4" s="147"/>
      <c r="AAS4" s="147"/>
      <c r="AAT4" s="147"/>
      <c r="AAU4" s="147"/>
      <c r="AAV4" s="147"/>
      <c r="AAW4" s="147"/>
      <c r="AAX4" s="147"/>
      <c r="AAY4" s="147"/>
      <c r="AAZ4" s="147"/>
      <c r="ABA4" s="147"/>
      <c r="ABB4" s="147"/>
      <c r="ABC4" s="147"/>
      <c r="ABD4" s="147"/>
      <c r="ABE4" s="147"/>
      <c r="ABF4" s="147"/>
      <c r="ABG4" s="147"/>
      <c r="ABH4" s="147"/>
      <c r="ABI4" s="147"/>
      <c r="ABJ4" s="147"/>
      <c r="ABK4" s="147"/>
      <c r="ABL4" s="147"/>
      <c r="ABM4" s="147"/>
      <c r="ABN4" s="147"/>
      <c r="ABO4" s="147"/>
      <c r="ABP4" s="147"/>
      <c r="ABQ4" s="147"/>
      <c r="ABR4" s="147"/>
      <c r="ABS4" s="147"/>
      <c r="ABT4" s="147"/>
      <c r="ABU4" s="147"/>
      <c r="ABV4" s="147"/>
      <c r="ABW4" s="147"/>
      <c r="ABX4" s="147"/>
      <c r="ABY4" s="147"/>
      <c r="ABZ4" s="147"/>
      <c r="ACA4" s="147"/>
      <c r="ACB4" s="147"/>
      <c r="ACC4" s="147"/>
      <c r="ACD4" s="147"/>
      <c r="ACE4" s="147"/>
      <c r="ACF4" s="147"/>
      <c r="ACG4" s="147"/>
      <c r="ACH4" s="147"/>
      <c r="ACI4" s="147"/>
      <c r="ACJ4" s="147"/>
      <c r="ACK4" s="147"/>
      <c r="ACL4" s="147"/>
      <c r="ACM4" s="147"/>
      <c r="ACN4" s="147"/>
      <c r="ACO4" s="147"/>
      <c r="ACP4" s="147"/>
      <c r="ACQ4" s="147"/>
      <c r="ACR4" s="147"/>
      <c r="ACS4" s="147"/>
      <c r="ACT4" s="147"/>
      <c r="ACU4" s="147"/>
      <c r="ACV4" s="147"/>
      <c r="ACW4" s="147"/>
      <c r="ACX4" s="147"/>
      <c r="ACY4" s="147"/>
      <c r="ACZ4" s="147"/>
      <c r="ADA4" s="147"/>
      <c r="ADB4" s="147"/>
      <c r="ADC4" s="147"/>
      <c r="ADD4" s="147"/>
      <c r="ADE4" s="147"/>
      <c r="ADF4" s="147"/>
      <c r="ADG4" s="147"/>
      <c r="ADH4" s="147"/>
      <c r="ADI4" s="147"/>
      <c r="ADJ4" s="147"/>
      <c r="ADK4" s="147"/>
      <c r="ADL4" s="147"/>
      <c r="ADM4" s="147"/>
      <c r="ADN4" s="147"/>
      <c r="ADO4" s="147"/>
      <c r="ADP4" s="147"/>
      <c r="ADQ4" s="147"/>
      <c r="ADR4" s="147"/>
      <c r="ADS4" s="147"/>
      <c r="ADT4" s="147"/>
      <c r="ADU4" s="147"/>
      <c r="ADV4" s="147"/>
      <c r="ADW4" s="147"/>
      <c r="ADX4" s="147"/>
      <c r="ADY4" s="147"/>
      <c r="ADZ4" s="147"/>
      <c r="AEA4" s="147"/>
      <c r="AEB4" s="147"/>
      <c r="AEC4" s="147"/>
      <c r="AED4" s="147"/>
      <c r="AEE4" s="147"/>
      <c r="AEF4" s="147"/>
      <c r="AEG4" s="147"/>
      <c r="AEH4" s="147"/>
      <c r="AEI4" s="147"/>
      <c r="AEJ4" s="147"/>
      <c r="AEK4" s="147"/>
      <c r="AEL4" s="147"/>
      <c r="AEM4" s="147"/>
      <c r="AEN4" s="147"/>
      <c r="AEO4" s="147"/>
      <c r="AEP4" s="147"/>
      <c r="AEQ4" s="147"/>
      <c r="AER4" s="147"/>
      <c r="AES4" s="147"/>
      <c r="AET4" s="147"/>
      <c r="AEU4" s="147"/>
      <c r="AEV4" s="147"/>
      <c r="AEW4" s="147"/>
      <c r="AEX4" s="147"/>
      <c r="AEY4" s="147"/>
      <c r="AEZ4" s="147"/>
      <c r="AFA4" s="147"/>
      <c r="AFB4" s="147"/>
      <c r="AFC4" s="147"/>
      <c r="AFD4" s="147"/>
      <c r="AFE4" s="147"/>
      <c r="AFF4" s="147"/>
      <c r="AFG4" s="147"/>
      <c r="AFH4" s="147"/>
      <c r="AFI4" s="147"/>
      <c r="AFJ4" s="147"/>
      <c r="AFK4" s="147"/>
      <c r="AFL4" s="147"/>
      <c r="AFM4" s="147"/>
      <c r="AFN4" s="147"/>
      <c r="AFO4" s="147"/>
      <c r="AFP4" s="147"/>
      <c r="AFQ4" s="147"/>
      <c r="AFR4" s="147"/>
      <c r="AFS4" s="147"/>
      <c r="AFT4" s="147"/>
      <c r="AFU4" s="147"/>
      <c r="AFV4" s="147"/>
      <c r="AFW4" s="147"/>
      <c r="AFX4" s="147"/>
      <c r="AFY4" s="147"/>
      <c r="AFZ4" s="147"/>
      <c r="AGA4" s="147"/>
      <c r="AGB4" s="147"/>
      <c r="AGC4" s="147"/>
      <c r="AGD4" s="147"/>
      <c r="AGE4" s="147"/>
      <c r="AGF4" s="147"/>
      <c r="AGG4" s="147"/>
      <c r="AGH4" s="147"/>
      <c r="AGI4" s="147"/>
      <c r="AGJ4" s="147"/>
      <c r="AGK4" s="147"/>
      <c r="AGL4" s="147"/>
      <c r="AGM4" s="147"/>
      <c r="AGN4" s="147"/>
      <c r="AGO4" s="147"/>
      <c r="AGP4" s="147"/>
      <c r="AGQ4" s="147"/>
      <c r="AGR4" s="147"/>
      <c r="AGS4" s="147"/>
      <c r="AGT4" s="147"/>
      <c r="AGU4" s="147"/>
      <c r="AGV4" s="147"/>
      <c r="AGW4" s="147"/>
      <c r="AGX4" s="147"/>
      <c r="AGY4" s="147"/>
      <c r="AGZ4" s="147"/>
      <c r="AHA4" s="147"/>
      <c r="AHB4" s="147"/>
      <c r="AHC4" s="147"/>
      <c r="AHD4" s="147"/>
      <c r="AHE4" s="147"/>
      <c r="AHF4" s="147"/>
      <c r="AHG4" s="147"/>
      <c r="AHH4" s="147"/>
      <c r="AHI4" s="147"/>
      <c r="AHJ4" s="147"/>
      <c r="AHK4" s="147"/>
      <c r="AHL4" s="147"/>
      <c r="AHM4" s="147"/>
      <c r="AHN4" s="147"/>
      <c r="AHO4" s="147"/>
      <c r="AHP4" s="147"/>
      <c r="AHQ4" s="147"/>
      <c r="AHR4" s="147"/>
      <c r="AHS4" s="147"/>
      <c r="AHT4" s="147"/>
      <c r="AHU4" s="147"/>
      <c r="AHV4" s="147"/>
      <c r="AHW4" s="147"/>
      <c r="AHX4" s="147"/>
      <c r="AHY4" s="147"/>
      <c r="AHZ4" s="147"/>
      <c r="AIA4" s="147"/>
      <c r="AIB4" s="147"/>
      <c r="AIC4" s="147"/>
      <c r="AID4" s="147"/>
      <c r="AIE4" s="147"/>
      <c r="AIF4" s="147"/>
      <c r="AIG4" s="147"/>
      <c r="AIH4" s="147"/>
      <c r="AII4" s="147"/>
      <c r="AIJ4" s="147"/>
      <c r="AIK4" s="147"/>
      <c r="AIL4" s="147"/>
      <c r="AIM4" s="147"/>
      <c r="AIN4" s="147"/>
      <c r="AIO4" s="147"/>
      <c r="AIP4" s="147"/>
      <c r="AIQ4" s="147"/>
      <c r="AIR4" s="147"/>
      <c r="AIS4" s="147"/>
      <c r="AIT4" s="147"/>
      <c r="AIU4" s="147"/>
      <c r="AIV4" s="147"/>
      <c r="AIW4" s="147"/>
      <c r="AIX4" s="147"/>
      <c r="AIY4" s="147"/>
      <c r="AIZ4" s="147"/>
      <c r="AJA4" s="147"/>
      <c r="AJB4" s="147"/>
      <c r="AJC4" s="147"/>
      <c r="AJD4" s="147"/>
      <c r="AJE4" s="147"/>
      <c r="AJF4" s="147"/>
      <c r="AJG4" s="147"/>
      <c r="AJH4" s="147"/>
      <c r="AJI4" s="147"/>
      <c r="AJJ4" s="147"/>
      <c r="AJK4" s="147"/>
      <c r="AJL4" s="147"/>
      <c r="AJM4" s="147"/>
      <c r="AJN4" s="147"/>
      <c r="AJO4" s="147"/>
      <c r="AJP4" s="147"/>
      <c r="AJQ4" s="147"/>
      <c r="AJR4" s="147"/>
      <c r="AJS4" s="147"/>
      <c r="AJT4" s="147"/>
      <c r="AJU4" s="147"/>
      <c r="AJV4" s="147"/>
      <c r="AJW4" s="147"/>
      <c r="AJX4" s="147"/>
      <c r="AJY4" s="147"/>
      <c r="AJZ4" s="147"/>
      <c r="AKA4" s="147"/>
      <c r="AKB4" s="147"/>
      <c r="AKC4" s="147"/>
      <c r="AKD4" s="147"/>
      <c r="AKE4" s="147"/>
      <c r="AKF4" s="147"/>
      <c r="AKG4" s="147"/>
      <c r="AKH4" s="147"/>
      <c r="AKI4" s="147"/>
      <c r="AKJ4" s="147"/>
      <c r="AKK4" s="147"/>
      <c r="AKL4" s="147"/>
      <c r="AKM4" s="147"/>
      <c r="AKN4" s="147"/>
      <c r="AKO4" s="147"/>
      <c r="AKP4" s="147"/>
      <c r="AKQ4" s="147"/>
      <c r="AKR4" s="147"/>
      <c r="AKS4" s="147"/>
      <c r="AKT4" s="147"/>
      <c r="AKU4" s="147"/>
      <c r="AKV4" s="147"/>
      <c r="AKW4" s="147"/>
      <c r="AKX4" s="147"/>
      <c r="AKY4" s="147"/>
      <c r="AKZ4" s="147"/>
      <c r="ALA4" s="147"/>
      <c r="ALB4" s="147"/>
      <c r="ALC4" s="147"/>
      <c r="ALD4" s="147"/>
      <c r="ALE4" s="147"/>
      <c r="ALF4" s="147"/>
      <c r="ALG4" s="147"/>
      <c r="ALH4" s="147"/>
      <c r="ALI4" s="147"/>
      <c r="ALJ4" s="147"/>
      <c r="ALK4" s="147"/>
      <c r="ALL4" s="147"/>
      <c r="ALM4" s="147"/>
      <c r="ALN4" s="147"/>
      <c r="ALO4" s="147"/>
      <c r="ALP4" s="147"/>
      <c r="ALQ4" s="147"/>
    </row>
    <row r="5" spans="1:1006" ht="13.5" customHeight="1">
      <c r="C5" s="128" t="s">
        <v>2270</v>
      </c>
      <c r="D5" s="138"/>
      <c r="E5" s="146"/>
      <c r="F5" s="138"/>
      <c r="X5" s="128"/>
      <c r="ALR5"/>
    </row>
    <row r="6" spans="1:1006" ht="13.5" customHeight="1">
      <c r="C6" s="144"/>
      <c r="D6" s="138"/>
      <c r="G6" s="128"/>
      <c r="H6" s="128"/>
      <c r="I6" s="128"/>
      <c r="X6" s="128"/>
      <c r="ALR6"/>
    </row>
    <row r="7" spans="1:1006" ht="13.5" customHeight="1">
      <c r="A7"/>
      <c r="B7"/>
      <c r="C7" s="138"/>
      <c r="D7" s="377"/>
      <c r="E7" s="138"/>
      <c r="F7" s="138"/>
      <c r="P7" s="703"/>
      <c r="Q7" s="702" t="s">
        <v>829</v>
      </c>
      <c r="R7" s="702" t="s">
        <v>829</v>
      </c>
      <c r="W7" s="649" t="s">
        <v>685</v>
      </c>
      <c r="X7" s="128"/>
      <c r="ALR7"/>
    </row>
    <row r="8" spans="1:1006" s="238" customFormat="1" ht="55.5" customHeight="1">
      <c r="A8" s="233" t="s">
        <v>831</v>
      </c>
      <c r="B8" s="381" t="s">
        <v>832</v>
      </c>
      <c r="C8" s="278" t="s">
        <v>833</v>
      </c>
      <c r="D8" s="278" t="s">
        <v>834</v>
      </c>
      <c r="E8" s="278" t="s">
        <v>835</v>
      </c>
      <c r="F8" s="278" t="s">
        <v>836</v>
      </c>
      <c r="G8" s="278" t="s">
        <v>837</v>
      </c>
      <c r="H8" s="234" t="s">
        <v>9</v>
      </c>
      <c r="I8" s="234" t="s">
        <v>838</v>
      </c>
      <c r="J8" s="234" t="s">
        <v>841</v>
      </c>
      <c r="K8" s="234" t="s">
        <v>842</v>
      </c>
      <c r="L8" s="234" t="s">
        <v>677</v>
      </c>
      <c r="M8" s="234" t="s">
        <v>3</v>
      </c>
      <c r="N8" s="234" t="s">
        <v>913</v>
      </c>
      <c r="O8" s="283" t="s">
        <v>914</v>
      </c>
      <c r="P8" s="234" t="s">
        <v>849</v>
      </c>
      <c r="Q8" s="229" t="s">
        <v>850</v>
      </c>
      <c r="R8" s="229" t="s">
        <v>851</v>
      </c>
      <c r="S8" s="230" t="s">
        <v>852</v>
      </c>
      <c r="T8" s="235" t="s">
        <v>853</v>
      </c>
      <c r="U8" s="235" t="s">
        <v>854</v>
      </c>
      <c r="V8" s="236" t="s">
        <v>855</v>
      </c>
      <c r="W8" s="235" t="s">
        <v>856</v>
      </c>
      <c r="X8" s="237" t="s">
        <v>915</v>
      </c>
    </row>
    <row r="9" spans="1:1006" s="224" customFormat="1" ht="13.5" customHeight="1">
      <c r="A9" s="225">
        <v>1</v>
      </c>
      <c r="B9" s="217" t="s">
        <v>916</v>
      </c>
      <c r="C9" s="240"/>
      <c r="D9" s="727"/>
      <c r="E9" s="727"/>
      <c r="F9" s="727"/>
      <c r="G9" s="727"/>
      <c r="H9" s="728" t="s">
        <v>950</v>
      </c>
      <c r="I9" s="316" t="s">
        <v>1612</v>
      </c>
      <c r="J9" s="672"/>
      <c r="K9" s="729" t="s">
        <v>919</v>
      </c>
      <c r="L9" s="728" t="s">
        <v>820</v>
      </c>
      <c r="M9" s="730"/>
      <c r="N9" s="728" t="s">
        <v>863</v>
      </c>
      <c r="O9" s="731"/>
      <c r="P9" s="728"/>
      <c r="Q9" s="732"/>
      <c r="R9" s="732" t="s">
        <v>864</v>
      </c>
      <c r="S9" s="232"/>
      <c r="T9" s="733"/>
      <c r="U9" s="728"/>
      <c r="V9" s="734"/>
      <c r="W9" s="728"/>
      <c r="X9" s="731">
        <v>1</v>
      </c>
    </row>
    <row r="10" spans="1:1006" s="224" customFormat="1" ht="13.5" customHeight="1">
      <c r="A10" s="225">
        <v>2</v>
      </c>
      <c r="B10" s="217" t="s">
        <v>2195</v>
      </c>
      <c r="C10" s="240"/>
      <c r="D10" s="241"/>
      <c r="E10" s="241"/>
      <c r="F10" s="241"/>
      <c r="G10" s="241"/>
      <c r="H10" s="728" t="s">
        <v>2271</v>
      </c>
      <c r="I10" s="316" t="s">
        <v>2197</v>
      </c>
      <c r="J10" s="745"/>
      <c r="K10" s="729" t="s">
        <v>2198</v>
      </c>
      <c r="L10" s="728" t="s">
        <v>820</v>
      </c>
      <c r="M10" s="730"/>
      <c r="N10" s="728" t="s">
        <v>863</v>
      </c>
      <c r="O10" s="731"/>
      <c r="P10" s="728"/>
      <c r="Q10" s="732"/>
      <c r="R10" s="732" t="s">
        <v>864</v>
      </c>
      <c r="S10" s="232"/>
      <c r="T10" s="733"/>
      <c r="U10" s="728"/>
      <c r="V10" s="734"/>
      <c r="W10" s="728"/>
      <c r="X10" s="731"/>
    </row>
    <row r="11" spans="1:1006" s="224" customFormat="1" ht="13.5" customHeight="1">
      <c r="A11" s="225">
        <v>3</v>
      </c>
      <c r="B11" s="217" t="s">
        <v>2272</v>
      </c>
      <c r="C11" s="240"/>
      <c r="D11" s="241"/>
      <c r="E11" s="241"/>
      <c r="F11" s="241"/>
      <c r="G11" s="241"/>
      <c r="H11" s="728" t="s">
        <v>2273</v>
      </c>
      <c r="I11" s="729" t="s">
        <v>930</v>
      </c>
      <c r="J11" s="729"/>
      <c r="K11" s="728" t="s">
        <v>2274</v>
      </c>
      <c r="L11" s="728" t="s">
        <v>817</v>
      </c>
      <c r="M11" s="730" t="s">
        <v>864</v>
      </c>
      <c r="N11" s="728" t="s">
        <v>2274</v>
      </c>
      <c r="O11" s="731"/>
      <c r="P11" s="728" t="s">
        <v>932</v>
      </c>
      <c r="Q11" s="732"/>
      <c r="R11" s="732" t="s">
        <v>864</v>
      </c>
      <c r="S11" s="232"/>
      <c r="T11" s="733"/>
      <c r="U11" s="728"/>
      <c r="V11" s="734"/>
      <c r="W11" s="728"/>
      <c r="X11" s="731"/>
    </row>
    <row r="12" spans="1:1006" s="224" customFormat="1" ht="13.5" customHeight="1">
      <c r="A12" s="225">
        <v>4</v>
      </c>
      <c r="B12" s="217"/>
      <c r="C12" s="217" t="s">
        <v>2275</v>
      </c>
      <c r="D12" s="241"/>
      <c r="E12" s="241"/>
      <c r="F12" s="241"/>
      <c r="G12" s="241"/>
      <c r="H12" s="728" t="s">
        <v>2276</v>
      </c>
      <c r="I12" s="745"/>
      <c r="J12" s="745"/>
      <c r="K12" s="729" t="s">
        <v>2189</v>
      </c>
      <c r="L12" s="728" t="s">
        <v>820</v>
      </c>
      <c r="M12" s="730"/>
      <c r="N12" s="728" t="s">
        <v>879</v>
      </c>
      <c r="O12" s="731"/>
      <c r="P12" s="728" t="s">
        <v>932</v>
      </c>
      <c r="Q12" s="732"/>
      <c r="R12" s="732" t="s">
        <v>864</v>
      </c>
      <c r="S12" s="232"/>
      <c r="T12" s="733" t="s">
        <v>2277</v>
      </c>
      <c r="U12" s="728"/>
      <c r="V12" s="734"/>
      <c r="W12" s="728"/>
      <c r="X12" s="731"/>
    </row>
    <row r="13" spans="1:1006" s="224" customFormat="1" ht="13.5" customHeight="1">
      <c r="A13" s="225">
        <v>5</v>
      </c>
      <c r="B13" s="217"/>
      <c r="C13" s="722" t="s">
        <v>2278</v>
      </c>
      <c r="D13" s="241"/>
      <c r="E13" s="241"/>
      <c r="F13" s="241"/>
      <c r="G13" s="241"/>
      <c r="H13" s="728" t="s">
        <v>2279</v>
      </c>
      <c r="I13" s="748"/>
      <c r="J13" s="745"/>
      <c r="K13" s="729" t="s">
        <v>2280</v>
      </c>
      <c r="L13" s="728" t="s">
        <v>817</v>
      </c>
      <c r="M13" s="730"/>
      <c r="N13" s="728" t="s">
        <v>863</v>
      </c>
      <c r="O13" s="731" t="s">
        <v>864</v>
      </c>
      <c r="P13" s="728"/>
      <c r="Q13" s="732"/>
      <c r="R13" s="732" t="s">
        <v>864</v>
      </c>
      <c r="S13" s="232"/>
      <c r="T13" s="733" t="s">
        <v>2277</v>
      </c>
      <c r="U13" s="728"/>
      <c r="V13" s="734"/>
      <c r="W13" s="728"/>
      <c r="X13" s="731"/>
    </row>
    <row r="14" spans="1:1006" s="224" customFormat="1" ht="13.5" customHeight="1">
      <c r="A14" s="225">
        <v>6</v>
      </c>
      <c r="B14" s="217"/>
      <c r="C14" s="722" t="s">
        <v>2281</v>
      </c>
      <c r="D14" s="241"/>
      <c r="E14" s="241"/>
      <c r="F14" s="241"/>
      <c r="G14" s="241"/>
      <c r="H14" s="728" t="s">
        <v>2282</v>
      </c>
      <c r="I14" s="748"/>
      <c r="J14" s="745"/>
      <c r="K14" s="729" t="s">
        <v>2283</v>
      </c>
      <c r="L14" s="728" t="s">
        <v>817</v>
      </c>
      <c r="M14" s="730"/>
      <c r="N14" s="728" t="s">
        <v>863</v>
      </c>
      <c r="O14" s="731" t="s">
        <v>864</v>
      </c>
      <c r="P14" s="728"/>
      <c r="Q14" s="732"/>
      <c r="R14" s="732" t="s">
        <v>864</v>
      </c>
      <c r="S14" s="232"/>
      <c r="T14" s="733" t="s">
        <v>2277</v>
      </c>
      <c r="U14" s="728"/>
      <c r="V14" s="734"/>
      <c r="W14" s="728"/>
      <c r="X14" s="731"/>
    </row>
    <row r="15" spans="1:1006" s="224" customFormat="1" ht="13.5" customHeight="1">
      <c r="A15" s="225">
        <v>7</v>
      </c>
      <c r="B15" s="217"/>
      <c r="C15" s="721" t="s">
        <v>2284</v>
      </c>
      <c r="D15" s="221"/>
      <c r="E15" s="221"/>
      <c r="F15" s="221"/>
      <c r="G15" s="221"/>
      <c r="H15" s="728" t="s">
        <v>2285</v>
      </c>
      <c r="I15" s="723"/>
      <c r="J15" s="131"/>
      <c r="K15" s="729" t="s">
        <v>2286</v>
      </c>
      <c r="L15" s="728" t="s">
        <v>820</v>
      </c>
      <c r="M15" s="730"/>
      <c r="N15" s="728" t="s">
        <v>863</v>
      </c>
      <c r="O15" s="731" t="s">
        <v>864</v>
      </c>
      <c r="P15" s="729" t="s">
        <v>2287</v>
      </c>
      <c r="Q15" s="732"/>
      <c r="R15" s="732" t="s">
        <v>864</v>
      </c>
      <c r="S15" s="232"/>
      <c r="T15" s="733" t="s">
        <v>2288</v>
      </c>
      <c r="U15" s="728"/>
      <c r="V15" s="734"/>
      <c r="W15" s="728"/>
      <c r="X15" s="731"/>
    </row>
    <row r="16" spans="1:1006" s="224" customFormat="1" ht="13.5" customHeight="1">
      <c r="A16" s="225">
        <v>8</v>
      </c>
      <c r="B16" s="217"/>
      <c r="C16" s="217" t="s">
        <v>2289</v>
      </c>
      <c r="D16" s="241"/>
      <c r="E16" s="241"/>
      <c r="F16" s="241"/>
      <c r="G16" s="241"/>
      <c r="H16" s="728" t="s">
        <v>2290</v>
      </c>
      <c r="I16" s="729"/>
      <c r="J16" s="729"/>
      <c r="K16" s="729" t="s">
        <v>939</v>
      </c>
      <c r="L16" s="728" t="s">
        <v>817</v>
      </c>
      <c r="M16" s="730"/>
      <c r="N16" s="728" t="s">
        <v>863</v>
      </c>
      <c r="O16" s="728"/>
      <c r="P16" s="728"/>
      <c r="Q16" s="728"/>
      <c r="R16" s="731" t="s">
        <v>864</v>
      </c>
      <c r="S16" s="232"/>
      <c r="T16" s="728"/>
      <c r="U16" s="731"/>
      <c r="V16" s="731"/>
      <c r="W16" s="731"/>
      <c r="X16" s="731"/>
      <c r="Y16" s="232"/>
      <c r="Z16" s="733"/>
      <c r="AA16" s="728"/>
      <c r="AB16" s="734"/>
      <c r="AC16" s="728"/>
      <c r="AD16" s="731"/>
      <c r="AE16" s="731"/>
      <c r="AF16" s="732"/>
    </row>
    <row r="17" spans="1:32" s="224" customFormat="1" ht="13.5" customHeight="1">
      <c r="A17" s="225">
        <f t="shared" ref="A17:A61" si="0">ROW()-8</f>
        <v>9</v>
      </c>
      <c r="B17" s="217" t="s">
        <v>2257</v>
      </c>
      <c r="C17" s="216"/>
      <c r="D17" s="217"/>
      <c r="E17" s="217"/>
      <c r="F17" s="217"/>
      <c r="G17" s="217"/>
      <c r="H17" s="255" t="s">
        <v>2291</v>
      </c>
      <c r="I17" s="729"/>
      <c r="J17" s="729"/>
      <c r="K17" s="255" t="s">
        <v>2259</v>
      </c>
      <c r="L17" s="728" t="s">
        <v>817</v>
      </c>
      <c r="M17" s="731" t="s">
        <v>864</v>
      </c>
      <c r="N17" s="243" t="s">
        <v>1054</v>
      </c>
      <c r="O17" s="280"/>
      <c r="P17" s="728"/>
      <c r="Q17" s="730"/>
      <c r="R17" s="731"/>
      <c r="S17" s="232"/>
      <c r="T17" s="733"/>
      <c r="U17" s="728"/>
      <c r="V17" s="734"/>
      <c r="W17" s="732"/>
      <c r="X17" s="732"/>
      <c r="Y17" s="731"/>
      <c r="AA17" s="733"/>
      <c r="AB17" s="728"/>
      <c r="AC17" s="729"/>
      <c r="AD17" s="728"/>
      <c r="AE17" s="731"/>
      <c r="AF17" s="731"/>
    </row>
    <row r="18" spans="1:32" s="224" customFormat="1" ht="13.5" customHeight="1">
      <c r="A18" s="225">
        <f t="shared" si="0"/>
        <v>10</v>
      </c>
      <c r="B18" s="217"/>
      <c r="C18" s="217" t="s">
        <v>2260</v>
      </c>
      <c r="D18" s="241"/>
      <c r="E18" s="241"/>
      <c r="F18" s="241"/>
      <c r="G18" s="241"/>
      <c r="H18" s="269" t="s">
        <v>2261</v>
      </c>
      <c r="I18" s="729" t="s">
        <v>2292</v>
      </c>
      <c r="J18" s="269"/>
      <c r="K18" s="729" t="s">
        <v>970</v>
      </c>
      <c r="L18" s="728" t="s">
        <v>817</v>
      </c>
      <c r="M18" s="730"/>
      <c r="N18" s="728" t="s">
        <v>863</v>
      </c>
      <c r="O18" s="268" t="s">
        <v>864</v>
      </c>
      <c r="P18" s="263" t="s">
        <v>1721</v>
      </c>
      <c r="Q18" s="732"/>
      <c r="R18" s="731"/>
      <c r="S18" s="232"/>
      <c r="T18" s="733"/>
      <c r="U18" s="728"/>
      <c r="V18" s="734"/>
      <c r="W18" s="746"/>
      <c r="X18" s="732"/>
      <c r="Y18" s="731"/>
      <c r="AA18" s="733"/>
      <c r="AB18" s="728"/>
      <c r="AC18" s="729"/>
      <c r="AD18" s="728"/>
      <c r="AE18" s="731"/>
      <c r="AF18" s="731"/>
    </row>
    <row r="19" spans="1:32" s="249" customFormat="1" ht="13.5" customHeight="1">
      <c r="A19" s="225">
        <f t="shared" si="0"/>
        <v>11</v>
      </c>
      <c r="B19" s="217"/>
      <c r="C19" s="219" t="s">
        <v>1059</v>
      </c>
      <c r="D19" s="219"/>
      <c r="E19" s="220"/>
      <c r="F19" s="220"/>
      <c r="G19" s="220"/>
      <c r="H19" s="728" t="s">
        <v>1639</v>
      </c>
      <c r="I19" s="729" t="s">
        <v>1061</v>
      </c>
      <c r="J19" s="729"/>
      <c r="K19" s="728" t="s">
        <v>1062</v>
      </c>
      <c r="L19" s="728" t="s">
        <v>817</v>
      </c>
      <c r="M19" s="731"/>
      <c r="N19" s="728" t="s">
        <v>863</v>
      </c>
      <c r="O19" s="731"/>
      <c r="P19" s="728"/>
      <c r="Q19" s="252"/>
      <c r="R19" s="731"/>
      <c r="S19" s="500"/>
      <c r="T19" s="733"/>
      <c r="U19" s="728"/>
      <c r="V19" s="734"/>
      <c r="W19" s="732"/>
      <c r="X19" s="732"/>
      <c r="Y19" s="731"/>
      <c r="Z19" s="224"/>
      <c r="AA19" s="733"/>
      <c r="AB19" s="728"/>
      <c r="AC19" s="729"/>
      <c r="AD19" s="728"/>
      <c r="AE19" s="731"/>
      <c r="AF19" s="731"/>
    </row>
    <row r="20" spans="1:32" s="224" customFormat="1" ht="13.5" customHeight="1">
      <c r="A20" s="225">
        <f t="shared" si="0"/>
        <v>12</v>
      </c>
      <c r="B20" s="217"/>
      <c r="C20" s="217" t="s">
        <v>1063</v>
      </c>
      <c r="D20" s="217"/>
      <c r="E20" s="217"/>
      <c r="F20" s="217"/>
      <c r="G20" s="217"/>
      <c r="H20" s="263" t="s">
        <v>1064</v>
      </c>
      <c r="I20" s="729" t="s">
        <v>1065</v>
      </c>
      <c r="J20" s="729"/>
      <c r="K20" s="728" t="s">
        <v>871</v>
      </c>
      <c r="L20" s="728" t="s">
        <v>817</v>
      </c>
      <c r="M20" s="731"/>
      <c r="N20" s="728" t="s">
        <v>863</v>
      </c>
      <c r="O20" s="731"/>
      <c r="P20" s="728"/>
      <c r="Q20" s="252"/>
      <c r="R20" s="731"/>
      <c r="S20" s="232"/>
      <c r="T20" s="733"/>
      <c r="U20" s="728"/>
      <c r="V20" s="734"/>
      <c r="W20" s="732"/>
      <c r="X20" s="732"/>
      <c r="Y20" s="731"/>
      <c r="AA20" s="733"/>
      <c r="AB20" s="728"/>
      <c r="AC20" s="729"/>
      <c r="AD20" s="728"/>
      <c r="AE20" s="731"/>
      <c r="AF20" s="731"/>
    </row>
    <row r="21" spans="1:32" s="158" customFormat="1" ht="13.5" customHeight="1">
      <c r="A21" s="225">
        <f t="shared" si="0"/>
        <v>13</v>
      </c>
      <c r="B21" s="219"/>
      <c r="C21" s="219" t="s">
        <v>1068</v>
      </c>
      <c r="D21" s="262"/>
      <c r="E21" s="262"/>
      <c r="F21" s="262"/>
      <c r="G21" s="262"/>
      <c r="H21" s="263" t="s">
        <v>1069</v>
      </c>
      <c r="I21" s="264"/>
      <c r="J21" s="264"/>
      <c r="K21" s="264" t="s">
        <v>1070</v>
      </c>
      <c r="L21" s="263" t="s">
        <v>823</v>
      </c>
      <c r="M21" s="268" t="s">
        <v>864</v>
      </c>
      <c r="N21" s="518" t="s">
        <v>1070</v>
      </c>
      <c r="O21" s="268"/>
      <c r="P21" s="268"/>
      <c r="Q21" s="265"/>
      <c r="R21" s="268"/>
      <c r="S21" s="660"/>
      <c r="T21" s="266"/>
      <c r="U21" s="263"/>
      <c r="V21" s="261"/>
      <c r="W21" s="260"/>
      <c r="X21" s="260"/>
      <c r="Y21" s="268"/>
      <c r="AA21" s="266"/>
      <c r="AB21" s="263"/>
      <c r="AC21" s="264"/>
      <c r="AD21" s="263"/>
      <c r="AE21" s="268"/>
      <c r="AF21" s="268"/>
    </row>
    <row r="22" spans="1:32" s="224" customFormat="1" ht="13.5" customHeight="1">
      <c r="A22" s="225">
        <f t="shared" si="0"/>
        <v>14</v>
      </c>
      <c r="B22" s="217"/>
      <c r="C22" s="241"/>
      <c r="D22" s="241" t="s">
        <v>1071</v>
      </c>
      <c r="E22" s="241"/>
      <c r="F22" s="241"/>
      <c r="G22" s="241"/>
      <c r="H22" s="728" t="s">
        <v>1072</v>
      </c>
      <c r="I22" s="736" t="s">
        <v>1073</v>
      </c>
      <c r="J22" s="736"/>
      <c r="K22" s="729" t="s">
        <v>908</v>
      </c>
      <c r="L22" s="728" t="s">
        <v>820</v>
      </c>
      <c r="M22" s="731"/>
      <c r="N22" s="728" t="s">
        <v>863</v>
      </c>
      <c r="O22" s="731" t="s">
        <v>864</v>
      </c>
      <c r="P22" s="729" t="s">
        <v>1640</v>
      </c>
      <c r="Q22" s="730"/>
      <c r="R22" s="731"/>
      <c r="S22" s="232"/>
      <c r="T22" s="733"/>
      <c r="U22" s="728"/>
      <c r="V22" s="734"/>
      <c r="W22" s="374"/>
      <c r="X22" s="260"/>
      <c r="Y22" s="731"/>
      <c r="AA22" s="266"/>
      <c r="AB22" s="728"/>
      <c r="AC22" s="497"/>
      <c r="AD22" s="728"/>
      <c r="AE22" s="731"/>
      <c r="AF22" s="731"/>
    </row>
    <row r="23" spans="1:32" s="224" customFormat="1" ht="13.5" customHeight="1">
      <c r="A23" s="225">
        <f t="shared" si="0"/>
        <v>15</v>
      </c>
      <c r="B23" s="217"/>
      <c r="C23" s="241"/>
      <c r="D23" s="241" t="s">
        <v>1077</v>
      </c>
      <c r="E23" s="241"/>
      <c r="F23" s="241"/>
      <c r="G23" s="241"/>
      <c r="H23" s="728" t="s">
        <v>1078</v>
      </c>
      <c r="I23" s="736" t="s">
        <v>1079</v>
      </c>
      <c r="J23" s="736"/>
      <c r="K23" s="729" t="s">
        <v>1080</v>
      </c>
      <c r="L23" s="728" t="s">
        <v>820</v>
      </c>
      <c r="M23" s="731"/>
      <c r="N23" s="728" t="s">
        <v>863</v>
      </c>
      <c r="O23" s="731"/>
      <c r="P23" s="731"/>
      <c r="Q23" s="730"/>
      <c r="R23" s="731"/>
      <c r="S23" s="232"/>
      <c r="T23" s="733"/>
      <c r="U23" s="728"/>
      <c r="V23" s="734"/>
      <c r="W23" s="374"/>
      <c r="X23" s="260"/>
      <c r="Y23" s="731"/>
      <c r="AA23" s="733"/>
      <c r="AB23" s="728"/>
      <c r="AC23" s="497"/>
      <c r="AD23" s="728"/>
      <c r="AE23" s="731"/>
      <c r="AF23" s="731"/>
    </row>
    <row r="24" spans="1:32" s="224" customFormat="1" ht="13.5" customHeight="1">
      <c r="A24" s="225">
        <f t="shared" si="0"/>
        <v>16</v>
      </c>
      <c r="B24" s="217"/>
      <c r="C24" s="217" t="s">
        <v>1081</v>
      </c>
      <c r="D24" s="221"/>
      <c r="E24" s="221"/>
      <c r="F24" s="221"/>
      <c r="G24" s="221"/>
      <c r="H24" s="728"/>
      <c r="I24" s="729"/>
      <c r="J24" s="729"/>
      <c r="K24" s="729" t="s">
        <v>1082</v>
      </c>
      <c r="L24" s="728" t="s">
        <v>817</v>
      </c>
      <c r="M24" s="731" t="s">
        <v>864</v>
      </c>
      <c r="N24" s="243" t="s">
        <v>1082</v>
      </c>
      <c r="O24" s="731"/>
      <c r="P24" s="728"/>
      <c r="Q24" s="730"/>
      <c r="R24" s="731"/>
      <c r="S24" s="232"/>
      <c r="T24" s="733"/>
      <c r="U24" s="728"/>
      <c r="V24" s="734"/>
      <c r="W24" s="732"/>
      <c r="X24" s="732"/>
      <c r="Y24" s="731"/>
      <c r="AA24" s="733"/>
      <c r="AB24" s="728"/>
      <c r="AC24" s="729"/>
      <c r="AD24" s="728"/>
      <c r="AE24" s="731"/>
      <c r="AF24" s="731"/>
    </row>
    <row r="25" spans="1:32" s="224" customFormat="1" ht="13.5" customHeight="1">
      <c r="A25" s="225">
        <f t="shared" si="0"/>
        <v>17</v>
      </c>
      <c r="B25" s="217"/>
      <c r="C25" s="217"/>
      <c r="D25" s="727" t="s">
        <v>1083</v>
      </c>
      <c r="E25" s="253"/>
      <c r="F25" s="239"/>
      <c r="G25" s="239"/>
      <c r="H25" s="728" t="s">
        <v>1648</v>
      </c>
      <c r="I25" s="729" t="s">
        <v>1085</v>
      </c>
      <c r="J25" s="729"/>
      <c r="K25" s="729" t="s">
        <v>1087</v>
      </c>
      <c r="L25" s="728" t="s">
        <v>820</v>
      </c>
      <c r="M25" s="731"/>
      <c r="N25" s="728" t="s">
        <v>863</v>
      </c>
      <c r="O25" s="731"/>
      <c r="P25" s="728" t="s">
        <v>1088</v>
      </c>
      <c r="Q25" s="730"/>
      <c r="R25" s="731"/>
      <c r="S25" s="232"/>
      <c r="T25" s="733"/>
      <c r="U25" s="728"/>
      <c r="V25" s="734"/>
      <c r="W25" s="732"/>
      <c r="X25" s="732"/>
      <c r="Y25" s="731"/>
      <c r="AA25" s="733"/>
      <c r="AB25" s="728"/>
      <c r="AC25" s="729"/>
      <c r="AD25" s="728"/>
      <c r="AE25" s="731"/>
      <c r="AF25" s="731"/>
    </row>
    <row r="26" spans="1:32" s="254" customFormat="1" ht="13.5" customHeight="1">
      <c r="A26" s="225">
        <f t="shared" si="0"/>
        <v>18</v>
      </c>
      <c r="B26" s="217"/>
      <c r="C26" s="222"/>
      <c r="D26" s="727" t="s">
        <v>1089</v>
      </c>
      <c r="E26" s="221"/>
      <c r="F26" s="221"/>
      <c r="G26" s="221"/>
      <c r="H26" s="728" t="s">
        <v>1090</v>
      </c>
      <c r="I26" s="729" t="s">
        <v>1091</v>
      </c>
      <c r="J26" s="729"/>
      <c r="K26" s="729" t="s">
        <v>1092</v>
      </c>
      <c r="L26" s="728" t="s">
        <v>817</v>
      </c>
      <c r="M26" s="731"/>
      <c r="N26" s="728" t="s">
        <v>863</v>
      </c>
      <c r="O26" s="731"/>
      <c r="P26" s="728"/>
      <c r="Q26" s="730"/>
      <c r="R26" s="731"/>
      <c r="S26" s="664"/>
      <c r="T26" s="733"/>
      <c r="U26" s="728"/>
      <c r="V26" s="734"/>
      <c r="W26" s="732"/>
      <c r="X26" s="732"/>
      <c r="Y26" s="731"/>
      <c r="Z26" s="224"/>
      <c r="AA26" s="733"/>
      <c r="AB26" s="728"/>
      <c r="AC26" s="729"/>
      <c r="AD26" s="728"/>
      <c r="AE26" s="731"/>
      <c r="AF26" s="731"/>
    </row>
    <row r="27" spans="1:32" s="254" customFormat="1" ht="13.5" customHeight="1">
      <c r="A27" s="225">
        <f t="shared" si="0"/>
        <v>19</v>
      </c>
      <c r="B27" s="217"/>
      <c r="C27" s="222"/>
      <c r="D27" s="727" t="s">
        <v>1094</v>
      </c>
      <c r="E27" s="221"/>
      <c r="F27" s="221"/>
      <c r="G27" s="221"/>
      <c r="H27" s="728"/>
      <c r="I27" s="729"/>
      <c r="J27" s="729"/>
      <c r="K27" s="729" t="s">
        <v>1095</v>
      </c>
      <c r="L27" s="728" t="s">
        <v>817</v>
      </c>
      <c r="M27" s="731" t="s">
        <v>864</v>
      </c>
      <c r="N27" s="243" t="s">
        <v>1095</v>
      </c>
      <c r="O27" s="731"/>
      <c r="P27" s="728"/>
      <c r="Q27" s="730"/>
      <c r="R27" s="731"/>
      <c r="S27" s="664"/>
      <c r="T27" s="733"/>
      <c r="U27" s="728"/>
      <c r="V27" s="734"/>
      <c r="W27" s="732"/>
      <c r="X27" s="732"/>
      <c r="Y27" s="731"/>
      <c r="Z27" s="224"/>
      <c r="AA27" s="733"/>
      <c r="AB27" s="728"/>
      <c r="AC27" s="729"/>
      <c r="AD27" s="728"/>
      <c r="AE27" s="731"/>
      <c r="AF27" s="731"/>
    </row>
    <row r="28" spans="1:32" s="254" customFormat="1" ht="13.5" customHeight="1">
      <c r="A28" s="225">
        <f t="shared" si="0"/>
        <v>20</v>
      </c>
      <c r="B28" s="217"/>
      <c r="C28" s="222"/>
      <c r="D28" s="241"/>
      <c r="E28" s="241" t="s">
        <v>1098</v>
      </c>
      <c r="F28" s="241"/>
      <c r="G28" s="241"/>
      <c r="H28" s="728" t="s">
        <v>1099</v>
      </c>
      <c r="I28" s="729" t="s">
        <v>1100</v>
      </c>
      <c r="J28" s="729"/>
      <c r="K28" s="729" t="s">
        <v>1087</v>
      </c>
      <c r="L28" s="728" t="s">
        <v>820</v>
      </c>
      <c r="M28" s="731"/>
      <c r="N28" s="728" t="s">
        <v>863</v>
      </c>
      <c r="O28" s="731"/>
      <c r="P28" s="728" t="s">
        <v>1101</v>
      </c>
      <c r="Q28" s="730"/>
      <c r="R28" s="731"/>
      <c r="S28" s="664"/>
      <c r="T28" s="733"/>
      <c r="U28" s="728"/>
      <c r="V28" s="734"/>
      <c r="W28" s="732"/>
      <c r="X28" s="732"/>
      <c r="Y28" s="731"/>
      <c r="Z28" s="224"/>
      <c r="AA28" s="733"/>
      <c r="AB28" s="728"/>
      <c r="AC28" s="729"/>
      <c r="AD28" s="728"/>
      <c r="AE28" s="731"/>
      <c r="AF28" s="731"/>
    </row>
    <row r="29" spans="1:32" s="224" customFormat="1" ht="13.5" customHeight="1">
      <c r="A29" s="225">
        <f t="shared" si="0"/>
        <v>21</v>
      </c>
      <c r="B29" s="217"/>
      <c r="C29" s="217"/>
      <c r="D29" s="241"/>
      <c r="E29" s="241" t="s">
        <v>1102</v>
      </c>
      <c r="F29" s="241"/>
      <c r="G29" s="241"/>
      <c r="H29" s="728" t="s">
        <v>1649</v>
      </c>
      <c r="I29" s="729" t="s">
        <v>1103</v>
      </c>
      <c r="J29" s="729"/>
      <c r="K29" s="729" t="s">
        <v>970</v>
      </c>
      <c r="L29" s="728" t="s">
        <v>817</v>
      </c>
      <c r="M29" s="731"/>
      <c r="N29" s="728" t="s">
        <v>863</v>
      </c>
      <c r="O29" s="731"/>
      <c r="P29" s="728"/>
      <c r="Q29" s="730"/>
      <c r="R29" s="731"/>
      <c r="S29" s="232"/>
      <c r="T29" s="733"/>
      <c r="U29" s="728"/>
      <c r="V29" s="734"/>
      <c r="W29" s="732"/>
      <c r="X29" s="732"/>
      <c r="Y29" s="731"/>
      <c r="AA29" s="733"/>
      <c r="AB29" s="728"/>
      <c r="AC29" s="729"/>
      <c r="AD29" s="728"/>
      <c r="AE29" s="731"/>
      <c r="AF29" s="731"/>
    </row>
    <row r="30" spans="1:32" s="224" customFormat="1" ht="13.5" customHeight="1">
      <c r="A30" s="225">
        <f t="shared" si="0"/>
        <v>22</v>
      </c>
      <c r="B30" s="217"/>
      <c r="C30" s="217"/>
      <c r="D30" s="241"/>
      <c r="E30" s="241" t="s">
        <v>1104</v>
      </c>
      <c r="F30" s="241"/>
      <c r="G30" s="241"/>
      <c r="H30" s="728" t="s">
        <v>1650</v>
      </c>
      <c r="I30" s="729" t="s">
        <v>1105</v>
      </c>
      <c r="J30" s="729"/>
      <c r="K30" s="729" t="s">
        <v>871</v>
      </c>
      <c r="L30" s="728" t="s">
        <v>817</v>
      </c>
      <c r="M30" s="731"/>
      <c r="N30" s="728" t="s">
        <v>863</v>
      </c>
      <c r="O30" s="731"/>
      <c r="P30" s="728"/>
      <c r="Q30" s="730"/>
      <c r="R30" s="731"/>
      <c r="S30" s="232"/>
      <c r="T30" s="733"/>
      <c r="U30" s="728"/>
      <c r="V30" s="734"/>
      <c r="W30" s="732"/>
      <c r="X30" s="732"/>
      <c r="Y30" s="731"/>
      <c r="AA30" s="733"/>
      <c r="AB30" s="728"/>
      <c r="AC30" s="729"/>
      <c r="AD30" s="728"/>
      <c r="AE30" s="731"/>
      <c r="AF30" s="731"/>
    </row>
    <row r="31" spans="1:32" s="224" customFormat="1" ht="13.5" customHeight="1">
      <c r="A31" s="225">
        <f t="shared" si="0"/>
        <v>23</v>
      </c>
      <c r="B31" s="217"/>
      <c r="C31" s="217" t="s">
        <v>1106</v>
      </c>
      <c r="D31" s="221"/>
      <c r="E31" s="221"/>
      <c r="F31" s="221"/>
      <c r="G31" s="221"/>
      <c r="H31" s="728"/>
      <c r="I31" s="729"/>
      <c r="J31" s="729"/>
      <c r="K31" s="729" t="s">
        <v>1107</v>
      </c>
      <c r="L31" s="728" t="s">
        <v>817</v>
      </c>
      <c r="M31" s="731" t="s">
        <v>864</v>
      </c>
      <c r="N31" s="243" t="s">
        <v>1107</v>
      </c>
      <c r="O31" s="731"/>
      <c r="P31" s="728"/>
      <c r="Q31" s="730"/>
      <c r="R31" s="731"/>
      <c r="S31" s="232"/>
      <c r="T31" s="733"/>
      <c r="U31" s="728"/>
      <c r="V31" s="734"/>
      <c r="W31" s="732"/>
      <c r="X31" s="732"/>
      <c r="Y31" s="731"/>
      <c r="AA31" s="733"/>
      <c r="AB31" s="728"/>
      <c r="AC31" s="729"/>
      <c r="AD31" s="728"/>
      <c r="AE31" s="731"/>
      <c r="AF31" s="731"/>
    </row>
    <row r="32" spans="1:32" s="663" customFormat="1" ht="13.5" customHeight="1">
      <c r="A32" s="225">
        <f t="shared" si="0"/>
        <v>24</v>
      </c>
      <c r="B32" s="217"/>
      <c r="C32" s="217"/>
      <c r="D32" s="241" t="s">
        <v>388</v>
      </c>
      <c r="E32" s="217"/>
      <c r="F32" s="217"/>
      <c r="G32" s="217"/>
      <c r="H32" s="728" t="s">
        <v>1108</v>
      </c>
      <c r="I32" s="729" t="s">
        <v>1109</v>
      </c>
      <c r="J32" s="729"/>
      <c r="K32" s="729" t="s">
        <v>871</v>
      </c>
      <c r="L32" s="728" t="s">
        <v>817</v>
      </c>
      <c r="M32" s="731"/>
      <c r="N32" s="728" t="s">
        <v>863</v>
      </c>
      <c r="O32" s="731"/>
      <c r="P32" s="728"/>
      <c r="Q32" s="252"/>
      <c r="R32" s="731"/>
      <c r="S32" s="747"/>
      <c r="T32" s="733"/>
      <c r="U32" s="728"/>
      <c r="V32" s="734"/>
      <c r="W32" s="732"/>
      <c r="X32" s="732"/>
      <c r="Y32" s="731"/>
      <c r="Z32" s="224"/>
      <c r="AA32" s="733"/>
      <c r="AB32" s="255"/>
      <c r="AC32" s="497"/>
      <c r="AD32" s="728"/>
      <c r="AE32" s="731"/>
      <c r="AF32" s="731"/>
    </row>
    <row r="33" spans="1:32" s="224" customFormat="1" ht="13.5" customHeight="1">
      <c r="A33" s="225">
        <f t="shared" si="0"/>
        <v>25</v>
      </c>
      <c r="B33" s="217"/>
      <c r="C33" s="217"/>
      <c r="D33" s="241" t="s">
        <v>392</v>
      </c>
      <c r="E33" s="217"/>
      <c r="F33" s="217"/>
      <c r="G33" s="217"/>
      <c r="H33" s="728" t="s">
        <v>1112</v>
      </c>
      <c r="I33" s="729">
        <v>59350</v>
      </c>
      <c r="J33" s="729"/>
      <c r="K33" s="729" t="s">
        <v>1114</v>
      </c>
      <c r="L33" s="728" t="s">
        <v>817</v>
      </c>
      <c r="M33" s="731"/>
      <c r="N33" s="728" t="s">
        <v>863</v>
      </c>
      <c r="O33" s="731"/>
      <c r="P33" s="728" t="s">
        <v>1116</v>
      </c>
      <c r="Q33" s="252"/>
      <c r="R33" s="731"/>
      <c r="S33" s="232"/>
      <c r="T33" s="733"/>
      <c r="U33" s="728"/>
      <c r="V33" s="734"/>
      <c r="W33" s="732"/>
      <c r="X33" s="732"/>
      <c r="Y33" s="731"/>
      <c r="AA33" s="733"/>
      <c r="AB33" s="728"/>
      <c r="AC33" s="729"/>
      <c r="AD33" s="728"/>
      <c r="AE33" s="731"/>
      <c r="AF33" s="731"/>
    </row>
    <row r="34" spans="1:32" s="224" customFormat="1" ht="13.5" customHeight="1">
      <c r="A34" s="225">
        <f t="shared" si="0"/>
        <v>26</v>
      </c>
      <c r="B34" s="217"/>
      <c r="C34" s="217"/>
      <c r="D34" s="241" t="s">
        <v>1117</v>
      </c>
      <c r="E34" s="241"/>
      <c r="F34" s="241"/>
      <c r="G34" s="241"/>
      <c r="H34" s="263" t="s">
        <v>1651</v>
      </c>
      <c r="I34" s="729" t="s">
        <v>1119</v>
      </c>
      <c r="J34" s="729"/>
      <c r="K34" s="729" t="s">
        <v>1120</v>
      </c>
      <c r="L34" s="728" t="s">
        <v>817</v>
      </c>
      <c r="M34" s="731"/>
      <c r="N34" s="735" t="s">
        <v>863</v>
      </c>
      <c r="O34" s="281"/>
      <c r="P34" s="728"/>
      <c r="Q34" s="730"/>
      <c r="R34" s="731"/>
      <c r="S34" s="232"/>
      <c r="T34" s="733"/>
      <c r="U34" s="728"/>
      <c r="V34" s="734"/>
      <c r="W34" s="732"/>
      <c r="X34" s="732"/>
      <c r="Y34" s="731"/>
      <c r="AA34" s="733"/>
      <c r="AB34" s="728"/>
      <c r="AC34" s="729"/>
      <c r="AD34" s="728"/>
      <c r="AE34" s="731"/>
      <c r="AF34" s="731"/>
    </row>
    <row r="35" spans="1:32" s="256" customFormat="1" ht="13.5" customHeight="1">
      <c r="A35" s="225">
        <f t="shared" si="0"/>
        <v>27</v>
      </c>
      <c r="B35" s="217"/>
      <c r="C35" s="217" t="s">
        <v>1121</v>
      </c>
      <c r="D35" s="221"/>
      <c r="E35" s="221"/>
      <c r="F35" s="221"/>
      <c r="G35" s="221"/>
      <c r="H35" s="728" t="s">
        <v>1652</v>
      </c>
      <c r="I35" s="729"/>
      <c r="J35" s="729"/>
      <c r="K35" s="729" t="s">
        <v>1123</v>
      </c>
      <c r="L35" s="728" t="s">
        <v>817</v>
      </c>
      <c r="M35" s="731" t="s">
        <v>864</v>
      </c>
      <c r="N35" s="243" t="s">
        <v>1123</v>
      </c>
      <c r="O35" s="731"/>
      <c r="P35" s="728"/>
      <c r="Q35" s="730"/>
      <c r="R35" s="731"/>
      <c r="S35" s="665"/>
      <c r="T35" s="733"/>
      <c r="U35" s="728"/>
      <c r="V35" s="734"/>
      <c r="W35" s="732"/>
      <c r="X35" s="732"/>
      <c r="Y35" s="731"/>
      <c r="Z35" s="224"/>
      <c r="AA35" s="733"/>
      <c r="AB35" s="728"/>
      <c r="AC35" s="729"/>
      <c r="AD35" s="728"/>
      <c r="AE35" s="731"/>
      <c r="AF35" s="731"/>
    </row>
    <row r="36" spans="1:32" s="256" customFormat="1" ht="13.5" customHeight="1">
      <c r="A36" s="225">
        <f t="shared" si="0"/>
        <v>28</v>
      </c>
      <c r="B36" s="217"/>
      <c r="C36" s="217"/>
      <c r="D36" s="727" t="s">
        <v>415</v>
      </c>
      <c r="E36" s="221"/>
      <c r="F36" s="221"/>
      <c r="G36" s="221"/>
      <c r="H36" s="728" t="s">
        <v>1124</v>
      </c>
      <c r="I36" s="729" t="s">
        <v>1125</v>
      </c>
      <c r="J36" s="729"/>
      <c r="K36" s="729" t="s">
        <v>1126</v>
      </c>
      <c r="L36" s="728" t="s">
        <v>817</v>
      </c>
      <c r="M36" s="731"/>
      <c r="N36" s="735" t="s">
        <v>863</v>
      </c>
      <c r="O36" s="281"/>
      <c r="P36" s="728"/>
      <c r="Q36" s="730"/>
      <c r="R36" s="731"/>
      <c r="S36" s="665"/>
      <c r="T36" s="733"/>
      <c r="U36" s="728"/>
      <c r="V36" s="734"/>
      <c r="W36" s="732"/>
      <c r="X36" s="732"/>
      <c r="Y36" s="731"/>
      <c r="Z36" s="224"/>
      <c r="AA36" s="733"/>
      <c r="AB36" s="728"/>
      <c r="AC36" s="729"/>
      <c r="AD36" s="728"/>
      <c r="AE36" s="731"/>
      <c r="AF36" s="731"/>
    </row>
    <row r="37" spans="1:32" s="256" customFormat="1" ht="13.5" customHeight="1">
      <c r="A37" s="225">
        <f t="shared" si="0"/>
        <v>29</v>
      </c>
      <c r="B37" s="217"/>
      <c r="C37" s="217"/>
      <c r="D37" s="727" t="s">
        <v>1128</v>
      </c>
      <c r="E37" s="221"/>
      <c r="F37" s="221"/>
      <c r="G37" s="221"/>
      <c r="H37" s="728" t="s">
        <v>1129</v>
      </c>
      <c r="I37" s="729" t="s">
        <v>1130</v>
      </c>
      <c r="J37" s="729"/>
      <c r="K37" s="729" t="s">
        <v>1131</v>
      </c>
      <c r="L37" s="728" t="s">
        <v>817</v>
      </c>
      <c r="M37" s="731"/>
      <c r="N37" s="735" t="s">
        <v>863</v>
      </c>
      <c r="O37" s="281"/>
      <c r="P37" s="728"/>
      <c r="Q37" s="730"/>
      <c r="R37" s="731"/>
      <c r="S37" s="665"/>
      <c r="T37" s="733"/>
      <c r="U37" s="728"/>
      <c r="V37" s="734"/>
      <c r="W37" s="732"/>
      <c r="X37" s="732"/>
      <c r="Y37" s="731"/>
      <c r="Z37" s="224"/>
      <c r="AA37" s="733"/>
      <c r="AB37" s="728"/>
      <c r="AC37" s="729"/>
      <c r="AD37" s="728"/>
      <c r="AE37" s="731"/>
      <c r="AF37" s="731"/>
    </row>
    <row r="38" spans="1:32" s="244" customFormat="1" ht="13.5" customHeight="1">
      <c r="A38" s="225">
        <f t="shared" si="0"/>
        <v>30</v>
      </c>
      <c r="B38" s="217"/>
      <c r="C38" s="222"/>
      <c r="D38" s="727" t="s">
        <v>429</v>
      </c>
      <c r="E38" s="221"/>
      <c r="F38" s="221"/>
      <c r="G38" s="221"/>
      <c r="H38" s="728" t="s">
        <v>1133</v>
      </c>
      <c r="I38" s="729" t="s">
        <v>1134</v>
      </c>
      <c r="J38" s="729"/>
      <c r="K38" s="729" t="s">
        <v>1135</v>
      </c>
      <c r="L38" s="728" t="s">
        <v>817</v>
      </c>
      <c r="M38" s="731"/>
      <c r="N38" s="735" t="s">
        <v>863</v>
      </c>
      <c r="O38" s="281"/>
      <c r="P38" s="728"/>
      <c r="Q38" s="730"/>
      <c r="R38" s="731"/>
      <c r="S38" s="666"/>
      <c r="T38" s="733"/>
      <c r="U38" s="728"/>
      <c r="V38" s="734"/>
      <c r="W38" s="732"/>
      <c r="X38" s="732"/>
      <c r="Y38" s="731"/>
      <c r="Z38" s="224"/>
      <c r="AA38" s="733"/>
      <c r="AB38" s="728"/>
      <c r="AC38" s="729"/>
      <c r="AD38" s="728"/>
      <c r="AE38" s="731"/>
      <c r="AF38" s="731"/>
    </row>
    <row r="39" spans="1:32" s="244" customFormat="1" ht="13.5" customHeight="1">
      <c r="A39" s="225">
        <f t="shared" si="0"/>
        <v>31</v>
      </c>
      <c r="B39" s="217"/>
      <c r="C39" s="222"/>
      <c r="D39" s="727" t="s">
        <v>426</v>
      </c>
      <c r="E39" s="221"/>
      <c r="F39" s="221"/>
      <c r="G39" s="221"/>
      <c r="H39" s="728" t="s">
        <v>1136</v>
      </c>
      <c r="I39" s="729" t="s">
        <v>1137</v>
      </c>
      <c r="J39" s="729"/>
      <c r="K39" s="729" t="s">
        <v>1138</v>
      </c>
      <c r="L39" s="728" t="s">
        <v>823</v>
      </c>
      <c r="M39" s="731"/>
      <c r="N39" s="735" t="s">
        <v>863</v>
      </c>
      <c r="O39" s="281"/>
      <c r="P39" s="728"/>
      <c r="Q39" s="730"/>
      <c r="R39" s="731"/>
      <c r="S39" s="666"/>
      <c r="T39" s="733"/>
      <c r="U39" s="728"/>
      <c r="V39" s="734"/>
      <c r="W39" s="732"/>
      <c r="X39" s="732"/>
      <c r="Y39" s="731"/>
      <c r="Z39" s="224"/>
      <c r="AA39" s="733"/>
      <c r="AB39" s="728"/>
      <c r="AC39" s="729"/>
      <c r="AD39" s="728"/>
      <c r="AE39" s="731"/>
      <c r="AF39" s="731"/>
    </row>
    <row r="40" spans="1:32" s="244" customFormat="1" ht="13.5" customHeight="1">
      <c r="A40" s="225">
        <f t="shared" si="0"/>
        <v>32</v>
      </c>
      <c r="B40" s="217"/>
      <c r="C40" s="222"/>
      <c r="D40" s="727" t="s">
        <v>1140</v>
      </c>
      <c r="E40" s="221"/>
      <c r="F40" s="221"/>
      <c r="G40" s="221"/>
      <c r="H40" s="728" t="s">
        <v>1141</v>
      </c>
      <c r="I40" s="729" t="s">
        <v>1142</v>
      </c>
      <c r="J40" s="729"/>
      <c r="K40" s="729" t="s">
        <v>1143</v>
      </c>
      <c r="L40" s="728" t="s">
        <v>817</v>
      </c>
      <c r="M40" s="731"/>
      <c r="N40" s="735" t="s">
        <v>863</v>
      </c>
      <c r="O40" s="281"/>
      <c r="P40" s="728"/>
      <c r="Q40" s="730"/>
      <c r="R40" s="731"/>
      <c r="S40" s="666"/>
      <c r="T40" s="733"/>
      <c r="U40" s="728"/>
      <c r="V40" s="734"/>
      <c r="W40" s="732"/>
      <c r="X40" s="732"/>
      <c r="Y40" s="731"/>
      <c r="Z40" s="224"/>
      <c r="AA40" s="733"/>
      <c r="AB40" s="728"/>
      <c r="AC40" s="729"/>
      <c r="AD40" s="728"/>
      <c r="AE40" s="731"/>
      <c r="AF40" s="731"/>
    </row>
    <row r="41" spans="1:32" s="257" customFormat="1" ht="13.5" customHeight="1">
      <c r="A41" s="225">
        <f t="shared" si="0"/>
        <v>33</v>
      </c>
      <c r="B41" s="217"/>
      <c r="C41" s="222"/>
      <c r="D41" s="727" t="s">
        <v>1144</v>
      </c>
      <c r="E41" s="221"/>
      <c r="F41" s="221"/>
      <c r="G41" s="221"/>
      <c r="H41" s="728" t="s">
        <v>410</v>
      </c>
      <c r="I41" s="729" t="s">
        <v>1145</v>
      </c>
      <c r="J41" s="729"/>
      <c r="K41" s="729" t="s">
        <v>1146</v>
      </c>
      <c r="L41" s="728" t="s">
        <v>817</v>
      </c>
      <c r="M41" s="731"/>
      <c r="N41" s="735" t="s">
        <v>863</v>
      </c>
      <c r="O41" s="281"/>
      <c r="P41" s="728"/>
      <c r="Q41" s="730"/>
      <c r="R41" s="731"/>
      <c r="S41" s="667"/>
      <c r="T41" s="733"/>
      <c r="U41" s="728"/>
      <c r="V41" s="734"/>
      <c r="W41" s="732"/>
      <c r="X41" s="732"/>
      <c r="Y41" s="731"/>
      <c r="Z41" s="224"/>
      <c r="AA41" s="733"/>
      <c r="AB41" s="728"/>
      <c r="AC41" s="729"/>
      <c r="AD41" s="728"/>
      <c r="AE41" s="731"/>
      <c r="AF41" s="731"/>
    </row>
    <row r="42" spans="1:32" s="258" customFormat="1" ht="13.5" customHeight="1">
      <c r="A42" s="225">
        <f t="shared" si="0"/>
        <v>34</v>
      </c>
      <c r="B42" s="217"/>
      <c r="C42" s="218"/>
      <c r="D42" s="727" t="s">
        <v>1147</v>
      </c>
      <c r="E42" s="221"/>
      <c r="F42" s="221"/>
      <c r="G42" s="221"/>
      <c r="H42" s="728"/>
      <c r="I42" s="729" t="s">
        <v>1148</v>
      </c>
      <c r="J42" s="729"/>
      <c r="K42" s="729" t="s">
        <v>1149</v>
      </c>
      <c r="L42" s="728" t="s">
        <v>817</v>
      </c>
      <c r="M42" s="731"/>
      <c r="N42" s="735" t="s">
        <v>863</v>
      </c>
      <c r="O42" s="281"/>
      <c r="P42" s="728"/>
      <c r="Q42" s="730"/>
      <c r="R42" s="731"/>
      <c r="S42" s="668"/>
      <c r="T42" s="733"/>
      <c r="U42" s="728"/>
      <c r="V42" s="734"/>
      <c r="W42" s="732"/>
      <c r="X42" s="732"/>
      <c r="Y42" s="731"/>
      <c r="Z42" s="224"/>
      <c r="AA42" s="733"/>
      <c r="AB42" s="728"/>
      <c r="AC42" s="729"/>
      <c r="AD42" s="728"/>
      <c r="AE42" s="731"/>
      <c r="AF42" s="731"/>
    </row>
    <row r="43" spans="1:32" s="256" customFormat="1" ht="13.5" customHeight="1">
      <c r="A43" s="225">
        <f t="shared" si="0"/>
        <v>35</v>
      </c>
      <c r="B43" s="217"/>
      <c r="C43" s="218"/>
      <c r="D43" s="727" t="s">
        <v>178</v>
      </c>
      <c r="E43" s="221"/>
      <c r="F43" s="221"/>
      <c r="G43" s="221"/>
      <c r="H43" s="728" t="s">
        <v>1150</v>
      </c>
      <c r="I43" s="729" t="s">
        <v>1151</v>
      </c>
      <c r="J43" s="729"/>
      <c r="K43" s="729" t="s">
        <v>1152</v>
      </c>
      <c r="L43" s="728" t="s">
        <v>817</v>
      </c>
      <c r="M43" s="731"/>
      <c r="N43" s="735" t="s">
        <v>863</v>
      </c>
      <c r="O43" s="281"/>
      <c r="P43" s="728"/>
      <c r="Q43" s="730"/>
      <c r="R43" s="731"/>
      <c r="S43" s="665"/>
      <c r="T43" s="733"/>
      <c r="U43" s="728"/>
      <c r="V43" s="734"/>
      <c r="W43" s="732"/>
      <c r="X43" s="732"/>
      <c r="Y43" s="731"/>
      <c r="Z43" s="224"/>
      <c r="AA43" s="733"/>
      <c r="AB43" s="728"/>
      <c r="AC43" s="729"/>
      <c r="AD43" s="728"/>
      <c r="AE43" s="731"/>
      <c r="AF43" s="731"/>
    </row>
    <row r="44" spans="1:32" s="256" customFormat="1" ht="13.5" customHeight="1">
      <c r="A44" s="225">
        <f t="shared" si="0"/>
        <v>36</v>
      </c>
      <c r="B44" s="217"/>
      <c r="C44" s="218"/>
      <c r="D44" s="241" t="s">
        <v>1153</v>
      </c>
      <c r="E44" s="241"/>
      <c r="F44" s="241"/>
      <c r="G44" s="241"/>
      <c r="H44" s="728" t="s">
        <v>1154</v>
      </c>
      <c r="I44" s="729">
        <v>33123452323</v>
      </c>
      <c r="J44" s="729"/>
      <c r="K44" s="729" t="s">
        <v>1155</v>
      </c>
      <c r="L44" s="728" t="s">
        <v>817</v>
      </c>
      <c r="M44" s="731"/>
      <c r="N44" s="728" t="s">
        <v>1092</v>
      </c>
      <c r="O44" s="731"/>
      <c r="P44" s="728"/>
      <c r="Q44" s="730"/>
      <c r="R44" s="731"/>
      <c r="S44" s="665"/>
      <c r="T44" s="733"/>
      <c r="U44" s="728"/>
      <c r="V44" s="734"/>
      <c r="W44" s="732"/>
      <c r="X44" s="732"/>
      <c r="Y44" s="731"/>
      <c r="Z44" s="224"/>
      <c r="AA44" s="733"/>
      <c r="AB44" s="728"/>
      <c r="AC44" s="729"/>
      <c r="AD44" s="728"/>
      <c r="AE44" s="731"/>
      <c r="AF44" s="731"/>
    </row>
    <row r="45" spans="1:32" s="224" customFormat="1" ht="13.5" customHeight="1">
      <c r="A45" s="225">
        <f t="shared" si="0"/>
        <v>37</v>
      </c>
      <c r="B45" s="217"/>
      <c r="C45" s="217" t="s">
        <v>1157</v>
      </c>
      <c r="D45" s="217"/>
      <c r="E45" s="217"/>
      <c r="F45" s="217"/>
      <c r="G45" s="217"/>
      <c r="H45" s="728"/>
      <c r="I45" s="729"/>
      <c r="J45" s="729"/>
      <c r="K45" s="729" t="s">
        <v>1159</v>
      </c>
      <c r="L45" s="728" t="s">
        <v>817</v>
      </c>
      <c r="M45" s="731" t="s">
        <v>864</v>
      </c>
      <c r="N45" s="243" t="s">
        <v>1159</v>
      </c>
      <c r="O45" s="731"/>
      <c r="P45" s="728"/>
      <c r="Q45" s="252"/>
      <c r="R45" s="731"/>
      <c r="S45" s="232"/>
      <c r="T45" s="733"/>
      <c r="U45" s="728"/>
      <c r="V45" s="734"/>
      <c r="W45" s="732"/>
      <c r="X45" s="732"/>
      <c r="Y45" s="731"/>
      <c r="AA45" s="733"/>
      <c r="AB45" s="728"/>
      <c r="AC45" s="729"/>
      <c r="AD45" s="728"/>
      <c r="AE45" s="731"/>
      <c r="AF45" s="731"/>
    </row>
    <row r="46" spans="1:32" s="224" customFormat="1" ht="13.5" customHeight="1">
      <c r="A46" s="225">
        <f t="shared" si="0"/>
        <v>38</v>
      </c>
      <c r="B46" s="217"/>
      <c r="C46" s="217"/>
      <c r="D46" s="241" t="s">
        <v>1160</v>
      </c>
      <c r="E46" s="241"/>
      <c r="F46" s="241"/>
      <c r="G46" s="241"/>
      <c r="H46" s="728" t="s">
        <v>1161</v>
      </c>
      <c r="I46" s="729" t="s">
        <v>930</v>
      </c>
      <c r="J46" s="729"/>
      <c r="K46" s="729" t="s">
        <v>1162</v>
      </c>
      <c r="L46" s="728" t="s">
        <v>820</v>
      </c>
      <c r="M46" s="731"/>
      <c r="N46" s="728" t="s">
        <v>879</v>
      </c>
      <c r="O46" s="731"/>
      <c r="P46" s="728"/>
      <c r="Q46" s="730"/>
      <c r="R46" s="731"/>
      <c r="S46" s="232"/>
      <c r="T46" s="733"/>
      <c r="U46" s="728"/>
      <c r="V46" s="734"/>
      <c r="W46" s="732"/>
      <c r="X46" s="732"/>
      <c r="Y46" s="731"/>
      <c r="AA46" s="733"/>
      <c r="AB46" s="728"/>
      <c r="AC46" s="729"/>
      <c r="AD46" s="728"/>
      <c r="AE46" s="731"/>
      <c r="AF46" s="731"/>
    </row>
    <row r="47" spans="1:32" s="224" customFormat="1" ht="13.5" customHeight="1">
      <c r="A47" s="225">
        <f t="shared" si="0"/>
        <v>39</v>
      </c>
      <c r="B47" s="217"/>
      <c r="C47" s="217"/>
      <c r="D47" s="217" t="s">
        <v>1164</v>
      </c>
      <c r="E47" s="217"/>
      <c r="F47" s="217"/>
      <c r="G47" s="217"/>
      <c r="H47" s="728" t="s">
        <v>1165</v>
      </c>
      <c r="I47" s="729"/>
      <c r="J47" s="729"/>
      <c r="K47" s="729" t="s">
        <v>1166</v>
      </c>
      <c r="L47" s="728" t="s">
        <v>817</v>
      </c>
      <c r="M47" s="731" t="s">
        <v>864</v>
      </c>
      <c r="N47" s="243" t="s">
        <v>1166</v>
      </c>
      <c r="O47" s="731"/>
      <c r="P47" s="728"/>
      <c r="Q47" s="252"/>
      <c r="R47" s="731"/>
      <c r="S47" s="232"/>
      <c r="T47" s="733"/>
      <c r="U47" s="728"/>
      <c r="V47" s="734"/>
      <c r="W47" s="732"/>
      <c r="X47" s="732"/>
      <c r="Y47" s="731"/>
      <c r="AA47" s="733"/>
      <c r="AB47" s="728"/>
      <c r="AC47" s="729"/>
      <c r="AD47" s="728"/>
      <c r="AE47" s="731"/>
      <c r="AF47" s="731"/>
    </row>
    <row r="48" spans="1:32" s="224" customFormat="1" ht="13.5" customHeight="1">
      <c r="A48" s="225">
        <f t="shared" si="0"/>
        <v>40</v>
      </c>
      <c r="B48" s="217"/>
      <c r="C48" s="217"/>
      <c r="D48" s="217"/>
      <c r="E48" s="217" t="s">
        <v>1167</v>
      </c>
      <c r="F48" s="217"/>
      <c r="G48" s="217"/>
      <c r="H48" s="728" t="s">
        <v>1168</v>
      </c>
      <c r="I48" s="729"/>
      <c r="J48" s="729"/>
      <c r="K48" s="729" t="s">
        <v>1169</v>
      </c>
      <c r="L48" s="728" t="s">
        <v>820</v>
      </c>
      <c r="M48" s="731" t="s">
        <v>864</v>
      </c>
      <c r="N48" s="243" t="s">
        <v>1169</v>
      </c>
      <c r="O48" s="731"/>
      <c r="P48" s="728"/>
      <c r="Q48" s="252"/>
      <c r="R48" s="731"/>
      <c r="S48" s="232"/>
      <c r="T48" s="733"/>
      <c r="U48" s="728"/>
      <c r="V48" s="734"/>
      <c r="W48" s="732"/>
      <c r="X48" s="732"/>
      <c r="Y48" s="731"/>
      <c r="AA48" s="733"/>
      <c r="AB48" s="728"/>
      <c r="AC48" s="729"/>
      <c r="AD48" s="728"/>
      <c r="AE48" s="731"/>
      <c r="AF48" s="731"/>
    </row>
    <row r="49" spans="1:1009" s="224" customFormat="1" ht="13.5" customHeight="1">
      <c r="A49" s="225">
        <f t="shared" si="0"/>
        <v>41</v>
      </c>
      <c r="B49" s="217"/>
      <c r="C49" s="217"/>
      <c r="D49" s="217"/>
      <c r="E49" s="217"/>
      <c r="F49" s="217" t="s">
        <v>1170</v>
      </c>
      <c r="G49" s="217"/>
      <c r="H49" s="728" t="s">
        <v>1171</v>
      </c>
      <c r="I49" s="729" t="s">
        <v>1172</v>
      </c>
      <c r="J49" s="729"/>
      <c r="K49" s="729" t="s">
        <v>1173</v>
      </c>
      <c r="L49" s="728" t="s">
        <v>820</v>
      </c>
      <c r="M49" s="731"/>
      <c r="N49" s="728" t="s">
        <v>1092</v>
      </c>
      <c r="O49" s="731"/>
      <c r="P49" s="728"/>
      <c r="Q49" s="252"/>
      <c r="R49" s="731"/>
      <c r="S49" s="232"/>
      <c r="T49" s="733"/>
      <c r="U49" s="728"/>
      <c r="V49" s="734"/>
      <c r="W49" s="732"/>
      <c r="X49" s="732"/>
      <c r="Y49" s="731"/>
      <c r="AA49" s="728"/>
      <c r="AB49" s="728"/>
      <c r="AC49" s="497"/>
      <c r="AD49" s="728"/>
      <c r="AE49" s="731"/>
      <c r="AF49" s="731"/>
    </row>
    <row r="50" spans="1:1009" s="256" customFormat="1" ht="13.5" customHeight="1">
      <c r="A50" s="225">
        <f t="shared" si="0"/>
        <v>42</v>
      </c>
      <c r="B50" s="217"/>
      <c r="C50" s="217"/>
      <c r="D50" s="217"/>
      <c r="E50" s="217"/>
      <c r="F50" s="217" t="s">
        <v>1176</v>
      </c>
      <c r="G50" s="217"/>
      <c r="H50" s="728" t="s">
        <v>1177</v>
      </c>
      <c r="I50" s="729" t="s">
        <v>1178</v>
      </c>
      <c r="J50" s="729"/>
      <c r="K50" s="729" t="s">
        <v>1179</v>
      </c>
      <c r="L50" s="728" t="s">
        <v>820</v>
      </c>
      <c r="M50" s="731"/>
      <c r="N50" s="728" t="s">
        <v>1092</v>
      </c>
      <c r="O50" s="731"/>
      <c r="P50" s="728"/>
      <c r="Q50" s="252"/>
      <c r="R50" s="731"/>
      <c r="S50" s="665"/>
      <c r="T50" s="733"/>
      <c r="U50" s="728"/>
      <c r="V50" s="734"/>
      <c r="W50" s="732"/>
      <c r="X50" s="732"/>
      <c r="Y50" s="731"/>
      <c r="Z50" s="224"/>
      <c r="AA50" s="728"/>
      <c r="AB50" s="728"/>
      <c r="AC50" s="497"/>
      <c r="AD50" s="728"/>
      <c r="AE50" s="731"/>
      <c r="AF50" s="731"/>
    </row>
    <row r="51" spans="1:1009" s="244" customFormat="1" ht="13.5" customHeight="1">
      <c r="A51" s="225">
        <f t="shared" si="0"/>
        <v>43</v>
      </c>
      <c r="B51" s="217"/>
      <c r="C51" s="222"/>
      <c r="D51" s="222"/>
      <c r="E51" s="222"/>
      <c r="F51" s="669" t="s">
        <v>1180</v>
      </c>
      <c r="G51" s="221"/>
      <c r="H51" s="728" t="s">
        <v>1181</v>
      </c>
      <c r="I51" s="729">
        <v>120</v>
      </c>
      <c r="J51" s="729"/>
      <c r="K51" s="728" t="s">
        <v>1182</v>
      </c>
      <c r="L51" s="728" t="s">
        <v>817</v>
      </c>
      <c r="M51" s="731"/>
      <c r="N51" s="728" t="s">
        <v>1092</v>
      </c>
      <c r="O51" s="731"/>
      <c r="P51" s="728"/>
      <c r="Q51" s="730"/>
      <c r="R51" s="731"/>
      <c r="S51" s="666"/>
      <c r="T51" s="733"/>
      <c r="U51" s="728"/>
      <c r="V51" s="734"/>
      <c r="W51" s="732"/>
      <c r="X51" s="732"/>
      <c r="Y51" s="731"/>
      <c r="Z51" s="224"/>
      <c r="AA51" s="728"/>
      <c r="AB51" s="728"/>
      <c r="AC51" s="729"/>
      <c r="AD51" s="728"/>
      <c r="AE51" s="731"/>
      <c r="AF51" s="731"/>
    </row>
    <row r="52" spans="1:1009" s="244" customFormat="1" ht="13.5" customHeight="1">
      <c r="A52" s="225">
        <f t="shared" si="0"/>
        <v>44</v>
      </c>
      <c r="B52" s="217"/>
      <c r="C52" s="222"/>
      <c r="D52" s="241"/>
      <c r="E52" s="241"/>
      <c r="F52" s="241" t="s">
        <v>1192</v>
      </c>
      <c r="G52" s="241"/>
      <c r="H52" s="728" t="s">
        <v>1193</v>
      </c>
      <c r="I52" s="729" t="s">
        <v>1194</v>
      </c>
      <c r="J52" s="729"/>
      <c r="K52" s="729" t="s">
        <v>1195</v>
      </c>
      <c r="L52" s="728" t="s">
        <v>820</v>
      </c>
      <c r="M52" s="731"/>
      <c r="N52" s="728" t="s">
        <v>863</v>
      </c>
      <c r="O52" s="731" t="s">
        <v>864</v>
      </c>
      <c r="P52" s="728" t="s">
        <v>1653</v>
      </c>
      <c r="Q52" s="730"/>
      <c r="R52" s="731"/>
      <c r="S52" s="666"/>
      <c r="T52" s="733"/>
      <c r="U52" s="728"/>
      <c r="V52" s="734"/>
      <c r="W52" s="732"/>
      <c r="X52" s="732"/>
      <c r="Y52" s="731"/>
      <c r="Z52" s="224"/>
      <c r="AA52" s="733"/>
      <c r="AB52" s="728"/>
      <c r="AC52" s="729"/>
      <c r="AD52" s="728"/>
      <c r="AE52" s="731"/>
      <c r="AF52" s="731"/>
    </row>
    <row r="53" spans="1:1009" s="256" customFormat="1" ht="13.5" customHeight="1">
      <c r="A53" s="225">
        <f t="shared" si="0"/>
        <v>45</v>
      </c>
      <c r="B53" s="217"/>
      <c r="C53" s="217"/>
      <c r="D53" s="217"/>
      <c r="E53" s="217" t="s">
        <v>1197</v>
      </c>
      <c r="F53" s="217"/>
      <c r="G53" s="217"/>
      <c r="H53" s="728" t="s">
        <v>1198</v>
      </c>
      <c r="I53" s="729" t="s">
        <v>1199</v>
      </c>
      <c r="J53" s="729"/>
      <c r="K53" s="729" t="s">
        <v>1201</v>
      </c>
      <c r="L53" s="728" t="s">
        <v>817</v>
      </c>
      <c r="M53" s="731"/>
      <c r="N53" s="728" t="s">
        <v>863</v>
      </c>
      <c r="O53" s="731"/>
      <c r="P53" s="728"/>
      <c r="Q53" s="730"/>
      <c r="R53" s="731"/>
      <c r="S53" s="665"/>
      <c r="T53" s="733"/>
      <c r="U53" s="728"/>
      <c r="V53" s="734"/>
      <c r="W53" s="732"/>
      <c r="X53" s="732"/>
      <c r="Y53" s="731"/>
      <c r="Z53" s="224"/>
      <c r="AA53" s="733"/>
      <c r="AB53" s="728"/>
      <c r="AC53" s="729"/>
      <c r="AD53" s="728"/>
      <c r="AE53" s="731"/>
      <c r="AF53" s="731"/>
    </row>
    <row r="54" spans="1:1009" s="256" customFormat="1" ht="13.5" customHeight="1">
      <c r="A54" s="225">
        <f t="shared" si="0"/>
        <v>46</v>
      </c>
      <c r="B54" s="217"/>
      <c r="C54" s="217"/>
      <c r="D54" s="217" t="s">
        <v>1202</v>
      </c>
      <c r="E54" s="217"/>
      <c r="F54" s="217"/>
      <c r="G54" s="217"/>
      <c r="H54" s="728" t="s">
        <v>1203</v>
      </c>
      <c r="I54" s="729"/>
      <c r="J54" s="729"/>
      <c r="K54" s="729" t="s">
        <v>1204</v>
      </c>
      <c r="L54" s="728" t="s">
        <v>817</v>
      </c>
      <c r="M54" s="731"/>
      <c r="N54" s="728" t="s">
        <v>863</v>
      </c>
      <c r="O54" s="731"/>
      <c r="P54" s="728"/>
      <c r="Q54" s="252"/>
      <c r="R54" s="731"/>
      <c r="S54" s="665"/>
      <c r="T54" s="733"/>
      <c r="U54" s="728"/>
      <c r="V54" s="734"/>
      <c r="W54" s="732"/>
      <c r="X54" s="732"/>
      <c r="Y54" s="731"/>
      <c r="Z54" s="224"/>
      <c r="AA54" s="733"/>
      <c r="AB54" s="728"/>
      <c r="AC54" s="729"/>
      <c r="AD54" s="728"/>
      <c r="AE54" s="731"/>
      <c r="AF54" s="731"/>
    </row>
    <row r="55" spans="1:1009" s="224" customFormat="1" ht="13.5" customHeight="1">
      <c r="A55" s="225">
        <f t="shared" si="0"/>
        <v>47</v>
      </c>
      <c r="B55" s="217"/>
      <c r="C55" s="217" t="s">
        <v>1205</v>
      </c>
      <c r="D55" s="217"/>
      <c r="E55" s="217"/>
      <c r="F55" s="217"/>
      <c r="G55" s="217"/>
      <c r="H55" s="728" t="s">
        <v>1206</v>
      </c>
      <c r="I55" s="729"/>
      <c r="J55" s="729"/>
      <c r="K55" s="729" t="s">
        <v>1207</v>
      </c>
      <c r="L55" s="728" t="s">
        <v>823</v>
      </c>
      <c r="M55" s="731" t="s">
        <v>864</v>
      </c>
      <c r="N55" s="243" t="s">
        <v>1207</v>
      </c>
      <c r="O55" s="731"/>
      <c r="P55" s="728"/>
      <c r="Q55" s="252"/>
      <c r="R55" s="731"/>
      <c r="S55" s="232"/>
      <c r="T55" s="733"/>
      <c r="U55" s="728"/>
      <c r="V55" s="734"/>
      <c r="W55" s="732"/>
      <c r="X55" s="732"/>
      <c r="Y55" s="731"/>
      <c r="AA55" s="733"/>
      <c r="AB55" s="728"/>
      <c r="AC55" s="729"/>
      <c r="AD55" s="728"/>
      <c r="AE55" s="731"/>
      <c r="AF55" s="731"/>
    </row>
    <row r="56" spans="1:1009" s="224" customFormat="1" ht="13.5" customHeight="1">
      <c r="A56" s="225">
        <f t="shared" si="0"/>
        <v>48</v>
      </c>
      <c r="B56" s="217"/>
      <c r="C56" s="217"/>
      <c r="D56" s="217" t="s">
        <v>1208</v>
      </c>
      <c r="E56" s="217"/>
      <c r="F56" s="217"/>
      <c r="G56" s="217"/>
      <c r="H56" s="728" t="s">
        <v>1209</v>
      </c>
      <c r="I56" s="729" t="s">
        <v>1210</v>
      </c>
      <c r="J56" s="729"/>
      <c r="K56" s="729" t="s">
        <v>939</v>
      </c>
      <c r="L56" s="728" t="s">
        <v>820</v>
      </c>
      <c r="M56" s="731"/>
      <c r="N56" s="728" t="s">
        <v>863</v>
      </c>
      <c r="O56" s="731" t="s">
        <v>864</v>
      </c>
      <c r="P56" s="728" t="s">
        <v>1657</v>
      </c>
      <c r="Q56" s="252"/>
      <c r="R56" s="731"/>
      <c r="S56" s="232"/>
      <c r="T56" s="733"/>
      <c r="U56" s="728"/>
      <c r="V56" s="734"/>
      <c r="W56" s="732"/>
      <c r="X56" s="732"/>
      <c r="Y56" s="731"/>
      <c r="AA56" s="733"/>
      <c r="AB56" s="728"/>
      <c r="AC56" s="729"/>
      <c r="AD56" s="728"/>
      <c r="AE56" s="731"/>
      <c r="AF56" s="731"/>
    </row>
    <row r="57" spans="1:1009" s="224" customFormat="1" ht="13.5" customHeight="1">
      <c r="A57" s="225">
        <f t="shared" si="0"/>
        <v>49</v>
      </c>
      <c r="B57" s="217"/>
      <c r="C57" s="217"/>
      <c r="D57" s="217" t="s">
        <v>1212</v>
      </c>
      <c r="E57" s="217"/>
      <c r="F57" s="217"/>
      <c r="G57" s="217"/>
      <c r="H57" s="728" t="s">
        <v>1213</v>
      </c>
      <c r="I57" s="729" t="s">
        <v>1214</v>
      </c>
      <c r="J57" s="729"/>
      <c r="K57" s="729" t="s">
        <v>970</v>
      </c>
      <c r="L57" s="728" t="s">
        <v>820</v>
      </c>
      <c r="M57" s="731"/>
      <c r="N57" s="728" t="s">
        <v>863</v>
      </c>
      <c r="O57" s="731" t="s">
        <v>864</v>
      </c>
      <c r="P57" s="728" t="s">
        <v>1658</v>
      </c>
      <c r="Q57" s="252"/>
      <c r="R57" s="731"/>
      <c r="S57" s="232"/>
      <c r="T57" s="733"/>
      <c r="U57" s="728"/>
      <c r="V57" s="734"/>
      <c r="W57" s="732"/>
      <c r="X57" s="732"/>
      <c r="Y57" s="731"/>
      <c r="AA57" s="733"/>
      <c r="AB57" s="728"/>
      <c r="AC57" s="729"/>
      <c r="AD57" s="728"/>
      <c r="AE57" s="731"/>
      <c r="AF57" s="731"/>
    </row>
    <row r="58" spans="1:1009" s="663" customFormat="1" ht="13.5" customHeight="1">
      <c r="A58" s="225">
        <f t="shared" si="0"/>
        <v>50</v>
      </c>
      <c r="B58" s="217"/>
      <c r="C58" s="217"/>
      <c r="D58" s="217" t="s">
        <v>1077</v>
      </c>
      <c r="E58" s="217"/>
      <c r="F58" s="217"/>
      <c r="G58" s="217"/>
      <c r="H58" s="728" t="s">
        <v>1216</v>
      </c>
      <c r="I58" s="729" t="s">
        <v>1217</v>
      </c>
      <c r="J58" s="729"/>
      <c r="K58" s="729" t="s">
        <v>1219</v>
      </c>
      <c r="L58" s="728" t="s">
        <v>820</v>
      </c>
      <c r="M58" s="731"/>
      <c r="N58" s="735" t="s">
        <v>863</v>
      </c>
      <c r="O58" s="281"/>
      <c r="P58" s="728"/>
      <c r="Q58" s="252"/>
      <c r="R58" s="731"/>
      <c r="S58" s="747"/>
      <c r="T58" s="733"/>
      <c r="U58" s="728"/>
      <c r="V58" s="734"/>
      <c r="W58" s="732"/>
      <c r="X58" s="732"/>
      <c r="Y58" s="731"/>
      <c r="Z58" s="224"/>
      <c r="AA58" s="733"/>
      <c r="AB58" s="728"/>
      <c r="AC58" s="729"/>
      <c r="AD58" s="728"/>
      <c r="AE58" s="731"/>
      <c r="AF58" s="731"/>
      <c r="AG58" s="738"/>
      <c r="AH58" s="738"/>
      <c r="AI58" s="738"/>
      <c r="AJ58" s="738"/>
      <c r="AK58" s="738"/>
      <c r="AL58" s="738"/>
      <c r="AM58" s="738"/>
      <c r="AN58" s="738"/>
      <c r="AO58" s="738"/>
      <c r="AP58" s="738"/>
      <c r="AQ58" s="738"/>
      <c r="AR58" s="738"/>
      <c r="AS58" s="738"/>
      <c r="AT58" s="738"/>
      <c r="AU58" s="738"/>
      <c r="AV58" s="738"/>
      <c r="AW58" s="738"/>
      <c r="AX58" s="738"/>
      <c r="AY58" s="738"/>
      <c r="AZ58" s="738"/>
      <c r="BA58" s="738"/>
      <c r="BB58" s="738"/>
      <c r="BC58" s="738"/>
      <c r="BD58" s="738"/>
      <c r="BE58" s="738"/>
      <c r="BF58" s="738"/>
      <c r="BG58" s="738"/>
      <c r="BH58" s="738"/>
      <c r="BI58" s="738"/>
      <c r="BJ58" s="738"/>
      <c r="BK58" s="738"/>
      <c r="BL58" s="738"/>
      <c r="BM58" s="738"/>
      <c r="BN58" s="738"/>
      <c r="BO58" s="738"/>
      <c r="BP58" s="738"/>
      <c r="BQ58" s="738"/>
      <c r="BR58" s="738"/>
      <c r="BS58" s="738"/>
      <c r="BT58" s="738"/>
      <c r="BU58" s="738"/>
      <c r="BV58" s="738"/>
      <c r="BW58" s="738"/>
      <c r="BX58" s="738"/>
      <c r="BY58" s="738"/>
      <c r="BZ58" s="738"/>
      <c r="CA58" s="738"/>
      <c r="CB58" s="738"/>
      <c r="CC58" s="738"/>
      <c r="CD58" s="738"/>
      <c r="CE58" s="738"/>
      <c r="CF58" s="738"/>
      <c r="CG58" s="738"/>
      <c r="CH58" s="738"/>
      <c r="CI58" s="738"/>
      <c r="CJ58" s="738"/>
      <c r="CK58" s="738"/>
      <c r="CL58" s="738"/>
      <c r="CM58" s="738"/>
      <c r="CN58" s="738"/>
      <c r="CO58" s="738"/>
      <c r="CP58" s="738"/>
      <c r="CQ58" s="738"/>
      <c r="CR58" s="738"/>
      <c r="CS58" s="738"/>
      <c r="CT58" s="738"/>
      <c r="CU58" s="738"/>
      <c r="CV58" s="738"/>
      <c r="CW58" s="738"/>
      <c r="CX58" s="738"/>
      <c r="CY58" s="738"/>
      <c r="CZ58" s="738"/>
      <c r="DA58" s="738"/>
      <c r="DB58" s="738"/>
      <c r="DC58" s="738"/>
      <c r="DD58" s="738"/>
      <c r="DE58" s="738"/>
      <c r="DF58" s="738"/>
      <c r="DG58" s="738"/>
      <c r="DH58" s="738"/>
      <c r="DI58" s="738"/>
      <c r="DJ58" s="738"/>
      <c r="DK58" s="738"/>
      <c r="DL58" s="738"/>
      <c r="DM58" s="738"/>
      <c r="DN58" s="738"/>
      <c r="DO58" s="738"/>
      <c r="DP58" s="738"/>
      <c r="DQ58" s="738"/>
      <c r="DR58" s="738"/>
      <c r="DS58" s="738"/>
      <c r="DT58" s="738"/>
      <c r="DU58" s="738"/>
      <c r="DV58" s="738"/>
      <c r="DW58" s="738"/>
      <c r="DX58" s="738"/>
      <c r="DY58" s="738"/>
      <c r="DZ58" s="738"/>
      <c r="EA58" s="738"/>
      <c r="EB58" s="738"/>
      <c r="EC58" s="738"/>
      <c r="ED58" s="738"/>
      <c r="EE58" s="738"/>
      <c r="EF58" s="738"/>
      <c r="EG58" s="738"/>
      <c r="EH58" s="738"/>
      <c r="EI58" s="738"/>
      <c r="EJ58" s="738"/>
      <c r="EK58" s="738"/>
      <c r="EL58" s="738"/>
      <c r="EM58" s="738"/>
      <c r="EN58" s="738"/>
      <c r="EO58" s="738"/>
      <c r="EP58" s="738"/>
      <c r="EQ58" s="738"/>
      <c r="ER58" s="738"/>
      <c r="ES58" s="738"/>
      <c r="ET58" s="738"/>
      <c r="EU58" s="738"/>
      <c r="EV58" s="738"/>
      <c r="EW58" s="738"/>
      <c r="EX58" s="738"/>
      <c r="EY58" s="738"/>
      <c r="EZ58" s="738"/>
      <c r="FA58" s="738"/>
      <c r="FB58" s="738"/>
      <c r="FC58" s="738"/>
      <c r="FD58" s="738"/>
      <c r="FE58" s="738"/>
      <c r="FF58" s="738"/>
      <c r="FG58" s="738"/>
      <c r="FH58" s="738"/>
      <c r="FI58" s="738"/>
      <c r="FJ58" s="738"/>
      <c r="FK58" s="738"/>
      <c r="FL58" s="738"/>
      <c r="FM58" s="738"/>
      <c r="FN58" s="738"/>
      <c r="FO58" s="738"/>
      <c r="FP58" s="738"/>
      <c r="FQ58" s="738"/>
      <c r="FR58" s="738"/>
      <c r="FS58" s="738"/>
      <c r="FT58" s="738"/>
      <c r="FU58" s="738"/>
      <c r="FV58" s="738"/>
      <c r="FW58" s="738"/>
      <c r="FX58" s="738"/>
      <c r="FY58" s="738"/>
      <c r="FZ58" s="738"/>
      <c r="GA58" s="738"/>
      <c r="GB58" s="738"/>
      <c r="GC58" s="738"/>
      <c r="GD58" s="738"/>
      <c r="GE58" s="738"/>
      <c r="GF58" s="738"/>
      <c r="GG58" s="738"/>
      <c r="GH58" s="738"/>
      <c r="GI58" s="738"/>
      <c r="GJ58" s="738"/>
      <c r="GK58" s="738"/>
      <c r="GL58" s="738"/>
      <c r="GM58" s="738"/>
      <c r="GN58" s="738"/>
      <c r="GO58" s="738"/>
      <c r="GP58" s="738"/>
      <c r="GQ58" s="738"/>
      <c r="GR58" s="738"/>
      <c r="GS58" s="738"/>
      <c r="GT58" s="738"/>
      <c r="GU58" s="738"/>
      <c r="GV58" s="738"/>
      <c r="GW58" s="738"/>
      <c r="GX58" s="738"/>
      <c r="GY58" s="738"/>
      <c r="GZ58" s="738"/>
      <c r="HA58" s="738"/>
      <c r="HB58" s="738"/>
      <c r="HC58" s="738"/>
      <c r="HD58" s="738"/>
      <c r="HE58" s="738"/>
      <c r="HF58" s="738"/>
      <c r="HG58" s="738"/>
      <c r="HH58" s="738"/>
      <c r="HI58" s="738"/>
      <c r="HJ58" s="738"/>
      <c r="HK58" s="738"/>
      <c r="HL58" s="738"/>
      <c r="HM58" s="738"/>
      <c r="HN58" s="738"/>
      <c r="HO58" s="738"/>
      <c r="HP58" s="738"/>
      <c r="HQ58" s="738"/>
      <c r="HR58" s="738"/>
      <c r="HS58" s="738"/>
      <c r="HT58" s="738"/>
      <c r="HU58" s="738"/>
      <c r="HV58" s="738"/>
      <c r="HW58" s="738"/>
      <c r="HX58" s="738"/>
      <c r="HY58" s="738"/>
      <c r="HZ58" s="738"/>
      <c r="IA58" s="738"/>
      <c r="IB58" s="738"/>
      <c r="IC58" s="738"/>
      <c r="ID58" s="738"/>
      <c r="IE58" s="738"/>
      <c r="IF58" s="738"/>
      <c r="IG58" s="738"/>
      <c r="IH58" s="738"/>
      <c r="II58" s="738"/>
      <c r="IJ58" s="738"/>
      <c r="IK58" s="738"/>
      <c r="IL58" s="738"/>
      <c r="IM58" s="738"/>
      <c r="IN58" s="738"/>
      <c r="IO58" s="738"/>
      <c r="IP58" s="738"/>
      <c r="IQ58" s="738"/>
      <c r="IR58" s="738"/>
      <c r="IS58" s="738"/>
      <c r="IT58" s="738"/>
      <c r="IU58" s="738"/>
      <c r="IV58" s="738"/>
      <c r="IW58" s="738"/>
      <c r="IX58" s="738"/>
      <c r="IY58" s="738"/>
      <c r="IZ58" s="738"/>
      <c r="JA58" s="738"/>
      <c r="JB58" s="738"/>
      <c r="JC58" s="738"/>
      <c r="JD58" s="738"/>
      <c r="JE58" s="738"/>
      <c r="JF58" s="738"/>
      <c r="JG58" s="738"/>
      <c r="JH58" s="738"/>
      <c r="JI58" s="738"/>
      <c r="JJ58" s="738"/>
      <c r="JK58" s="738"/>
      <c r="JL58" s="738"/>
      <c r="JM58" s="738"/>
      <c r="JN58" s="738"/>
      <c r="JO58" s="738"/>
      <c r="JP58" s="738"/>
      <c r="JQ58" s="738"/>
      <c r="JR58" s="738"/>
      <c r="JS58" s="738"/>
      <c r="JT58" s="738"/>
      <c r="JU58" s="738"/>
      <c r="JV58" s="738"/>
      <c r="JW58" s="738"/>
      <c r="JX58" s="738"/>
      <c r="JY58" s="738"/>
      <c r="JZ58" s="738"/>
      <c r="KA58" s="738"/>
      <c r="KB58" s="738"/>
      <c r="KC58" s="738"/>
      <c r="KD58" s="738"/>
      <c r="KE58" s="738"/>
      <c r="KF58" s="738"/>
      <c r="KG58" s="738"/>
      <c r="KH58" s="738"/>
      <c r="KI58" s="738"/>
      <c r="KJ58" s="738"/>
      <c r="KK58" s="738"/>
      <c r="KL58" s="738"/>
      <c r="KM58" s="738"/>
      <c r="KN58" s="738"/>
      <c r="KO58" s="738"/>
      <c r="KP58" s="738"/>
      <c r="KQ58" s="738"/>
      <c r="KR58" s="738"/>
      <c r="KS58" s="738"/>
      <c r="KT58" s="738"/>
      <c r="KU58" s="738"/>
      <c r="KV58" s="738"/>
      <c r="KW58" s="738"/>
      <c r="KX58" s="738"/>
      <c r="KY58" s="738"/>
      <c r="KZ58" s="738"/>
      <c r="LA58" s="738"/>
      <c r="LB58" s="738"/>
      <c r="LC58" s="738"/>
      <c r="LD58" s="738"/>
      <c r="LE58" s="738"/>
      <c r="LF58" s="738"/>
      <c r="LG58" s="738"/>
      <c r="LH58" s="738"/>
      <c r="LI58" s="738"/>
      <c r="LJ58" s="738"/>
      <c r="LK58" s="738"/>
      <c r="LL58" s="738"/>
      <c r="LM58" s="738"/>
      <c r="LN58" s="738"/>
      <c r="LO58" s="738"/>
      <c r="LP58" s="738"/>
      <c r="LQ58" s="738"/>
      <c r="LR58" s="738"/>
      <c r="LS58" s="738"/>
      <c r="LT58" s="738"/>
      <c r="LU58" s="738"/>
      <c r="LV58" s="738"/>
      <c r="LW58" s="738"/>
      <c r="LX58" s="738"/>
      <c r="LY58" s="738"/>
      <c r="LZ58" s="738"/>
      <c r="MA58" s="738"/>
      <c r="MB58" s="738"/>
      <c r="MC58" s="738"/>
      <c r="MD58" s="738"/>
      <c r="ME58" s="738"/>
      <c r="MF58" s="738"/>
      <c r="MG58" s="738"/>
      <c r="MH58" s="738"/>
      <c r="MI58" s="738"/>
      <c r="MJ58" s="738"/>
      <c r="MK58" s="738"/>
      <c r="ML58" s="738"/>
      <c r="MM58" s="738"/>
      <c r="MN58" s="738"/>
      <c r="MO58" s="738"/>
      <c r="MP58" s="738"/>
      <c r="MQ58" s="738"/>
      <c r="MR58" s="738"/>
      <c r="MS58" s="738"/>
      <c r="MT58" s="738"/>
      <c r="MU58" s="738"/>
      <c r="MV58" s="738"/>
      <c r="MW58" s="738"/>
      <c r="MX58" s="738"/>
      <c r="MY58" s="738"/>
      <c r="MZ58" s="738"/>
      <c r="NA58" s="738"/>
      <c r="NB58" s="738"/>
      <c r="NC58" s="738"/>
      <c r="ND58" s="738"/>
      <c r="NE58" s="738"/>
      <c r="NF58" s="738"/>
      <c r="NG58" s="738"/>
      <c r="NH58" s="738"/>
      <c r="NI58" s="738"/>
      <c r="NJ58" s="738"/>
      <c r="NK58" s="738"/>
      <c r="NL58" s="738"/>
      <c r="NM58" s="738"/>
      <c r="NN58" s="738"/>
      <c r="NO58" s="738"/>
      <c r="NP58" s="738"/>
      <c r="NQ58" s="738"/>
      <c r="NR58" s="738"/>
      <c r="NS58" s="738"/>
      <c r="NT58" s="738"/>
      <c r="NU58" s="738"/>
      <c r="NV58" s="738"/>
      <c r="NW58" s="738"/>
      <c r="NX58" s="738"/>
      <c r="NY58" s="738"/>
      <c r="NZ58" s="738"/>
      <c r="OA58" s="738"/>
      <c r="OB58" s="738"/>
      <c r="OC58" s="738"/>
      <c r="OD58" s="738"/>
      <c r="OE58" s="738"/>
      <c r="OF58" s="738"/>
      <c r="OG58" s="738"/>
      <c r="OH58" s="738"/>
      <c r="OI58" s="738"/>
      <c r="OJ58" s="738"/>
      <c r="OK58" s="738"/>
      <c r="OL58" s="738"/>
      <c r="OM58" s="738"/>
      <c r="ON58" s="738"/>
      <c r="OO58" s="738"/>
      <c r="OP58" s="738"/>
      <c r="OQ58" s="738"/>
      <c r="OR58" s="738"/>
      <c r="OS58" s="738"/>
      <c r="OT58" s="738"/>
      <c r="OU58" s="738"/>
      <c r="OV58" s="738"/>
      <c r="OW58" s="738"/>
      <c r="OX58" s="738"/>
      <c r="OY58" s="738"/>
      <c r="OZ58" s="738"/>
      <c r="PA58" s="738"/>
      <c r="PB58" s="738"/>
      <c r="PC58" s="738"/>
      <c r="PD58" s="738"/>
      <c r="PE58" s="738"/>
      <c r="PF58" s="738"/>
      <c r="PG58" s="738"/>
      <c r="PH58" s="738"/>
      <c r="PI58" s="738"/>
      <c r="PJ58" s="738"/>
      <c r="PK58" s="738"/>
      <c r="PL58" s="738"/>
      <c r="PM58" s="738"/>
      <c r="PN58" s="738"/>
      <c r="PO58" s="738"/>
      <c r="PP58" s="738"/>
      <c r="PQ58" s="738"/>
      <c r="PR58" s="738"/>
      <c r="PS58" s="738"/>
      <c r="PT58" s="738"/>
      <c r="PU58" s="738"/>
      <c r="PV58" s="738"/>
      <c r="PW58" s="738"/>
      <c r="PX58" s="738"/>
      <c r="PY58" s="738"/>
      <c r="PZ58" s="738"/>
      <c r="QA58" s="738"/>
      <c r="QB58" s="738"/>
      <c r="QC58" s="738"/>
      <c r="QD58" s="738"/>
      <c r="QE58" s="738"/>
      <c r="QF58" s="738"/>
      <c r="QG58" s="738"/>
      <c r="QH58" s="738"/>
      <c r="QI58" s="738"/>
      <c r="QJ58" s="738"/>
      <c r="QK58" s="738"/>
      <c r="QL58" s="738"/>
      <c r="QM58" s="738"/>
      <c r="QN58" s="738"/>
      <c r="QO58" s="738"/>
      <c r="QP58" s="738"/>
      <c r="QQ58" s="738"/>
      <c r="QR58" s="738"/>
      <c r="QS58" s="738"/>
      <c r="QT58" s="738"/>
      <c r="QU58" s="738"/>
      <c r="QV58" s="738"/>
      <c r="QW58" s="738"/>
      <c r="QX58" s="738"/>
      <c r="QY58" s="738"/>
      <c r="QZ58" s="738"/>
      <c r="RA58" s="738"/>
      <c r="RB58" s="738"/>
      <c r="RC58" s="738"/>
      <c r="RD58" s="738"/>
      <c r="RE58" s="738"/>
      <c r="RF58" s="738"/>
      <c r="RG58" s="738"/>
      <c r="RH58" s="738"/>
      <c r="RI58" s="738"/>
      <c r="RJ58" s="738"/>
      <c r="RK58" s="738"/>
      <c r="RL58" s="738"/>
      <c r="RM58" s="738"/>
      <c r="RN58" s="738"/>
      <c r="RO58" s="738"/>
      <c r="RP58" s="738"/>
      <c r="RQ58" s="738"/>
      <c r="RR58" s="738"/>
      <c r="RS58" s="738"/>
      <c r="RT58" s="738"/>
      <c r="RU58" s="738"/>
      <c r="RV58" s="738"/>
      <c r="RW58" s="738"/>
      <c r="RX58" s="738"/>
      <c r="RY58" s="738"/>
      <c r="RZ58" s="738"/>
      <c r="SA58" s="738"/>
      <c r="SB58" s="738"/>
      <c r="SC58" s="738"/>
      <c r="SD58" s="738"/>
      <c r="SE58" s="738"/>
      <c r="SF58" s="738"/>
      <c r="SG58" s="738"/>
      <c r="SH58" s="738"/>
      <c r="SI58" s="738"/>
      <c r="SJ58" s="738"/>
      <c r="SK58" s="738"/>
      <c r="SL58" s="738"/>
      <c r="SM58" s="738"/>
      <c r="SN58" s="738"/>
      <c r="SO58" s="738"/>
      <c r="SP58" s="738"/>
      <c r="SQ58" s="738"/>
      <c r="SR58" s="738"/>
      <c r="SS58" s="738"/>
      <c r="ST58" s="738"/>
      <c r="SU58" s="738"/>
      <c r="SV58" s="738"/>
      <c r="SW58" s="738"/>
      <c r="SX58" s="738"/>
      <c r="SY58" s="738"/>
      <c r="SZ58" s="738"/>
      <c r="TA58" s="738"/>
      <c r="TB58" s="738"/>
      <c r="TC58" s="738"/>
      <c r="TD58" s="738"/>
      <c r="TE58" s="738"/>
      <c r="TF58" s="738"/>
      <c r="TG58" s="738"/>
      <c r="TH58" s="738"/>
      <c r="TI58" s="738"/>
      <c r="TJ58" s="738"/>
      <c r="TK58" s="738"/>
      <c r="TL58" s="738"/>
      <c r="TM58" s="738"/>
      <c r="TN58" s="738"/>
      <c r="TO58" s="738"/>
      <c r="TP58" s="738"/>
      <c r="TQ58" s="738"/>
      <c r="TR58" s="738"/>
      <c r="TS58" s="738"/>
      <c r="TT58" s="738"/>
      <c r="TU58" s="738"/>
      <c r="TV58" s="738"/>
      <c r="TW58" s="738"/>
      <c r="TX58" s="738"/>
      <c r="TY58" s="738"/>
      <c r="TZ58" s="738"/>
      <c r="UA58" s="738"/>
      <c r="UB58" s="738"/>
      <c r="UC58" s="738"/>
      <c r="UD58" s="738"/>
      <c r="UE58" s="738"/>
      <c r="UF58" s="738"/>
      <c r="UG58" s="738"/>
      <c r="UH58" s="738"/>
      <c r="UI58" s="738"/>
      <c r="UJ58" s="738"/>
      <c r="UK58" s="738"/>
      <c r="UL58" s="738"/>
      <c r="UM58" s="738"/>
      <c r="UN58" s="738"/>
      <c r="UO58" s="738"/>
      <c r="UP58" s="738"/>
      <c r="UQ58" s="738"/>
      <c r="UR58" s="738"/>
      <c r="US58" s="738"/>
      <c r="UT58" s="738"/>
      <c r="UU58" s="738"/>
      <c r="UV58" s="738"/>
      <c r="UW58" s="738"/>
      <c r="UX58" s="738"/>
      <c r="UY58" s="738"/>
      <c r="UZ58" s="738"/>
      <c r="VA58" s="738"/>
      <c r="VB58" s="738"/>
      <c r="VC58" s="738"/>
      <c r="VD58" s="738"/>
      <c r="VE58" s="738"/>
      <c r="VF58" s="738"/>
      <c r="VG58" s="738"/>
      <c r="VH58" s="738"/>
      <c r="VI58" s="738"/>
      <c r="VJ58" s="738"/>
      <c r="VK58" s="738"/>
      <c r="VL58" s="738"/>
      <c r="VM58" s="738"/>
      <c r="VN58" s="738"/>
      <c r="VO58" s="738"/>
      <c r="VP58" s="738"/>
      <c r="VQ58" s="738"/>
      <c r="VR58" s="738"/>
      <c r="VS58" s="738"/>
      <c r="VT58" s="738"/>
      <c r="VU58" s="738"/>
      <c r="VV58" s="738"/>
      <c r="VW58" s="738"/>
      <c r="VX58" s="738"/>
      <c r="VY58" s="738"/>
      <c r="VZ58" s="738"/>
      <c r="WA58" s="738"/>
      <c r="WB58" s="738"/>
      <c r="WC58" s="738"/>
      <c r="WD58" s="738"/>
      <c r="WE58" s="738"/>
      <c r="WF58" s="738"/>
      <c r="WG58" s="738"/>
      <c r="WH58" s="738"/>
      <c r="WI58" s="738"/>
      <c r="WJ58" s="738"/>
      <c r="WK58" s="738"/>
      <c r="WL58" s="738"/>
      <c r="WM58" s="738"/>
      <c r="WN58" s="738"/>
      <c r="WO58" s="738"/>
      <c r="WP58" s="738"/>
      <c r="WQ58" s="738"/>
      <c r="WR58" s="738"/>
      <c r="WS58" s="738"/>
      <c r="WT58" s="738"/>
      <c r="WU58" s="738"/>
      <c r="WV58" s="738"/>
      <c r="WW58" s="738"/>
      <c r="WX58" s="738"/>
      <c r="WY58" s="738"/>
      <c r="WZ58" s="738"/>
      <c r="XA58" s="738"/>
      <c r="XB58" s="738"/>
      <c r="XC58" s="738"/>
      <c r="XD58" s="738"/>
      <c r="XE58" s="738"/>
      <c r="XF58" s="738"/>
      <c r="XG58" s="738"/>
      <c r="XH58" s="738"/>
      <c r="XI58" s="738"/>
      <c r="XJ58" s="738"/>
      <c r="XK58" s="738"/>
      <c r="XL58" s="738"/>
      <c r="XM58" s="738"/>
      <c r="XN58" s="738"/>
      <c r="XO58" s="738"/>
      <c r="XP58" s="738"/>
      <c r="XQ58" s="738"/>
      <c r="XR58" s="738"/>
      <c r="XS58" s="738"/>
      <c r="XT58" s="738"/>
      <c r="XU58" s="738"/>
      <c r="XV58" s="738"/>
      <c r="XW58" s="738"/>
      <c r="XX58" s="738"/>
      <c r="XY58" s="738"/>
      <c r="XZ58" s="738"/>
      <c r="YA58" s="738"/>
      <c r="YB58" s="738"/>
      <c r="YC58" s="738"/>
      <c r="YD58" s="738"/>
      <c r="YE58" s="738"/>
      <c r="YF58" s="738"/>
      <c r="YG58" s="738"/>
      <c r="YH58" s="738"/>
      <c r="YI58" s="738"/>
      <c r="YJ58" s="738"/>
      <c r="YK58" s="738"/>
      <c r="YL58" s="738"/>
      <c r="YM58" s="738"/>
      <c r="YN58" s="738"/>
      <c r="YO58" s="738"/>
      <c r="YP58" s="738"/>
      <c r="YQ58" s="738"/>
      <c r="YR58" s="738"/>
      <c r="YS58" s="738"/>
      <c r="YT58" s="738"/>
      <c r="YU58" s="738"/>
      <c r="YV58" s="738"/>
      <c r="YW58" s="738"/>
      <c r="YX58" s="738"/>
      <c r="YY58" s="738"/>
      <c r="YZ58" s="738"/>
      <c r="ZA58" s="738"/>
      <c r="ZB58" s="738"/>
      <c r="ZC58" s="738"/>
      <c r="ZD58" s="738"/>
      <c r="ZE58" s="738"/>
      <c r="ZF58" s="738"/>
      <c r="ZG58" s="738"/>
      <c r="ZH58" s="738"/>
      <c r="ZI58" s="738"/>
      <c r="ZJ58" s="738"/>
      <c r="ZK58" s="738"/>
      <c r="ZL58" s="738"/>
      <c r="ZM58" s="738"/>
      <c r="ZN58" s="738"/>
      <c r="ZO58" s="738"/>
      <c r="ZP58" s="738"/>
      <c r="ZQ58" s="738"/>
      <c r="ZR58" s="738"/>
      <c r="ZS58" s="738"/>
      <c r="ZT58" s="738"/>
      <c r="ZU58" s="738"/>
      <c r="ZV58" s="738"/>
      <c r="ZW58" s="738"/>
      <c r="ZX58" s="738"/>
      <c r="ZY58" s="738"/>
      <c r="ZZ58" s="738"/>
      <c r="AAA58" s="738"/>
      <c r="AAB58" s="738"/>
      <c r="AAC58" s="738"/>
      <c r="AAD58" s="738"/>
      <c r="AAE58" s="738"/>
      <c r="AAF58" s="738"/>
      <c r="AAG58" s="738"/>
      <c r="AAH58" s="738"/>
      <c r="AAI58" s="738"/>
      <c r="AAJ58" s="738"/>
      <c r="AAK58" s="738"/>
      <c r="AAL58" s="738"/>
      <c r="AAM58" s="738"/>
      <c r="AAN58" s="738"/>
      <c r="AAO58" s="738"/>
      <c r="AAP58" s="738"/>
      <c r="AAQ58" s="738"/>
      <c r="AAR58" s="738"/>
      <c r="AAS58" s="738"/>
      <c r="AAT58" s="738"/>
      <c r="AAU58" s="738"/>
      <c r="AAV58" s="738"/>
      <c r="AAW58" s="738"/>
      <c r="AAX58" s="738"/>
      <c r="AAY58" s="738"/>
      <c r="AAZ58" s="738"/>
      <c r="ABA58" s="738"/>
      <c r="ABB58" s="738"/>
      <c r="ABC58" s="738"/>
      <c r="ABD58" s="738"/>
      <c r="ABE58" s="738"/>
      <c r="ABF58" s="738"/>
      <c r="ABG58" s="738"/>
      <c r="ABH58" s="738"/>
      <c r="ABI58" s="738"/>
      <c r="ABJ58" s="738"/>
      <c r="ABK58" s="738"/>
      <c r="ABL58" s="738"/>
      <c r="ABM58" s="738"/>
      <c r="ABN58" s="738"/>
      <c r="ABO58" s="738"/>
      <c r="ABP58" s="738"/>
      <c r="ABQ58" s="738"/>
      <c r="ABR58" s="738"/>
      <c r="ABS58" s="738"/>
      <c r="ABT58" s="738"/>
      <c r="ABU58" s="738"/>
      <c r="ABV58" s="738"/>
      <c r="ABW58" s="738"/>
      <c r="ABX58" s="738"/>
      <c r="ABY58" s="738"/>
      <c r="ABZ58" s="738"/>
      <c r="ACA58" s="738"/>
      <c r="ACB58" s="738"/>
      <c r="ACC58" s="738"/>
      <c r="ACD58" s="738"/>
      <c r="ACE58" s="738"/>
      <c r="ACF58" s="738"/>
      <c r="ACG58" s="738"/>
      <c r="ACH58" s="738"/>
      <c r="ACI58" s="738"/>
      <c r="ACJ58" s="738"/>
      <c r="ACK58" s="738"/>
      <c r="ACL58" s="738"/>
      <c r="ACM58" s="738"/>
      <c r="ACN58" s="738"/>
      <c r="ACO58" s="738"/>
      <c r="ACP58" s="738"/>
      <c r="ACQ58" s="738"/>
      <c r="ACR58" s="738"/>
      <c r="ACS58" s="738"/>
      <c r="ACT58" s="738"/>
      <c r="ACU58" s="738"/>
      <c r="ACV58" s="738"/>
      <c r="ACW58" s="738"/>
      <c r="ACX58" s="738"/>
      <c r="ACY58" s="738"/>
      <c r="ACZ58" s="738"/>
      <c r="ADA58" s="738"/>
      <c r="ADB58" s="738"/>
      <c r="ADC58" s="738"/>
      <c r="ADD58" s="738"/>
      <c r="ADE58" s="738"/>
      <c r="ADF58" s="738"/>
      <c r="ADG58" s="738"/>
      <c r="ADH58" s="738"/>
      <c r="ADI58" s="738"/>
      <c r="ADJ58" s="738"/>
      <c r="ADK58" s="738"/>
      <c r="ADL58" s="738"/>
      <c r="ADM58" s="738"/>
      <c r="ADN58" s="738"/>
      <c r="ADO58" s="738"/>
      <c r="ADP58" s="738"/>
      <c r="ADQ58" s="738"/>
      <c r="ADR58" s="738"/>
      <c r="ADS58" s="738"/>
      <c r="ADT58" s="738"/>
      <c r="ADU58" s="738"/>
      <c r="ADV58" s="738"/>
      <c r="ADW58" s="738"/>
      <c r="ADX58" s="738"/>
      <c r="ADY58" s="738"/>
      <c r="ADZ58" s="738"/>
      <c r="AEA58" s="738"/>
      <c r="AEB58" s="738"/>
      <c r="AEC58" s="738"/>
      <c r="AED58" s="738"/>
      <c r="AEE58" s="738"/>
      <c r="AEF58" s="738"/>
      <c r="AEG58" s="738"/>
      <c r="AEH58" s="738"/>
      <c r="AEI58" s="738"/>
      <c r="AEJ58" s="738"/>
      <c r="AEK58" s="738"/>
      <c r="AEL58" s="738"/>
      <c r="AEM58" s="738"/>
      <c r="AEN58" s="738"/>
      <c r="AEO58" s="738"/>
      <c r="AEP58" s="738"/>
      <c r="AEQ58" s="738"/>
      <c r="AER58" s="738"/>
      <c r="AES58" s="738"/>
      <c r="AET58" s="738"/>
      <c r="AEU58" s="738"/>
      <c r="AEV58" s="738"/>
      <c r="AEW58" s="738"/>
      <c r="AEX58" s="738"/>
      <c r="AEY58" s="738"/>
      <c r="AEZ58" s="738"/>
      <c r="AFA58" s="738"/>
      <c r="AFB58" s="738"/>
      <c r="AFC58" s="738"/>
      <c r="AFD58" s="738"/>
      <c r="AFE58" s="738"/>
      <c r="AFF58" s="738"/>
      <c r="AFG58" s="738"/>
      <c r="AFH58" s="738"/>
      <c r="AFI58" s="738"/>
      <c r="AFJ58" s="738"/>
      <c r="AFK58" s="738"/>
      <c r="AFL58" s="738"/>
      <c r="AFM58" s="738"/>
      <c r="AFN58" s="738"/>
      <c r="AFO58" s="738"/>
      <c r="AFP58" s="738"/>
      <c r="AFQ58" s="738"/>
      <c r="AFR58" s="738"/>
      <c r="AFS58" s="738"/>
      <c r="AFT58" s="738"/>
      <c r="AFU58" s="738"/>
      <c r="AFV58" s="738"/>
      <c r="AFW58" s="738"/>
      <c r="AFX58" s="738"/>
      <c r="AFY58" s="738"/>
      <c r="AFZ58" s="738"/>
      <c r="AGA58" s="738"/>
      <c r="AGB58" s="738"/>
      <c r="AGC58" s="738"/>
      <c r="AGD58" s="738"/>
      <c r="AGE58" s="738"/>
      <c r="AGF58" s="738"/>
      <c r="AGG58" s="738"/>
      <c r="AGH58" s="738"/>
      <c r="AGI58" s="738"/>
      <c r="AGJ58" s="738"/>
      <c r="AGK58" s="738"/>
      <c r="AGL58" s="738"/>
      <c r="AGM58" s="738"/>
      <c r="AGN58" s="738"/>
      <c r="AGO58" s="738"/>
      <c r="AGP58" s="738"/>
      <c r="AGQ58" s="738"/>
      <c r="AGR58" s="738"/>
      <c r="AGS58" s="738"/>
      <c r="AGT58" s="738"/>
      <c r="AGU58" s="738"/>
      <c r="AGV58" s="738"/>
      <c r="AGW58" s="738"/>
      <c r="AGX58" s="738"/>
      <c r="AGY58" s="738"/>
      <c r="AGZ58" s="738"/>
      <c r="AHA58" s="738"/>
      <c r="AHB58" s="738"/>
      <c r="AHC58" s="738"/>
      <c r="AHD58" s="738"/>
      <c r="AHE58" s="738"/>
      <c r="AHF58" s="738"/>
      <c r="AHG58" s="738"/>
      <c r="AHH58" s="738"/>
      <c r="AHI58" s="738"/>
      <c r="AHJ58" s="738"/>
      <c r="AHK58" s="738"/>
      <c r="AHL58" s="738"/>
      <c r="AHM58" s="738"/>
      <c r="AHN58" s="738"/>
      <c r="AHO58" s="738"/>
      <c r="AHP58" s="738"/>
      <c r="AHQ58" s="738"/>
      <c r="AHR58" s="738"/>
      <c r="AHS58" s="738"/>
      <c r="AHT58" s="738"/>
      <c r="AHU58" s="738"/>
      <c r="AHV58" s="738"/>
      <c r="AHW58" s="738"/>
      <c r="AHX58" s="738"/>
      <c r="AHY58" s="738"/>
      <c r="AHZ58" s="738"/>
      <c r="AIA58" s="738"/>
      <c r="AIB58" s="738"/>
      <c r="AIC58" s="738"/>
      <c r="AID58" s="738"/>
      <c r="AIE58" s="738"/>
      <c r="AIF58" s="738"/>
      <c r="AIG58" s="738"/>
      <c r="AIH58" s="738"/>
      <c r="AII58" s="738"/>
      <c r="AIJ58" s="738"/>
      <c r="AIK58" s="738"/>
      <c r="AIL58" s="738"/>
      <c r="AIM58" s="738"/>
      <c r="AIN58" s="738"/>
      <c r="AIO58" s="738"/>
      <c r="AIP58" s="738"/>
      <c r="AIQ58" s="738"/>
      <c r="AIR58" s="738"/>
      <c r="AIS58" s="738"/>
      <c r="AIT58" s="738"/>
      <c r="AIU58" s="738"/>
      <c r="AIV58" s="738"/>
      <c r="AIW58" s="738"/>
      <c r="AIX58" s="738"/>
      <c r="AIY58" s="738"/>
      <c r="AIZ58" s="738"/>
      <c r="AJA58" s="738"/>
      <c r="AJB58" s="738"/>
      <c r="AJC58" s="738"/>
      <c r="AJD58" s="738"/>
      <c r="AJE58" s="738"/>
      <c r="AJF58" s="738"/>
      <c r="AJG58" s="738"/>
      <c r="AJH58" s="738"/>
      <c r="AJI58" s="738"/>
      <c r="AJJ58" s="738"/>
      <c r="AJK58" s="738"/>
      <c r="AJL58" s="738"/>
      <c r="AJM58" s="738"/>
      <c r="AJN58" s="738"/>
      <c r="AJO58" s="738"/>
      <c r="AJP58" s="738"/>
      <c r="AJQ58" s="738"/>
      <c r="AJR58" s="738"/>
      <c r="AJS58" s="738"/>
      <c r="AJT58" s="738"/>
      <c r="AJU58" s="738"/>
      <c r="AJV58" s="738"/>
      <c r="AJW58" s="738"/>
      <c r="AJX58" s="738"/>
      <c r="AJY58" s="738"/>
      <c r="AJZ58" s="738"/>
      <c r="AKA58" s="738"/>
      <c r="AKB58" s="738"/>
      <c r="AKC58" s="738"/>
      <c r="AKD58" s="738"/>
      <c r="AKE58" s="738"/>
      <c r="AKF58" s="738"/>
      <c r="AKG58" s="738"/>
      <c r="AKH58" s="738"/>
      <c r="AKI58" s="738"/>
      <c r="AKJ58" s="738"/>
      <c r="AKK58" s="738"/>
      <c r="AKL58" s="738"/>
      <c r="AKM58" s="738"/>
      <c r="AKN58" s="738"/>
      <c r="AKO58" s="738"/>
      <c r="AKP58" s="738"/>
      <c r="AKQ58" s="738"/>
      <c r="AKR58" s="738"/>
      <c r="AKS58" s="738"/>
      <c r="AKT58" s="738"/>
      <c r="AKU58" s="738"/>
      <c r="AKV58" s="738"/>
      <c r="AKW58" s="738"/>
      <c r="AKX58" s="738"/>
      <c r="AKY58" s="738"/>
      <c r="AKZ58" s="738"/>
      <c r="ALA58" s="738"/>
      <c r="ALB58" s="738"/>
      <c r="ALC58" s="738"/>
      <c r="ALD58" s="738"/>
      <c r="ALE58" s="738"/>
      <c r="ALF58" s="738"/>
      <c r="ALG58" s="738"/>
      <c r="ALH58" s="738"/>
      <c r="ALI58" s="738"/>
      <c r="ALJ58" s="738"/>
      <c r="ALK58" s="738"/>
      <c r="ALL58" s="738"/>
      <c r="ALM58" s="738"/>
      <c r="ALN58" s="738"/>
      <c r="ALO58" s="738"/>
      <c r="ALP58" s="738"/>
      <c r="ALQ58" s="738"/>
      <c r="ALR58" s="738"/>
      <c r="ALS58" s="738"/>
      <c r="ALT58" s="738"/>
      <c r="ALU58" s="738"/>
    </row>
    <row r="59" spans="1:1009" s="224" customFormat="1" ht="13.5" customHeight="1">
      <c r="A59" s="225">
        <f t="shared" si="0"/>
        <v>51</v>
      </c>
      <c r="B59" s="217"/>
      <c r="C59" s="217" t="s">
        <v>264</v>
      </c>
      <c r="D59" s="217"/>
      <c r="E59" s="217"/>
      <c r="F59" s="217"/>
      <c r="G59" s="217"/>
      <c r="H59" s="728"/>
      <c r="I59" s="729" t="s">
        <v>1220</v>
      </c>
      <c r="J59" s="729"/>
      <c r="K59" s="728" t="s">
        <v>1221</v>
      </c>
      <c r="L59" s="728" t="s">
        <v>820</v>
      </c>
      <c r="M59" s="731"/>
      <c r="N59" s="735" t="s">
        <v>863</v>
      </c>
      <c r="O59" s="281" t="s">
        <v>864</v>
      </c>
      <c r="P59" s="728" t="s">
        <v>1222</v>
      </c>
      <c r="Q59" s="252"/>
      <c r="R59" s="731"/>
      <c r="S59" s="232"/>
      <c r="T59" s="733"/>
      <c r="U59" s="728"/>
      <c r="V59" s="734"/>
      <c r="W59" s="732"/>
      <c r="X59" s="732"/>
      <c r="Y59" s="731"/>
      <c r="AA59" s="733"/>
      <c r="AB59" s="728"/>
      <c r="AC59" s="497"/>
      <c r="AD59" s="728"/>
      <c r="AE59" s="731"/>
      <c r="AF59" s="731"/>
    </row>
    <row r="60" spans="1:1009" s="224" customFormat="1" ht="13.5" customHeight="1">
      <c r="A60" s="225">
        <f t="shared" si="0"/>
        <v>52</v>
      </c>
      <c r="B60" s="217"/>
      <c r="C60" s="217" t="s">
        <v>1659</v>
      </c>
      <c r="D60" s="217"/>
      <c r="E60" s="217"/>
      <c r="F60" s="217"/>
      <c r="G60" s="217"/>
      <c r="H60" s="728" t="s">
        <v>1225</v>
      </c>
      <c r="I60" s="729" t="s">
        <v>1226</v>
      </c>
      <c r="J60" s="729"/>
      <c r="K60" s="729" t="s">
        <v>939</v>
      </c>
      <c r="L60" s="728" t="s">
        <v>817</v>
      </c>
      <c r="M60" s="731"/>
      <c r="N60" s="728" t="s">
        <v>863</v>
      </c>
      <c r="O60" s="731"/>
      <c r="P60" s="728"/>
      <c r="Q60" s="252"/>
      <c r="R60" s="731"/>
      <c r="S60" s="232"/>
      <c r="T60" s="733"/>
      <c r="U60" s="728"/>
      <c r="V60" s="734"/>
      <c r="W60" s="732"/>
      <c r="X60" s="732"/>
      <c r="Y60" s="731"/>
      <c r="AA60" s="733"/>
      <c r="AB60" s="728"/>
      <c r="AC60" s="729"/>
      <c r="AD60" s="728"/>
      <c r="AE60" s="731"/>
      <c r="AF60" s="731"/>
    </row>
    <row r="61" spans="1:1009" s="224" customFormat="1" ht="13.5" customHeight="1">
      <c r="A61" s="225">
        <f t="shared" si="0"/>
        <v>53</v>
      </c>
      <c r="B61" s="217" t="s">
        <v>1577</v>
      </c>
      <c r="C61" s="216" t="s">
        <v>2264</v>
      </c>
      <c r="D61" s="217"/>
      <c r="E61" s="217"/>
      <c r="F61" s="217"/>
      <c r="G61" s="217"/>
      <c r="H61" s="255" t="s">
        <v>2265</v>
      </c>
      <c r="I61" s="729"/>
      <c r="J61" s="729"/>
      <c r="K61" s="255" t="s">
        <v>1585</v>
      </c>
      <c r="L61" s="728" t="s">
        <v>817</v>
      </c>
      <c r="M61" s="731" t="s">
        <v>864</v>
      </c>
      <c r="N61" s="243" t="s">
        <v>1054</v>
      </c>
      <c r="O61" s="280"/>
      <c r="P61" s="728"/>
      <c r="Q61" s="730"/>
      <c r="R61" s="731"/>
      <c r="S61" s="232"/>
      <c r="T61" s="733"/>
      <c r="U61" s="728"/>
      <c r="V61" s="734"/>
      <c r="W61" s="732"/>
      <c r="X61" s="732"/>
      <c r="Y61" s="731"/>
      <c r="AA61" s="733"/>
      <c r="AB61" s="728"/>
      <c r="AC61" s="729"/>
      <c r="AD61" s="728"/>
      <c r="AE61" s="731"/>
      <c r="AF61" s="731"/>
    </row>
    <row r="62" spans="1:1009" s="224" customFormat="1" ht="12" customHeight="1">
      <c r="A62" s="225">
        <f>SUBTOTAL(103,createCase141814[ID])</f>
        <v>53</v>
      </c>
      <c r="C62" s="225">
        <f>SUBTOTAL(103,createCase141814[Donnée (Niveau 2)])</f>
        <v>17</v>
      </c>
      <c r="D62" s="225">
        <f>SUBTOTAL(103,createCase141814[Donnée (Niveau 3)])</f>
        <v>23</v>
      </c>
      <c r="E62" s="225">
        <f>SUBTOTAL(103,createCase141814[Donnée (Niveau 4)])</f>
        <v>5</v>
      </c>
      <c r="F62" s="225">
        <f>SUBTOTAL(103,createCase141814[Donnée (Niveau 5)])</f>
        <v>4</v>
      </c>
      <c r="G62" s="225">
        <f>SUBTOTAL(103,createCase141814[Donnée (Niveau 6)])</f>
        <v>0</v>
      </c>
      <c r="H62" s="225">
        <f>SUBTOTAL(103,createCase141814[Description])</f>
        <v>47</v>
      </c>
      <c r="I62" s="225">
        <f>SUBTOTAL(103,createCase141814[Exemples])</f>
        <v>36</v>
      </c>
      <c r="J62" s="225"/>
      <c r="K62" s="225">
        <f>SUBTOTAL(103,createCase141814[Nouvelle balise])</f>
        <v>53</v>
      </c>
      <c r="L62" s="225"/>
      <c r="M62" s="225">
        <f>SUBTOTAL(103,createCase141814[Objet])</f>
        <v>12</v>
      </c>
      <c r="N62" s="225">
        <f>SUBTOTAL(103,createCase141814[Format (ou type)])</f>
        <v>53</v>
      </c>
      <c r="O62" s="274"/>
      <c r="P62" s="225"/>
      <c r="Q62" s="225"/>
      <c r="R62" s="225"/>
      <c r="T62" s="271">
        <f>SUBTOTAL(103,createCase141814[Commentaire Hub Santé])</f>
        <v>4</v>
      </c>
      <c r="U62" s="225">
        <f>SUBTOTAL(103,createCase141814[Commentaire Philippe Dreyfus])</f>
        <v>0</v>
      </c>
      <c r="V62" s="225"/>
      <c r="W62" s="225">
        <f>SUBTOTAL(103,createCase141814[Commentaire Yann Penverne])</f>
        <v>0</v>
      </c>
      <c r="X62" s="225">
        <f>SUBTOTAL(103,createCase141814[Métier])-COUNTIFS(createCase141814[Métier],"=X")</f>
        <v>1</v>
      </c>
    </row>
    <row r="63" spans="1:1009" s="128" customFormat="1" ht="12" customHeight="1">
      <c r="A63" s="3"/>
      <c r="B63" s="3"/>
      <c r="C63" s="131"/>
      <c r="D63" s="131"/>
      <c r="E63" s="131"/>
      <c r="F63" s="131"/>
      <c r="G63" s="5"/>
      <c r="H63" s="155"/>
      <c r="I63" s="225"/>
      <c r="J63" s="155"/>
      <c r="K63" s="5"/>
      <c r="L63" s="188"/>
      <c r="M63" s="5"/>
      <c r="N63" s="56"/>
      <c r="O63" s="56"/>
      <c r="P63" s="728"/>
      <c r="Q63" s="728"/>
      <c r="R63"/>
      <c r="S63" s="178"/>
      <c r="T63" s="5"/>
      <c r="U63" s="159"/>
      <c r="V63" s="56"/>
      <c r="W63" s="56"/>
      <c r="ALS63"/>
      <c r="ALT63"/>
      <c r="ALU63"/>
    </row>
    <row r="64" spans="1:1009" s="128" customFormat="1" ht="12" customHeight="1">
      <c r="A64" s="129"/>
      <c r="B64" s="129"/>
      <c r="C64" s="129"/>
      <c r="D64" s="129"/>
      <c r="E64" s="129"/>
      <c r="F64" s="129"/>
      <c r="G64" s="96"/>
      <c r="H64" s="96"/>
      <c r="I64" s="225"/>
      <c r="J64" s="159"/>
      <c r="K64" s="96"/>
      <c r="L64" s="173"/>
      <c r="M64" s="96"/>
      <c r="N64" s="277"/>
      <c r="O64" s="96"/>
      <c r="P64" s="96"/>
      <c r="Q64" s="96"/>
      <c r="R64"/>
      <c r="S64" s="179"/>
      <c r="T64" s="96"/>
      <c r="U64" s="159"/>
      <c r="V64" s="96"/>
      <c r="W64" s="96"/>
      <c r="ALS64"/>
      <c r="ALT64"/>
      <c r="ALU64"/>
    </row>
    <row r="65" spans="1:1009" s="128" customFormat="1" ht="12" customHeight="1">
      <c r="I65" s="224"/>
      <c r="L65" s="173"/>
      <c r="M65" s="96"/>
      <c r="N65" s="277"/>
      <c r="O65" s="96"/>
      <c r="P65" s="96"/>
      <c r="Q65" s="96"/>
      <c r="R65"/>
      <c r="S65" s="179"/>
      <c r="T65" s="96"/>
      <c r="U65" s="159"/>
      <c r="V65" s="96"/>
      <c r="W65" s="96"/>
      <c r="ALS65"/>
      <c r="ALT65"/>
      <c r="ALU65"/>
    </row>
    <row r="66" spans="1:1009" s="128" customFormat="1" ht="12" customHeight="1">
      <c r="I66" s="224"/>
      <c r="L66" s="173"/>
      <c r="M66" s="96"/>
      <c r="N66" s="277"/>
      <c r="O66" s="96"/>
      <c r="P66" s="96"/>
      <c r="Q66" s="96"/>
      <c r="R66"/>
      <c r="S66" s="179"/>
      <c r="T66" s="96"/>
      <c r="U66" s="159"/>
      <c r="V66" s="96"/>
      <c r="W66" s="96"/>
      <c r="ALS66"/>
      <c r="ALT66"/>
      <c r="ALU66"/>
    </row>
    <row r="67" spans="1:1009" ht="12" customHeight="1">
      <c r="A67" s="123"/>
      <c r="B67" s="123"/>
      <c r="C67" s="123"/>
      <c r="D67" s="123"/>
      <c r="E67" s="123"/>
      <c r="F67" s="123"/>
      <c r="G67" s="112"/>
      <c r="H67" s="112"/>
      <c r="I67" s="276"/>
      <c r="J67" s="161"/>
      <c r="K67" s="112"/>
      <c r="L67" s="190"/>
      <c r="M67" s="112"/>
      <c r="N67" s="125"/>
      <c r="O67" s="112"/>
      <c r="P67" s="112"/>
      <c r="Q67" s="112"/>
      <c r="S67" s="180"/>
      <c r="T67" s="112"/>
      <c r="V67" s="112"/>
      <c r="W67" s="112"/>
    </row>
    <row r="68" spans="1:1009" ht="12" customHeight="1">
      <c r="A68" s="123"/>
      <c r="B68" s="123"/>
      <c r="C68" s="123"/>
      <c r="D68" s="123"/>
      <c r="E68" s="123"/>
      <c r="F68" s="123"/>
      <c r="G68" s="112"/>
      <c r="H68" s="112"/>
      <c r="I68" s="276"/>
      <c r="J68" s="161"/>
      <c r="K68" s="112"/>
      <c r="L68" s="190"/>
      <c r="M68" s="112"/>
      <c r="N68" s="125"/>
      <c r="O68" s="112"/>
      <c r="P68" s="112"/>
      <c r="Q68" s="112"/>
      <c r="S68" s="180"/>
      <c r="T68" s="112"/>
      <c r="V68" s="112"/>
      <c r="W68" s="112"/>
    </row>
    <row r="69" spans="1:1009" ht="12" customHeight="1">
      <c r="A69" s="130"/>
      <c r="B69" s="130"/>
      <c r="C69" s="130"/>
      <c r="D69" s="130"/>
      <c r="E69" s="130"/>
      <c r="F69" s="130"/>
    </row>
    <row r="70" spans="1:1009" ht="12" customHeight="1">
      <c r="A70" s="130"/>
      <c r="B70" s="130"/>
      <c r="C70" s="130"/>
      <c r="D70" s="130"/>
      <c r="E70" s="130"/>
      <c r="F70" s="130"/>
    </row>
    <row r="71" spans="1:1009" s="96" customFormat="1" ht="12" customHeight="1">
      <c r="A71" s="130"/>
      <c r="B71" s="130"/>
      <c r="C71" s="130"/>
      <c r="D71" s="130"/>
      <c r="E71" s="130"/>
      <c r="F71" s="130"/>
      <c r="I71" s="225"/>
      <c r="J71" s="159"/>
      <c r="L71" s="173"/>
      <c r="N71" s="277"/>
      <c r="R71"/>
      <c r="S71" s="179"/>
      <c r="U71" s="159"/>
      <c r="X71"/>
      <c r="Y71" s="128"/>
      <c r="Z71" s="128"/>
      <c r="AA71" s="128"/>
      <c r="AB71" s="128"/>
      <c r="AC71" s="128"/>
      <c r="AD71" s="128"/>
      <c r="AE71" s="128"/>
      <c r="AF71" s="128"/>
      <c r="AG71" s="128"/>
      <c r="AH71" s="128"/>
      <c r="AI71" s="128"/>
      <c r="AJ71" s="128"/>
      <c r="AK71" s="128"/>
      <c r="AL71" s="128"/>
      <c r="AM71" s="128"/>
      <c r="AN71" s="128"/>
      <c r="AO71" s="128"/>
      <c r="AP71" s="128"/>
      <c r="AQ71" s="128"/>
      <c r="AR71" s="128"/>
      <c r="AS71" s="128"/>
      <c r="AT71" s="128"/>
      <c r="AU71" s="128"/>
      <c r="AV71" s="128"/>
      <c r="AW71" s="128"/>
      <c r="AX71" s="128"/>
      <c r="AY71" s="128"/>
      <c r="AZ71" s="128"/>
      <c r="BA71" s="128"/>
      <c r="BB71" s="128"/>
      <c r="BC71" s="128"/>
      <c r="BD71" s="128"/>
      <c r="BE71" s="128"/>
      <c r="BF71" s="128"/>
      <c r="BG71" s="128"/>
      <c r="BH71" s="128"/>
      <c r="BI71" s="128"/>
      <c r="BJ71" s="128"/>
      <c r="BK71" s="128"/>
      <c r="BL71" s="128"/>
      <c r="BM71" s="128"/>
      <c r="BN71" s="128"/>
      <c r="BO71" s="128"/>
      <c r="BP71" s="128"/>
      <c r="BQ71" s="128"/>
      <c r="BR71" s="128"/>
      <c r="BS71" s="128"/>
      <c r="BT71" s="128"/>
      <c r="BU71" s="128"/>
      <c r="BV71" s="128"/>
      <c r="BW71" s="128"/>
      <c r="BX71" s="128"/>
      <c r="BY71" s="128"/>
      <c r="BZ71" s="128"/>
      <c r="CA71" s="128"/>
      <c r="CB71" s="128"/>
      <c r="CC71" s="128"/>
      <c r="CD71" s="128"/>
      <c r="CE71" s="128"/>
      <c r="CF71" s="128"/>
      <c r="CG71" s="128"/>
      <c r="CH71" s="128"/>
      <c r="CI71" s="128"/>
      <c r="CJ71" s="128"/>
      <c r="CK71" s="128"/>
      <c r="CL71" s="128"/>
      <c r="CM71" s="128"/>
      <c r="CN71" s="128"/>
      <c r="CO71" s="128"/>
      <c r="CP71" s="128"/>
      <c r="CQ71" s="128"/>
      <c r="CR71" s="128"/>
      <c r="CS71" s="128"/>
      <c r="CT71" s="128"/>
      <c r="CU71" s="128"/>
      <c r="CV71" s="128"/>
      <c r="CW71" s="128"/>
      <c r="CX71" s="128"/>
      <c r="CY71" s="128"/>
      <c r="CZ71" s="128"/>
      <c r="DA71" s="128"/>
      <c r="DB71" s="128"/>
      <c r="DC71" s="128"/>
      <c r="DD71" s="128"/>
      <c r="DE71" s="128"/>
      <c r="DF71" s="128"/>
      <c r="DG71" s="128"/>
      <c r="DH71" s="128"/>
      <c r="DI71" s="128"/>
      <c r="DJ71" s="128"/>
      <c r="DK71" s="128"/>
      <c r="DL71" s="128"/>
      <c r="DM71" s="128"/>
      <c r="DN71" s="128"/>
      <c r="DO71" s="128"/>
      <c r="DP71" s="128"/>
      <c r="DQ71" s="128"/>
      <c r="DR71" s="128"/>
      <c r="DS71" s="128"/>
      <c r="DT71" s="128"/>
      <c r="DU71" s="128"/>
      <c r="DV71" s="128"/>
      <c r="DW71" s="128"/>
      <c r="DX71" s="128"/>
      <c r="DY71" s="128"/>
      <c r="DZ71" s="128"/>
      <c r="EA71" s="128"/>
      <c r="EB71" s="128"/>
      <c r="EC71" s="128"/>
      <c r="ED71" s="128"/>
      <c r="EE71" s="128"/>
      <c r="EF71" s="128"/>
      <c r="EG71" s="128"/>
      <c r="EH71" s="128"/>
      <c r="EI71" s="128"/>
      <c r="EJ71" s="128"/>
      <c r="EK71" s="128"/>
      <c r="EL71" s="128"/>
      <c r="EM71" s="128"/>
      <c r="EN71" s="128"/>
      <c r="EO71" s="128"/>
      <c r="EP71" s="128"/>
      <c r="EQ71" s="128"/>
      <c r="ER71" s="128"/>
      <c r="ES71" s="128"/>
      <c r="ET71" s="128"/>
      <c r="EU71" s="128"/>
      <c r="EV71" s="128"/>
      <c r="EW71" s="128"/>
      <c r="EX71" s="128"/>
      <c r="EY71" s="128"/>
      <c r="EZ71" s="128"/>
      <c r="FA71" s="128"/>
      <c r="FB71" s="128"/>
      <c r="FC71" s="128"/>
      <c r="FD71" s="128"/>
      <c r="FE71" s="128"/>
      <c r="FF71" s="128"/>
      <c r="FG71" s="128"/>
      <c r="FH71" s="128"/>
      <c r="FI71" s="128"/>
      <c r="FJ71" s="128"/>
      <c r="FK71" s="128"/>
      <c r="FL71" s="128"/>
      <c r="FM71" s="128"/>
      <c r="FN71" s="128"/>
      <c r="FO71" s="128"/>
      <c r="FP71" s="128"/>
      <c r="FQ71" s="128"/>
      <c r="FR71" s="128"/>
      <c r="FS71" s="128"/>
      <c r="FT71" s="128"/>
      <c r="FU71" s="128"/>
      <c r="FV71" s="128"/>
      <c r="FW71" s="128"/>
      <c r="FX71" s="128"/>
      <c r="FY71" s="128"/>
      <c r="FZ71" s="128"/>
      <c r="GA71" s="128"/>
      <c r="GB71" s="128"/>
      <c r="GC71" s="128"/>
      <c r="GD71" s="128"/>
      <c r="GE71" s="128"/>
      <c r="GF71" s="128"/>
      <c r="GG71" s="128"/>
      <c r="GH71" s="128"/>
      <c r="GI71" s="128"/>
      <c r="GJ71" s="128"/>
      <c r="GK71" s="128"/>
      <c r="GL71" s="128"/>
      <c r="GM71" s="128"/>
      <c r="GN71" s="128"/>
      <c r="GO71" s="128"/>
      <c r="GP71" s="128"/>
      <c r="GQ71" s="128"/>
      <c r="GR71" s="128"/>
      <c r="GS71" s="128"/>
      <c r="GT71" s="128"/>
      <c r="GU71" s="128"/>
      <c r="GV71" s="128"/>
      <c r="GW71" s="128"/>
      <c r="GX71" s="128"/>
      <c r="GY71" s="128"/>
      <c r="GZ71" s="128"/>
      <c r="HA71" s="128"/>
      <c r="HB71" s="128"/>
      <c r="HC71" s="128"/>
      <c r="HD71" s="128"/>
      <c r="HE71" s="128"/>
      <c r="HF71" s="128"/>
      <c r="HG71" s="128"/>
      <c r="HH71" s="128"/>
      <c r="HI71" s="128"/>
      <c r="HJ71" s="128"/>
      <c r="HK71" s="128"/>
      <c r="HL71" s="128"/>
      <c r="HM71" s="128"/>
      <c r="HN71" s="128"/>
      <c r="HO71" s="128"/>
      <c r="HP71" s="128"/>
      <c r="HQ71" s="128"/>
      <c r="HR71" s="128"/>
      <c r="HS71" s="128"/>
      <c r="HT71" s="128"/>
      <c r="HU71" s="128"/>
      <c r="HV71" s="128"/>
      <c r="HW71" s="128"/>
      <c r="HX71" s="128"/>
      <c r="HY71" s="128"/>
      <c r="HZ71" s="128"/>
      <c r="IA71" s="128"/>
      <c r="IB71" s="128"/>
      <c r="IC71" s="128"/>
      <c r="ID71" s="128"/>
      <c r="IE71" s="128"/>
      <c r="IF71" s="128"/>
      <c r="IG71" s="128"/>
      <c r="IH71" s="128"/>
      <c r="II71" s="128"/>
      <c r="IJ71" s="128"/>
      <c r="IK71" s="128"/>
      <c r="IL71" s="128"/>
      <c r="IM71" s="128"/>
      <c r="IN71" s="128"/>
      <c r="IO71" s="128"/>
      <c r="IP71" s="128"/>
      <c r="IQ71" s="128"/>
      <c r="IR71" s="128"/>
      <c r="IS71" s="128"/>
      <c r="IT71" s="128"/>
      <c r="IU71" s="128"/>
      <c r="IV71" s="128"/>
      <c r="IW71" s="128"/>
      <c r="IX71" s="128"/>
      <c r="IY71" s="128"/>
      <c r="IZ71" s="128"/>
      <c r="JA71" s="128"/>
      <c r="JB71" s="128"/>
      <c r="JC71" s="128"/>
      <c r="JD71" s="128"/>
      <c r="JE71" s="128"/>
      <c r="JF71" s="128"/>
      <c r="JG71" s="128"/>
      <c r="JH71" s="128"/>
      <c r="JI71" s="128"/>
      <c r="JJ71" s="128"/>
      <c r="JK71" s="128"/>
      <c r="JL71" s="128"/>
      <c r="JM71" s="128"/>
      <c r="JN71" s="128"/>
      <c r="JO71" s="128"/>
      <c r="JP71" s="128"/>
      <c r="JQ71" s="128"/>
      <c r="JR71" s="128"/>
      <c r="JS71" s="128"/>
      <c r="JT71" s="128"/>
      <c r="JU71" s="128"/>
      <c r="JV71" s="128"/>
      <c r="JW71" s="128"/>
      <c r="JX71" s="128"/>
      <c r="JY71" s="128"/>
      <c r="JZ71" s="128"/>
      <c r="KA71" s="128"/>
      <c r="KB71" s="128"/>
      <c r="KC71" s="128"/>
      <c r="KD71" s="128"/>
      <c r="KE71" s="128"/>
      <c r="KF71" s="128"/>
      <c r="KG71" s="128"/>
      <c r="KH71" s="128"/>
      <c r="KI71" s="128"/>
      <c r="KJ71" s="128"/>
      <c r="KK71" s="128"/>
      <c r="KL71" s="128"/>
      <c r="KM71" s="128"/>
      <c r="KN71" s="128"/>
      <c r="KO71" s="128"/>
      <c r="KP71" s="128"/>
      <c r="KQ71" s="128"/>
      <c r="KR71" s="128"/>
      <c r="KS71" s="128"/>
      <c r="KT71" s="128"/>
      <c r="KU71" s="128"/>
      <c r="KV71" s="128"/>
      <c r="KW71" s="128"/>
      <c r="KX71" s="128"/>
      <c r="KY71" s="128"/>
      <c r="KZ71" s="128"/>
      <c r="LA71" s="128"/>
      <c r="LB71" s="128"/>
      <c r="LC71" s="128"/>
      <c r="LD71" s="128"/>
      <c r="LE71" s="128"/>
      <c r="LF71" s="128"/>
      <c r="LG71" s="128"/>
      <c r="LH71" s="128"/>
      <c r="LI71" s="128"/>
      <c r="LJ71" s="128"/>
      <c r="LK71" s="128"/>
      <c r="LL71" s="128"/>
      <c r="LM71" s="128"/>
      <c r="LN71" s="128"/>
      <c r="LO71" s="128"/>
      <c r="LP71" s="128"/>
      <c r="LQ71" s="128"/>
      <c r="LR71" s="128"/>
      <c r="LS71" s="128"/>
      <c r="LT71" s="128"/>
      <c r="LU71" s="128"/>
      <c r="LV71" s="128"/>
      <c r="LW71" s="128"/>
      <c r="LX71" s="128"/>
      <c r="LY71" s="128"/>
      <c r="LZ71" s="128"/>
      <c r="MA71" s="128"/>
      <c r="MB71" s="128"/>
      <c r="MC71" s="128"/>
      <c r="MD71" s="128"/>
      <c r="ME71" s="128"/>
      <c r="MF71" s="128"/>
      <c r="MG71" s="128"/>
      <c r="MH71" s="128"/>
      <c r="MI71" s="128"/>
      <c r="MJ71" s="128"/>
      <c r="MK71" s="128"/>
      <c r="ML71" s="128"/>
      <c r="MM71" s="128"/>
      <c r="MN71" s="128"/>
      <c r="MO71" s="128"/>
      <c r="MP71" s="128"/>
      <c r="MQ71" s="128"/>
      <c r="MR71" s="128"/>
      <c r="MS71" s="128"/>
      <c r="MT71" s="128"/>
      <c r="MU71" s="128"/>
      <c r="MV71" s="128"/>
      <c r="MW71" s="128"/>
      <c r="MX71" s="128"/>
      <c r="MY71" s="128"/>
      <c r="MZ71" s="128"/>
      <c r="NA71" s="128"/>
      <c r="NB71" s="128"/>
      <c r="NC71" s="128"/>
      <c r="ND71" s="128"/>
      <c r="NE71" s="128"/>
      <c r="NF71" s="128"/>
      <c r="NG71" s="128"/>
      <c r="NH71" s="128"/>
      <c r="NI71" s="128"/>
      <c r="NJ71" s="128"/>
      <c r="NK71" s="128"/>
      <c r="NL71" s="128"/>
      <c r="NM71" s="128"/>
      <c r="NN71" s="128"/>
      <c r="NO71" s="128"/>
      <c r="NP71" s="128"/>
      <c r="NQ71" s="128"/>
      <c r="NR71" s="128"/>
      <c r="NS71" s="128"/>
      <c r="NT71" s="128"/>
      <c r="NU71" s="128"/>
      <c r="NV71" s="128"/>
      <c r="NW71" s="128"/>
      <c r="NX71" s="128"/>
      <c r="NY71" s="128"/>
      <c r="NZ71" s="128"/>
      <c r="OA71" s="128"/>
      <c r="OB71" s="128"/>
      <c r="OC71" s="128"/>
      <c r="OD71" s="128"/>
      <c r="OE71" s="128"/>
      <c r="OF71" s="128"/>
      <c r="OG71" s="128"/>
      <c r="OH71" s="128"/>
      <c r="OI71" s="128"/>
      <c r="OJ71" s="128"/>
      <c r="OK71" s="128"/>
      <c r="OL71" s="128"/>
      <c r="OM71" s="128"/>
      <c r="ON71" s="128"/>
      <c r="OO71" s="128"/>
      <c r="OP71" s="128"/>
      <c r="OQ71" s="128"/>
      <c r="OR71" s="128"/>
      <c r="OS71" s="128"/>
      <c r="OT71" s="128"/>
      <c r="OU71" s="128"/>
      <c r="OV71" s="128"/>
      <c r="OW71" s="128"/>
      <c r="OX71" s="128"/>
      <c r="OY71" s="128"/>
      <c r="OZ71" s="128"/>
      <c r="PA71" s="128"/>
      <c r="PB71" s="128"/>
      <c r="PC71" s="128"/>
      <c r="PD71" s="128"/>
      <c r="PE71" s="128"/>
      <c r="PF71" s="128"/>
      <c r="PG71" s="128"/>
      <c r="PH71" s="128"/>
      <c r="PI71" s="128"/>
      <c r="PJ71" s="128"/>
      <c r="PK71" s="128"/>
      <c r="PL71" s="128"/>
      <c r="PM71" s="128"/>
      <c r="PN71" s="128"/>
      <c r="PO71" s="128"/>
      <c r="PP71" s="128"/>
      <c r="PQ71" s="128"/>
      <c r="PR71" s="128"/>
      <c r="PS71" s="128"/>
      <c r="PT71" s="128"/>
      <c r="PU71" s="128"/>
      <c r="PV71" s="128"/>
      <c r="PW71" s="128"/>
      <c r="PX71" s="128"/>
      <c r="PY71" s="128"/>
      <c r="PZ71" s="128"/>
      <c r="QA71" s="128"/>
      <c r="QB71" s="128"/>
      <c r="QC71" s="128"/>
      <c r="QD71" s="128"/>
      <c r="QE71" s="128"/>
      <c r="QF71" s="128"/>
      <c r="QG71" s="128"/>
      <c r="QH71" s="128"/>
      <c r="QI71" s="128"/>
      <c r="QJ71" s="128"/>
      <c r="QK71" s="128"/>
      <c r="QL71" s="128"/>
      <c r="QM71" s="128"/>
      <c r="QN71" s="128"/>
      <c r="QO71" s="128"/>
      <c r="QP71" s="128"/>
      <c r="QQ71" s="128"/>
      <c r="QR71" s="128"/>
      <c r="QS71" s="128"/>
      <c r="QT71" s="128"/>
      <c r="QU71" s="128"/>
      <c r="QV71" s="128"/>
      <c r="QW71" s="128"/>
      <c r="QX71" s="128"/>
      <c r="QY71" s="128"/>
      <c r="QZ71" s="128"/>
      <c r="RA71" s="128"/>
      <c r="RB71" s="128"/>
      <c r="RC71" s="128"/>
      <c r="RD71" s="128"/>
      <c r="RE71" s="128"/>
      <c r="RF71" s="128"/>
      <c r="RG71" s="128"/>
      <c r="RH71" s="128"/>
      <c r="RI71" s="128"/>
      <c r="RJ71" s="128"/>
      <c r="RK71" s="128"/>
      <c r="RL71" s="128"/>
      <c r="RM71" s="128"/>
      <c r="RN71" s="128"/>
      <c r="RO71" s="128"/>
      <c r="RP71" s="128"/>
      <c r="RQ71" s="128"/>
      <c r="RR71" s="128"/>
      <c r="RS71" s="128"/>
      <c r="RT71" s="128"/>
      <c r="RU71" s="128"/>
      <c r="RV71" s="128"/>
      <c r="RW71" s="128"/>
      <c r="RX71" s="128"/>
      <c r="RY71" s="128"/>
      <c r="RZ71" s="128"/>
      <c r="SA71" s="128"/>
      <c r="SB71" s="128"/>
      <c r="SC71" s="128"/>
      <c r="SD71" s="128"/>
      <c r="SE71" s="128"/>
      <c r="SF71" s="128"/>
      <c r="SG71" s="128"/>
      <c r="SH71" s="128"/>
      <c r="SI71" s="128"/>
      <c r="SJ71" s="128"/>
      <c r="SK71" s="128"/>
      <c r="SL71" s="128"/>
      <c r="SM71" s="128"/>
      <c r="SN71" s="128"/>
      <c r="SO71" s="128"/>
      <c r="SP71" s="128"/>
      <c r="SQ71" s="128"/>
      <c r="SR71" s="128"/>
      <c r="SS71" s="128"/>
      <c r="ST71" s="128"/>
      <c r="SU71" s="128"/>
      <c r="SV71" s="128"/>
      <c r="SW71" s="128"/>
      <c r="SX71" s="128"/>
      <c r="SY71" s="128"/>
      <c r="SZ71" s="128"/>
      <c r="TA71" s="128"/>
      <c r="TB71" s="128"/>
      <c r="TC71" s="128"/>
      <c r="TD71" s="128"/>
      <c r="TE71" s="128"/>
      <c r="TF71" s="128"/>
      <c r="TG71" s="128"/>
      <c r="TH71" s="128"/>
      <c r="TI71" s="128"/>
      <c r="TJ71" s="128"/>
      <c r="TK71" s="128"/>
      <c r="TL71" s="128"/>
      <c r="TM71" s="128"/>
      <c r="TN71" s="128"/>
      <c r="TO71" s="128"/>
      <c r="TP71" s="128"/>
      <c r="TQ71" s="128"/>
      <c r="TR71" s="128"/>
      <c r="TS71" s="128"/>
      <c r="TT71" s="128"/>
      <c r="TU71" s="128"/>
      <c r="TV71" s="128"/>
      <c r="TW71" s="128"/>
      <c r="TX71" s="128"/>
      <c r="TY71" s="128"/>
      <c r="TZ71" s="128"/>
      <c r="UA71" s="128"/>
      <c r="UB71" s="128"/>
      <c r="UC71" s="128"/>
      <c r="UD71" s="128"/>
      <c r="UE71" s="128"/>
      <c r="UF71" s="128"/>
      <c r="UG71" s="128"/>
      <c r="UH71" s="128"/>
      <c r="UI71" s="128"/>
      <c r="UJ71" s="128"/>
      <c r="UK71" s="128"/>
      <c r="UL71" s="128"/>
      <c r="UM71" s="128"/>
      <c r="UN71" s="128"/>
      <c r="UO71" s="128"/>
      <c r="UP71" s="128"/>
      <c r="UQ71" s="128"/>
      <c r="UR71" s="128"/>
      <c r="US71" s="128"/>
      <c r="UT71" s="128"/>
      <c r="UU71" s="128"/>
      <c r="UV71" s="128"/>
      <c r="UW71" s="128"/>
      <c r="UX71" s="128"/>
      <c r="UY71" s="128"/>
      <c r="UZ71" s="128"/>
      <c r="VA71" s="128"/>
      <c r="VB71" s="128"/>
      <c r="VC71" s="128"/>
      <c r="VD71" s="128"/>
      <c r="VE71" s="128"/>
      <c r="VF71" s="128"/>
      <c r="VG71" s="128"/>
      <c r="VH71" s="128"/>
      <c r="VI71" s="128"/>
      <c r="VJ71" s="128"/>
      <c r="VK71" s="128"/>
      <c r="VL71" s="128"/>
      <c r="VM71" s="128"/>
      <c r="VN71" s="128"/>
      <c r="VO71" s="128"/>
      <c r="VP71" s="128"/>
      <c r="VQ71" s="128"/>
      <c r="VR71" s="128"/>
      <c r="VS71" s="128"/>
      <c r="VT71" s="128"/>
      <c r="VU71" s="128"/>
      <c r="VV71" s="128"/>
      <c r="VW71" s="128"/>
      <c r="VX71" s="128"/>
      <c r="VY71" s="128"/>
      <c r="VZ71" s="128"/>
      <c r="WA71" s="128"/>
      <c r="WB71" s="128"/>
      <c r="WC71" s="128"/>
      <c r="WD71" s="128"/>
      <c r="WE71" s="128"/>
      <c r="WF71" s="128"/>
      <c r="WG71" s="128"/>
      <c r="WH71" s="128"/>
      <c r="WI71" s="128"/>
      <c r="WJ71" s="128"/>
      <c r="WK71" s="128"/>
      <c r="WL71" s="128"/>
      <c r="WM71" s="128"/>
      <c r="WN71" s="128"/>
      <c r="WO71" s="128"/>
      <c r="WP71" s="128"/>
      <c r="WQ71" s="128"/>
      <c r="WR71" s="128"/>
      <c r="WS71" s="128"/>
      <c r="WT71" s="128"/>
      <c r="WU71" s="128"/>
      <c r="WV71" s="128"/>
      <c r="WW71" s="128"/>
      <c r="WX71" s="128"/>
      <c r="WY71" s="128"/>
      <c r="WZ71" s="128"/>
      <c r="XA71" s="128"/>
      <c r="XB71" s="128"/>
      <c r="XC71" s="128"/>
      <c r="XD71" s="128"/>
      <c r="XE71" s="128"/>
      <c r="XF71" s="128"/>
      <c r="XG71" s="128"/>
      <c r="XH71" s="128"/>
      <c r="XI71" s="128"/>
      <c r="XJ71" s="128"/>
      <c r="XK71" s="128"/>
      <c r="XL71" s="128"/>
      <c r="XM71" s="128"/>
      <c r="XN71" s="128"/>
      <c r="XO71" s="128"/>
      <c r="XP71" s="128"/>
      <c r="XQ71" s="128"/>
      <c r="XR71" s="128"/>
      <c r="XS71" s="128"/>
      <c r="XT71" s="128"/>
      <c r="XU71" s="128"/>
      <c r="XV71" s="128"/>
      <c r="XW71" s="128"/>
      <c r="XX71" s="128"/>
      <c r="XY71" s="128"/>
      <c r="XZ71" s="128"/>
      <c r="YA71" s="128"/>
      <c r="YB71" s="128"/>
      <c r="YC71" s="128"/>
      <c r="YD71" s="128"/>
      <c r="YE71" s="128"/>
      <c r="YF71" s="128"/>
      <c r="YG71" s="128"/>
      <c r="YH71" s="128"/>
      <c r="YI71" s="128"/>
      <c r="YJ71" s="128"/>
      <c r="YK71" s="128"/>
      <c r="YL71" s="128"/>
      <c r="YM71" s="128"/>
      <c r="YN71" s="128"/>
      <c r="YO71" s="128"/>
      <c r="YP71" s="128"/>
      <c r="YQ71" s="128"/>
      <c r="YR71" s="128"/>
      <c r="YS71" s="128"/>
      <c r="YT71" s="128"/>
      <c r="YU71" s="128"/>
      <c r="YV71" s="128"/>
      <c r="YW71" s="128"/>
      <c r="YX71" s="128"/>
      <c r="YY71" s="128"/>
      <c r="YZ71" s="128"/>
      <c r="ZA71" s="128"/>
      <c r="ZB71" s="128"/>
      <c r="ZC71" s="128"/>
      <c r="ZD71" s="128"/>
      <c r="ZE71" s="128"/>
      <c r="ZF71" s="128"/>
      <c r="ZG71" s="128"/>
      <c r="ZH71" s="128"/>
      <c r="ZI71" s="128"/>
      <c r="ZJ71" s="128"/>
      <c r="ZK71" s="128"/>
      <c r="ZL71" s="128"/>
      <c r="ZM71" s="128"/>
      <c r="ZN71" s="128"/>
      <c r="ZO71" s="128"/>
      <c r="ZP71" s="128"/>
      <c r="ZQ71" s="128"/>
      <c r="ZR71" s="128"/>
      <c r="ZS71" s="128"/>
      <c r="ZT71" s="128"/>
      <c r="ZU71" s="128"/>
      <c r="ZV71" s="128"/>
      <c r="ZW71" s="128"/>
      <c r="ZX71" s="128"/>
      <c r="ZY71" s="128"/>
      <c r="ZZ71" s="128"/>
      <c r="AAA71" s="128"/>
      <c r="AAB71" s="128"/>
      <c r="AAC71" s="128"/>
      <c r="AAD71" s="128"/>
      <c r="AAE71" s="128"/>
      <c r="AAF71" s="128"/>
      <c r="AAG71" s="128"/>
      <c r="AAH71" s="128"/>
      <c r="AAI71" s="128"/>
      <c r="AAJ71" s="128"/>
      <c r="AAK71" s="128"/>
      <c r="AAL71" s="128"/>
      <c r="AAM71" s="128"/>
      <c r="AAN71" s="128"/>
      <c r="AAO71" s="128"/>
      <c r="AAP71" s="128"/>
      <c r="AAQ71" s="128"/>
      <c r="AAR71" s="128"/>
      <c r="AAS71" s="128"/>
      <c r="AAT71" s="128"/>
      <c r="AAU71" s="128"/>
      <c r="AAV71" s="128"/>
      <c r="AAW71" s="128"/>
      <c r="AAX71" s="128"/>
      <c r="AAY71" s="128"/>
      <c r="AAZ71" s="128"/>
      <c r="ABA71" s="128"/>
      <c r="ABB71" s="128"/>
      <c r="ABC71" s="128"/>
      <c r="ABD71" s="128"/>
      <c r="ABE71" s="128"/>
      <c r="ABF71" s="128"/>
      <c r="ABG71" s="128"/>
      <c r="ABH71" s="128"/>
      <c r="ABI71" s="128"/>
      <c r="ABJ71" s="128"/>
      <c r="ABK71" s="128"/>
      <c r="ABL71" s="128"/>
      <c r="ABM71" s="128"/>
      <c r="ABN71" s="128"/>
      <c r="ABO71" s="128"/>
      <c r="ABP71" s="128"/>
      <c r="ABQ71" s="128"/>
      <c r="ABR71" s="128"/>
      <c r="ABS71" s="128"/>
      <c r="ABT71" s="128"/>
      <c r="ABU71" s="128"/>
      <c r="ABV71" s="128"/>
      <c r="ABW71" s="128"/>
      <c r="ABX71" s="128"/>
      <c r="ABY71" s="128"/>
      <c r="ABZ71" s="128"/>
      <c r="ACA71" s="128"/>
      <c r="ACB71" s="128"/>
      <c r="ACC71" s="128"/>
      <c r="ACD71" s="128"/>
      <c r="ACE71" s="128"/>
      <c r="ACF71" s="128"/>
      <c r="ACG71" s="128"/>
      <c r="ACH71" s="128"/>
      <c r="ACI71" s="128"/>
      <c r="ACJ71" s="128"/>
      <c r="ACK71" s="128"/>
      <c r="ACL71" s="128"/>
      <c r="ACM71" s="128"/>
      <c r="ACN71" s="128"/>
      <c r="ACO71" s="128"/>
      <c r="ACP71" s="128"/>
      <c r="ACQ71" s="128"/>
      <c r="ACR71" s="128"/>
      <c r="ACS71" s="128"/>
      <c r="ACT71" s="128"/>
      <c r="ACU71" s="128"/>
      <c r="ACV71" s="128"/>
      <c r="ACW71" s="128"/>
      <c r="ACX71" s="128"/>
      <c r="ACY71" s="128"/>
      <c r="ACZ71" s="128"/>
      <c r="ADA71" s="128"/>
      <c r="ADB71" s="128"/>
      <c r="ADC71" s="128"/>
      <c r="ADD71" s="128"/>
      <c r="ADE71" s="128"/>
      <c r="ADF71" s="128"/>
      <c r="ADG71" s="128"/>
      <c r="ADH71" s="128"/>
      <c r="ADI71" s="128"/>
      <c r="ADJ71" s="128"/>
      <c r="ADK71" s="128"/>
      <c r="ADL71" s="128"/>
      <c r="ADM71" s="128"/>
      <c r="ADN71" s="128"/>
      <c r="ADO71" s="128"/>
      <c r="ADP71" s="128"/>
      <c r="ADQ71" s="128"/>
      <c r="ADR71" s="128"/>
      <c r="ADS71" s="128"/>
      <c r="ADT71" s="128"/>
      <c r="ADU71" s="128"/>
      <c r="ADV71" s="128"/>
      <c r="ADW71" s="128"/>
      <c r="ADX71" s="128"/>
      <c r="ADY71" s="128"/>
      <c r="ADZ71" s="128"/>
      <c r="AEA71" s="128"/>
      <c r="AEB71" s="128"/>
      <c r="AEC71" s="128"/>
      <c r="AED71" s="128"/>
      <c r="AEE71" s="128"/>
      <c r="AEF71" s="128"/>
      <c r="AEG71" s="128"/>
      <c r="AEH71" s="128"/>
      <c r="AEI71" s="128"/>
      <c r="AEJ71" s="128"/>
      <c r="AEK71" s="128"/>
      <c r="AEL71" s="128"/>
      <c r="AEM71" s="128"/>
      <c r="AEN71" s="128"/>
      <c r="AEO71" s="128"/>
      <c r="AEP71" s="128"/>
      <c r="AEQ71" s="128"/>
      <c r="AER71" s="128"/>
      <c r="AES71" s="128"/>
      <c r="AET71" s="128"/>
      <c r="AEU71" s="128"/>
      <c r="AEV71" s="128"/>
      <c r="AEW71" s="128"/>
      <c r="AEX71" s="128"/>
      <c r="AEY71" s="128"/>
      <c r="AEZ71" s="128"/>
      <c r="AFA71" s="128"/>
      <c r="AFB71" s="128"/>
      <c r="AFC71" s="128"/>
      <c r="AFD71" s="128"/>
      <c r="AFE71" s="128"/>
      <c r="AFF71" s="128"/>
      <c r="AFG71" s="128"/>
      <c r="AFH71" s="128"/>
      <c r="AFI71" s="128"/>
      <c r="AFJ71" s="128"/>
      <c r="AFK71" s="128"/>
      <c r="AFL71" s="128"/>
      <c r="AFM71" s="128"/>
      <c r="AFN71" s="128"/>
      <c r="AFO71" s="128"/>
      <c r="AFP71" s="128"/>
      <c r="AFQ71" s="128"/>
      <c r="AFR71" s="128"/>
      <c r="AFS71" s="128"/>
      <c r="AFT71" s="128"/>
      <c r="AFU71" s="128"/>
      <c r="AFV71" s="128"/>
      <c r="AFW71" s="128"/>
      <c r="AFX71" s="128"/>
      <c r="AFY71" s="128"/>
      <c r="AFZ71" s="128"/>
      <c r="AGA71" s="128"/>
      <c r="AGB71" s="128"/>
      <c r="AGC71" s="128"/>
      <c r="AGD71" s="128"/>
      <c r="AGE71" s="128"/>
      <c r="AGF71" s="128"/>
      <c r="AGG71" s="128"/>
      <c r="AGH71" s="128"/>
      <c r="AGI71" s="128"/>
      <c r="AGJ71" s="128"/>
      <c r="AGK71" s="128"/>
      <c r="AGL71" s="128"/>
      <c r="AGM71" s="128"/>
      <c r="AGN71" s="128"/>
      <c r="AGO71" s="128"/>
      <c r="AGP71" s="128"/>
      <c r="AGQ71" s="128"/>
      <c r="AGR71" s="128"/>
      <c r="AGS71" s="128"/>
      <c r="AGT71" s="128"/>
      <c r="AGU71" s="128"/>
      <c r="AGV71" s="128"/>
      <c r="AGW71" s="128"/>
      <c r="AGX71" s="128"/>
      <c r="AGY71" s="128"/>
      <c r="AGZ71" s="128"/>
      <c r="AHA71" s="128"/>
      <c r="AHB71" s="128"/>
      <c r="AHC71" s="128"/>
      <c r="AHD71" s="128"/>
      <c r="AHE71" s="128"/>
      <c r="AHF71" s="128"/>
      <c r="AHG71" s="128"/>
      <c r="AHH71" s="128"/>
      <c r="AHI71" s="128"/>
      <c r="AHJ71" s="128"/>
      <c r="AHK71" s="128"/>
      <c r="AHL71" s="128"/>
      <c r="AHM71" s="128"/>
      <c r="AHN71" s="128"/>
      <c r="AHO71" s="128"/>
      <c r="AHP71" s="128"/>
      <c r="AHQ71" s="128"/>
      <c r="AHR71" s="128"/>
      <c r="AHS71" s="128"/>
      <c r="AHT71" s="128"/>
      <c r="AHU71" s="128"/>
      <c r="AHV71" s="128"/>
      <c r="AHW71" s="128"/>
      <c r="AHX71" s="128"/>
      <c r="AHY71" s="128"/>
      <c r="AHZ71" s="128"/>
      <c r="AIA71" s="128"/>
      <c r="AIB71" s="128"/>
      <c r="AIC71" s="128"/>
      <c r="AID71" s="128"/>
      <c r="AIE71" s="128"/>
      <c r="AIF71" s="128"/>
      <c r="AIG71" s="128"/>
      <c r="AIH71" s="128"/>
      <c r="AII71" s="128"/>
      <c r="AIJ71" s="128"/>
      <c r="AIK71" s="128"/>
      <c r="AIL71" s="128"/>
      <c r="AIM71" s="128"/>
      <c r="AIN71" s="128"/>
      <c r="AIO71" s="128"/>
      <c r="AIP71" s="128"/>
      <c r="AIQ71" s="128"/>
      <c r="AIR71" s="128"/>
      <c r="AIS71" s="128"/>
      <c r="AIT71" s="128"/>
      <c r="AIU71" s="128"/>
      <c r="AIV71" s="128"/>
      <c r="AIW71" s="128"/>
      <c r="AIX71" s="128"/>
      <c r="AIY71" s="128"/>
      <c r="AIZ71" s="128"/>
      <c r="AJA71" s="128"/>
      <c r="AJB71" s="128"/>
      <c r="AJC71" s="128"/>
      <c r="AJD71" s="128"/>
      <c r="AJE71" s="128"/>
      <c r="AJF71" s="128"/>
      <c r="AJG71" s="128"/>
      <c r="AJH71" s="128"/>
      <c r="AJI71" s="128"/>
      <c r="AJJ71" s="128"/>
      <c r="AJK71" s="128"/>
      <c r="AJL71" s="128"/>
      <c r="AJM71" s="128"/>
      <c r="AJN71" s="128"/>
      <c r="AJO71" s="128"/>
      <c r="AJP71" s="128"/>
      <c r="AJQ71" s="128"/>
      <c r="AJR71" s="128"/>
      <c r="AJS71" s="128"/>
      <c r="AJT71" s="128"/>
      <c r="AJU71" s="128"/>
      <c r="AJV71" s="128"/>
      <c r="AJW71" s="128"/>
      <c r="AJX71" s="128"/>
      <c r="AJY71" s="128"/>
      <c r="AJZ71" s="128"/>
      <c r="AKA71" s="128"/>
      <c r="AKB71" s="128"/>
      <c r="AKC71" s="128"/>
      <c r="AKD71" s="128"/>
      <c r="AKE71" s="128"/>
      <c r="AKF71" s="128"/>
      <c r="AKG71" s="128"/>
      <c r="AKH71" s="128"/>
      <c r="AKI71" s="128"/>
      <c r="AKJ71" s="128"/>
      <c r="AKK71" s="128"/>
      <c r="AKL71" s="128"/>
      <c r="AKM71" s="128"/>
      <c r="AKN71" s="128"/>
      <c r="AKO71" s="128"/>
      <c r="AKP71" s="128"/>
      <c r="AKQ71" s="128"/>
      <c r="AKR71" s="128"/>
      <c r="AKS71" s="128"/>
      <c r="AKT71" s="128"/>
      <c r="AKU71" s="128"/>
      <c r="AKV71" s="128"/>
      <c r="AKW71" s="128"/>
      <c r="AKX71" s="128"/>
      <c r="AKY71" s="128"/>
      <c r="AKZ71" s="128"/>
      <c r="ALA71" s="128"/>
      <c r="ALB71" s="128"/>
      <c r="ALC71" s="128"/>
      <c r="ALD71" s="128"/>
      <c r="ALE71" s="128"/>
      <c r="ALF71" s="128"/>
      <c r="ALG71" s="128"/>
      <c r="ALH71" s="128"/>
      <c r="ALI71" s="128"/>
      <c r="ALJ71" s="128"/>
      <c r="ALK71" s="128"/>
      <c r="ALL71" s="128"/>
      <c r="ALM71" s="128"/>
      <c r="ALN71" s="128"/>
      <c r="ALO71" s="128"/>
      <c r="ALP71" s="128"/>
      <c r="ALQ71" s="128"/>
      <c r="ALR71" s="128"/>
      <c r="ALS71"/>
      <c r="ALT71"/>
      <c r="ALU71"/>
    </row>
    <row r="72" spans="1:1009" s="96" customFormat="1" ht="12" customHeight="1">
      <c r="A72" s="136"/>
      <c r="B72" s="136"/>
      <c r="C72" s="136"/>
      <c r="D72" s="136"/>
      <c r="E72" s="136"/>
      <c r="F72" s="136"/>
      <c r="I72" s="225"/>
      <c r="J72" s="159"/>
      <c r="L72" s="173"/>
      <c r="N72" s="277"/>
      <c r="R72"/>
      <c r="S72" s="179"/>
      <c r="U72" s="159"/>
      <c r="X72"/>
      <c r="Y72" s="128"/>
      <c r="Z72" s="128"/>
      <c r="AA72" s="128"/>
      <c r="AB72" s="128"/>
      <c r="AC72" s="128"/>
      <c r="AD72" s="128"/>
      <c r="AE72" s="128"/>
      <c r="AF72" s="128"/>
      <c r="AG72" s="128"/>
      <c r="AH72" s="128"/>
      <c r="AI72" s="128"/>
      <c r="AJ72" s="128"/>
      <c r="AK72" s="128"/>
      <c r="AL72" s="128"/>
      <c r="AM72" s="128"/>
      <c r="AN72" s="128"/>
      <c r="AO72" s="128"/>
      <c r="AP72" s="128"/>
      <c r="AQ72" s="128"/>
      <c r="AR72" s="128"/>
      <c r="AS72" s="128"/>
      <c r="AT72" s="128"/>
      <c r="AU72" s="128"/>
      <c r="AV72" s="128"/>
      <c r="AW72" s="128"/>
      <c r="AX72" s="128"/>
      <c r="AY72" s="128"/>
      <c r="AZ72" s="128"/>
      <c r="BA72" s="128"/>
      <c r="BB72" s="128"/>
      <c r="BC72" s="128"/>
      <c r="BD72" s="128"/>
      <c r="BE72" s="128"/>
      <c r="BF72" s="128"/>
      <c r="BG72" s="128"/>
      <c r="BH72" s="128"/>
      <c r="BI72" s="128"/>
      <c r="BJ72" s="128"/>
      <c r="BK72" s="128"/>
      <c r="BL72" s="128"/>
      <c r="BM72" s="128"/>
      <c r="BN72" s="128"/>
      <c r="BO72" s="128"/>
      <c r="BP72" s="128"/>
      <c r="BQ72" s="128"/>
      <c r="BR72" s="128"/>
      <c r="BS72" s="128"/>
      <c r="BT72" s="128"/>
      <c r="BU72" s="128"/>
      <c r="BV72" s="128"/>
      <c r="BW72" s="128"/>
      <c r="BX72" s="128"/>
      <c r="BY72" s="128"/>
      <c r="BZ72" s="128"/>
      <c r="CA72" s="128"/>
      <c r="CB72" s="128"/>
      <c r="CC72" s="128"/>
      <c r="CD72" s="128"/>
      <c r="CE72" s="128"/>
      <c r="CF72" s="128"/>
      <c r="CG72" s="128"/>
      <c r="CH72" s="128"/>
      <c r="CI72" s="128"/>
      <c r="CJ72" s="128"/>
      <c r="CK72" s="128"/>
      <c r="CL72" s="128"/>
      <c r="CM72" s="128"/>
      <c r="CN72" s="128"/>
      <c r="CO72" s="128"/>
      <c r="CP72" s="128"/>
      <c r="CQ72" s="128"/>
      <c r="CR72" s="128"/>
      <c r="CS72" s="128"/>
      <c r="CT72" s="128"/>
      <c r="CU72" s="128"/>
      <c r="CV72" s="128"/>
      <c r="CW72" s="128"/>
      <c r="CX72" s="128"/>
      <c r="CY72" s="128"/>
      <c r="CZ72" s="128"/>
      <c r="DA72" s="128"/>
      <c r="DB72" s="128"/>
      <c r="DC72" s="128"/>
      <c r="DD72" s="128"/>
      <c r="DE72" s="128"/>
      <c r="DF72" s="128"/>
      <c r="DG72" s="128"/>
      <c r="DH72" s="128"/>
      <c r="DI72" s="128"/>
      <c r="DJ72" s="128"/>
      <c r="DK72" s="128"/>
      <c r="DL72" s="128"/>
      <c r="DM72" s="128"/>
      <c r="DN72" s="128"/>
      <c r="DO72" s="128"/>
      <c r="DP72" s="128"/>
      <c r="DQ72" s="128"/>
      <c r="DR72" s="128"/>
      <c r="DS72" s="128"/>
      <c r="DT72" s="128"/>
      <c r="DU72" s="128"/>
      <c r="DV72" s="128"/>
      <c r="DW72" s="128"/>
      <c r="DX72" s="128"/>
      <c r="DY72" s="128"/>
      <c r="DZ72" s="128"/>
      <c r="EA72" s="128"/>
      <c r="EB72" s="128"/>
      <c r="EC72" s="128"/>
      <c r="ED72" s="128"/>
      <c r="EE72" s="128"/>
      <c r="EF72" s="128"/>
      <c r="EG72" s="128"/>
      <c r="EH72" s="128"/>
      <c r="EI72" s="128"/>
      <c r="EJ72" s="128"/>
      <c r="EK72" s="128"/>
      <c r="EL72" s="128"/>
      <c r="EM72" s="128"/>
      <c r="EN72" s="128"/>
      <c r="EO72" s="128"/>
      <c r="EP72" s="128"/>
      <c r="EQ72" s="128"/>
      <c r="ER72" s="128"/>
      <c r="ES72" s="128"/>
      <c r="ET72" s="128"/>
      <c r="EU72" s="128"/>
      <c r="EV72" s="128"/>
      <c r="EW72" s="128"/>
      <c r="EX72" s="128"/>
      <c r="EY72" s="128"/>
      <c r="EZ72" s="128"/>
      <c r="FA72" s="128"/>
      <c r="FB72" s="128"/>
      <c r="FC72" s="128"/>
      <c r="FD72" s="128"/>
      <c r="FE72" s="128"/>
      <c r="FF72" s="128"/>
      <c r="FG72" s="128"/>
      <c r="FH72" s="128"/>
      <c r="FI72" s="128"/>
      <c r="FJ72" s="128"/>
      <c r="FK72" s="128"/>
      <c r="FL72" s="128"/>
      <c r="FM72" s="128"/>
      <c r="FN72" s="128"/>
      <c r="FO72" s="128"/>
      <c r="FP72" s="128"/>
      <c r="FQ72" s="128"/>
      <c r="FR72" s="128"/>
      <c r="FS72" s="128"/>
      <c r="FT72" s="128"/>
      <c r="FU72" s="128"/>
      <c r="FV72" s="128"/>
      <c r="FW72" s="128"/>
      <c r="FX72" s="128"/>
      <c r="FY72" s="128"/>
      <c r="FZ72" s="128"/>
      <c r="GA72" s="128"/>
      <c r="GB72" s="128"/>
      <c r="GC72" s="128"/>
      <c r="GD72" s="128"/>
      <c r="GE72" s="128"/>
      <c r="GF72" s="128"/>
      <c r="GG72" s="128"/>
      <c r="GH72" s="128"/>
      <c r="GI72" s="128"/>
      <c r="GJ72" s="128"/>
      <c r="GK72" s="128"/>
      <c r="GL72" s="128"/>
      <c r="GM72" s="128"/>
      <c r="GN72" s="128"/>
      <c r="GO72" s="128"/>
      <c r="GP72" s="128"/>
      <c r="GQ72" s="128"/>
      <c r="GR72" s="128"/>
      <c r="GS72" s="128"/>
      <c r="GT72" s="128"/>
      <c r="GU72" s="128"/>
      <c r="GV72" s="128"/>
      <c r="GW72" s="128"/>
      <c r="GX72" s="128"/>
      <c r="GY72" s="128"/>
      <c r="GZ72" s="128"/>
      <c r="HA72" s="128"/>
      <c r="HB72" s="128"/>
      <c r="HC72" s="128"/>
      <c r="HD72" s="128"/>
      <c r="HE72" s="128"/>
      <c r="HF72" s="128"/>
      <c r="HG72" s="128"/>
      <c r="HH72" s="128"/>
      <c r="HI72" s="128"/>
      <c r="HJ72" s="128"/>
      <c r="HK72" s="128"/>
      <c r="HL72" s="128"/>
      <c r="HM72" s="128"/>
      <c r="HN72" s="128"/>
      <c r="HO72" s="128"/>
      <c r="HP72" s="128"/>
      <c r="HQ72" s="128"/>
      <c r="HR72" s="128"/>
      <c r="HS72" s="128"/>
      <c r="HT72" s="128"/>
      <c r="HU72" s="128"/>
      <c r="HV72" s="128"/>
      <c r="HW72" s="128"/>
      <c r="HX72" s="128"/>
      <c r="HY72" s="128"/>
      <c r="HZ72" s="128"/>
      <c r="IA72" s="128"/>
      <c r="IB72" s="128"/>
      <c r="IC72" s="128"/>
      <c r="ID72" s="128"/>
      <c r="IE72" s="128"/>
      <c r="IF72" s="128"/>
      <c r="IG72" s="128"/>
      <c r="IH72" s="128"/>
      <c r="II72" s="128"/>
      <c r="IJ72" s="128"/>
      <c r="IK72" s="128"/>
      <c r="IL72" s="128"/>
      <c r="IM72" s="128"/>
      <c r="IN72" s="128"/>
      <c r="IO72" s="128"/>
      <c r="IP72" s="128"/>
      <c r="IQ72" s="128"/>
      <c r="IR72" s="128"/>
      <c r="IS72" s="128"/>
      <c r="IT72" s="128"/>
      <c r="IU72" s="128"/>
      <c r="IV72" s="128"/>
      <c r="IW72" s="128"/>
      <c r="IX72" s="128"/>
      <c r="IY72" s="128"/>
      <c r="IZ72" s="128"/>
      <c r="JA72" s="128"/>
      <c r="JB72" s="128"/>
      <c r="JC72" s="128"/>
      <c r="JD72" s="128"/>
      <c r="JE72" s="128"/>
      <c r="JF72" s="128"/>
      <c r="JG72" s="128"/>
      <c r="JH72" s="128"/>
      <c r="JI72" s="128"/>
      <c r="JJ72" s="128"/>
      <c r="JK72" s="128"/>
      <c r="JL72" s="128"/>
      <c r="JM72" s="128"/>
      <c r="JN72" s="128"/>
      <c r="JO72" s="128"/>
      <c r="JP72" s="128"/>
      <c r="JQ72" s="128"/>
      <c r="JR72" s="128"/>
      <c r="JS72" s="128"/>
      <c r="JT72" s="128"/>
      <c r="JU72" s="128"/>
      <c r="JV72" s="128"/>
      <c r="JW72" s="128"/>
      <c r="JX72" s="128"/>
      <c r="JY72" s="128"/>
      <c r="JZ72" s="128"/>
      <c r="KA72" s="128"/>
      <c r="KB72" s="128"/>
      <c r="KC72" s="128"/>
      <c r="KD72" s="128"/>
      <c r="KE72" s="128"/>
      <c r="KF72" s="128"/>
      <c r="KG72" s="128"/>
      <c r="KH72" s="128"/>
      <c r="KI72" s="128"/>
      <c r="KJ72" s="128"/>
      <c r="KK72" s="128"/>
      <c r="KL72" s="128"/>
      <c r="KM72" s="128"/>
      <c r="KN72" s="128"/>
      <c r="KO72" s="128"/>
      <c r="KP72" s="128"/>
      <c r="KQ72" s="128"/>
      <c r="KR72" s="128"/>
      <c r="KS72" s="128"/>
      <c r="KT72" s="128"/>
      <c r="KU72" s="128"/>
      <c r="KV72" s="128"/>
      <c r="KW72" s="128"/>
      <c r="KX72" s="128"/>
      <c r="KY72" s="128"/>
      <c r="KZ72" s="128"/>
      <c r="LA72" s="128"/>
      <c r="LB72" s="128"/>
      <c r="LC72" s="128"/>
      <c r="LD72" s="128"/>
      <c r="LE72" s="128"/>
      <c r="LF72" s="128"/>
      <c r="LG72" s="128"/>
      <c r="LH72" s="128"/>
      <c r="LI72" s="128"/>
      <c r="LJ72" s="128"/>
      <c r="LK72" s="128"/>
      <c r="LL72" s="128"/>
      <c r="LM72" s="128"/>
      <c r="LN72" s="128"/>
      <c r="LO72" s="128"/>
      <c r="LP72" s="128"/>
      <c r="LQ72" s="128"/>
      <c r="LR72" s="128"/>
      <c r="LS72" s="128"/>
      <c r="LT72" s="128"/>
      <c r="LU72" s="128"/>
      <c r="LV72" s="128"/>
      <c r="LW72" s="128"/>
      <c r="LX72" s="128"/>
      <c r="LY72" s="128"/>
      <c r="LZ72" s="128"/>
      <c r="MA72" s="128"/>
      <c r="MB72" s="128"/>
      <c r="MC72" s="128"/>
      <c r="MD72" s="128"/>
      <c r="ME72" s="128"/>
      <c r="MF72" s="128"/>
      <c r="MG72" s="128"/>
      <c r="MH72" s="128"/>
      <c r="MI72" s="128"/>
      <c r="MJ72" s="128"/>
      <c r="MK72" s="128"/>
      <c r="ML72" s="128"/>
      <c r="MM72" s="128"/>
      <c r="MN72" s="128"/>
      <c r="MO72" s="128"/>
      <c r="MP72" s="128"/>
      <c r="MQ72" s="128"/>
      <c r="MR72" s="128"/>
      <c r="MS72" s="128"/>
      <c r="MT72" s="128"/>
      <c r="MU72" s="128"/>
      <c r="MV72" s="128"/>
      <c r="MW72" s="128"/>
      <c r="MX72" s="128"/>
      <c r="MY72" s="128"/>
      <c r="MZ72" s="128"/>
      <c r="NA72" s="128"/>
      <c r="NB72" s="128"/>
      <c r="NC72" s="128"/>
      <c r="ND72" s="128"/>
      <c r="NE72" s="128"/>
      <c r="NF72" s="128"/>
      <c r="NG72" s="128"/>
      <c r="NH72" s="128"/>
      <c r="NI72" s="128"/>
      <c r="NJ72" s="128"/>
      <c r="NK72" s="128"/>
      <c r="NL72" s="128"/>
      <c r="NM72" s="128"/>
      <c r="NN72" s="128"/>
      <c r="NO72" s="128"/>
      <c r="NP72" s="128"/>
      <c r="NQ72" s="128"/>
      <c r="NR72" s="128"/>
      <c r="NS72" s="128"/>
      <c r="NT72" s="128"/>
      <c r="NU72" s="128"/>
      <c r="NV72" s="128"/>
      <c r="NW72" s="128"/>
      <c r="NX72" s="128"/>
      <c r="NY72" s="128"/>
      <c r="NZ72" s="128"/>
      <c r="OA72" s="128"/>
      <c r="OB72" s="128"/>
      <c r="OC72" s="128"/>
      <c r="OD72" s="128"/>
      <c r="OE72" s="128"/>
      <c r="OF72" s="128"/>
      <c r="OG72" s="128"/>
      <c r="OH72" s="128"/>
      <c r="OI72" s="128"/>
      <c r="OJ72" s="128"/>
      <c r="OK72" s="128"/>
      <c r="OL72" s="128"/>
      <c r="OM72" s="128"/>
      <c r="ON72" s="128"/>
      <c r="OO72" s="128"/>
      <c r="OP72" s="128"/>
      <c r="OQ72" s="128"/>
      <c r="OR72" s="128"/>
      <c r="OS72" s="128"/>
      <c r="OT72" s="128"/>
      <c r="OU72" s="128"/>
      <c r="OV72" s="128"/>
      <c r="OW72" s="128"/>
      <c r="OX72" s="128"/>
      <c r="OY72" s="128"/>
      <c r="OZ72" s="128"/>
      <c r="PA72" s="128"/>
      <c r="PB72" s="128"/>
      <c r="PC72" s="128"/>
      <c r="PD72" s="128"/>
      <c r="PE72" s="128"/>
      <c r="PF72" s="128"/>
      <c r="PG72" s="128"/>
      <c r="PH72" s="128"/>
      <c r="PI72" s="128"/>
      <c r="PJ72" s="128"/>
      <c r="PK72" s="128"/>
      <c r="PL72" s="128"/>
      <c r="PM72" s="128"/>
      <c r="PN72" s="128"/>
      <c r="PO72" s="128"/>
      <c r="PP72" s="128"/>
      <c r="PQ72" s="128"/>
      <c r="PR72" s="128"/>
      <c r="PS72" s="128"/>
      <c r="PT72" s="128"/>
      <c r="PU72" s="128"/>
      <c r="PV72" s="128"/>
      <c r="PW72" s="128"/>
      <c r="PX72" s="128"/>
      <c r="PY72" s="128"/>
      <c r="PZ72" s="128"/>
      <c r="QA72" s="128"/>
      <c r="QB72" s="128"/>
      <c r="QC72" s="128"/>
      <c r="QD72" s="128"/>
      <c r="QE72" s="128"/>
      <c r="QF72" s="128"/>
      <c r="QG72" s="128"/>
      <c r="QH72" s="128"/>
      <c r="QI72" s="128"/>
      <c r="QJ72" s="128"/>
      <c r="QK72" s="128"/>
      <c r="QL72" s="128"/>
      <c r="QM72" s="128"/>
      <c r="QN72" s="128"/>
      <c r="QO72" s="128"/>
      <c r="QP72" s="128"/>
      <c r="QQ72" s="128"/>
      <c r="QR72" s="128"/>
      <c r="QS72" s="128"/>
      <c r="QT72" s="128"/>
      <c r="QU72" s="128"/>
      <c r="QV72" s="128"/>
      <c r="QW72" s="128"/>
      <c r="QX72" s="128"/>
      <c r="QY72" s="128"/>
      <c r="QZ72" s="128"/>
      <c r="RA72" s="128"/>
      <c r="RB72" s="128"/>
      <c r="RC72" s="128"/>
      <c r="RD72" s="128"/>
      <c r="RE72" s="128"/>
      <c r="RF72" s="128"/>
      <c r="RG72" s="128"/>
      <c r="RH72" s="128"/>
      <c r="RI72" s="128"/>
      <c r="RJ72" s="128"/>
      <c r="RK72" s="128"/>
      <c r="RL72" s="128"/>
      <c r="RM72" s="128"/>
      <c r="RN72" s="128"/>
      <c r="RO72" s="128"/>
      <c r="RP72" s="128"/>
      <c r="RQ72" s="128"/>
      <c r="RR72" s="128"/>
      <c r="RS72" s="128"/>
      <c r="RT72" s="128"/>
      <c r="RU72" s="128"/>
      <c r="RV72" s="128"/>
      <c r="RW72" s="128"/>
      <c r="RX72" s="128"/>
      <c r="RY72" s="128"/>
      <c r="RZ72" s="128"/>
      <c r="SA72" s="128"/>
      <c r="SB72" s="128"/>
      <c r="SC72" s="128"/>
      <c r="SD72" s="128"/>
      <c r="SE72" s="128"/>
      <c r="SF72" s="128"/>
      <c r="SG72" s="128"/>
      <c r="SH72" s="128"/>
      <c r="SI72" s="128"/>
      <c r="SJ72" s="128"/>
      <c r="SK72" s="128"/>
      <c r="SL72" s="128"/>
      <c r="SM72" s="128"/>
      <c r="SN72" s="128"/>
      <c r="SO72" s="128"/>
      <c r="SP72" s="128"/>
      <c r="SQ72" s="128"/>
      <c r="SR72" s="128"/>
      <c r="SS72" s="128"/>
      <c r="ST72" s="128"/>
      <c r="SU72" s="128"/>
      <c r="SV72" s="128"/>
      <c r="SW72" s="128"/>
      <c r="SX72" s="128"/>
      <c r="SY72" s="128"/>
      <c r="SZ72" s="128"/>
      <c r="TA72" s="128"/>
      <c r="TB72" s="128"/>
      <c r="TC72" s="128"/>
      <c r="TD72" s="128"/>
      <c r="TE72" s="128"/>
      <c r="TF72" s="128"/>
      <c r="TG72" s="128"/>
      <c r="TH72" s="128"/>
      <c r="TI72" s="128"/>
      <c r="TJ72" s="128"/>
      <c r="TK72" s="128"/>
      <c r="TL72" s="128"/>
      <c r="TM72" s="128"/>
      <c r="TN72" s="128"/>
      <c r="TO72" s="128"/>
      <c r="TP72" s="128"/>
      <c r="TQ72" s="128"/>
      <c r="TR72" s="128"/>
      <c r="TS72" s="128"/>
      <c r="TT72" s="128"/>
      <c r="TU72" s="128"/>
      <c r="TV72" s="128"/>
      <c r="TW72" s="128"/>
      <c r="TX72" s="128"/>
      <c r="TY72" s="128"/>
      <c r="TZ72" s="128"/>
      <c r="UA72" s="128"/>
      <c r="UB72" s="128"/>
      <c r="UC72" s="128"/>
      <c r="UD72" s="128"/>
      <c r="UE72" s="128"/>
      <c r="UF72" s="128"/>
      <c r="UG72" s="128"/>
      <c r="UH72" s="128"/>
      <c r="UI72" s="128"/>
      <c r="UJ72" s="128"/>
      <c r="UK72" s="128"/>
      <c r="UL72" s="128"/>
      <c r="UM72" s="128"/>
      <c r="UN72" s="128"/>
      <c r="UO72" s="128"/>
      <c r="UP72" s="128"/>
      <c r="UQ72" s="128"/>
      <c r="UR72" s="128"/>
      <c r="US72" s="128"/>
      <c r="UT72" s="128"/>
      <c r="UU72" s="128"/>
      <c r="UV72" s="128"/>
      <c r="UW72" s="128"/>
      <c r="UX72" s="128"/>
      <c r="UY72" s="128"/>
      <c r="UZ72" s="128"/>
      <c r="VA72" s="128"/>
      <c r="VB72" s="128"/>
      <c r="VC72" s="128"/>
      <c r="VD72" s="128"/>
      <c r="VE72" s="128"/>
      <c r="VF72" s="128"/>
      <c r="VG72" s="128"/>
      <c r="VH72" s="128"/>
      <c r="VI72" s="128"/>
      <c r="VJ72" s="128"/>
      <c r="VK72" s="128"/>
      <c r="VL72" s="128"/>
      <c r="VM72" s="128"/>
      <c r="VN72" s="128"/>
      <c r="VO72" s="128"/>
      <c r="VP72" s="128"/>
      <c r="VQ72" s="128"/>
      <c r="VR72" s="128"/>
      <c r="VS72" s="128"/>
      <c r="VT72" s="128"/>
      <c r="VU72" s="128"/>
      <c r="VV72" s="128"/>
      <c r="VW72" s="128"/>
      <c r="VX72" s="128"/>
      <c r="VY72" s="128"/>
      <c r="VZ72" s="128"/>
      <c r="WA72" s="128"/>
      <c r="WB72" s="128"/>
      <c r="WC72" s="128"/>
      <c r="WD72" s="128"/>
      <c r="WE72" s="128"/>
      <c r="WF72" s="128"/>
      <c r="WG72" s="128"/>
      <c r="WH72" s="128"/>
      <c r="WI72" s="128"/>
      <c r="WJ72" s="128"/>
      <c r="WK72" s="128"/>
      <c r="WL72" s="128"/>
      <c r="WM72" s="128"/>
      <c r="WN72" s="128"/>
      <c r="WO72" s="128"/>
      <c r="WP72" s="128"/>
      <c r="WQ72" s="128"/>
      <c r="WR72" s="128"/>
      <c r="WS72" s="128"/>
      <c r="WT72" s="128"/>
      <c r="WU72" s="128"/>
      <c r="WV72" s="128"/>
      <c r="WW72" s="128"/>
      <c r="WX72" s="128"/>
      <c r="WY72" s="128"/>
      <c r="WZ72" s="128"/>
      <c r="XA72" s="128"/>
      <c r="XB72" s="128"/>
      <c r="XC72" s="128"/>
      <c r="XD72" s="128"/>
      <c r="XE72" s="128"/>
      <c r="XF72" s="128"/>
      <c r="XG72" s="128"/>
      <c r="XH72" s="128"/>
      <c r="XI72" s="128"/>
      <c r="XJ72" s="128"/>
      <c r="XK72" s="128"/>
      <c r="XL72" s="128"/>
      <c r="XM72" s="128"/>
      <c r="XN72" s="128"/>
      <c r="XO72" s="128"/>
      <c r="XP72" s="128"/>
      <c r="XQ72" s="128"/>
      <c r="XR72" s="128"/>
      <c r="XS72" s="128"/>
      <c r="XT72" s="128"/>
      <c r="XU72" s="128"/>
      <c r="XV72" s="128"/>
      <c r="XW72" s="128"/>
      <c r="XX72" s="128"/>
      <c r="XY72" s="128"/>
      <c r="XZ72" s="128"/>
      <c r="YA72" s="128"/>
      <c r="YB72" s="128"/>
      <c r="YC72" s="128"/>
      <c r="YD72" s="128"/>
      <c r="YE72" s="128"/>
      <c r="YF72" s="128"/>
      <c r="YG72" s="128"/>
      <c r="YH72" s="128"/>
      <c r="YI72" s="128"/>
      <c r="YJ72" s="128"/>
      <c r="YK72" s="128"/>
      <c r="YL72" s="128"/>
      <c r="YM72" s="128"/>
      <c r="YN72" s="128"/>
      <c r="YO72" s="128"/>
      <c r="YP72" s="128"/>
      <c r="YQ72" s="128"/>
      <c r="YR72" s="128"/>
      <c r="YS72" s="128"/>
      <c r="YT72" s="128"/>
      <c r="YU72" s="128"/>
      <c r="YV72" s="128"/>
      <c r="YW72" s="128"/>
      <c r="YX72" s="128"/>
      <c r="YY72" s="128"/>
      <c r="YZ72" s="128"/>
      <c r="ZA72" s="128"/>
      <c r="ZB72" s="128"/>
      <c r="ZC72" s="128"/>
      <c r="ZD72" s="128"/>
      <c r="ZE72" s="128"/>
      <c r="ZF72" s="128"/>
      <c r="ZG72" s="128"/>
      <c r="ZH72" s="128"/>
      <c r="ZI72" s="128"/>
      <c r="ZJ72" s="128"/>
      <c r="ZK72" s="128"/>
      <c r="ZL72" s="128"/>
      <c r="ZM72" s="128"/>
      <c r="ZN72" s="128"/>
      <c r="ZO72" s="128"/>
      <c r="ZP72" s="128"/>
      <c r="ZQ72" s="128"/>
      <c r="ZR72" s="128"/>
      <c r="ZS72" s="128"/>
      <c r="ZT72" s="128"/>
      <c r="ZU72" s="128"/>
      <c r="ZV72" s="128"/>
      <c r="ZW72" s="128"/>
      <c r="ZX72" s="128"/>
      <c r="ZY72" s="128"/>
      <c r="ZZ72" s="128"/>
      <c r="AAA72" s="128"/>
      <c r="AAB72" s="128"/>
      <c r="AAC72" s="128"/>
      <c r="AAD72" s="128"/>
      <c r="AAE72" s="128"/>
      <c r="AAF72" s="128"/>
      <c r="AAG72" s="128"/>
      <c r="AAH72" s="128"/>
      <c r="AAI72" s="128"/>
      <c r="AAJ72" s="128"/>
      <c r="AAK72" s="128"/>
      <c r="AAL72" s="128"/>
      <c r="AAM72" s="128"/>
      <c r="AAN72" s="128"/>
      <c r="AAO72" s="128"/>
      <c r="AAP72" s="128"/>
      <c r="AAQ72" s="128"/>
      <c r="AAR72" s="128"/>
      <c r="AAS72" s="128"/>
      <c r="AAT72" s="128"/>
      <c r="AAU72" s="128"/>
      <c r="AAV72" s="128"/>
      <c r="AAW72" s="128"/>
      <c r="AAX72" s="128"/>
      <c r="AAY72" s="128"/>
      <c r="AAZ72" s="128"/>
      <c r="ABA72" s="128"/>
      <c r="ABB72" s="128"/>
      <c r="ABC72" s="128"/>
      <c r="ABD72" s="128"/>
      <c r="ABE72" s="128"/>
      <c r="ABF72" s="128"/>
      <c r="ABG72" s="128"/>
      <c r="ABH72" s="128"/>
      <c r="ABI72" s="128"/>
      <c r="ABJ72" s="128"/>
      <c r="ABK72" s="128"/>
      <c r="ABL72" s="128"/>
      <c r="ABM72" s="128"/>
      <c r="ABN72" s="128"/>
      <c r="ABO72" s="128"/>
      <c r="ABP72" s="128"/>
      <c r="ABQ72" s="128"/>
      <c r="ABR72" s="128"/>
      <c r="ABS72" s="128"/>
      <c r="ABT72" s="128"/>
      <c r="ABU72" s="128"/>
      <c r="ABV72" s="128"/>
      <c r="ABW72" s="128"/>
      <c r="ABX72" s="128"/>
      <c r="ABY72" s="128"/>
      <c r="ABZ72" s="128"/>
      <c r="ACA72" s="128"/>
      <c r="ACB72" s="128"/>
      <c r="ACC72" s="128"/>
      <c r="ACD72" s="128"/>
      <c r="ACE72" s="128"/>
      <c r="ACF72" s="128"/>
      <c r="ACG72" s="128"/>
      <c r="ACH72" s="128"/>
      <c r="ACI72" s="128"/>
      <c r="ACJ72" s="128"/>
      <c r="ACK72" s="128"/>
      <c r="ACL72" s="128"/>
      <c r="ACM72" s="128"/>
      <c r="ACN72" s="128"/>
      <c r="ACO72" s="128"/>
      <c r="ACP72" s="128"/>
      <c r="ACQ72" s="128"/>
      <c r="ACR72" s="128"/>
      <c r="ACS72" s="128"/>
      <c r="ACT72" s="128"/>
      <c r="ACU72" s="128"/>
      <c r="ACV72" s="128"/>
      <c r="ACW72" s="128"/>
      <c r="ACX72" s="128"/>
      <c r="ACY72" s="128"/>
      <c r="ACZ72" s="128"/>
      <c r="ADA72" s="128"/>
      <c r="ADB72" s="128"/>
      <c r="ADC72" s="128"/>
      <c r="ADD72" s="128"/>
      <c r="ADE72" s="128"/>
      <c r="ADF72" s="128"/>
      <c r="ADG72" s="128"/>
      <c r="ADH72" s="128"/>
      <c r="ADI72" s="128"/>
      <c r="ADJ72" s="128"/>
      <c r="ADK72" s="128"/>
      <c r="ADL72" s="128"/>
      <c r="ADM72" s="128"/>
      <c r="ADN72" s="128"/>
      <c r="ADO72" s="128"/>
      <c r="ADP72" s="128"/>
      <c r="ADQ72" s="128"/>
      <c r="ADR72" s="128"/>
      <c r="ADS72" s="128"/>
      <c r="ADT72" s="128"/>
      <c r="ADU72" s="128"/>
      <c r="ADV72" s="128"/>
      <c r="ADW72" s="128"/>
      <c r="ADX72" s="128"/>
      <c r="ADY72" s="128"/>
      <c r="ADZ72" s="128"/>
      <c r="AEA72" s="128"/>
      <c r="AEB72" s="128"/>
      <c r="AEC72" s="128"/>
      <c r="AED72" s="128"/>
      <c r="AEE72" s="128"/>
      <c r="AEF72" s="128"/>
      <c r="AEG72" s="128"/>
      <c r="AEH72" s="128"/>
      <c r="AEI72" s="128"/>
      <c r="AEJ72" s="128"/>
      <c r="AEK72" s="128"/>
      <c r="AEL72" s="128"/>
      <c r="AEM72" s="128"/>
      <c r="AEN72" s="128"/>
      <c r="AEO72" s="128"/>
      <c r="AEP72" s="128"/>
      <c r="AEQ72" s="128"/>
      <c r="AER72" s="128"/>
      <c r="AES72" s="128"/>
      <c r="AET72" s="128"/>
      <c r="AEU72" s="128"/>
      <c r="AEV72" s="128"/>
      <c r="AEW72" s="128"/>
      <c r="AEX72" s="128"/>
      <c r="AEY72" s="128"/>
      <c r="AEZ72" s="128"/>
      <c r="AFA72" s="128"/>
      <c r="AFB72" s="128"/>
      <c r="AFC72" s="128"/>
      <c r="AFD72" s="128"/>
      <c r="AFE72" s="128"/>
      <c r="AFF72" s="128"/>
      <c r="AFG72" s="128"/>
      <c r="AFH72" s="128"/>
      <c r="AFI72" s="128"/>
      <c r="AFJ72" s="128"/>
      <c r="AFK72" s="128"/>
      <c r="AFL72" s="128"/>
      <c r="AFM72" s="128"/>
      <c r="AFN72" s="128"/>
      <c r="AFO72" s="128"/>
      <c r="AFP72" s="128"/>
      <c r="AFQ72" s="128"/>
      <c r="AFR72" s="128"/>
      <c r="AFS72" s="128"/>
      <c r="AFT72" s="128"/>
      <c r="AFU72" s="128"/>
      <c r="AFV72" s="128"/>
      <c r="AFW72" s="128"/>
      <c r="AFX72" s="128"/>
      <c r="AFY72" s="128"/>
      <c r="AFZ72" s="128"/>
      <c r="AGA72" s="128"/>
      <c r="AGB72" s="128"/>
      <c r="AGC72" s="128"/>
      <c r="AGD72" s="128"/>
      <c r="AGE72" s="128"/>
      <c r="AGF72" s="128"/>
      <c r="AGG72" s="128"/>
      <c r="AGH72" s="128"/>
      <c r="AGI72" s="128"/>
      <c r="AGJ72" s="128"/>
      <c r="AGK72" s="128"/>
      <c r="AGL72" s="128"/>
      <c r="AGM72" s="128"/>
      <c r="AGN72" s="128"/>
      <c r="AGO72" s="128"/>
      <c r="AGP72" s="128"/>
      <c r="AGQ72" s="128"/>
      <c r="AGR72" s="128"/>
      <c r="AGS72" s="128"/>
      <c r="AGT72" s="128"/>
      <c r="AGU72" s="128"/>
      <c r="AGV72" s="128"/>
      <c r="AGW72" s="128"/>
      <c r="AGX72" s="128"/>
      <c r="AGY72" s="128"/>
      <c r="AGZ72" s="128"/>
      <c r="AHA72" s="128"/>
      <c r="AHB72" s="128"/>
      <c r="AHC72" s="128"/>
      <c r="AHD72" s="128"/>
      <c r="AHE72" s="128"/>
      <c r="AHF72" s="128"/>
      <c r="AHG72" s="128"/>
      <c r="AHH72" s="128"/>
      <c r="AHI72" s="128"/>
      <c r="AHJ72" s="128"/>
      <c r="AHK72" s="128"/>
      <c r="AHL72" s="128"/>
      <c r="AHM72" s="128"/>
      <c r="AHN72" s="128"/>
      <c r="AHO72" s="128"/>
      <c r="AHP72" s="128"/>
      <c r="AHQ72" s="128"/>
      <c r="AHR72" s="128"/>
      <c r="AHS72" s="128"/>
      <c r="AHT72" s="128"/>
      <c r="AHU72" s="128"/>
      <c r="AHV72" s="128"/>
      <c r="AHW72" s="128"/>
      <c r="AHX72" s="128"/>
      <c r="AHY72" s="128"/>
      <c r="AHZ72" s="128"/>
      <c r="AIA72" s="128"/>
      <c r="AIB72" s="128"/>
      <c r="AIC72" s="128"/>
      <c r="AID72" s="128"/>
      <c r="AIE72" s="128"/>
      <c r="AIF72" s="128"/>
      <c r="AIG72" s="128"/>
      <c r="AIH72" s="128"/>
      <c r="AII72" s="128"/>
      <c r="AIJ72" s="128"/>
      <c r="AIK72" s="128"/>
      <c r="AIL72" s="128"/>
      <c r="AIM72" s="128"/>
      <c r="AIN72" s="128"/>
      <c r="AIO72" s="128"/>
      <c r="AIP72" s="128"/>
      <c r="AIQ72" s="128"/>
      <c r="AIR72" s="128"/>
      <c r="AIS72" s="128"/>
      <c r="AIT72" s="128"/>
      <c r="AIU72" s="128"/>
      <c r="AIV72" s="128"/>
      <c r="AIW72" s="128"/>
      <c r="AIX72" s="128"/>
      <c r="AIY72" s="128"/>
      <c r="AIZ72" s="128"/>
      <c r="AJA72" s="128"/>
      <c r="AJB72" s="128"/>
      <c r="AJC72" s="128"/>
      <c r="AJD72" s="128"/>
      <c r="AJE72" s="128"/>
      <c r="AJF72" s="128"/>
      <c r="AJG72" s="128"/>
      <c r="AJH72" s="128"/>
      <c r="AJI72" s="128"/>
      <c r="AJJ72" s="128"/>
      <c r="AJK72" s="128"/>
      <c r="AJL72" s="128"/>
      <c r="AJM72" s="128"/>
      <c r="AJN72" s="128"/>
      <c r="AJO72" s="128"/>
      <c r="AJP72" s="128"/>
      <c r="AJQ72" s="128"/>
      <c r="AJR72" s="128"/>
      <c r="AJS72" s="128"/>
      <c r="AJT72" s="128"/>
      <c r="AJU72" s="128"/>
      <c r="AJV72" s="128"/>
      <c r="AJW72" s="128"/>
      <c r="AJX72" s="128"/>
      <c r="AJY72" s="128"/>
      <c r="AJZ72" s="128"/>
      <c r="AKA72" s="128"/>
      <c r="AKB72" s="128"/>
      <c r="AKC72" s="128"/>
      <c r="AKD72" s="128"/>
      <c r="AKE72" s="128"/>
      <c r="AKF72" s="128"/>
      <c r="AKG72" s="128"/>
      <c r="AKH72" s="128"/>
      <c r="AKI72" s="128"/>
      <c r="AKJ72" s="128"/>
      <c r="AKK72" s="128"/>
      <c r="AKL72" s="128"/>
      <c r="AKM72" s="128"/>
      <c r="AKN72" s="128"/>
      <c r="AKO72" s="128"/>
      <c r="AKP72" s="128"/>
      <c r="AKQ72" s="128"/>
      <c r="AKR72" s="128"/>
      <c r="AKS72" s="128"/>
      <c r="AKT72" s="128"/>
      <c r="AKU72" s="128"/>
      <c r="AKV72" s="128"/>
      <c r="AKW72" s="128"/>
      <c r="AKX72" s="128"/>
      <c r="AKY72" s="128"/>
      <c r="AKZ72" s="128"/>
      <c r="ALA72" s="128"/>
      <c r="ALB72" s="128"/>
      <c r="ALC72" s="128"/>
      <c r="ALD72" s="128"/>
      <c r="ALE72" s="128"/>
      <c r="ALF72" s="128"/>
      <c r="ALG72" s="128"/>
      <c r="ALH72" s="128"/>
      <c r="ALI72" s="128"/>
      <c r="ALJ72" s="128"/>
      <c r="ALK72" s="128"/>
      <c r="ALL72" s="128"/>
      <c r="ALM72" s="128"/>
      <c r="ALN72" s="128"/>
      <c r="ALO72" s="128"/>
      <c r="ALP72" s="128"/>
      <c r="ALQ72" s="128"/>
      <c r="ALR72" s="128"/>
      <c r="ALS72"/>
      <c r="ALT72"/>
      <c r="ALU72"/>
    </row>
    <row r="73" spans="1:1009" s="96" customFormat="1" ht="12" customHeight="1">
      <c r="A73" s="136"/>
      <c r="B73" s="136"/>
      <c r="C73" s="136"/>
      <c r="D73" s="136"/>
      <c r="E73" s="136"/>
      <c r="F73" s="136"/>
      <c r="I73" s="225"/>
      <c r="J73" s="159"/>
      <c r="L73" s="173"/>
      <c r="N73" s="277"/>
      <c r="R73"/>
      <c r="S73" s="179"/>
      <c r="U73" s="159"/>
      <c r="X73"/>
      <c r="Y73" s="128"/>
      <c r="Z73" s="128"/>
      <c r="AA73" s="128"/>
      <c r="AB73" s="128"/>
      <c r="AC73" s="128"/>
      <c r="AD73" s="128"/>
      <c r="AE73" s="128"/>
      <c r="AF73" s="128"/>
      <c r="AG73" s="128"/>
      <c r="AH73" s="128"/>
      <c r="AI73" s="128"/>
      <c r="AJ73" s="128"/>
      <c r="AK73" s="128"/>
      <c r="AL73" s="128"/>
      <c r="AM73" s="128"/>
      <c r="AN73" s="128"/>
      <c r="AO73" s="128"/>
      <c r="AP73" s="128"/>
      <c r="AQ73" s="128"/>
      <c r="AR73" s="128"/>
      <c r="AS73" s="128"/>
      <c r="AT73" s="128"/>
      <c r="AU73" s="128"/>
      <c r="AV73" s="128"/>
      <c r="AW73" s="128"/>
      <c r="AX73" s="128"/>
      <c r="AY73" s="128"/>
      <c r="AZ73" s="128"/>
      <c r="BA73" s="128"/>
      <c r="BB73" s="128"/>
      <c r="BC73" s="128"/>
      <c r="BD73" s="128"/>
      <c r="BE73" s="128"/>
      <c r="BF73" s="128"/>
      <c r="BG73" s="128"/>
      <c r="BH73" s="128"/>
      <c r="BI73" s="128"/>
      <c r="BJ73" s="128"/>
      <c r="BK73" s="128"/>
      <c r="BL73" s="128"/>
      <c r="BM73" s="128"/>
      <c r="BN73" s="128"/>
      <c r="BO73" s="128"/>
      <c r="BP73" s="128"/>
      <c r="BQ73" s="128"/>
      <c r="BR73" s="128"/>
      <c r="BS73" s="128"/>
      <c r="BT73" s="128"/>
      <c r="BU73" s="128"/>
      <c r="BV73" s="128"/>
      <c r="BW73" s="128"/>
      <c r="BX73" s="128"/>
      <c r="BY73" s="128"/>
      <c r="BZ73" s="128"/>
      <c r="CA73" s="128"/>
      <c r="CB73" s="128"/>
      <c r="CC73" s="128"/>
      <c r="CD73" s="128"/>
      <c r="CE73" s="128"/>
      <c r="CF73" s="128"/>
      <c r="CG73" s="128"/>
      <c r="CH73" s="128"/>
      <c r="CI73" s="128"/>
      <c r="CJ73" s="128"/>
      <c r="CK73" s="128"/>
      <c r="CL73" s="128"/>
      <c r="CM73" s="128"/>
      <c r="CN73" s="128"/>
      <c r="CO73" s="128"/>
      <c r="CP73" s="128"/>
      <c r="CQ73" s="128"/>
      <c r="CR73" s="128"/>
      <c r="CS73" s="128"/>
      <c r="CT73" s="128"/>
      <c r="CU73" s="128"/>
      <c r="CV73" s="128"/>
      <c r="CW73" s="128"/>
      <c r="CX73" s="128"/>
      <c r="CY73" s="128"/>
      <c r="CZ73" s="128"/>
      <c r="DA73" s="128"/>
      <c r="DB73" s="128"/>
      <c r="DC73" s="128"/>
      <c r="DD73" s="128"/>
      <c r="DE73" s="128"/>
      <c r="DF73" s="128"/>
      <c r="DG73" s="128"/>
      <c r="DH73" s="128"/>
      <c r="DI73" s="128"/>
      <c r="DJ73" s="128"/>
      <c r="DK73" s="128"/>
      <c r="DL73" s="128"/>
      <c r="DM73" s="128"/>
      <c r="DN73" s="128"/>
      <c r="DO73" s="128"/>
      <c r="DP73" s="128"/>
      <c r="DQ73" s="128"/>
      <c r="DR73" s="128"/>
      <c r="DS73" s="128"/>
      <c r="DT73" s="128"/>
      <c r="DU73" s="128"/>
      <c r="DV73" s="128"/>
      <c r="DW73" s="128"/>
      <c r="DX73" s="128"/>
      <c r="DY73" s="128"/>
      <c r="DZ73" s="128"/>
      <c r="EA73" s="128"/>
      <c r="EB73" s="128"/>
      <c r="EC73" s="128"/>
      <c r="ED73" s="128"/>
      <c r="EE73" s="128"/>
      <c r="EF73" s="128"/>
      <c r="EG73" s="128"/>
      <c r="EH73" s="128"/>
      <c r="EI73" s="128"/>
      <c r="EJ73" s="128"/>
      <c r="EK73" s="128"/>
      <c r="EL73" s="128"/>
      <c r="EM73" s="128"/>
      <c r="EN73" s="128"/>
      <c r="EO73" s="128"/>
      <c r="EP73" s="128"/>
      <c r="EQ73" s="128"/>
      <c r="ER73" s="128"/>
      <c r="ES73" s="128"/>
      <c r="ET73" s="128"/>
      <c r="EU73" s="128"/>
      <c r="EV73" s="128"/>
      <c r="EW73" s="128"/>
      <c r="EX73" s="128"/>
      <c r="EY73" s="128"/>
      <c r="EZ73" s="128"/>
      <c r="FA73" s="128"/>
      <c r="FB73" s="128"/>
      <c r="FC73" s="128"/>
      <c r="FD73" s="128"/>
      <c r="FE73" s="128"/>
      <c r="FF73" s="128"/>
      <c r="FG73" s="128"/>
      <c r="FH73" s="128"/>
      <c r="FI73" s="128"/>
      <c r="FJ73" s="128"/>
      <c r="FK73" s="128"/>
      <c r="FL73" s="128"/>
      <c r="FM73" s="128"/>
      <c r="FN73" s="128"/>
      <c r="FO73" s="128"/>
      <c r="FP73" s="128"/>
      <c r="FQ73" s="128"/>
      <c r="FR73" s="128"/>
      <c r="FS73" s="128"/>
      <c r="FT73" s="128"/>
      <c r="FU73" s="128"/>
      <c r="FV73" s="128"/>
      <c r="FW73" s="128"/>
      <c r="FX73" s="128"/>
      <c r="FY73" s="128"/>
      <c r="FZ73" s="128"/>
      <c r="GA73" s="128"/>
      <c r="GB73" s="128"/>
      <c r="GC73" s="128"/>
      <c r="GD73" s="128"/>
      <c r="GE73" s="128"/>
      <c r="GF73" s="128"/>
      <c r="GG73" s="128"/>
      <c r="GH73" s="128"/>
      <c r="GI73" s="128"/>
      <c r="GJ73" s="128"/>
      <c r="GK73" s="128"/>
      <c r="GL73" s="128"/>
      <c r="GM73" s="128"/>
      <c r="GN73" s="128"/>
      <c r="GO73" s="128"/>
      <c r="GP73" s="128"/>
      <c r="GQ73" s="128"/>
      <c r="GR73" s="128"/>
      <c r="GS73" s="128"/>
      <c r="GT73" s="128"/>
      <c r="GU73" s="128"/>
      <c r="GV73" s="128"/>
      <c r="GW73" s="128"/>
      <c r="GX73" s="128"/>
      <c r="GY73" s="128"/>
      <c r="GZ73" s="128"/>
      <c r="HA73" s="128"/>
      <c r="HB73" s="128"/>
      <c r="HC73" s="128"/>
      <c r="HD73" s="128"/>
      <c r="HE73" s="128"/>
      <c r="HF73" s="128"/>
      <c r="HG73" s="128"/>
      <c r="HH73" s="128"/>
      <c r="HI73" s="128"/>
      <c r="HJ73" s="128"/>
      <c r="HK73" s="128"/>
      <c r="HL73" s="128"/>
      <c r="HM73" s="128"/>
      <c r="HN73" s="128"/>
      <c r="HO73" s="128"/>
      <c r="HP73" s="128"/>
      <c r="HQ73" s="128"/>
      <c r="HR73" s="128"/>
      <c r="HS73" s="128"/>
      <c r="HT73" s="128"/>
      <c r="HU73" s="128"/>
      <c r="HV73" s="128"/>
      <c r="HW73" s="128"/>
      <c r="HX73" s="128"/>
      <c r="HY73" s="128"/>
      <c r="HZ73" s="128"/>
      <c r="IA73" s="128"/>
      <c r="IB73" s="128"/>
      <c r="IC73" s="128"/>
      <c r="ID73" s="128"/>
      <c r="IE73" s="128"/>
      <c r="IF73" s="128"/>
      <c r="IG73" s="128"/>
      <c r="IH73" s="128"/>
      <c r="II73" s="128"/>
      <c r="IJ73" s="128"/>
      <c r="IK73" s="128"/>
      <c r="IL73" s="128"/>
      <c r="IM73" s="128"/>
      <c r="IN73" s="128"/>
      <c r="IO73" s="128"/>
      <c r="IP73" s="128"/>
      <c r="IQ73" s="128"/>
      <c r="IR73" s="128"/>
      <c r="IS73" s="128"/>
      <c r="IT73" s="128"/>
      <c r="IU73" s="128"/>
      <c r="IV73" s="128"/>
      <c r="IW73" s="128"/>
      <c r="IX73" s="128"/>
      <c r="IY73" s="128"/>
      <c r="IZ73" s="128"/>
      <c r="JA73" s="128"/>
      <c r="JB73" s="128"/>
      <c r="JC73" s="128"/>
      <c r="JD73" s="128"/>
      <c r="JE73" s="128"/>
      <c r="JF73" s="128"/>
      <c r="JG73" s="128"/>
      <c r="JH73" s="128"/>
      <c r="JI73" s="128"/>
      <c r="JJ73" s="128"/>
      <c r="JK73" s="128"/>
      <c r="JL73" s="128"/>
      <c r="JM73" s="128"/>
      <c r="JN73" s="128"/>
      <c r="JO73" s="128"/>
      <c r="JP73" s="128"/>
      <c r="JQ73" s="128"/>
      <c r="JR73" s="128"/>
      <c r="JS73" s="128"/>
      <c r="JT73" s="128"/>
      <c r="JU73" s="128"/>
      <c r="JV73" s="128"/>
      <c r="JW73" s="128"/>
      <c r="JX73" s="128"/>
      <c r="JY73" s="128"/>
      <c r="JZ73" s="128"/>
      <c r="KA73" s="128"/>
      <c r="KB73" s="128"/>
      <c r="KC73" s="128"/>
      <c r="KD73" s="128"/>
      <c r="KE73" s="128"/>
      <c r="KF73" s="128"/>
      <c r="KG73" s="128"/>
      <c r="KH73" s="128"/>
      <c r="KI73" s="128"/>
      <c r="KJ73" s="128"/>
      <c r="KK73" s="128"/>
      <c r="KL73" s="128"/>
      <c r="KM73" s="128"/>
      <c r="KN73" s="128"/>
      <c r="KO73" s="128"/>
      <c r="KP73" s="128"/>
      <c r="KQ73" s="128"/>
      <c r="KR73" s="128"/>
      <c r="KS73" s="128"/>
      <c r="KT73" s="128"/>
      <c r="KU73" s="128"/>
      <c r="KV73" s="128"/>
      <c r="KW73" s="128"/>
      <c r="KX73" s="128"/>
      <c r="KY73" s="128"/>
      <c r="KZ73" s="128"/>
      <c r="LA73" s="128"/>
      <c r="LB73" s="128"/>
      <c r="LC73" s="128"/>
      <c r="LD73" s="128"/>
      <c r="LE73" s="128"/>
      <c r="LF73" s="128"/>
      <c r="LG73" s="128"/>
      <c r="LH73" s="128"/>
      <c r="LI73" s="128"/>
      <c r="LJ73" s="128"/>
      <c r="LK73" s="128"/>
      <c r="LL73" s="128"/>
      <c r="LM73" s="128"/>
      <c r="LN73" s="128"/>
      <c r="LO73" s="128"/>
      <c r="LP73" s="128"/>
      <c r="LQ73" s="128"/>
      <c r="LR73" s="128"/>
      <c r="LS73" s="128"/>
      <c r="LT73" s="128"/>
      <c r="LU73" s="128"/>
      <c r="LV73" s="128"/>
      <c r="LW73" s="128"/>
      <c r="LX73" s="128"/>
      <c r="LY73" s="128"/>
      <c r="LZ73" s="128"/>
      <c r="MA73" s="128"/>
      <c r="MB73" s="128"/>
      <c r="MC73" s="128"/>
      <c r="MD73" s="128"/>
      <c r="ME73" s="128"/>
      <c r="MF73" s="128"/>
      <c r="MG73" s="128"/>
      <c r="MH73" s="128"/>
      <c r="MI73" s="128"/>
      <c r="MJ73" s="128"/>
      <c r="MK73" s="128"/>
      <c r="ML73" s="128"/>
      <c r="MM73" s="128"/>
      <c r="MN73" s="128"/>
      <c r="MO73" s="128"/>
      <c r="MP73" s="128"/>
      <c r="MQ73" s="128"/>
      <c r="MR73" s="128"/>
      <c r="MS73" s="128"/>
      <c r="MT73" s="128"/>
      <c r="MU73" s="128"/>
      <c r="MV73" s="128"/>
      <c r="MW73" s="128"/>
      <c r="MX73" s="128"/>
      <c r="MY73" s="128"/>
      <c r="MZ73" s="128"/>
      <c r="NA73" s="128"/>
      <c r="NB73" s="128"/>
      <c r="NC73" s="128"/>
      <c r="ND73" s="128"/>
      <c r="NE73" s="128"/>
      <c r="NF73" s="128"/>
      <c r="NG73" s="128"/>
      <c r="NH73" s="128"/>
      <c r="NI73" s="128"/>
      <c r="NJ73" s="128"/>
      <c r="NK73" s="128"/>
      <c r="NL73" s="128"/>
      <c r="NM73" s="128"/>
      <c r="NN73" s="128"/>
      <c r="NO73" s="128"/>
      <c r="NP73" s="128"/>
      <c r="NQ73" s="128"/>
      <c r="NR73" s="128"/>
      <c r="NS73" s="128"/>
      <c r="NT73" s="128"/>
      <c r="NU73" s="128"/>
      <c r="NV73" s="128"/>
      <c r="NW73" s="128"/>
      <c r="NX73" s="128"/>
      <c r="NY73" s="128"/>
      <c r="NZ73" s="128"/>
      <c r="OA73" s="128"/>
      <c r="OB73" s="128"/>
      <c r="OC73" s="128"/>
      <c r="OD73" s="128"/>
      <c r="OE73" s="128"/>
      <c r="OF73" s="128"/>
      <c r="OG73" s="128"/>
      <c r="OH73" s="128"/>
      <c r="OI73" s="128"/>
      <c r="OJ73" s="128"/>
      <c r="OK73" s="128"/>
      <c r="OL73" s="128"/>
      <c r="OM73" s="128"/>
      <c r="ON73" s="128"/>
      <c r="OO73" s="128"/>
      <c r="OP73" s="128"/>
      <c r="OQ73" s="128"/>
      <c r="OR73" s="128"/>
      <c r="OS73" s="128"/>
      <c r="OT73" s="128"/>
      <c r="OU73" s="128"/>
      <c r="OV73" s="128"/>
      <c r="OW73" s="128"/>
      <c r="OX73" s="128"/>
      <c r="OY73" s="128"/>
      <c r="OZ73" s="128"/>
      <c r="PA73" s="128"/>
      <c r="PB73" s="128"/>
      <c r="PC73" s="128"/>
      <c r="PD73" s="128"/>
      <c r="PE73" s="128"/>
      <c r="PF73" s="128"/>
      <c r="PG73" s="128"/>
      <c r="PH73" s="128"/>
      <c r="PI73" s="128"/>
      <c r="PJ73" s="128"/>
      <c r="PK73" s="128"/>
      <c r="PL73" s="128"/>
      <c r="PM73" s="128"/>
      <c r="PN73" s="128"/>
      <c r="PO73" s="128"/>
      <c r="PP73" s="128"/>
      <c r="PQ73" s="128"/>
      <c r="PR73" s="128"/>
      <c r="PS73" s="128"/>
      <c r="PT73" s="128"/>
      <c r="PU73" s="128"/>
      <c r="PV73" s="128"/>
      <c r="PW73" s="128"/>
      <c r="PX73" s="128"/>
      <c r="PY73" s="128"/>
      <c r="PZ73" s="128"/>
      <c r="QA73" s="128"/>
      <c r="QB73" s="128"/>
      <c r="QC73" s="128"/>
      <c r="QD73" s="128"/>
      <c r="QE73" s="128"/>
      <c r="QF73" s="128"/>
      <c r="QG73" s="128"/>
      <c r="QH73" s="128"/>
      <c r="QI73" s="128"/>
      <c r="QJ73" s="128"/>
      <c r="QK73" s="128"/>
      <c r="QL73" s="128"/>
      <c r="QM73" s="128"/>
      <c r="QN73" s="128"/>
      <c r="QO73" s="128"/>
      <c r="QP73" s="128"/>
      <c r="QQ73" s="128"/>
      <c r="QR73" s="128"/>
      <c r="QS73" s="128"/>
      <c r="QT73" s="128"/>
      <c r="QU73" s="128"/>
      <c r="QV73" s="128"/>
      <c r="QW73" s="128"/>
      <c r="QX73" s="128"/>
      <c r="QY73" s="128"/>
      <c r="QZ73" s="128"/>
      <c r="RA73" s="128"/>
      <c r="RB73" s="128"/>
      <c r="RC73" s="128"/>
      <c r="RD73" s="128"/>
      <c r="RE73" s="128"/>
      <c r="RF73" s="128"/>
      <c r="RG73" s="128"/>
      <c r="RH73" s="128"/>
      <c r="RI73" s="128"/>
      <c r="RJ73" s="128"/>
      <c r="RK73" s="128"/>
      <c r="RL73" s="128"/>
      <c r="RM73" s="128"/>
      <c r="RN73" s="128"/>
      <c r="RO73" s="128"/>
      <c r="RP73" s="128"/>
      <c r="RQ73" s="128"/>
      <c r="RR73" s="128"/>
      <c r="RS73" s="128"/>
      <c r="RT73" s="128"/>
      <c r="RU73" s="128"/>
      <c r="RV73" s="128"/>
      <c r="RW73" s="128"/>
      <c r="RX73" s="128"/>
      <c r="RY73" s="128"/>
      <c r="RZ73" s="128"/>
      <c r="SA73" s="128"/>
      <c r="SB73" s="128"/>
      <c r="SC73" s="128"/>
      <c r="SD73" s="128"/>
      <c r="SE73" s="128"/>
      <c r="SF73" s="128"/>
      <c r="SG73" s="128"/>
      <c r="SH73" s="128"/>
      <c r="SI73" s="128"/>
      <c r="SJ73" s="128"/>
      <c r="SK73" s="128"/>
      <c r="SL73" s="128"/>
      <c r="SM73" s="128"/>
      <c r="SN73" s="128"/>
      <c r="SO73" s="128"/>
      <c r="SP73" s="128"/>
      <c r="SQ73" s="128"/>
      <c r="SR73" s="128"/>
      <c r="SS73" s="128"/>
      <c r="ST73" s="128"/>
      <c r="SU73" s="128"/>
      <c r="SV73" s="128"/>
      <c r="SW73" s="128"/>
      <c r="SX73" s="128"/>
      <c r="SY73" s="128"/>
      <c r="SZ73" s="128"/>
      <c r="TA73" s="128"/>
      <c r="TB73" s="128"/>
      <c r="TC73" s="128"/>
      <c r="TD73" s="128"/>
      <c r="TE73" s="128"/>
      <c r="TF73" s="128"/>
      <c r="TG73" s="128"/>
      <c r="TH73" s="128"/>
      <c r="TI73" s="128"/>
      <c r="TJ73" s="128"/>
      <c r="TK73" s="128"/>
      <c r="TL73" s="128"/>
      <c r="TM73" s="128"/>
      <c r="TN73" s="128"/>
      <c r="TO73" s="128"/>
      <c r="TP73" s="128"/>
      <c r="TQ73" s="128"/>
      <c r="TR73" s="128"/>
      <c r="TS73" s="128"/>
      <c r="TT73" s="128"/>
      <c r="TU73" s="128"/>
      <c r="TV73" s="128"/>
      <c r="TW73" s="128"/>
      <c r="TX73" s="128"/>
      <c r="TY73" s="128"/>
      <c r="TZ73" s="128"/>
      <c r="UA73" s="128"/>
      <c r="UB73" s="128"/>
      <c r="UC73" s="128"/>
      <c r="UD73" s="128"/>
      <c r="UE73" s="128"/>
      <c r="UF73" s="128"/>
      <c r="UG73" s="128"/>
      <c r="UH73" s="128"/>
      <c r="UI73" s="128"/>
      <c r="UJ73" s="128"/>
      <c r="UK73" s="128"/>
      <c r="UL73" s="128"/>
      <c r="UM73" s="128"/>
      <c r="UN73" s="128"/>
      <c r="UO73" s="128"/>
      <c r="UP73" s="128"/>
      <c r="UQ73" s="128"/>
      <c r="UR73" s="128"/>
      <c r="US73" s="128"/>
      <c r="UT73" s="128"/>
      <c r="UU73" s="128"/>
      <c r="UV73" s="128"/>
      <c r="UW73" s="128"/>
      <c r="UX73" s="128"/>
      <c r="UY73" s="128"/>
      <c r="UZ73" s="128"/>
      <c r="VA73" s="128"/>
      <c r="VB73" s="128"/>
      <c r="VC73" s="128"/>
      <c r="VD73" s="128"/>
      <c r="VE73" s="128"/>
      <c r="VF73" s="128"/>
      <c r="VG73" s="128"/>
      <c r="VH73" s="128"/>
      <c r="VI73" s="128"/>
      <c r="VJ73" s="128"/>
      <c r="VK73" s="128"/>
      <c r="VL73" s="128"/>
      <c r="VM73" s="128"/>
      <c r="VN73" s="128"/>
      <c r="VO73" s="128"/>
      <c r="VP73" s="128"/>
      <c r="VQ73" s="128"/>
      <c r="VR73" s="128"/>
      <c r="VS73" s="128"/>
      <c r="VT73" s="128"/>
      <c r="VU73" s="128"/>
      <c r="VV73" s="128"/>
      <c r="VW73" s="128"/>
      <c r="VX73" s="128"/>
      <c r="VY73" s="128"/>
      <c r="VZ73" s="128"/>
      <c r="WA73" s="128"/>
      <c r="WB73" s="128"/>
      <c r="WC73" s="128"/>
      <c r="WD73" s="128"/>
      <c r="WE73" s="128"/>
      <c r="WF73" s="128"/>
      <c r="WG73" s="128"/>
      <c r="WH73" s="128"/>
      <c r="WI73" s="128"/>
      <c r="WJ73" s="128"/>
      <c r="WK73" s="128"/>
      <c r="WL73" s="128"/>
      <c r="WM73" s="128"/>
      <c r="WN73" s="128"/>
      <c r="WO73" s="128"/>
      <c r="WP73" s="128"/>
      <c r="WQ73" s="128"/>
      <c r="WR73" s="128"/>
      <c r="WS73" s="128"/>
      <c r="WT73" s="128"/>
      <c r="WU73" s="128"/>
      <c r="WV73" s="128"/>
      <c r="WW73" s="128"/>
      <c r="WX73" s="128"/>
      <c r="WY73" s="128"/>
      <c r="WZ73" s="128"/>
      <c r="XA73" s="128"/>
      <c r="XB73" s="128"/>
      <c r="XC73" s="128"/>
      <c r="XD73" s="128"/>
      <c r="XE73" s="128"/>
      <c r="XF73" s="128"/>
      <c r="XG73" s="128"/>
      <c r="XH73" s="128"/>
      <c r="XI73" s="128"/>
      <c r="XJ73" s="128"/>
      <c r="XK73" s="128"/>
      <c r="XL73" s="128"/>
      <c r="XM73" s="128"/>
      <c r="XN73" s="128"/>
      <c r="XO73" s="128"/>
      <c r="XP73" s="128"/>
      <c r="XQ73" s="128"/>
      <c r="XR73" s="128"/>
      <c r="XS73" s="128"/>
      <c r="XT73" s="128"/>
      <c r="XU73" s="128"/>
      <c r="XV73" s="128"/>
      <c r="XW73" s="128"/>
      <c r="XX73" s="128"/>
      <c r="XY73" s="128"/>
      <c r="XZ73" s="128"/>
      <c r="YA73" s="128"/>
      <c r="YB73" s="128"/>
      <c r="YC73" s="128"/>
      <c r="YD73" s="128"/>
      <c r="YE73" s="128"/>
      <c r="YF73" s="128"/>
      <c r="YG73" s="128"/>
      <c r="YH73" s="128"/>
      <c r="YI73" s="128"/>
      <c r="YJ73" s="128"/>
      <c r="YK73" s="128"/>
      <c r="YL73" s="128"/>
      <c r="YM73" s="128"/>
      <c r="YN73" s="128"/>
      <c r="YO73" s="128"/>
      <c r="YP73" s="128"/>
      <c r="YQ73" s="128"/>
      <c r="YR73" s="128"/>
      <c r="YS73" s="128"/>
      <c r="YT73" s="128"/>
      <c r="YU73" s="128"/>
      <c r="YV73" s="128"/>
      <c r="YW73" s="128"/>
      <c r="YX73" s="128"/>
      <c r="YY73" s="128"/>
      <c r="YZ73" s="128"/>
      <c r="ZA73" s="128"/>
      <c r="ZB73" s="128"/>
      <c r="ZC73" s="128"/>
      <c r="ZD73" s="128"/>
      <c r="ZE73" s="128"/>
      <c r="ZF73" s="128"/>
      <c r="ZG73" s="128"/>
      <c r="ZH73" s="128"/>
      <c r="ZI73" s="128"/>
      <c r="ZJ73" s="128"/>
      <c r="ZK73" s="128"/>
      <c r="ZL73" s="128"/>
      <c r="ZM73" s="128"/>
      <c r="ZN73" s="128"/>
      <c r="ZO73" s="128"/>
      <c r="ZP73" s="128"/>
      <c r="ZQ73" s="128"/>
      <c r="ZR73" s="128"/>
      <c r="ZS73" s="128"/>
      <c r="ZT73" s="128"/>
      <c r="ZU73" s="128"/>
      <c r="ZV73" s="128"/>
      <c r="ZW73" s="128"/>
      <c r="ZX73" s="128"/>
      <c r="ZY73" s="128"/>
      <c r="ZZ73" s="128"/>
      <c r="AAA73" s="128"/>
      <c r="AAB73" s="128"/>
      <c r="AAC73" s="128"/>
      <c r="AAD73" s="128"/>
      <c r="AAE73" s="128"/>
      <c r="AAF73" s="128"/>
      <c r="AAG73" s="128"/>
      <c r="AAH73" s="128"/>
      <c r="AAI73" s="128"/>
      <c r="AAJ73" s="128"/>
      <c r="AAK73" s="128"/>
      <c r="AAL73" s="128"/>
      <c r="AAM73" s="128"/>
      <c r="AAN73" s="128"/>
      <c r="AAO73" s="128"/>
      <c r="AAP73" s="128"/>
      <c r="AAQ73" s="128"/>
      <c r="AAR73" s="128"/>
      <c r="AAS73" s="128"/>
      <c r="AAT73" s="128"/>
      <c r="AAU73" s="128"/>
      <c r="AAV73" s="128"/>
      <c r="AAW73" s="128"/>
      <c r="AAX73" s="128"/>
      <c r="AAY73" s="128"/>
      <c r="AAZ73" s="128"/>
      <c r="ABA73" s="128"/>
      <c r="ABB73" s="128"/>
      <c r="ABC73" s="128"/>
      <c r="ABD73" s="128"/>
      <c r="ABE73" s="128"/>
      <c r="ABF73" s="128"/>
      <c r="ABG73" s="128"/>
      <c r="ABH73" s="128"/>
      <c r="ABI73" s="128"/>
      <c r="ABJ73" s="128"/>
      <c r="ABK73" s="128"/>
      <c r="ABL73" s="128"/>
      <c r="ABM73" s="128"/>
      <c r="ABN73" s="128"/>
      <c r="ABO73" s="128"/>
      <c r="ABP73" s="128"/>
      <c r="ABQ73" s="128"/>
      <c r="ABR73" s="128"/>
      <c r="ABS73" s="128"/>
      <c r="ABT73" s="128"/>
      <c r="ABU73" s="128"/>
      <c r="ABV73" s="128"/>
      <c r="ABW73" s="128"/>
      <c r="ABX73" s="128"/>
      <c r="ABY73" s="128"/>
      <c r="ABZ73" s="128"/>
      <c r="ACA73" s="128"/>
      <c r="ACB73" s="128"/>
      <c r="ACC73" s="128"/>
      <c r="ACD73" s="128"/>
      <c r="ACE73" s="128"/>
      <c r="ACF73" s="128"/>
      <c r="ACG73" s="128"/>
      <c r="ACH73" s="128"/>
      <c r="ACI73" s="128"/>
      <c r="ACJ73" s="128"/>
      <c r="ACK73" s="128"/>
      <c r="ACL73" s="128"/>
      <c r="ACM73" s="128"/>
      <c r="ACN73" s="128"/>
      <c r="ACO73" s="128"/>
      <c r="ACP73" s="128"/>
      <c r="ACQ73" s="128"/>
      <c r="ACR73" s="128"/>
      <c r="ACS73" s="128"/>
      <c r="ACT73" s="128"/>
      <c r="ACU73" s="128"/>
      <c r="ACV73" s="128"/>
      <c r="ACW73" s="128"/>
      <c r="ACX73" s="128"/>
      <c r="ACY73" s="128"/>
      <c r="ACZ73" s="128"/>
      <c r="ADA73" s="128"/>
      <c r="ADB73" s="128"/>
      <c r="ADC73" s="128"/>
      <c r="ADD73" s="128"/>
      <c r="ADE73" s="128"/>
      <c r="ADF73" s="128"/>
      <c r="ADG73" s="128"/>
      <c r="ADH73" s="128"/>
      <c r="ADI73" s="128"/>
      <c r="ADJ73" s="128"/>
      <c r="ADK73" s="128"/>
      <c r="ADL73" s="128"/>
      <c r="ADM73" s="128"/>
      <c r="ADN73" s="128"/>
      <c r="ADO73" s="128"/>
      <c r="ADP73" s="128"/>
      <c r="ADQ73" s="128"/>
      <c r="ADR73" s="128"/>
      <c r="ADS73" s="128"/>
      <c r="ADT73" s="128"/>
      <c r="ADU73" s="128"/>
      <c r="ADV73" s="128"/>
      <c r="ADW73" s="128"/>
      <c r="ADX73" s="128"/>
      <c r="ADY73" s="128"/>
      <c r="ADZ73" s="128"/>
      <c r="AEA73" s="128"/>
      <c r="AEB73" s="128"/>
      <c r="AEC73" s="128"/>
      <c r="AED73" s="128"/>
      <c r="AEE73" s="128"/>
      <c r="AEF73" s="128"/>
      <c r="AEG73" s="128"/>
      <c r="AEH73" s="128"/>
      <c r="AEI73" s="128"/>
      <c r="AEJ73" s="128"/>
      <c r="AEK73" s="128"/>
      <c r="AEL73" s="128"/>
      <c r="AEM73" s="128"/>
      <c r="AEN73" s="128"/>
      <c r="AEO73" s="128"/>
      <c r="AEP73" s="128"/>
      <c r="AEQ73" s="128"/>
      <c r="AER73" s="128"/>
      <c r="AES73" s="128"/>
      <c r="AET73" s="128"/>
      <c r="AEU73" s="128"/>
      <c r="AEV73" s="128"/>
      <c r="AEW73" s="128"/>
      <c r="AEX73" s="128"/>
      <c r="AEY73" s="128"/>
      <c r="AEZ73" s="128"/>
      <c r="AFA73" s="128"/>
      <c r="AFB73" s="128"/>
      <c r="AFC73" s="128"/>
      <c r="AFD73" s="128"/>
      <c r="AFE73" s="128"/>
      <c r="AFF73" s="128"/>
      <c r="AFG73" s="128"/>
      <c r="AFH73" s="128"/>
      <c r="AFI73" s="128"/>
      <c r="AFJ73" s="128"/>
      <c r="AFK73" s="128"/>
      <c r="AFL73" s="128"/>
      <c r="AFM73" s="128"/>
      <c r="AFN73" s="128"/>
      <c r="AFO73" s="128"/>
      <c r="AFP73" s="128"/>
      <c r="AFQ73" s="128"/>
      <c r="AFR73" s="128"/>
      <c r="AFS73" s="128"/>
      <c r="AFT73" s="128"/>
      <c r="AFU73" s="128"/>
      <c r="AFV73" s="128"/>
      <c r="AFW73" s="128"/>
      <c r="AFX73" s="128"/>
      <c r="AFY73" s="128"/>
      <c r="AFZ73" s="128"/>
      <c r="AGA73" s="128"/>
      <c r="AGB73" s="128"/>
      <c r="AGC73" s="128"/>
      <c r="AGD73" s="128"/>
      <c r="AGE73" s="128"/>
      <c r="AGF73" s="128"/>
      <c r="AGG73" s="128"/>
      <c r="AGH73" s="128"/>
      <c r="AGI73" s="128"/>
      <c r="AGJ73" s="128"/>
      <c r="AGK73" s="128"/>
      <c r="AGL73" s="128"/>
      <c r="AGM73" s="128"/>
      <c r="AGN73" s="128"/>
      <c r="AGO73" s="128"/>
      <c r="AGP73" s="128"/>
      <c r="AGQ73" s="128"/>
      <c r="AGR73" s="128"/>
      <c r="AGS73" s="128"/>
      <c r="AGT73" s="128"/>
      <c r="AGU73" s="128"/>
      <c r="AGV73" s="128"/>
      <c r="AGW73" s="128"/>
      <c r="AGX73" s="128"/>
      <c r="AGY73" s="128"/>
      <c r="AGZ73" s="128"/>
      <c r="AHA73" s="128"/>
      <c r="AHB73" s="128"/>
      <c r="AHC73" s="128"/>
      <c r="AHD73" s="128"/>
      <c r="AHE73" s="128"/>
      <c r="AHF73" s="128"/>
      <c r="AHG73" s="128"/>
      <c r="AHH73" s="128"/>
      <c r="AHI73" s="128"/>
      <c r="AHJ73" s="128"/>
      <c r="AHK73" s="128"/>
      <c r="AHL73" s="128"/>
      <c r="AHM73" s="128"/>
      <c r="AHN73" s="128"/>
      <c r="AHO73" s="128"/>
      <c r="AHP73" s="128"/>
      <c r="AHQ73" s="128"/>
      <c r="AHR73" s="128"/>
      <c r="AHS73" s="128"/>
      <c r="AHT73" s="128"/>
      <c r="AHU73" s="128"/>
      <c r="AHV73" s="128"/>
      <c r="AHW73" s="128"/>
      <c r="AHX73" s="128"/>
      <c r="AHY73" s="128"/>
      <c r="AHZ73" s="128"/>
      <c r="AIA73" s="128"/>
      <c r="AIB73" s="128"/>
      <c r="AIC73" s="128"/>
      <c r="AID73" s="128"/>
      <c r="AIE73" s="128"/>
      <c r="AIF73" s="128"/>
      <c r="AIG73" s="128"/>
      <c r="AIH73" s="128"/>
      <c r="AII73" s="128"/>
      <c r="AIJ73" s="128"/>
      <c r="AIK73" s="128"/>
      <c r="AIL73" s="128"/>
      <c r="AIM73" s="128"/>
      <c r="AIN73" s="128"/>
      <c r="AIO73" s="128"/>
      <c r="AIP73" s="128"/>
      <c r="AIQ73" s="128"/>
      <c r="AIR73" s="128"/>
      <c r="AIS73" s="128"/>
      <c r="AIT73" s="128"/>
      <c r="AIU73" s="128"/>
      <c r="AIV73" s="128"/>
      <c r="AIW73" s="128"/>
      <c r="AIX73" s="128"/>
      <c r="AIY73" s="128"/>
      <c r="AIZ73" s="128"/>
      <c r="AJA73" s="128"/>
      <c r="AJB73" s="128"/>
      <c r="AJC73" s="128"/>
      <c r="AJD73" s="128"/>
      <c r="AJE73" s="128"/>
      <c r="AJF73" s="128"/>
      <c r="AJG73" s="128"/>
      <c r="AJH73" s="128"/>
      <c r="AJI73" s="128"/>
      <c r="AJJ73" s="128"/>
      <c r="AJK73" s="128"/>
      <c r="AJL73" s="128"/>
      <c r="AJM73" s="128"/>
      <c r="AJN73" s="128"/>
      <c r="AJO73" s="128"/>
      <c r="AJP73" s="128"/>
      <c r="AJQ73" s="128"/>
      <c r="AJR73" s="128"/>
      <c r="AJS73" s="128"/>
      <c r="AJT73" s="128"/>
      <c r="AJU73" s="128"/>
      <c r="AJV73" s="128"/>
      <c r="AJW73" s="128"/>
      <c r="AJX73" s="128"/>
      <c r="AJY73" s="128"/>
      <c r="AJZ73" s="128"/>
      <c r="AKA73" s="128"/>
      <c r="AKB73" s="128"/>
      <c r="AKC73" s="128"/>
      <c r="AKD73" s="128"/>
      <c r="AKE73" s="128"/>
      <c r="AKF73" s="128"/>
      <c r="AKG73" s="128"/>
      <c r="AKH73" s="128"/>
      <c r="AKI73" s="128"/>
      <c r="AKJ73" s="128"/>
      <c r="AKK73" s="128"/>
      <c r="AKL73" s="128"/>
      <c r="AKM73" s="128"/>
      <c r="AKN73" s="128"/>
      <c r="AKO73" s="128"/>
      <c r="AKP73" s="128"/>
      <c r="AKQ73" s="128"/>
      <c r="AKR73" s="128"/>
      <c r="AKS73" s="128"/>
      <c r="AKT73" s="128"/>
      <c r="AKU73" s="128"/>
      <c r="AKV73" s="128"/>
      <c r="AKW73" s="128"/>
      <c r="AKX73" s="128"/>
      <c r="AKY73" s="128"/>
      <c r="AKZ73" s="128"/>
      <c r="ALA73" s="128"/>
      <c r="ALB73" s="128"/>
      <c r="ALC73" s="128"/>
      <c r="ALD73" s="128"/>
      <c r="ALE73" s="128"/>
      <c r="ALF73" s="128"/>
      <c r="ALG73" s="128"/>
      <c r="ALH73" s="128"/>
      <c r="ALI73" s="128"/>
      <c r="ALJ73" s="128"/>
      <c r="ALK73" s="128"/>
      <c r="ALL73" s="128"/>
      <c r="ALM73" s="128"/>
      <c r="ALN73" s="128"/>
      <c r="ALO73" s="128"/>
      <c r="ALP73" s="128"/>
      <c r="ALQ73" s="128"/>
      <c r="ALR73" s="128"/>
      <c r="ALS73"/>
      <c r="ALT73"/>
      <c r="ALU73"/>
    </row>
  </sheetData>
  <conditionalFormatting sqref="A63:F64 A67:F885">
    <cfRule type="expression" dxfId="366" priority="138">
      <formula>OR($W63="X",$V63="X")</formula>
    </cfRule>
    <cfRule type="expression" dxfId="365" priority="139">
      <formula>AND($W63=1,$V63=1)</formula>
    </cfRule>
    <cfRule type="expression" dxfId="364" priority="140">
      <formula>$W63=1</formula>
    </cfRule>
    <cfRule type="expression" dxfId="363" priority="141">
      <formula>$V63=1</formula>
    </cfRule>
  </conditionalFormatting>
  <conditionalFormatting sqref="A9:G9 B10:G14 A10:A16 C15:G15">
    <cfRule type="expression" dxfId="362" priority="132">
      <formula>$X9=1</formula>
    </cfRule>
    <cfRule type="expression" dxfId="361" priority="143">
      <formula>AND($X9=1,#REF!=1)</formula>
    </cfRule>
    <cfRule type="expression" dxfId="360" priority="144">
      <formula>AND(NOT(ISBLANK($R9)),ISBLANK(#REF!),ISBLANK($X9))</formula>
    </cfRule>
  </conditionalFormatting>
  <conditionalFormatting sqref="A9:G9 B10:G14 A10:A16">
    <cfRule type="expression" dxfId="359" priority="145">
      <formula>OR($X9="X",#REF!="X")</formula>
    </cfRule>
    <cfRule type="expression" dxfId="358" priority="142">
      <formula>#REF!=1</formula>
    </cfRule>
  </conditionalFormatting>
  <conditionalFormatting sqref="B17:G20 A17:A61 B21:C21 D21:D23 B22:B23 F22:G23 B24:G61">
    <cfRule type="expression" dxfId="357" priority="21">
      <formula>OR($AF17="X",$AE17="X")</formula>
    </cfRule>
  </conditionalFormatting>
  <conditionalFormatting sqref="B17:G20 A17:A61 B21:D21 B22:B23 D22:D23 F22:G23 B24:G61">
    <cfRule type="expression" dxfId="356" priority="22">
      <formula>AND($AF17=1,$AE17=1)</formula>
    </cfRule>
    <cfRule type="expression" dxfId="355" priority="23">
      <formula>$AF17=1</formula>
    </cfRule>
  </conditionalFormatting>
  <conditionalFormatting sqref="B17:G20 A17:A61 D21:G21 B21:C23 D22:D23 F22:G23 B24:G61">
    <cfRule type="expression" dxfId="354" priority="25">
      <formula>AND(NOT(ISBLANK($X17)),ISBLANK($AE17),ISBLANK($AF17))</formula>
    </cfRule>
  </conditionalFormatting>
  <conditionalFormatting sqref="B17:G21 A17:A61 B22:B23 D22:D23 F22:G23 B24:G61">
    <cfRule type="expression" dxfId="353" priority="24">
      <formula>$AE17=1</formula>
    </cfRule>
  </conditionalFormatting>
  <conditionalFormatting sqref="C9:C11 C17:C20 C24:C61">
    <cfRule type="expression" dxfId="352" priority="4297">
      <formula>AND($M9="X",$B9&lt;&gt;"")</formula>
    </cfRule>
  </conditionalFormatting>
  <conditionalFormatting sqref="C12">
    <cfRule type="expression" dxfId="351" priority="162">
      <formula>$AD16=1</formula>
    </cfRule>
    <cfRule type="expression" dxfId="350" priority="163">
      <formula>AND(NOT(ISBLANK($X16)),ISBLANK($AD16),ISBLANK($AE16))</formula>
    </cfRule>
    <cfRule type="expression" dxfId="349" priority="161">
      <formula>$AE16=1</formula>
    </cfRule>
    <cfRule type="expression" dxfId="348" priority="159">
      <formula>OR($AE16="X",$AD16="X")</formula>
    </cfRule>
    <cfRule type="expression" dxfId="347" priority="160">
      <formula>AND($AE16=1,$AD16=1)</formula>
    </cfRule>
  </conditionalFormatting>
  <conditionalFormatting sqref="C13">
    <cfRule type="expression" dxfId="346" priority="1733">
      <formula>#REF!=1</formula>
    </cfRule>
    <cfRule type="expression" dxfId="345" priority="1735">
      <formula>AND(NOT(ISBLANK(#REF!)),ISBLANK(#REF!),ISBLANK(#REF!))</formula>
    </cfRule>
    <cfRule type="expression" dxfId="344" priority="1731">
      <formula>OR(#REF!="X",#REF!="X")</formula>
    </cfRule>
    <cfRule type="expression" dxfId="343" priority="1732">
      <formula>AND(#REF!=1,#REF!=1)</formula>
    </cfRule>
    <cfRule type="expression" dxfId="342" priority="1734">
      <formula>#REF!=1</formula>
    </cfRule>
  </conditionalFormatting>
  <conditionalFormatting sqref="C14">
    <cfRule type="expression" dxfId="341" priority="1708">
      <formula>AND(#REF!=1,#REF!=1)</formula>
    </cfRule>
    <cfRule type="expression" dxfId="340" priority="1707">
      <formula>OR(#REF!="X",#REF!="X")</formula>
    </cfRule>
    <cfRule type="expression" dxfId="339" priority="1709">
      <formula>#REF!=1</formula>
    </cfRule>
    <cfRule type="expression" dxfId="338" priority="1710">
      <formula>#REF!=1</formula>
    </cfRule>
    <cfRule type="expression" dxfId="337" priority="1711">
      <formula>AND(NOT(ISBLANK(#REF!)),ISBLANK(#REF!),ISBLANK(#REF!))</formula>
    </cfRule>
  </conditionalFormatting>
  <conditionalFormatting sqref="C22:C23">
    <cfRule type="expression" dxfId="336" priority="4305">
      <formula>$AF22=1</formula>
    </cfRule>
    <cfRule type="expression" dxfId="335" priority="4306">
      <formula>$AE22=1</formula>
    </cfRule>
    <cfRule type="expression" dxfId="334" priority="4303">
      <formula>OR($AF22="X",$AE22="X")</formula>
    </cfRule>
    <cfRule type="expression" dxfId="333" priority="4304">
      <formula>AND($AF22=1,$AE22=1)</formula>
    </cfRule>
    <cfRule type="expression" dxfId="332" priority="4302">
      <formula>AND($M22="X",OR(#REF!&lt;&gt;"",$B22&lt;&gt;""))</formula>
    </cfRule>
  </conditionalFormatting>
  <conditionalFormatting sqref="C15:G15">
    <cfRule type="expression" dxfId="331" priority="147">
      <formula>#REF!=1</formula>
    </cfRule>
    <cfRule type="expression" dxfId="330" priority="146">
      <formula>OR($X15="X",#REF!="X")</formula>
    </cfRule>
  </conditionalFormatting>
  <conditionalFormatting sqref="D9:D11 D17:D20 D24:D61">
    <cfRule type="expression" dxfId="329" priority="4307">
      <formula>AND($M9="X",OR($B9&lt;&gt;"",$C9&lt;&gt;""))</formula>
    </cfRule>
  </conditionalFormatting>
  <conditionalFormatting sqref="D12:D14 C21 D21:D23">
    <cfRule type="expression" dxfId="328" priority="4300">
      <formula>AND($M12="X",OR($B12&lt;&gt;"",#REF!&lt;&gt;""))</formula>
    </cfRule>
  </conditionalFormatting>
  <conditionalFormatting sqref="D15">
    <cfRule type="expression" dxfId="327" priority="4310">
      <formula>AND($M15="X",OR($C15&lt;&gt;"",#REF!&lt;&gt;""))</formula>
    </cfRule>
  </conditionalFormatting>
  <conditionalFormatting sqref="D16">
    <cfRule type="expression" dxfId="326" priority="4311">
      <formula>AND($S16="X",OR($C12&lt;&gt;"",#REF!&lt;&gt;""))</formula>
    </cfRule>
  </conditionalFormatting>
  <conditionalFormatting sqref="D21">
    <cfRule type="expression" dxfId="325" priority="4316">
      <formula>$AE21=1</formula>
    </cfRule>
    <cfRule type="expression" dxfId="324" priority="4314">
      <formula>AND($M21="X",OR($B21&lt;&gt;"",#REF!&lt;&gt;"",$C21&lt;&gt;"",$D21&lt;&gt;""))</formula>
    </cfRule>
    <cfRule type="expression" dxfId="323" priority="4317">
      <formula>AND($M21="X",OR($B21&lt;&gt;"",#REF!&lt;&gt;"",$C21&lt;&gt;""))</formula>
    </cfRule>
    <cfRule type="expression" dxfId="322" priority="4321">
      <formula>AND($M21="X",OR($B21&lt;&gt;"",#REF!&lt;&gt;""))</formula>
    </cfRule>
    <cfRule type="expression" dxfId="321" priority="4320">
      <formula>AND($M21="X",$B21&lt;&gt;"")</formula>
    </cfRule>
    <cfRule type="expression" dxfId="320" priority="4313">
      <formula>AND($M21="X",OR($B21&lt;&gt;"",#REF!&lt;&gt;"",$C21&lt;&gt;""))</formula>
    </cfRule>
    <cfRule type="expression" dxfId="319" priority="4319">
      <formula>$AF21=1</formula>
    </cfRule>
    <cfRule type="expression" dxfId="318" priority="4318">
      <formula>AND($AF21=1,$AE21=1)</formula>
    </cfRule>
    <cfRule type="expression" dxfId="317" priority="4315">
      <formula>AND($M21="X",OR($B21&lt;&gt;"",#REF!&lt;&gt;"",$D21&lt;&gt;"",#REF!&lt;&gt;""))</formula>
    </cfRule>
  </conditionalFormatting>
  <conditionalFormatting sqref="D16:G16">
    <cfRule type="expression" dxfId="316" priority="124">
      <formula>$AD16=1</formula>
    </cfRule>
    <cfRule type="expression" dxfId="315" priority="121">
      <formula>OR($AE16="X",$AD16="X")</formula>
    </cfRule>
    <cfRule type="expression" dxfId="314" priority="122">
      <formula>AND($AE16=1,$AD16=1)</formula>
    </cfRule>
    <cfRule type="expression" dxfId="313" priority="123">
      <formula>$AE16=1</formula>
    </cfRule>
    <cfRule type="expression" dxfId="312" priority="125">
      <formula>AND(NOT(ISBLANK($X16)),ISBLANK($AD16),ISBLANK($AE16))</formula>
    </cfRule>
  </conditionalFormatting>
  <conditionalFormatting sqref="D21:G21">
    <cfRule type="expression" dxfId="311" priority="4330">
      <formula>OR($AF21="X",$AE21="X")</formula>
    </cfRule>
    <cfRule type="expression" dxfId="310" priority="4327">
      <formula>AND($M21="X",OR($B21&lt;&gt;"",$C21&lt;&gt;"",$D21&lt;&gt;"",$E21&lt;&gt;"",$F21&lt;&gt;""))</formula>
    </cfRule>
    <cfRule type="expression" dxfId="309" priority="4328">
      <formula>AND($AF21=1,$AE21=1)</formula>
    </cfRule>
    <cfRule type="expression" dxfId="308" priority="4329">
      <formula>$AF21=1</formula>
    </cfRule>
  </conditionalFormatting>
  <conditionalFormatting sqref="E2">
    <cfRule type="dataBar" priority="1">
      <dataBar>
        <cfvo type="num" val="0"/>
        <cfvo type="num" val="1"/>
        <color rgb="FF63C384"/>
      </dataBar>
      <extLst>
        <ext xmlns:x14="http://schemas.microsoft.com/office/spreadsheetml/2009/9/main" uri="{B025F937-C7B1-47D3-B67F-A62EFF666E3E}">
          <x14:id>{31E1CB47-6FEB-4AA4-A28D-227209162AF1}</x14:id>
        </ext>
      </extLst>
    </cfRule>
  </conditionalFormatting>
  <conditionalFormatting sqref="E9:E11 E17:E20 E24:E61">
    <cfRule type="expression" dxfId="307" priority="4331">
      <formula>AND($M9="X",OR($B9&lt;&gt;"",$C9&lt;&gt;"",$D9&lt;&gt;""))</formula>
    </cfRule>
  </conditionalFormatting>
  <conditionalFormatting sqref="E12:E14">
    <cfRule type="expression" dxfId="306" priority="4333">
      <formula>AND($M12="X",OR($B12&lt;&gt;"",#REF!&lt;&gt;"",$D12&lt;&gt;""))</formula>
    </cfRule>
  </conditionalFormatting>
  <conditionalFormatting sqref="E15">
    <cfRule type="expression" dxfId="305" priority="4334">
      <formula>AND($M15="X",OR($C15&lt;&gt;"",#REF!&lt;&gt;"",$D15&lt;&gt;""))</formula>
    </cfRule>
  </conditionalFormatting>
  <conditionalFormatting sqref="E16">
    <cfRule type="expression" dxfId="304" priority="4335">
      <formula>AND($S16="X",OR($C12&lt;&gt;"",#REF!&lt;&gt;"",$D16&lt;&gt;""))</formula>
    </cfRule>
  </conditionalFormatting>
  <conditionalFormatting sqref="E22:E23">
    <cfRule type="expression" dxfId="303" priority="4339">
      <formula>$AF22=1</formula>
    </cfRule>
    <cfRule type="expression" dxfId="302" priority="4338">
      <formula>AND($AF22=1,$AE22=1)</formula>
    </cfRule>
    <cfRule type="expression" dxfId="301" priority="4340">
      <formula>$AE22=1</formula>
    </cfRule>
    <cfRule type="expression" dxfId="300" priority="4341">
      <formula>AND(NOT(ISBLANK($X22)),ISBLANK($AE22),ISBLANK($AF22))</formula>
    </cfRule>
    <cfRule type="expression" dxfId="299" priority="4342">
      <formula>AND($M22="X",OR($B22&lt;&gt;"",#REF!&lt;&gt;"",$D22&lt;&gt;"",#REF!&lt;&gt;""))</formula>
    </cfRule>
    <cfRule type="expression" dxfId="298" priority="4337">
      <formula>OR($AF22="X",$AE22="X")</formula>
    </cfRule>
  </conditionalFormatting>
  <conditionalFormatting sqref="F9:F11 F17:F20 F24:F61">
    <cfRule type="expression" dxfId="297" priority="4343">
      <formula>AND($M9="X",OR($B9&lt;&gt;"",$C9&lt;&gt;"",$D9&lt;&gt;"",$E9&lt;&gt;""))</formula>
    </cfRule>
  </conditionalFormatting>
  <conditionalFormatting sqref="F12:F14">
    <cfRule type="expression" dxfId="296" priority="4345">
      <formula>AND($M12="X",OR($B12&lt;&gt;"",#REF!&lt;&gt;"",$D12&lt;&gt;"",$E12&lt;&gt;""))</formula>
    </cfRule>
  </conditionalFormatting>
  <conditionalFormatting sqref="F15">
    <cfRule type="expression" dxfId="295" priority="4346">
      <formula>AND($M15="X",OR($C15&lt;&gt;"",#REF!&lt;&gt;"",$D15&lt;&gt;"",$E15&lt;&gt;""))</formula>
    </cfRule>
  </conditionalFormatting>
  <conditionalFormatting sqref="F16">
    <cfRule type="expression" dxfId="294" priority="4347">
      <formula>AND($S16="X",OR($C12&lt;&gt;"",#REF!&lt;&gt;"",$D16&lt;&gt;"",$E16&lt;&gt;""))</formula>
    </cfRule>
  </conditionalFormatting>
  <conditionalFormatting sqref="F22:F23">
    <cfRule type="expression" dxfId="293" priority="4349">
      <formula>AND($M22="X",OR($B22&lt;&gt;"",#REF!&lt;&gt;"",$D22&lt;&gt;"",#REF!&lt;&gt;""))</formula>
    </cfRule>
  </conditionalFormatting>
  <conditionalFormatting sqref="G9:G11 G17:G20 G24:G61">
    <cfRule type="expression" dxfId="292" priority="4350">
      <formula>AND($M9="X",OR($B9&lt;&gt;"",$C9&lt;&gt;"",$D9&lt;&gt;"",$E9&lt;&gt;"",$F9&lt;&gt;""))</formula>
    </cfRule>
  </conditionalFormatting>
  <conditionalFormatting sqref="G12:G14">
    <cfRule type="expression" dxfId="291" priority="4352">
      <formula>AND($M12="X",OR($B12&lt;&gt;"",#REF!&lt;&gt;"",$D12&lt;&gt;"",$E12&lt;&gt;"",$F12&lt;&gt;""))</formula>
    </cfRule>
  </conditionalFormatting>
  <conditionalFormatting sqref="G15">
    <cfRule type="expression" dxfId="290" priority="4353">
      <formula>AND($M15="X",OR($C15&lt;&gt;"",#REF!&lt;&gt;"",$D15&lt;&gt;"",$E15&lt;&gt;"",$F15&lt;&gt;""))</formula>
    </cfRule>
  </conditionalFormatting>
  <conditionalFormatting sqref="G16">
    <cfRule type="expression" dxfId="289" priority="4354">
      <formula>AND($S16="X",OR($C12&lt;&gt;"",#REF!&lt;&gt;"",$D16&lt;&gt;"",$E16&lt;&gt;"",$F16&lt;&gt;""))</formula>
    </cfRule>
  </conditionalFormatting>
  <conditionalFormatting sqref="G22:G23">
    <cfRule type="expression" dxfId="288" priority="4356">
      <formula>AND($M22="X",OR($B22&lt;&gt;"",#REF!&lt;&gt;"",$D22&lt;&gt;"",#REF!&lt;&gt;"",$F22&lt;&gt;""))</formula>
    </cfRule>
  </conditionalFormatting>
  <conditionalFormatting sqref="H63:H64 H67:H885">
    <cfRule type="expression" dxfId="287" priority="131">
      <formula>$K63="X"</formula>
    </cfRule>
  </conditionalFormatting>
  <conditionalFormatting sqref="I11:J11">
    <cfRule type="expression" dxfId="286" priority="120">
      <formula>$S16="X"</formula>
    </cfRule>
  </conditionalFormatting>
  <conditionalFormatting sqref="I17:J17 I19:J61">
    <cfRule type="expression" dxfId="285" priority="29">
      <formula>$M17="X"</formula>
    </cfRule>
  </conditionalFormatting>
  <conditionalFormatting sqref="L9:L10">
    <cfRule type="cellIs" dxfId="284" priority="64" operator="equal">
      <formula>"0..1"</formula>
    </cfRule>
    <cfRule type="cellIs" dxfId="283" priority="62" operator="equal">
      <formula>"1..1"</formula>
    </cfRule>
    <cfRule type="cellIs" dxfId="282" priority="63" operator="equal">
      <formula>"0..n"</formula>
    </cfRule>
  </conditionalFormatting>
  <conditionalFormatting sqref="L12 L15">
    <cfRule type="cellIs" dxfId="281" priority="126" operator="equal">
      <formula>"1..1"</formula>
    </cfRule>
    <cfRule type="cellIs" dxfId="280" priority="127" operator="equal">
      <formula>"0..n"</formula>
    </cfRule>
    <cfRule type="cellIs" dxfId="279" priority="128" operator="equal">
      <formula>"0..1"</formula>
    </cfRule>
  </conditionalFormatting>
  <conditionalFormatting sqref="L18:L60 K21:K58 K60">
    <cfRule type="cellIs" dxfId="278" priority="13" operator="equal">
      <formula>"0..n"</formula>
    </cfRule>
    <cfRule type="cellIs" dxfId="277" priority="14" operator="equal">
      <formula>"0..1"</formula>
    </cfRule>
    <cfRule type="cellIs" dxfId="276" priority="12"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1E1CB47-6FEB-4AA4-A28D-227209162AF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sheetPr>
    <tabColor theme="4" tint="0.79998168889431442"/>
  </sheetPr>
  <dimension ref="A1:ALU54"/>
  <sheetViews>
    <sheetView zoomScaleNormal="100" workbookViewId="0">
      <pane xSplit="7" ySplit="8" topLeftCell="K9" activePane="bottomRight" state="frozen"/>
      <selection pane="topRight" activeCell="H1" sqref="H1"/>
      <selection pane="bottomLeft" activeCell="A9" sqref="A9"/>
      <selection pane="bottomRight" activeCell="D25" sqref="D25"/>
    </sheetView>
  </sheetViews>
  <sheetFormatPr baseColWidth="10" defaultColWidth="9.5" defaultRowHeight="12" customHeight="1"/>
  <cols>
    <col min="1" max="1" width="4.6640625" style="128" customWidth="1"/>
    <col min="2" max="2" width="31.1640625" style="128" customWidth="1"/>
    <col min="3" max="3" width="29.33203125" style="128" customWidth="1"/>
    <col min="4" max="4" width="27.33203125" style="128" customWidth="1"/>
    <col min="5" max="5" width="9.6640625" style="128" customWidth="1"/>
    <col min="6" max="6" width="8.6640625" style="128" customWidth="1"/>
    <col min="7" max="7" width="11.1640625" style="96" customWidth="1"/>
    <col min="8" max="8" width="44.1640625" style="96" customWidth="1"/>
    <col min="9" max="9" width="33.5" style="225" customWidth="1"/>
    <col min="10" max="10" width="19.83203125" style="159" hidden="1" customWidth="1"/>
    <col min="11" max="11" width="10.5" style="96" customWidth="1"/>
    <col min="12" max="12" width="6" style="173" customWidth="1"/>
    <col min="13" max="13" width="8.6640625" style="96" customWidth="1"/>
    <col min="14" max="14" width="12.6640625" style="277" customWidth="1"/>
    <col min="15" max="15" width="28.1640625" style="96" customWidth="1"/>
    <col min="16" max="16" width="8.83203125" style="96" customWidth="1"/>
    <col min="17" max="17" width="10" style="96" hidden="1" customWidth="1"/>
    <col min="18" max="18" width="10.5" customWidth="1"/>
    <col min="19" max="19" width="22.6640625" style="179" customWidth="1"/>
    <col min="20" max="20" width="16.33203125" style="96" customWidth="1"/>
    <col min="21" max="21" width="13.33203125" style="159" customWidth="1"/>
    <col min="22" max="22" width="12.83203125" style="96" customWidth="1"/>
    <col min="23" max="23" width="11.1640625" style="96" customWidth="1"/>
    <col min="25" max="1005" width="9.5" style="128"/>
    <col min="1006" max="1006" width="9" style="128" customWidth="1"/>
    <col min="1007" max="1008" width="9" customWidth="1"/>
  </cols>
  <sheetData>
    <row r="1" spans="1:1006" ht="13.5" customHeight="1">
      <c r="A1" s="228" t="s">
        <v>2293</v>
      </c>
      <c r="C1" s="129"/>
      <c r="F1" s="157"/>
      <c r="G1" s="128"/>
      <c r="H1" s="793"/>
      <c r="I1" s="793"/>
      <c r="X1" s="128"/>
      <c r="ALR1"/>
    </row>
    <row r="2" spans="1:1006" ht="13.5" customHeight="1">
      <c r="A2" s="128" t="s">
        <v>851</v>
      </c>
      <c r="B2" s="128" t="s">
        <v>2294</v>
      </c>
      <c r="C2" s="141"/>
      <c r="D2" s="284"/>
      <c r="E2" s="284"/>
      <c r="F2" s="157"/>
      <c r="G2" s="128"/>
      <c r="H2" s="793"/>
      <c r="I2" s="793"/>
      <c r="X2" s="128"/>
      <c r="ALR2"/>
    </row>
    <row r="3" spans="1:1006" ht="13.5" customHeight="1">
      <c r="C3" s="128" t="s">
        <v>2295</v>
      </c>
      <c r="G3" s="128"/>
      <c r="X3" s="128"/>
      <c r="ALR3"/>
    </row>
    <row r="4" spans="1:1006" ht="13.5" customHeight="1">
      <c r="C4" s="128" t="s">
        <v>2296</v>
      </c>
      <c r="G4" s="137"/>
      <c r="X4" s="128"/>
      <c r="ALR4"/>
    </row>
    <row r="5" spans="1:1006" s="149" customFormat="1" ht="13.5" customHeight="1">
      <c r="A5" s="128"/>
      <c r="B5" s="128"/>
      <c r="C5" s="128" t="s">
        <v>2297</v>
      </c>
      <c r="D5" s="146"/>
      <c r="E5" s="146"/>
      <c r="F5" s="146"/>
      <c r="G5" s="148"/>
      <c r="H5" s="148"/>
      <c r="I5" s="275"/>
      <c r="J5" s="160"/>
      <c r="K5" s="148"/>
      <c r="L5" s="186"/>
      <c r="M5" s="148"/>
      <c r="N5" s="279"/>
      <c r="O5" s="148"/>
      <c r="P5" s="148"/>
      <c r="Q5" s="148"/>
      <c r="R5"/>
      <c r="S5" s="181"/>
      <c r="T5" s="148"/>
      <c r="U5" s="160"/>
      <c r="V5" s="148"/>
      <c r="W5" s="148"/>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row>
    <row r="6" spans="1:1006" ht="13.5" customHeight="1">
      <c r="C6" s="144"/>
      <c r="D6" s="138"/>
      <c r="F6" s="138"/>
      <c r="X6" s="128"/>
      <c r="ALR6"/>
    </row>
    <row r="7" spans="1:1006" ht="13.5" customHeight="1">
      <c r="A7"/>
      <c r="B7"/>
      <c r="C7" s="138"/>
      <c r="D7" s="377"/>
      <c r="E7" s="138"/>
      <c r="F7" s="138"/>
      <c r="P7" s="703"/>
      <c r="Q7" s="702" t="s">
        <v>829</v>
      </c>
      <c r="R7" s="702" t="s">
        <v>829</v>
      </c>
      <c r="W7" s="649" t="s">
        <v>685</v>
      </c>
      <c r="X7" s="128"/>
      <c r="ALR7"/>
    </row>
    <row r="8" spans="1:1006" s="238" customFormat="1" ht="55.5" customHeight="1">
      <c r="A8" s="233" t="s">
        <v>831</v>
      </c>
      <c r="B8" s="381" t="s">
        <v>832</v>
      </c>
      <c r="C8" s="278" t="s">
        <v>833</v>
      </c>
      <c r="D8" s="278" t="s">
        <v>834</v>
      </c>
      <c r="E8" s="278" t="s">
        <v>835</v>
      </c>
      <c r="F8" s="278" t="s">
        <v>836</v>
      </c>
      <c r="G8" s="278" t="s">
        <v>837</v>
      </c>
      <c r="H8" s="234" t="s">
        <v>9</v>
      </c>
      <c r="I8" s="234" t="s">
        <v>838</v>
      </c>
      <c r="J8" s="234" t="s">
        <v>841</v>
      </c>
      <c r="K8" s="234" t="s">
        <v>842</v>
      </c>
      <c r="L8" s="234" t="s">
        <v>677</v>
      </c>
      <c r="M8" s="234" t="s">
        <v>3</v>
      </c>
      <c r="N8" s="234" t="s">
        <v>913</v>
      </c>
      <c r="O8" s="283" t="s">
        <v>914</v>
      </c>
      <c r="P8" s="234" t="s">
        <v>849</v>
      </c>
      <c r="Q8" s="229" t="s">
        <v>850</v>
      </c>
      <c r="R8" s="229" t="s">
        <v>851</v>
      </c>
      <c r="S8" s="230" t="s">
        <v>852</v>
      </c>
      <c r="T8" s="235" t="s">
        <v>853</v>
      </c>
      <c r="U8" s="235" t="s">
        <v>854</v>
      </c>
      <c r="V8" s="236" t="s">
        <v>855</v>
      </c>
      <c r="W8" s="235" t="s">
        <v>856</v>
      </c>
      <c r="X8" s="237" t="s">
        <v>915</v>
      </c>
    </row>
    <row r="9" spans="1:1006" s="224" customFormat="1" ht="13.5" customHeight="1">
      <c r="A9" s="225">
        <v>1</v>
      </c>
      <c r="B9" s="217" t="s">
        <v>916</v>
      </c>
      <c r="C9" s="240"/>
      <c r="D9" s="727"/>
      <c r="E9" s="727"/>
      <c r="F9" s="727"/>
      <c r="G9" s="727"/>
      <c r="H9" s="728" t="s">
        <v>950</v>
      </c>
      <c r="I9" s="316" t="s">
        <v>1612</v>
      </c>
      <c r="J9" s="672"/>
      <c r="K9" s="729" t="s">
        <v>919</v>
      </c>
      <c r="L9" s="728" t="s">
        <v>820</v>
      </c>
      <c r="M9" s="730"/>
      <c r="N9" s="728" t="s">
        <v>863</v>
      </c>
      <c r="O9" s="731"/>
      <c r="P9" s="728"/>
      <c r="Q9" s="732"/>
      <c r="R9" s="732" t="s">
        <v>864</v>
      </c>
      <c r="S9" s="232"/>
      <c r="T9" s="733"/>
      <c r="U9" s="728"/>
      <c r="V9" s="734"/>
      <c r="W9" s="728"/>
      <c r="X9" s="731"/>
    </row>
    <row r="10" spans="1:1006" s="224" customFormat="1" ht="13.5" customHeight="1">
      <c r="A10" s="225">
        <v>2</v>
      </c>
      <c r="B10" s="217" t="s">
        <v>2195</v>
      </c>
      <c r="C10" s="240"/>
      <c r="D10" s="241"/>
      <c r="E10" s="241"/>
      <c r="F10" s="241"/>
      <c r="G10" s="241"/>
      <c r="H10" s="728" t="s">
        <v>2271</v>
      </c>
      <c r="I10" s="316" t="s">
        <v>2197</v>
      </c>
      <c r="J10" s="745"/>
      <c r="K10" s="729" t="s">
        <v>2198</v>
      </c>
      <c r="L10" s="728" t="s">
        <v>820</v>
      </c>
      <c r="M10" s="730"/>
      <c r="N10" s="728" t="s">
        <v>863</v>
      </c>
      <c r="O10" s="731"/>
      <c r="P10" s="728"/>
      <c r="Q10" s="732"/>
      <c r="R10" s="732" t="s">
        <v>864</v>
      </c>
      <c r="S10" s="232"/>
      <c r="T10" s="733"/>
      <c r="U10" s="728"/>
      <c r="V10" s="734"/>
      <c r="W10" s="728"/>
      <c r="X10" s="731"/>
    </row>
    <row r="11" spans="1:1006" s="224" customFormat="1" ht="13.5" customHeight="1">
      <c r="A11" s="225">
        <v>3</v>
      </c>
      <c r="B11" s="217" t="s">
        <v>2298</v>
      </c>
      <c r="C11" s="240"/>
      <c r="D11" s="241"/>
      <c r="E11" s="241"/>
      <c r="F11" s="241"/>
      <c r="G11" s="241"/>
      <c r="H11" s="728" t="s">
        <v>2273</v>
      </c>
      <c r="I11" s="729" t="s">
        <v>930</v>
      </c>
      <c r="J11" s="729"/>
      <c r="K11" s="728" t="s">
        <v>2299</v>
      </c>
      <c r="L11" s="728" t="s">
        <v>820</v>
      </c>
      <c r="M11" s="730" t="s">
        <v>864</v>
      </c>
      <c r="N11" s="243" t="s">
        <v>2300</v>
      </c>
      <c r="O11" s="731"/>
      <c r="P11" s="728" t="s">
        <v>932</v>
      </c>
      <c r="Q11" s="732"/>
      <c r="R11" s="732" t="s">
        <v>864</v>
      </c>
      <c r="S11" s="232"/>
      <c r="T11" s="733"/>
      <c r="U11" s="728"/>
      <c r="V11" s="734"/>
      <c r="W11" s="728"/>
      <c r="X11" s="731"/>
    </row>
    <row r="12" spans="1:1006" s="224" customFormat="1" ht="13.5" customHeight="1">
      <c r="A12" s="225">
        <v>4</v>
      </c>
      <c r="B12" s="217"/>
      <c r="C12" s="217" t="s">
        <v>2301</v>
      </c>
      <c r="D12" s="241"/>
      <c r="E12" s="241"/>
      <c r="F12" s="241"/>
      <c r="G12" s="241"/>
      <c r="H12" s="728" t="s">
        <v>2276</v>
      </c>
      <c r="I12" s="745"/>
      <c r="J12" s="745"/>
      <c r="K12" s="729" t="s">
        <v>2189</v>
      </c>
      <c r="L12" s="728" t="s">
        <v>820</v>
      </c>
      <c r="M12" s="730"/>
      <c r="N12" s="728" t="s">
        <v>879</v>
      </c>
      <c r="O12" s="731"/>
      <c r="P12" s="728" t="s">
        <v>932</v>
      </c>
      <c r="Q12" s="732"/>
      <c r="R12" s="732" t="s">
        <v>864</v>
      </c>
      <c r="S12" s="232"/>
      <c r="T12" s="733"/>
      <c r="U12" s="728"/>
      <c r="V12" s="734"/>
      <c r="W12" s="728"/>
      <c r="X12" s="731"/>
    </row>
    <row r="13" spans="1:1006" s="224" customFormat="1" ht="13.5" customHeight="1">
      <c r="A13" s="225">
        <v>5</v>
      </c>
      <c r="B13" s="217"/>
      <c r="C13" s="749" t="s">
        <v>2302</v>
      </c>
      <c r="D13" s="241"/>
      <c r="E13" s="241"/>
      <c r="F13" s="241"/>
      <c r="G13" s="241"/>
      <c r="H13" s="728" t="s">
        <v>2303</v>
      </c>
      <c r="I13" s="729"/>
      <c r="J13" s="729"/>
      <c r="K13" s="729" t="s">
        <v>2304</v>
      </c>
      <c r="L13" s="728" t="s">
        <v>820</v>
      </c>
      <c r="M13" s="728"/>
      <c r="N13" s="728" t="s">
        <v>863</v>
      </c>
      <c r="O13" s="731" t="s">
        <v>864</v>
      </c>
      <c r="P13" s="773" t="s">
        <v>2718</v>
      </c>
      <c r="Q13" s="732"/>
      <c r="R13" s="732" t="s">
        <v>864</v>
      </c>
      <c r="S13" s="232"/>
      <c r="T13" s="733"/>
      <c r="U13" s="728"/>
      <c r="V13" s="734"/>
      <c r="W13" s="728"/>
      <c r="X13" s="731"/>
      <c r="Y13" s="232"/>
      <c r="Z13" s="733"/>
      <c r="AA13" s="728"/>
      <c r="AB13" s="729"/>
      <c r="AC13" s="728"/>
      <c r="AD13" s="731"/>
      <c r="AE13" s="731"/>
      <c r="AF13" s="731"/>
    </row>
    <row r="14" spans="1:1006" s="224" customFormat="1" ht="13.5" customHeight="1">
      <c r="A14" s="225">
        <v>6</v>
      </c>
      <c r="B14" s="217"/>
      <c r="C14" s="775" t="s">
        <v>2305</v>
      </c>
      <c r="D14" s="241"/>
      <c r="E14" s="241"/>
      <c r="F14" s="241"/>
      <c r="G14" s="241"/>
      <c r="H14" s="728" t="s">
        <v>2306</v>
      </c>
      <c r="I14" s="729"/>
      <c r="J14" s="729"/>
      <c r="K14" s="729" t="s">
        <v>2283</v>
      </c>
      <c r="L14" s="728" t="s">
        <v>817</v>
      </c>
      <c r="M14" s="728"/>
      <c r="N14" s="728" t="s">
        <v>863</v>
      </c>
      <c r="O14" s="731"/>
      <c r="P14" s="728"/>
      <c r="Q14" s="732"/>
      <c r="R14" s="732" t="s">
        <v>864</v>
      </c>
      <c r="S14" s="232"/>
      <c r="T14" s="733"/>
      <c r="U14" s="728"/>
      <c r="V14" s="734"/>
      <c r="W14" s="728"/>
      <c r="X14" s="731"/>
      <c r="Y14" s="232"/>
      <c r="Z14" s="733"/>
      <c r="AA14" s="728"/>
      <c r="AB14" s="729"/>
      <c r="AC14" s="728"/>
      <c r="AD14" s="731"/>
      <c r="AE14" s="731"/>
      <c r="AF14" s="731"/>
    </row>
    <row r="15" spans="1:1006" s="224" customFormat="1" ht="13.5" customHeight="1">
      <c r="A15" s="225">
        <v>7</v>
      </c>
      <c r="B15" s="217"/>
      <c r="C15" s="217" t="s">
        <v>2307</v>
      </c>
      <c r="D15" s="241"/>
      <c r="E15" s="241"/>
      <c r="F15" s="241"/>
      <c r="G15" s="241"/>
      <c r="H15" s="728" t="s">
        <v>2308</v>
      </c>
      <c r="I15" s="729"/>
      <c r="J15" s="729"/>
      <c r="K15" s="729" t="s">
        <v>939</v>
      </c>
      <c r="L15" s="728" t="s">
        <v>817</v>
      </c>
      <c r="M15" s="730"/>
      <c r="N15" s="728" t="s">
        <v>863</v>
      </c>
      <c r="O15" s="728"/>
      <c r="P15" s="728"/>
      <c r="Q15" s="730"/>
      <c r="R15" s="732" t="s">
        <v>864</v>
      </c>
      <c r="S15" s="232"/>
      <c r="T15" s="728"/>
      <c r="U15" s="731"/>
      <c r="V15" s="734"/>
      <c r="W15" s="732"/>
      <c r="X15" s="732"/>
      <c r="Y15" s="232"/>
      <c r="Z15" s="733"/>
      <c r="AA15" s="728"/>
      <c r="AB15" s="734"/>
      <c r="AC15" s="728"/>
      <c r="AD15" s="731"/>
      <c r="AE15" s="731"/>
      <c r="AF15" s="732"/>
    </row>
    <row r="16" spans="1:1006" s="224" customFormat="1" ht="14.25" customHeight="1">
      <c r="A16" s="225">
        <v>8</v>
      </c>
      <c r="B16" s="217" t="s">
        <v>2062</v>
      </c>
      <c r="C16" s="240"/>
      <c r="D16" s="241"/>
      <c r="E16" s="241"/>
      <c r="F16" s="241"/>
      <c r="G16" s="241"/>
      <c r="H16" s="728" t="s">
        <v>2185</v>
      </c>
      <c r="I16" s="729"/>
      <c r="J16" s="729"/>
      <c r="K16" s="729" t="s">
        <v>2186</v>
      </c>
      <c r="L16" s="728" t="s">
        <v>823</v>
      </c>
      <c r="M16" s="730" t="s">
        <v>864</v>
      </c>
      <c r="N16" s="243" t="s">
        <v>1365</v>
      </c>
      <c r="O16" s="731"/>
      <c r="P16" s="728"/>
      <c r="Q16" s="732"/>
      <c r="R16" s="732"/>
      <c r="S16" s="232"/>
      <c r="T16" s="733"/>
      <c r="U16" s="728"/>
      <c r="V16" s="734"/>
      <c r="W16" s="728"/>
      <c r="X16" s="731"/>
    </row>
    <row r="17" spans="1:24" s="224" customFormat="1" ht="14.25" customHeight="1">
      <c r="A17" s="225">
        <v>9</v>
      </c>
      <c r="B17" s="217"/>
      <c r="C17" s="727" t="s">
        <v>2187</v>
      </c>
      <c r="D17" s="241"/>
      <c r="E17" s="241"/>
      <c r="F17" s="241"/>
      <c r="G17" s="241"/>
      <c r="H17" s="728" t="s">
        <v>2188</v>
      </c>
      <c r="I17" s="729"/>
      <c r="J17" s="729"/>
      <c r="K17" s="497" t="s">
        <v>2309</v>
      </c>
      <c r="L17" s="728" t="s">
        <v>820</v>
      </c>
      <c r="M17" s="730"/>
      <c r="N17" s="728" t="s">
        <v>879</v>
      </c>
      <c r="O17" s="731"/>
      <c r="P17" s="728" t="s">
        <v>932</v>
      </c>
      <c r="Q17" s="732"/>
      <c r="R17" s="732"/>
      <c r="S17" s="232"/>
      <c r="T17" s="733"/>
      <c r="U17" s="728"/>
      <c r="V17" s="734"/>
      <c r="W17" s="728"/>
      <c r="X17" s="731"/>
    </row>
    <row r="18" spans="1:24" s="224" customFormat="1" ht="14.25" customHeight="1">
      <c r="A18" s="225">
        <v>10</v>
      </c>
      <c r="B18" s="217"/>
      <c r="C18" s="727" t="s">
        <v>2310</v>
      </c>
      <c r="D18" s="241"/>
      <c r="E18" s="241"/>
      <c r="F18" s="241"/>
      <c r="G18" s="241"/>
      <c r="H18" s="728" t="s">
        <v>2311</v>
      </c>
      <c r="I18" s="729"/>
      <c r="J18" s="729"/>
      <c r="K18" s="497" t="s">
        <v>2312</v>
      </c>
      <c r="L18" s="728" t="s">
        <v>817</v>
      </c>
      <c r="M18" s="730"/>
      <c r="N18" s="728" t="s">
        <v>879</v>
      </c>
      <c r="O18" s="731"/>
      <c r="P18" s="728" t="s">
        <v>932</v>
      </c>
      <c r="Q18" s="732"/>
      <c r="R18" s="732"/>
      <c r="S18" s="232"/>
      <c r="T18" s="733"/>
      <c r="U18" s="728"/>
      <c r="V18" s="734"/>
      <c r="W18" s="728"/>
      <c r="X18" s="731"/>
    </row>
    <row r="19" spans="1:24" s="224" customFormat="1" ht="14.25" customHeight="1">
      <c r="A19" s="225">
        <v>11</v>
      </c>
      <c r="B19" s="217"/>
      <c r="C19" s="727" t="s">
        <v>2313</v>
      </c>
      <c r="D19" s="241"/>
      <c r="E19" s="241"/>
      <c r="F19" s="241"/>
      <c r="G19" s="241"/>
      <c r="H19" s="728" t="s">
        <v>2314</v>
      </c>
      <c r="I19" s="729"/>
      <c r="J19" s="729"/>
      <c r="K19" s="497" t="s">
        <v>2315</v>
      </c>
      <c r="L19" s="728" t="s">
        <v>817</v>
      </c>
      <c r="M19" s="730"/>
      <c r="N19" s="728" t="s">
        <v>879</v>
      </c>
      <c r="O19" s="731"/>
      <c r="P19" s="728" t="s">
        <v>932</v>
      </c>
      <c r="Q19" s="732"/>
      <c r="R19" s="732"/>
      <c r="S19" s="232"/>
      <c r="T19" s="733"/>
      <c r="U19" s="728"/>
      <c r="V19" s="734"/>
      <c r="W19" s="728"/>
      <c r="X19" s="731"/>
    </row>
    <row r="20" spans="1:24" s="224" customFormat="1" ht="13.5" customHeight="1">
      <c r="A20" s="225">
        <v>12</v>
      </c>
      <c r="B20" s="217"/>
      <c r="C20" s="219" t="s">
        <v>2316</v>
      </c>
      <c r="D20" s="241"/>
      <c r="E20" s="241"/>
      <c r="F20" s="241"/>
      <c r="G20" s="241"/>
      <c r="H20" s="263" t="s">
        <v>2317</v>
      </c>
      <c r="I20" s="264" t="s">
        <v>2193</v>
      </c>
      <c r="J20" s="729"/>
      <c r="K20" s="729" t="s">
        <v>2194</v>
      </c>
      <c r="L20" s="728" t="s">
        <v>820</v>
      </c>
      <c r="M20" s="730"/>
      <c r="N20" s="728" t="s">
        <v>863</v>
      </c>
      <c r="O20" s="731"/>
      <c r="P20" s="728"/>
      <c r="Q20" s="732"/>
      <c r="R20" s="732"/>
      <c r="S20" s="232"/>
      <c r="T20" s="733" t="s">
        <v>2318</v>
      </c>
      <c r="U20" s="728"/>
      <c r="V20" s="734"/>
      <c r="W20" s="728"/>
      <c r="X20" s="731"/>
    </row>
    <row r="21" spans="1:24" s="224" customFormat="1" ht="13.5" customHeight="1">
      <c r="A21" s="225">
        <v>13</v>
      </c>
      <c r="B21" s="217"/>
      <c r="C21" s="241" t="s">
        <v>2040</v>
      </c>
      <c r="D21" s="241"/>
      <c r="E21" s="241"/>
      <c r="F21" s="241"/>
      <c r="G21" s="241"/>
      <c r="H21" s="728" t="s">
        <v>2204</v>
      </c>
      <c r="I21" s="264" t="s">
        <v>1341</v>
      </c>
      <c r="J21" s="729"/>
      <c r="K21" s="729" t="s">
        <v>2205</v>
      </c>
      <c r="L21" s="728" t="s">
        <v>817</v>
      </c>
      <c r="M21" s="730"/>
      <c r="N21" s="728" t="s">
        <v>863</v>
      </c>
      <c r="O21" s="731"/>
      <c r="P21" s="728"/>
      <c r="Q21" s="732"/>
      <c r="R21" s="732"/>
      <c r="S21" s="232"/>
      <c r="T21" s="733"/>
      <c r="U21" s="728"/>
      <c r="V21" s="734"/>
      <c r="W21" s="728"/>
      <c r="X21" s="731"/>
    </row>
    <row r="22" spans="1:24" s="224" customFormat="1" ht="13.5" customHeight="1">
      <c r="A22" s="263">
        <v>11</v>
      </c>
      <c r="B22" s="217"/>
      <c r="C22" s="719" t="s">
        <v>1699</v>
      </c>
      <c r="D22" s="241"/>
      <c r="E22" s="241"/>
      <c r="F22" s="241"/>
      <c r="G22" s="241"/>
      <c r="H22" s="728" t="s">
        <v>2210</v>
      </c>
      <c r="I22" s="720" t="s">
        <v>2211</v>
      </c>
      <c r="J22" s="729"/>
      <c r="K22" s="729" t="s">
        <v>1707</v>
      </c>
      <c r="L22" s="728" t="s">
        <v>820</v>
      </c>
      <c r="M22" s="730"/>
      <c r="N22" s="728" t="s">
        <v>863</v>
      </c>
      <c r="O22" s="731" t="s">
        <v>864</v>
      </c>
      <c r="P22" s="728" t="s">
        <v>1703</v>
      </c>
      <c r="Q22" s="732"/>
      <c r="R22" s="732"/>
      <c r="S22" s="232"/>
      <c r="T22" s="733" t="s">
        <v>2212</v>
      </c>
      <c r="U22" s="728"/>
      <c r="V22" s="734"/>
      <c r="W22" s="728"/>
      <c r="X22" s="731"/>
    </row>
    <row r="23" spans="1:24" s="224" customFormat="1" ht="13.5" customHeight="1">
      <c r="A23" s="263">
        <v>12</v>
      </c>
      <c r="B23" s="217"/>
      <c r="C23" s="719" t="s">
        <v>1704</v>
      </c>
      <c r="D23" s="241"/>
      <c r="E23" s="241"/>
      <c r="F23" s="241"/>
      <c r="G23" s="241"/>
      <c r="H23" s="728" t="s">
        <v>2213</v>
      </c>
      <c r="I23" s="729" t="s">
        <v>2214</v>
      </c>
      <c r="J23" s="225"/>
      <c r="K23" s="729" t="s">
        <v>2215</v>
      </c>
      <c r="L23" s="728" t="s">
        <v>817</v>
      </c>
      <c r="M23" s="730"/>
      <c r="N23" s="728" t="s">
        <v>863</v>
      </c>
      <c r="O23" s="731" t="s">
        <v>864</v>
      </c>
      <c r="P23" s="728" t="s">
        <v>1708</v>
      </c>
      <c r="Q23" s="732"/>
      <c r="R23" s="732"/>
      <c r="S23" s="232"/>
      <c r="T23" s="733" t="s">
        <v>2216</v>
      </c>
      <c r="U23" s="728"/>
      <c r="V23" s="734"/>
      <c r="W23" s="728"/>
      <c r="X23" s="731"/>
    </row>
    <row r="24" spans="1:24" s="224" customFormat="1" ht="13.5" customHeight="1">
      <c r="A24" s="225">
        <v>16</v>
      </c>
      <c r="B24" s="217"/>
      <c r="C24" s="727" t="s">
        <v>2218</v>
      </c>
      <c r="D24" s="241"/>
      <c r="E24" s="241"/>
      <c r="F24" s="241"/>
      <c r="G24" s="241"/>
      <c r="H24" s="728"/>
      <c r="I24" s="729"/>
      <c r="J24" s="729"/>
      <c r="K24" s="729" t="s">
        <v>2220</v>
      </c>
      <c r="L24" s="728" t="s">
        <v>817</v>
      </c>
      <c r="M24" s="730"/>
      <c r="N24" s="728" t="s">
        <v>863</v>
      </c>
      <c r="O24" s="731"/>
      <c r="P24" s="728"/>
      <c r="Q24" s="732"/>
      <c r="R24" s="732"/>
      <c r="S24" s="232"/>
      <c r="T24" s="733"/>
      <c r="U24" s="728"/>
      <c r="V24" s="734"/>
      <c r="W24" s="728"/>
      <c r="X24" s="731"/>
    </row>
    <row r="25" spans="1:24" s="224" customFormat="1" ht="13.5" customHeight="1">
      <c r="A25" s="225">
        <v>17</v>
      </c>
      <c r="B25" s="217"/>
      <c r="C25" s="241" t="s">
        <v>1104</v>
      </c>
      <c r="D25" s="241"/>
      <c r="E25" s="241"/>
      <c r="F25" s="241"/>
      <c r="G25" s="241"/>
      <c r="H25" s="728" t="s">
        <v>2319</v>
      </c>
      <c r="I25" s="729"/>
      <c r="J25" s="729"/>
      <c r="K25" s="729" t="s">
        <v>871</v>
      </c>
      <c r="L25" s="728" t="s">
        <v>817</v>
      </c>
      <c r="M25" s="730"/>
      <c r="N25" s="728" t="s">
        <v>863</v>
      </c>
      <c r="O25" s="731"/>
      <c r="P25" s="728"/>
      <c r="Q25" s="732"/>
      <c r="R25" s="732"/>
      <c r="S25" s="232"/>
      <c r="T25" s="733"/>
      <c r="U25" s="728"/>
      <c r="V25" s="734"/>
      <c r="W25" s="728"/>
      <c r="X25" s="731"/>
    </row>
    <row r="26" spans="1:24" s="224" customFormat="1" ht="13.5" customHeight="1">
      <c r="A26" s="225">
        <v>18</v>
      </c>
      <c r="B26" s="217"/>
      <c r="C26" s="241" t="s">
        <v>2320</v>
      </c>
      <c r="D26" s="241"/>
      <c r="E26" s="241"/>
      <c r="F26" s="241"/>
      <c r="G26" s="241"/>
      <c r="H26" s="255" t="s">
        <v>2321</v>
      </c>
      <c r="I26" s="729"/>
      <c r="J26" s="729"/>
      <c r="K26" s="729" t="s">
        <v>2322</v>
      </c>
      <c r="L26" s="728" t="s">
        <v>817</v>
      </c>
      <c r="M26" s="730"/>
      <c r="N26" s="728" t="s">
        <v>863</v>
      </c>
      <c r="O26" s="731"/>
      <c r="P26" s="728"/>
      <c r="Q26" s="732"/>
      <c r="R26" s="732"/>
      <c r="S26" s="232"/>
      <c r="T26" s="733"/>
      <c r="U26" s="728"/>
      <c r="V26" s="734"/>
      <c r="W26" s="728"/>
      <c r="X26" s="731"/>
    </row>
    <row r="27" spans="1:24" s="224" customFormat="1" ht="13.5" customHeight="1">
      <c r="A27" s="225">
        <v>19</v>
      </c>
      <c r="B27" s="217"/>
      <c r="C27" s="241" t="s">
        <v>2323</v>
      </c>
      <c r="D27" s="241"/>
      <c r="E27" s="241"/>
      <c r="F27" s="241"/>
      <c r="G27" s="241"/>
      <c r="H27" s="728" t="s">
        <v>2207</v>
      </c>
      <c r="I27" s="729"/>
      <c r="J27" s="729"/>
      <c r="K27" s="729" t="s">
        <v>2209</v>
      </c>
      <c r="L27" s="728" t="s">
        <v>817</v>
      </c>
      <c r="M27" s="730"/>
      <c r="N27" s="728" t="s">
        <v>863</v>
      </c>
      <c r="O27" s="731"/>
      <c r="P27" s="728"/>
      <c r="Q27" s="732"/>
      <c r="R27" s="732"/>
      <c r="S27" s="232"/>
      <c r="T27" s="733"/>
      <c r="U27" s="728"/>
      <c r="V27" s="734"/>
      <c r="W27" s="728"/>
      <c r="X27" s="731"/>
    </row>
    <row r="28" spans="1:24" s="224" customFormat="1" ht="13.5" customHeight="1">
      <c r="A28" s="225">
        <v>20</v>
      </c>
      <c r="B28" s="217"/>
      <c r="C28" s="719" t="s">
        <v>2223</v>
      </c>
      <c r="D28" s="241"/>
      <c r="E28" s="241"/>
      <c r="F28" s="241"/>
      <c r="G28" s="241"/>
      <c r="H28" s="728"/>
      <c r="I28" s="729"/>
      <c r="J28" s="729"/>
      <c r="K28" s="729" t="s">
        <v>2224</v>
      </c>
      <c r="L28" s="728" t="s">
        <v>817</v>
      </c>
      <c r="M28" s="730"/>
      <c r="N28" s="728" t="s">
        <v>863</v>
      </c>
      <c r="O28" s="731"/>
      <c r="P28" s="728"/>
      <c r="Q28" s="732"/>
      <c r="R28" s="732"/>
      <c r="S28" s="232"/>
      <c r="T28" s="733"/>
      <c r="U28" s="728"/>
      <c r="V28" s="734"/>
      <c r="W28" s="728"/>
      <c r="X28" s="731"/>
    </row>
    <row r="29" spans="1:24" s="224" customFormat="1" ht="13.5" customHeight="1">
      <c r="A29" s="225">
        <v>21</v>
      </c>
      <c r="B29" s="217"/>
      <c r="C29" s="241" t="s">
        <v>2226</v>
      </c>
      <c r="D29" s="241"/>
      <c r="E29" s="241"/>
      <c r="F29" s="241"/>
      <c r="G29" s="241"/>
      <c r="H29" s="728" t="s">
        <v>2227</v>
      </c>
      <c r="I29" s="729"/>
      <c r="J29" s="729"/>
      <c r="K29" s="729" t="s">
        <v>2228</v>
      </c>
      <c r="L29" s="728" t="s">
        <v>817</v>
      </c>
      <c r="M29" s="730"/>
      <c r="N29" s="728" t="s">
        <v>863</v>
      </c>
      <c r="O29" s="731"/>
      <c r="P29" s="728"/>
      <c r="Q29" s="732"/>
      <c r="R29" s="732"/>
      <c r="S29" s="232"/>
      <c r="T29" s="733"/>
      <c r="U29" s="728"/>
      <c r="V29" s="734"/>
      <c r="W29" s="728"/>
      <c r="X29" s="731"/>
    </row>
    <row r="30" spans="1:24" s="224" customFormat="1" ht="13.5" customHeight="1">
      <c r="A30" s="225">
        <v>22</v>
      </c>
      <c r="B30" s="217"/>
      <c r="C30" s="241" t="s">
        <v>2229</v>
      </c>
      <c r="D30" s="241"/>
      <c r="E30" s="241"/>
      <c r="F30" s="241"/>
      <c r="G30" s="241"/>
      <c r="H30" s="728" t="s">
        <v>2229</v>
      </c>
      <c r="I30" s="729"/>
      <c r="J30" s="729"/>
      <c r="K30" s="729" t="s">
        <v>2230</v>
      </c>
      <c r="L30" s="728" t="s">
        <v>817</v>
      </c>
      <c r="M30" s="730"/>
      <c r="N30" s="728" t="s">
        <v>863</v>
      </c>
      <c r="O30" s="731"/>
      <c r="P30" s="728"/>
      <c r="Q30" s="732"/>
      <c r="R30" s="732"/>
      <c r="S30" s="232"/>
      <c r="T30" s="733"/>
      <c r="U30" s="728"/>
      <c r="V30" s="734"/>
      <c r="W30" s="728"/>
      <c r="X30" s="731"/>
    </row>
    <row r="31" spans="1:24" s="224" customFormat="1" ht="13.5" customHeight="1">
      <c r="A31" s="225">
        <v>23</v>
      </c>
      <c r="B31" s="217"/>
      <c r="C31" s="241" t="s">
        <v>2231</v>
      </c>
      <c r="D31" s="241"/>
      <c r="E31" s="241"/>
      <c r="F31" s="241"/>
      <c r="G31" s="241"/>
      <c r="H31" s="728" t="s">
        <v>2231</v>
      </c>
      <c r="I31" s="729"/>
      <c r="J31" s="729"/>
      <c r="K31" s="729" t="s">
        <v>2232</v>
      </c>
      <c r="L31" s="728" t="s">
        <v>817</v>
      </c>
      <c r="M31" s="730"/>
      <c r="N31" s="728" t="s">
        <v>863</v>
      </c>
      <c r="O31" s="731"/>
      <c r="P31" s="728"/>
      <c r="Q31" s="732"/>
      <c r="R31" s="732"/>
      <c r="S31" s="232"/>
      <c r="T31" s="733"/>
      <c r="U31" s="728"/>
      <c r="V31" s="734"/>
      <c r="W31" s="728"/>
      <c r="X31" s="731"/>
    </row>
    <row r="32" spans="1:24" s="224" customFormat="1" ht="13.5" customHeight="1">
      <c r="A32" s="225">
        <v>24</v>
      </c>
      <c r="B32" s="217"/>
      <c r="C32" s="241" t="s">
        <v>2233</v>
      </c>
      <c r="D32" s="241"/>
      <c r="E32" s="241"/>
      <c r="F32" s="241"/>
      <c r="G32" s="241"/>
      <c r="H32" s="728" t="s">
        <v>2234</v>
      </c>
      <c r="I32" s="729"/>
      <c r="J32" s="729"/>
      <c r="K32" s="729" t="s">
        <v>2235</v>
      </c>
      <c r="L32" s="728" t="s">
        <v>817</v>
      </c>
      <c r="M32" s="730" t="s">
        <v>864</v>
      </c>
      <c r="N32" s="243" t="s">
        <v>2235</v>
      </c>
      <c r="O32" s="731"/>
      <c r="P32" s="728"/>
      <c r="Q32" s="732"/>
      <c r="R32" s="732"/>
      <c r="S32" s="232"/>
      <c r="T32" s="733"/>
      <c r="U32" s="728"/>
      <c r="V32" s="734"/>
      <c r="W32" s="728"/>
      <c r="X32" s="731"/>
    </row>
    <row r="33" spans="1:1009" s="224" customFormat="1" ht="13.5" customHeight="1">
      <c r="A33" s="225">
        <v>25</v>
      </c>
      <c r="B33" s="217"/>
      <c r="C33" s="241"/>
      <c r="D33" s="719" t="s">
        <v>1102</v>
      </c>
      <c r="E33" s="241"/>
      <c r="F33" s="241"/>
      <c r="G33" s="241"/>
      <c r="H33" s="728" t="s">
        <v>2236</v>
      </c>
      <c r="I33" s="729"/>
      <c r="J33" s="729"/>
      <c r="K33" s="729" t="s">
        <v>970</v>
      </c>
      <c r="L33" s="728" t="s">
        <v>817</v>
      </c>
      <c r="M33" s="730"/>
      <c r="N33" s="728" t="s">
        <v>863</v>
      </c>
      <c r="O33" s="731" t="s">
        <v>864</v>
      </c>
      <c r="P33" s="728" t="s">
        <v>1712</v>
      </c>
      <c r="Q33" s="732"/>
      <c r="R33" s="732"/>
      <c r="S33" s="232"/>
      <c r="T33" s="733" t="s">
        <v>2237</v>
      </c>
      <c r="U33" s="728"/>
      <c r="V33" s="734"/>
      <c r="W33" s="728"/>
      <c r="X33" s="731"/>
    </row>
    <row r="34" spans="1:1009" s="224" customFormat="1" ht="13.5" customHeight="1">
      <c r="A34" s="225">
        <v>26</v>
      </c>
      <c r="B34" s="217"/>
      <c r="C34" s="241"/>
      <c r="D34" s="241" t="s">
        <v>1104</v>
      </c>
      <c r="E34" s="241"/>
      <c r="F34" s="241"/>
      <c r="G34" s="241"/>
      <c r="H34" s="728" t="s">
        <v>2239</v>
      </c>
      <c r="I34" s="729"/>
      <c r="J34" s="729"/>
      <c r="K34" s="729" t="s">
        <v>871</v>
      </c>
      <c r="L34" s="728" t="s">
        <v>817</v>
      </c>
      <c r="M34" s="730"/>
      <c r="N34" s="728" t="s">
        <v>863</v>
      </c>
      <c r="O34" s="731"/>
      <c r="P34" s="728"/>
      <c r="Q34" s="732"/>
      <c r="R34" s="732"/>
      <c r="S34" s="232"/>
      <c r="T34" s="733"/>
      <c r="U34" s="728"/>
      <c r="V34" s="734"/>
      <c r="W34" s="728"/>
      <c r="X34" s="731"/>
    </row>
    <row r="35" spans="1:1009" s="224" customFormat="1" ht="13.5" customHeight="1">
      <c r="A35" s="225">
        <v>27</v>
      </c>
      <c r="B35" s="217"/>
      <c r="C35" s="217" t="s">
        <v>2324</v>
      </c>
      <c r="D35" s="241"/>
      <c r="E35" s="241"/>
      <c r="F35" s="241"/>
      <c r="G35" s="241"/>
      <c r="H35" s="728"/>
      <c r="I35" s="729"/>
      <c r="J35" s="729"/>
      <c r="K35" s="729" t="s">
        <v>2241</v>
      </c>
      <c r="L35" s="728" t="s">
        <v>817</v>
      </c>
      <c r="M35" s="730" t="s">
        <v>864</v>
      </c>
      <c r="N35" s="243" t="s">
        <v>2241</v>
      </c>
      <c r="O35" s="731"/>
      <c r="P35" s="728"/>
      <c r="Q35" s="732"/>
      <c r="R35" s="732"/>
      <c r="S35" s="232"/>
      <c r="T35" s="733"/>
      <c r="U35" s="728"/>
      <c r="V35" s="734"/>
      <c r="W35" s="728"/>
      <c r="X35" s="731"/>
    </row>
    <row r="36" spans="1:1009" s="224" customFormat="1" ht="13.5" customHeight="1">
      <c r="A36" s="225">
        <v>28</v>
      </c>
      <c r="B36" s="217"/>
      <c r="C36" s="217"/>
      <c r="D36" s="241" t="s">
        <v>2242</v>
      </c>
      <c r="E36" s="241"/>
      <c r="F36" s="241"/>
      <c r="G36" s="241"/>
      <c r="H36" s="728"/>
      <c r="I36" s="729"/>
      <c r="J36" s="729"/>
      <c r="K36" s="729" t="s">
        <v>2189</v>
      </c>
      <c r="L36" s="728" t="s">
        <v>817</v>
      </c>
      <c r="M36" s="730"/>
      <c r="N36" s="728" t="s">
        <v>879</v>
      </c>
      <c r="O36" s="731"/>
      <c r="P36" s="728" t="s">
        <v>932</v>
      </c>
      <c r="Q36" s="732"/>
      <c r="R36" s="732"/>
      <c r="S36" s="232"/>
      <c r="T36" s="733"/>
      <c r="U36" s="728"/>
      <c r="V36" s="734"/>
      <c r="W36" s="728"/>
      <c r="X36" s="731"/>
    </row>
    <row r="37" spans="1:1009" s="224" customFormat="1" ht="13.5" customHeight="1">
      <c r="A37" s="225">
        <v>29</v>
      </c>
      <c r="B37" s="217"/>
      <c r="C37" s="217"/>
      <c r="D37" s="719" t="s">
        <v>2325</v>
      </c>
      <c r="E37" s="241"/>
      <c r="F37" s="241"/>
      <c r="G37" s="241"/>
      <c r="H37" s="728" t="s">
        <v>2326</v>
      </c>
      <c r="I37" s="728" t="s">
        <v>2327</v>
      </c>
      <c r="J37" s="729"/>
      <c r="K37" s="729" t="s">
        <v>888</v>
      </c>
      <c r="L37" s="728" t="s">
        <v>817</v>
      </c>
      <c r="M37" s="730"/>
      <c r="N37" s="728" t="s">
        <v>863</v>
      </c>
      <c r="O37" s="731" t="s">
        <v>864</v>
      </c>
      <c r="P37" s="728" t="s">
        <v>2245</v>
      </c>
      <c r="Q37" s="732"/>
      <c r="R37" s="732"/>
      <c r="S37" s="232"/>
      <c r="T37" s="733" t="s">
        <v>2237</v>
      </c>
      <c r="U37" s="728"/>
      <c r="V37" s="734"/>
      <c r="W37" s="728"/>
      <c r="X37" s="731"/>
    </row>
    <row r="38" spans="1:1009" s="224" customFormat="1" ht="13.5" customHeight="1">
      <c r="A38" s="225">
        <v>30</v>
      </c>
      <c r="B38" s="217"/>
      <c r="C38" s="217"/>
      <c r="D38" s="719" t="s">
        <v>2247</v>
      </c>
      <c r="E38" s="241"/>
      <c r="F38" s="241"/>
      <c r="G38" s="241"/>
      <c r="H38" s="728" t="s">
        <v>2248</v>
      </c>
      <c r="I38" s="728" t="s">
        <v>2328</v>
      </c>
      <c r="J38" s="729"/>
      <c r="K38" s="729" t="s">
        <v>2249</v>
      </c>
      <c r="L38" s="728" t="s">
        <v>817</v>
      </c>
      <c r="M38" s="730"/>
      <c r="N38" s="728" t="s">
        <v>863</v>
      </c>
      <c r="O38" s="731" t="s">
        <v>864</v>
      </c>
      <c r="P38" s="728" t="s">
        <v>2250</v>
      </c>
      <c r="Q38" s="732"/>
      <c r="R38" s="732"/>
      <c r="S38" s="232"/>
      <c r="T38" s="733"/>
      <c r="U38" s="728"/>
      <c r="V38" s="734"/>
      <c r="W38" s="728"/>
      <c r="X38" s="731"/>
    </row>
    <row r="39" spans="1:1009" s="224" customFormat="1" ht="13.5" customHeight="1">
      <c r="A39" s="225">
        <v>31</v>
      </c>
      <c r="B39" s="217"/>
      <c r="C39" s="727" t="s">
        <v>1259</v>
      </c>
      <c r="D39" s="241"/>
      <c r="E39" s="241"/>
      <c r="F39" s="241"/>
      <c r="G39" s="241"/>
      <c r="H39" s="728" t="s">
        <v>2252</v>
      </c>
      <c r="I39" s="729"/>
      <c r="J39" s="729"/>
      <c r="K39" s="729" t="s">
        <v>1264</v>
      </c>
      <c r="L39" s="728" t="s">
        <v>817</v>
      </c>
      <c r="M39" s="730" t="s">
        <v>864</v>
      </c>
      <c r="N39" s="728" t="s">
        <v>1264</v>
      </c>
      <c r="O39" s="731"/>
      <c r="P39" s="728"/>
      <c r="Q39" s="732"/>
      <c r="R39" s="732"/>
      <c r="S39" s="232"/>
      <c r="T39" s="733"/>
      <c r="U39" s="728"/>
      <c r="V39" s="734"/>
      <c r="W39" s="728"/>
      <c r="X39" s="731"/>
    </row>
    <row r="40" spans="1:1009" s="224" customFormat="1" ht="13.5" customHeight="1">
      <c r="A40" s="225">
        <v>32</v>
      </c>
      <c r="B40" s="217"/>
      <c r="C40" s="241"/>
      <c r="D40" s="241" t="s">
        <v>2253</v>
      </c>
      <c r="E40" s="241"/>
      <c r="F40" s="241"/>
      <c r="G40" s="241"/>
      <c r="H40" s="728" t="s">
        <v>2254</v>
      </c>
      <c r="I40" s="729" t="s">
        <v>1268</v>
      </c>
      <c r="J40" s="729"/>
      <c r="K40" s="729" t="s">
        <v>970</v>
      </c>
      <c r="L40" s="728" t="s">
        <v>817</v>
      </c>
      <c r="M40" s="730"/>
      <c r="N40" s="728" t="s">
        <v>863</v>
      </c>
      <c r="O40" s="731" t="s">
        <v>864</v>
      </c>
      <c r="P40" s="728" t="s">
        <v>1667</v>
      </c>
      <c r="Q40" s="732"/>
      <c r="R40" s="732"/>
      <c r="S40" s="232"/>
      <c r="T40" s="733"/>
      <c r="U40" s="728"/>
      <c r="V40" s="734"/>
      <c r="W40" s="728"/>
      <c r="X40" s="731"/>
    </row>
    <row r="41" spans="1:1009" s="224" customFormat="1" ht="13.5" customHeight="1">
      <c r="A41" s="225">
        <v>33</v>
      </c>
      <c r="B41" s="217"/>
      <c r="D41" s="224" t="s">
        <v>1668</v>
      </c>
      <c r="F41" s="225"/>
      <c r="G41" s="241"/>
      <c r="H41" s="728" t="s">
        <v>2255</v>
      </c>
      <c r="I41" s="273" t="s">
        <v>1273</v>
      </c>
      <c r="J41" s="273"/>
      <c r="K41" s="729" t="s">
        <v>1013</v>
      </c>
      <c r="L41" s="728" t="s">
        <v>817</v>
      </c>
      <c r="M41" s="730"/>
      <c r="N41" s="728" t="s">
        <v>863</v>
      </c>
      <c r="O41" s="277"/>
      <c r="P41" s="728"/>
      <c r="Q41" s="732"/>
      <c r="R41" s="732"/>
      <c r="S41" s="232"/>
      <c r="T41" s="733"/>
      <c r="U41" s="728"/>
      <c r="V41" s="734"/>
      <c r="W41" s="728"/>
      <c r="X41" s="731"/>
    </row>
    <row r="42" spans="1:1009" s="224" customFormat="1" ht="13.5" customHeight="1">
      <c r="A42" s="225">
        <v>34</v>
      </c>
      <c r="B42" s="217"/>
      <c r="C42" s="727" t="s">
        <v>12</v>
      </c>
      <c r="D42" s="241"/>
      <c r="E42" s="241"/>
      <c r="F42" s="241"/>
      <c r="G42" s="241"/>
      <c r="H42" s="728" t="s">
        <v>2329</v>
      </c>
      <c r="I42" s="729"/>
      <c r="J42" s="729"/>
      <c r="K42" s="729" t="s">
        <v>939</v>
      </c>
      <c r="L42" s="728" t="s">
        <v>823</v>
      </c>
      <c r="M42" s="730"/>
      <c r="N42" s="728" t="s">
        <v>863</v>
      </c>
      <c r="O42" s="731"/>
      <c r="P42" s="728"/>
      <c r="Q42" s="732"/>
      <c r="R42" s="732"/>
      <c r="S42" s="232"/>
      <c r="T42" s="733"/>
      <c r="U42" s="728"/>
      <c r="V42" s="734"/>
      <c r="W42" s="728"/>
      <c r="X42" s="731"/>
    </row>
    <row r="43" spans="1:1009" s="224" customFormat="1" ht="12" customHeight="1">
      <c r="A43" s="225">
        <f>SUBTOTAL(103,createCase14181419[ID])</f>
        <v>34</v>
      </c>
      <c r="C43" s="225">
        <f>SUBTOTAL(103,createCase14181419[Donnée (Niveau 2)])</f>
        <v>23</v>
      </c>
      <c r="D43" s="225">
        <f>SUBTOTAL(103,createCase14181419[Donnée (Niveau 3)])</f>
        <v>7</v>
      </c>
      <c r="E43" s="225">
        <f>SUBTOTAL(103,createCase14181419[Donnée (Niveau 4)])</f>
        <v>0</v>
      </c>
      <c r="F43" s="225">
        <f>SUBTOTAL(103,createCase14181419[Donnée (Niveau 5)])</f>
        <v>0</v>
      </c>
      <c r="G43" s="225">
        <f>SUBTOTAL(103,createCase14181419[Donnée (Niveau 6)])</f>
        <v>0</v>
      </c>
      <c r="H43" s="225">
        <f>SUBTOTAL(103,createCase14181419[Description])</f>
        <v>30</v>
      </c>
      <c r="I43" s="225">
        <f>SUBTOTAL(103,createCase14181419[Exemples])</f>
        <v>11</v>
      </c>
      <c r="J43" s="225"/>
      <c r="K43" s="239">
        <f>SUBTOTAL(103,createCase14181419[Nouvelle balise])</f>
        <v>34</v>
      </c>
      <c r="L43" s="225"/>
      <c r="M43" s="234">
        <f>SUBTOTAL(103,createCase14181419[Objet])</f>
        <v>5</v>
      </c>
      <c r="N43" s="225">
        <f>SUBTOTAL(103,createCase14181419[Format (ou type)])</f>
        <v>34</v>
      </c>
      <c r="O43" s="274"/>
      <c r="P43" s="225"/>
      <c r="Q43" s="225"/>
      <c r="R43" s="225"/>
      <c r="T43" s="271">
        <f>SUBTOTAL(103,createCase14181419[Commentaire Hub Santé])</f>
        <v>5</v>
      </c>
      <c r="U43" s="225">
        <f>SUBTOTAL(103,createCase14181419[Commentaire Philippe Dreyfus])</f>
        <v>0</v>
      </c>
      <c r="V43" s="239"/>
      <c r="W43" s="225">
        <f>SUBTOTAL(103,createCase14181419[Commentaire Yann Penverne])</f>
        <v>0</v>
      </c>
      <c r="X43" s="225">
        <f>SUBTOTAL(103,createCase14181419[Métier])-COUNTIFS(createCase14181419[Métier],"=X")</f>
        <v>0</v>
      </c>
    </row>
    <row r="44" spans="1:1009" s="128" customFormat="1" ht="12" customHeight="1">
      <c r="A44" s="3"/>
      <c r="B44" s="3"/>
      <c r="C44" s="131"/>
      <c r="D44" s="131"/>
      <c r="E44" s="131"/>
      <c r="F44" s="131"/>
      <c r="G44" s="5"/>
      <c r="H44" s="155"/>
      <c r="I44" s="225"/>
      <c r="J44" s="155"/>
      <c r="K44" s="5"/>
      <c r="L44" s="188"/>
      <c r="M44" s="5"/>
      <c r="N44" s="56"/>
      <c r="O44" s="56"/>
      <c r="P44" s="728"/>
      <c r="Q44" s="728"/>
      <c r="R44"/>
      <c r="S44" s="178"/>
      <c r="T44" s="5"/>
      <c r="U44" s="159"/>
      <c r="V44" s="56"/>
      <c r="W44" s="56"/>
      <c r="ALS44"/>
      <c r="ALT44"/>
      <c r="ALU44"/>
    </row>
    <row r="45" spans="1:1009" s="128" customFormat="1" ht="12" customHeight="1">
      <c r="A45" s="129"/>
      <c r="B45" s="129"/>
      <c r="C45" s="129"/>
      <c r="D45" s="129"/>
      <c r="E45" s="129"/>
      <c r="F45" s="129"/>
      <c r="G45" s="96"/>
      <c r="H45" s="96"/>
      <c r="I45" s="225"/>
      <c r="J45" s="159"/>
      <c r="K45" s="96"/>
      <c r="L45" s="173"/>
      <c r="M45" s="96"/>
      <c r="N45" s="277"/>
      <c r="O45" s="96"/>
      <c r="P45" s="96"/>
      <c r="Q45" s="96"/>
      <c r="R45"/>
      <c r="S45" s="179"/>
      <c r="T45" s="96"/>
      <c r="U45" s="159"/>
      <c r="V45" s="96"/>
      <c r="W45" s="96"/>
      <c r="ALS45"/>
      <c r="ALT45"/>
      <c r="ALU45"/>
    </row>
    <row r="46" spans="1:1009" s="128" customFormat="1" ht="12" customHeight="1">
      <c r="I46" s="224"/>
      <c r="L46" s="173"/>
      <c r="M46" s="96"/>
      <c r="N46" s="277"/>
      <c r="O46" s="96"/>
      <c r="P46" s="96"/>
      <c r="Q46" s="96"/>
      <c r="R46"/>
      <c r="S46" s="179"/>
      <c r="T46" s="96"/>
      <c r="U46" s="159"/>
      <c r="V46" s="96"/>
      <c r="W46" s="96"/>
      <c r="ALS46"/>
      <c r="ALT46"/>
      <c r="ALU46"/>
    </row>
    <row r="47" spans="1:1009" s="128" customFormat="1" ht="12" customHeight="1">
      <c r="I47" s="224"/>
      <c r="L47" s="173"/>
      <c r="M47" s="96"/>
      <c r="N47" s="277"/>
      <c r="O47" s="96"/>
      <c r="P47" s="96"/>
      <c r="Q47" s="96"/>
      <c r="R47"/>
      <c r="S47" s="179"/>
      <c r="T47" s="96"/>
      <c r="U47" s="159"/>
      <c r="V47" s="96"/>
      <c r="W47" s="96"/>
      <c r="ALS47"/>
      <c r="ALT47"/>
      <c r="ALU47"/>
    </row>
    <row r="48" spans="1:1009" ht="12" customHeight="1">
      <c r="A48" s="123"/>
      <c r="B48" s="123"/>
      <c r="C48" s="123"/>
      <c r="D48" s="123"/>
      <c r="E48" s="123"/>
      <c r="F48" s="123"/>
      <c r="G48" s="112"/>
      <c r="H48" s="112"/>
      <c r="I48" s="276"/>
      <c r="J48" s="161"/>
      <c r="K48" s="112"/>
      <c r="L48" s="190"/>
      <c r="M48" s="112"/>
      <c r="N48" s="125"/>
      <c r="O48" s="112"/>
      <c r="P48" s="112"/>
      <c r="Q48" s="112"/>
      <c r="S48" s="180"/>
      <c r="T48" s="112"/>
      <c r="V48" s="112"/>
      <c r="W48" s="112"/>
    </row>
    <row r="49" spans="1:1009" ht="12" customHeight="1">
      <c r="A49" s="123"/>
      <c r="B49" s="123"/>
      <c r="C49" s="123"/>
      <c r="D49" s="123"/>
      <c r="E49" s="123"/>
      <c r="F49" s="123"/>
      <c r="G49" s="112"/>
      <c r="H49" s="112"/>
      <c r="I49" s="276"/>
      <c r="J49" s="161"/>
      <c r="K49" s="112"/>
      <c r="L49" s="190"/>
      <c r="M49" s="112"/>
      <c r="N49" s="125"/>
      <c r="O49" s="112"/>
      <c r="P49" s="112"/>
      <c r="Q49" s="112"/>
      <c r="S49" s="180"/>
      <c r="T49" s="112"/>
      <c r="V49" s="112"/>
      <c r="W49" s="112"/>
    </row>
    <row r="50" spans="1:1009" ht="12" customHeight="1">
      <c r="A50" s="130"/>
      <c r="B50" s="130"/>
      <c r="C50" s="130"/>
      <c r="D50" s="130"/>
      <c r="E50" s="130"/>
      <c r="F50" s="130"/>
    </row>
    <row r="51" spans="1:1009" ht="12" customHeight="1">
      <c r="A51" s="130"/>
      <c r="B51" s="130"/>
      <c r="C51" s="130"/>
      <c r="D51" s="130"/>
      <c r="E51" s="130"/>
      <c r="F51" s="130"/>
    </row>
    <row r="52" spans="1:1009" s="96" customFormat="1" ht="12" customHeight="1">
      <c r="A52" s="130"/>
      <c r="B52" s="130"/>
      <c r="C52" s="130"/>
      <c r="D52" s="130"/>
      <c r="E52" s="130"/>
      <c r="F52" s="130"/>
      <c r="I52" s="225"/>
      <c r="J52" s="159"/>
      <c r="L52" s="173"/>
      <c r="N52" s="277"/>
      <c r="R52"/>
      <c r="S52" s="179"/>
      <c r="U52" s="159"/>
      <c r="X52"/>
      <c r="Y52" s="128"/>
      <c r="Z52" s="128"/>
      <c r="AA52" s="128"/>
      <c r="AB52" s="128"/>
      <c r="AC52" s="128"/>
      <c r="AD52" s="128"/>
      <c r="AE52" s="128"/>
      <c r="AF52" s="128"/>
      <c r="AG52" s="128"/>
      <c r="AH52" s="128"/>
      <c r="AI52" s="128"/>
      <c r="AJ52" s="128"/>
      <c r="AK52" s="128"/>
      <c r="AL52" s="128"/>
      <c r="AM52" s="128"/>
      <c r="AN52" s="128"/>
      <c r="AO52" s="128"/>
      <c r="AP52" s="128"/>
      <c r="AQ52" s="128"/>
      <c r="AR52" s="128"/>
      <c r="AS52" s="128"/>
      <c r="AT52" s="128"/>
      <c r="AU52" s="128"/>
      <c r="AV52" s="128"/>
      <c r="AW52" s="128"/>
      <c r="AX52" s="128"/>
      <c r="AY52" s="128"/>
      <c r="AZ52" s="128"/>
      <c r="BA52" s="128"/>
      <c r="BB52" s="128"/>
      <c r="BC52" s="128"/>
      <c r="BD52" s="128"/>
      <c r="BE52" s="128"/>
      <c r="BF52" s="128"/>
      <c r="BG52" s="128"/>
      <c r="BH52" s="128"/>
      <c r="BI52" s="128"/>
      <c r="BJ52" s="128"/>
      <c r="BK52" s="128"/>
      <c r="BL52" s="128"/>
      <c r="BM52" s="128"/>
      <c r="BN52" s="128"/>
      <c r="BO52" s="128"/>
      <c r="BP52" s="128"/>
      <c r="BQ52" s="128"/>
      <c r="BR52" s="128"/>
      <c r="BS52" s="128"/>
      <c r="BT52" s="128"/>
      <c r="BU52" s="128"/>
      <c r="BV52" s="128"/>
      <c r="BW52" s="128"/>
      <c r="BX52" s="128"/>
      <c r="BY52" s="128"/>
      <c r="BZ52" s="128"/>
      <c r="CA52" s="128"/>
      <c r="CB52" s="128"/>
      <c r="CC52" s="128"/>
      <c r="CD52" s="128"/>
      <c r="CE52" s="128"/>
      <c r="CF52" s="128"/>
      <c r="CG52" s="128"/>
      <c r="CH52" s="128"/>
      <c r="CI52" s="128"/>
      <c r="CJ52" s="128"/>
      <c r="CK52" s="128"/>
      <c r="CL52" s="128"/>
      <c r="CM52" s="128"/>
      <c r="CN52" s="128"/>
      <c r="CO52" s="128"/>
      <c r="CP52" s="128"/>
      <c r="CQ52" s="128"/>
      <c r="CR52" s="128"/>
      <c r="CS52" s="128"/>
      <c r="CT52" s="128"/>
      <c r="CU52" s="128"/>
      <c r="CV52" s="128"/>
      <c r="CW52" s="128"/>
      <c r="CX52" s="128"/>
      <c r="CY52" s="128"/>
      <c r="CZ52" s="128"/>
      <c r="DA52" s="128"/>
      <c r="DB52" s="128"/>
      <c r="DC52" s="128"/>
      <c r="DD52" s="128"/>
      <c r="DE52" s="128"/>
      <c r="DF52" s="128"/>
      <c r="DG52" s="128"/>
      <c r="DH52" s="128"/>
      <c r="DI52" s="128"/>
      <c r="DJ52" s="128"/>
      <c r="DK52" s="128"/>
      <c r="DL52" s="128"/>
      <c r="DM52" s="128"/>
      <c r="DN52" s="128"/>
      <c r="DO52" s="128"/>
      <c r="DP52" s="128"/>
      <c r="DQ52" s="128"/>
      <c r="DR52" s="128"/>
      <c r="DS52" s="128"/>
      <c r="DT52" s="128"/>
      <c r="DU52" s="128"/>
      <c r="DV52" s="128"/>
      <c r="DW52" s="128"/>
      <c r="DX52" s="128"/>
      <c r="DY52" s="128"/>
      <c r="DZ52" s="128"/>
      <c r="EA52" s="128"/>
      <c r="EB52" s="128"/>
      <c r="EC52" s="128"/>
      <c r="ED52" s="128"/>
      <c r="EE52" s="128"/>
      <c r="EF52" s="128"/>
      <c r="EG52" s="128"/>
      <c r="EH52" s="128"/>
      <c r="EI52" s="128"/>
      <c r="EJ52" s="128"/>
      <c r="EK52" s="128"/>
      <c r="EL52" s="128"/>
      <c r="EM52" s="128"/>
      <c r="EN52" s="128"/>
      <c r="EO52" s="128"/>
      <c r="EP52" s="128"/>
      <c r="EQ52" s="128"/>
      <c r="ER52" s="128"/>
      <c r="ES52" s="128"/>
      <c r="ET52" s="128"/>
      <c r="EU52" s="128"/>
      <c r="EV52" s="128"/>
      <c r="EW52" s="128"/>
      <c r="EX52" s="128"/>
      <c r="EY52" s="128"/>
      <c r="EZ52" s="128"/>
      <c r="FA52" s="128"/>
      <c r="FB52" s="128"/>
      <c r="FC52" s="128"/>
      <c r="FD52" s="128"/>
      <c r="FE52" s="128"/>
      <c r="FF52" s="128"/>
      <c r="FG52" s="128"/>
      <c r="FH52" s="128"/>
      <c r="FI52" s="128"/>
      <c r="FJ52" s="128"/>
      <c r="FK52" s="128"/>
      <c r="FL52" s="128"/>
      <c r="FM52" s="128"/>
      <c r="FN52" s="128"/>
      <c r="FO52" s="128"/>
      <c r="FP52" s="128"/>
      <c r="FQ52" s="128"/>
      <c r="FR52" s="128"/>
      <c r="FS52" s="128"/>
      <c r="FT52" s="128"/>
      <c r="FU52" s="128"/>
      <c r="FV52" s="128"/>
      <c r="FW52" s="128"/>
      <c r="FX52" s="128"/>
      <c r="FY52" s="128"/>
      <c r="FZ52" s="128"/>
      <c r="GA52" s="128"/>
      <c r="GB52" s="128"/>
      <c r="GC52" s="128"/>
      <c r="GD52" s="128"/>
      <c r="GE52" s="128"/>
      <c r="GF52" s="128"/>
      <c r="GG52" s="128"/>
      <c r="GH52" s="128"/>
      <c r="GI52" s="128"/>
      <c r="GJ52" s="128"/>
      <c r="GK52" s="128"/>
      <c r="GL52" s="128"/>
      <c r="GM52" s="128"/>
      <c r="GN52" s="128"/>
      <c r="GO52" s="128"/>
      <c r="GP52" s="128"/>
      <c r="GQ52" s="128"/>
      <c r="GR52" s="128"/>
      <c r="GS52" s="128"/>
      <c r="GT52" s="128"/>
      <c r="GU52" s="128"/>
      <c r="GV52" s="128"/>
      <c r="GW52" s="128"/>
      <c r="GX52" s="128"/>
      <c r="GY52" s="128"/>
      <c r="GZ52" s="128"/>
      <c r="HA52" s="128"/>
      <c r="HB52" s="128"/>
      <c r="HC52" s="128"/>
      <c r="HD52" s="128"/>
      <c r="HE52" s="128"/>
      <c r="HF52" s="128"/>
      <c r="HG52" s="128"/>
      <c r="HH52" s="128"/>
      <c r="HI52" s="128"/>
      <c r="HJ52" s="128"/>
      <c r="HK52" s="128"/>
      <c r="HL52" s="128"/>
      <c r="HM52" s="128"/>
      <c r="HN52" s="128"/>
      <c r="HO52" s="128"/>
      <c r="HP52" s="128"/>
      <c r="HQ52" s="128"/>
      <c r="HR52" s="128"/>
      <c r="HS52" s="128"/>
      <c r="HT52" s="128"/>
      <c r="HU52" s="128"/>
      <c r="HV52" s="128"/>
      <c r="HW52" s="128"/>
      <c r="HX52" s="128"/>
      <c r="HY52" s="128"/>
      <c r="HZ52" s="128"/>
      <c r="IA52" s="128"/>
      <c r="IB52" s="128"/>
      <c r="IC52" s="128"/>
      <c r="ID52" s="128"/>
      <c r="IE52" s="128"/>
      <c r="IF52" s="128"/>
      <c r="IG52" s="128"/>
      <c r="IH52" s="128"/>
      <c r="II52" s="128"/>
      <c r="IJ52" s="128"/>
      <c r="IK52" s="128"/>
      <c r="IL52" s="128"/>
      <c r="IM52" s="128"/>
      <c r="IN52" s="128"/>
      <c r="IO52" s="128"/>
      <c r="IP52" s="128"/>
      <c r="IQ52" s="128"/>
      <c r="IR52" s="128"/>
      <c r="IS52" s="128"/>
      <c r="IT52" s="128"/>
      <c r="IU52" s="128"/>
      <c r="IV52" s="128"/>
      <c r="IW52" s="128"/>
      <c r="IX52" s="128"/>
      <c r="IY52" s="128"/>
      <c r="IZ52" s="128"/>
      <c r="JA52" s="128"/>
      <c r="JB52" s="128"/>
      <c r="JC52" s="128"/>
      <c r="JD52" s="128"/>
      <c r="JE52" s="128"/>
      <c r="JF52" s="128"/>
      <c r="JG52" s="128"/>
      <c r="JH52" s="128"/>
      <c r="JI52" s="128"/>
      <c r="JJ52" s="128"/>
      <c r="JK52" s="128"/>
      <c r="JL52" s="128"/>
      <c r="JM52" s="128"/>
      <c r="JN52" s="128"/>
      <c r="JO52" s="128"/>
      <c r="JP52" s="128"/>
      <c r="JQ52" s="128"/>
      <c r="JR52" s="128"/>
      <c r="JS52" s="128"/>
      <c r="JT52" s="128"/>
      <c r="JU52" s="128"/>
      <c r="JV52" s="128"/>
      <c r="JW52" s="128"/>
      <c r="JX52" s="128"/>
      <c r="JY52" s="128"/>
      <c r="JZ52" s="128"/>
      <c r="KA52" s="128"/>
      <c r="KB52" s="128"/>
      <c r="KC52" s="128"/>
      <c r="KD52" s="128"/>
      <c r="KE52" s="128"/>
      <c r="KF52" s="128"/>
      <c r="KG52" s="128"/>
      <c r="KH52" s="128"/>
      <c r="KI52" s="128"/>
      <c r="KJ52" s="128"/>
      <c r="KK52" s="128"/>
      <c r="KL52" s="128"/>
      <c r="KM52" s="128"/>
      <c r="KN52" s="128"/>
      <c r="KO52" s="128"/>
      <c r="KP52" s="128"/>
      <c r="KQ52" s="128"/>
      <c r="KR52" s="128"/>
      <c r="KS52" s="128"/>
      <c r="KT52" s="128"/>
      <c r="KU52" s="128"/>
      <c r="KV52" s="128"/>
      <c r="KW52" s="128"/>
      <c r="KX52" s="128"/>
      <c r="KY52" s="128"/>
      <c r="KZ52" s="128"/>
      <c r="LA52" s="128"/>
      <c r="LB52" s="128"/>
      <c r="LC52" s="128"/>
      <c r="LD52" s="128"/>
      <c r="LE52" s="128"/>
      <c r="LF52" s="128"/>
      <c r="LG52" s="128"/>
      <c r="LH52" s="128"/>
      <c r="LI52" s="128"/>
      <c r="LJ52" s="128"/>
      <c r="LK52" s="128"/>
      <c r="LL52" s="128"/>
      <c r="LM52" s="128"/>
      <c r="LN52" s="128"/>
      <c r="LO52" s="128"/>
      <c r="LP52" s="128"/>
      <c r="LQ52" s="128"/>
      <c r="LR52" s="128"/>
      <c r="LS52" s="128"/>
      <c r="LT52" s="128"/>
      <c r="LU52" s="128"/>
      <c r="LV52" s="128"/>
      <c r="LW52" s="128"/>
      <c r="LX52" s="128"/>
      <c r="LY52" s="128"/>
      <c r="LZ52" s="128"/>
      <c r="MA52" s="128"/>
      <c r="MB52" s="128"/>
      <c r="MC52" s="128"/>
      <c r="MD52" s="128"/>
      <c r="ME52" s="128"/>
      <c r="MF52" s="128"/>
      <c r="MG52" s="128"/>
      <c r="MH52" s="128"/>
      <c r="MI52" s="128"/>
      <c r="MJ52" s="128"/>
      <c r="MK52" s="128"/>
      <c r="ML52" s="128"/>
      <c r="MM52" s="128"/>
      <c r="MN52" s="128"/>
      <c r="MO52" s="128"/>
      <c r="MP52" s="128"/>
      <c r="MQ52" s="128"/>
      <c r="MR52" s="128"/>
      <c r="MS52" s="128"/>
      <c r="MT52" s="128"/>
      <c r="MU52" s="128"/>
      <c r="MV52" s="128"/>
      <c r="MW52" s="128"/>
      <c r="MX52" s="128"/>
      <c r="MY52" s="128"/>
      <c r="MZ52" s="128"/>
      <c r="NA52" s="128"/>
      <c r="NB52" s="128"/>
      <c r="NC52" s="128"/>
      <c r="ND52" s="128"/>
      <c r="NE52" s="128"/>
      <c r="NF52" s="128"/>
      <c r="NG52" s="128"/>
      <c r="NH52" s="128"/>
      <c r="NI52" s="128"/>
      <c r="NJ52" s="128"/>
      <c r="NK52" s="128"/>
      <c r="NL52" s="128"/>
      <c r="NM52" s="128"/>
      <c r="NN52" s="128"/>
      <c r="NO52" s="128"/>
      <c r="NP52" s="128"/>
      <c r="NQ52" s="128"/>
      <c r="NR52" s="128"/>
      <c r="NS52" s="128"/>
      <c r="NT52" s="128"/>
      <c r="NU52" s="128"/>
      <c r="NV52" s="128"/>
      <c r="NW52" s="128"/>
      <c r="NX52" s="128"/>
      <c r="NY52" s="128"/>
      <c r="NZ52" s="128"/>
      <c r="OA52" s="128"/>
      <c r="OB52" s="128"/>
      <c r="OC52" s="128"/>
      <c r="OD52" s="128"/>
      <c r="OE52" s="128"/>
      <c r="OF52" s="128"/>
      <c r="OG52" s="128"/>
      <c r="OH52" s="128"/>
      <c r="OI52" s="128"/>
      <c r="OJ52" s="128"/>
      <c r="OK52" s="128"/>
      <c r="OL52" s="128"/>
      <c r="OM52" s="128"/>
      <c r="ON52" s="128"/>
      <c r="OO52" s="128"/>
      <c r="OP52" s="128"/>
      <c r="OQ52" s="128"/>
      <c r="OR52" s="128"/>
      <c r="OS52" s="128"/>
      <c r="OT52" s="128"/>
      <c r="OU52" s="128"/>
      <c r="OV52" s="128"/>
      <c r="OW52" s="128"/>
      <c r="OX52" s="128"/>
      <c r="OY52" s="128"/>
      <c r="OZ52" s="128"/>
      <c r="PA52" s="128"/>
      <c r="PB52" s="128"/>
      <c r="PC52" s="128"/>
      <c r="PD52" s="128"/>
      <c r="PE52" s="128"/>
      <c r="PF52" s="128"/>
      <c r="PG52" s="128"/>
      <c r="PH52" s="128"/>
      <c r="PI52" s="128"/>
      <c r="PJ52" s="128"/>
      <c r="PK52" s="128"/>
      <c r="PL52" s="128"/>
      <c r="PM52" s="128"/>
      <c r="PN52" s="128"/>
      <c r="PO52" s="128"/>
      <c r="PP52" s="128"/>
      <c r="PQ52" s="128"/>
      <c r="PR52" s="128"/>
      <c r="PS52" s="128"/>
      <c r="PT52" s="128"/>
      <c r="PU52" s="128"/>
      <c r="PV52" s="128"/>
      <c r="PW52" s="128"/>
      <c r="PX52" s="128"/>
      <c r="PY52" s="128"/>
      <c r="PZ52" s="128"/>
      <c r="QA52" s="128"/>
      <c r="QB52" s="128"/>
      <c r="QC52" s="128"/>
      <c r="QD52" s="128"/>
      <c r="QE52" s="128"/>
      <c r="QF52" s="128"/>
      <c r="QG52" s="128"/>
      <c r="QH52" s="128"/>
      <c r="QI52" s="128"/>
      <c r="QJ52" s="128"/>
      <c r="QK52" s="128"/>
      <c r="QL52" s="128"/>
      <c r="QM52" s="128"/>
      <c r="QN52" s="128"/>
      <c r="QO52" s="128"/>
      <c r="QP52" s="128"/>
      <c r="QQ52" s="128"/>
      <c r="QR52" s="128"/>
      <c r="QS52" s="128"/>
      <c r="QT52" s="128"/>
      <c r="QU52" s="128"/>
      <c r="QV52" s="128"/>
      <c r="QW52" s="128"/>
      <c r="QX52" s="128"/>
      <c r="QY52" s="128"/>
      <c r="QZ52" s="128"/>
      <c r="RA52" s="128"/>
      <c r="RB52" s="128"/>
      <c r="RC52" s="128"/>
      <c r="RD52" s="128"/>
      <c r="RE52" s="128"/>
      <c r="RF52" s="128"/>
      <c r="RG52" s="128"/>
      <c r="RH52" s="128"/>
      <c r="RI52" s="128"/>
      <c r="RJ52" s="128"/>
      <c r="RK52" s="128"/>
      <c r="RL52" s="128"/>
      <c r="RM52" s="128"/>
      <c r="RN52" s="128"/>
      <c r="RO52" s="128"/>
      <c r="RP52" s="128"/>
      <c r="RQ52" s="128"/>
      <c r="RR52" s="128"/>
      <c r="RS52" s="128"/>
      <c r="RT52" s="128"/>
      <c r="RU52" s="128"/>
      <c r="RV52" s="128"/>
      <c r="RW52" s="128"/>
      <c r="RX52" s="128"/>
      <c r="RY52" s="128"/>
      <c r="RZ52" s="128"/>
      <c r="SA52" s="128"/>
      <c r="SB52" s="128"/>
      <c r="SC52" s="128"/>
      <c r="SD52" s="128"/>
      <c r="SE52" s="128"/>
      <c r="SF52" s="128"/>
      <c r="SG52" s="128"/>
      <c r="SH52" s="128"/>
      <c r="SI52" s="128"/>
      <c r="SJ52" s="128"/>
      <c r="SK52" s="128"/>
      <c r="SL52" s="128"/>
      <c r="SM52" s="128"/>
      <c r="SN52" s="128"/>
      <c r="SO52" s="128"/>
      <c r="SP52" s="128"/>
      <c r="SQ52" s="128"/>
      <c r="SR52" s="128"/>
      <c r="SS52" s="128"/>
      <c r="ST52" s="128"/>
      <c r="SU52" s="128"/>
      <c r="SV52" s="128"/>
      <c r="SW52" s="128"/>
      <c r="SX52" s="128"/>
      <c r="SY52" s="128"/>
      <c r="SZ52" s="128"/>
      <c r="TA52" s="128"/>
      <c r="TB52" s="128"/>
      <c r="TC52" s="128"/>
      <c r="TD52" s="128"/>
      <c r="TE52" s="128"/>
      <c r="TF52" s="128"/>
      <c r="TG52" s="128"/>
      <c r="TH52" s="128"/>
      <c r="TI52" s="128"/>
      <c r="TJ52" s="128"/>
      <c r="TK52" s="128"/>
      <c r="TL52" s="128"/>
      <c r="TM52" s="128"/>
      <c r="TN52" s="128"/>
      <c r="TO52" s="128"/>
      <c r="TP52" s="128"/>
      <c r="TQ52" s="128"/>
      <c r="TR52" s="128"/>
      <c r="TS52" s="128"/>
      <c r="TT52" s="128"/>
      <c r="TU52" s="128"/>
      <c r="TV52" s="128"/>
      <c r="TW52" s="128"/>
      <c r="TX52" s="128"/>
      <c r="TY52" s="128"/>
      <c r="TZ52" s="128"/>
      <c r="UA52" s="128"/>
      <c r="UB52" s="128"/>
      <c r="UC52" s="128"/>
      <c r="UD52" s="128"/>
      <c r="UE52" s="128"/>
      <c r="UF52" s="128"/>
      <c r="UG52" s="128"/>
      <c r="UH52" s="128"/>
      <c r="UI52" s="128"/>
      <c r="UJ52" s="128"/>
      <c r="UK52" s="128"/>
      <c r="UL52" s="128"/>
      <c r="UM52" s="128"/>
      <c r="UN52" s="128"/>
      <c r="UO52" s="128"/>
      <c r="UP52" s="128"/>
      <c r="UQ52" s="128"/>
      <c r="UR52" s="128"/>
      <c r="US52" s="128"/>
      <c r="UT52" s="128"/>
      <c r="UU52" s="128"/>
      <c r="UV52" s="128"/>
      <c r="UW52" s="128"/>
      <c r="UX52" s="128"/>
      <c r="UY52" s="128"/>
      <c r="UZ52" s="128"/>
      <c r="VA52" s="128"/>
      <c r="VB52" s="128"/>
      <c r="VC52" s="128"/>
      <c r="VD52" s="128"/>
      <c r="VE52" s="128"/>
      <c r="VF52" s="128"/>
      <c r="VG52" s="128"/>
      <c r="VH52" s="128"/>
      <c r="VI52" s="128"/>
      <c r="VJ52" s="128"/>
      <c r="VK52" s="128"/>
      <c r="VL52" s="128"/>
      <c r="VM52" s="128"/>
      <c r="VN52" s="128"/>
      <c r="VO52" s="128"/>
      <c r="VP52" s="128"/>
      <c r="VQ52" s="128"/>
      <c r="VR52" s="128"/>
      <c r="VS52" s="128"/>
      <c r="VT52" s="128"/>
      <c r="VU52" s="128"/>
      <c r="VV52" s="128"/>
      <c r="VW52" s="128"/>
      <c r="VX52" s="128"/>
      <c r="VY52" s="128"/>
      <c r="VZ52" s="128"/>
      <c r="WA52" s="128"/>
      <c r="WB52" s="128"/>
      <c r="WC52" s="128"/>
      <c r="WD52" s="128"/>
      <c r="WE52" s="128"/>
      <c r="WF52" s="128"/>
      <c r="WG52" s="128"/>
      <c r="WH52" s="128"/>
      <c r="WI52" s="128"/>
      <c r="WJ52" s="128"/>
      <c r="WK52" s="128"/>
      <c r="WL52" s="128"/>
      <c r="WM52" s="128"/>
      <c r="WN52" s="128"/>
      <c r="WO52" s="128"/>
      <c r="WP52" s="128"/>
      <c r="WQ52" s="128"/>
      <c r="WR52" s="128"/>
      <c r="WS52" s="128"/>
      <c r="WT52" s="128"/>
      <c r="WU52" s="128"/>
      <c r="WV52" s="128"/>
      <c r="WW52" s="128"/>
      <c r="WX52" s="128"/>
      <c r="WY52" s="128"/>
      <c r="WZ52" s="128"/>
      <c r="XA52" s="128"/>
      <c r="XB52" s="128"/>
      <c r="XC52" s="128"/>
      <c r="XD52" s="128"/>
      <c r="XE52" s="128"/>
      <c r="XF52" s="128"/>
      <c r="XG52" s="128"/>
      <c r="XH52" s="128"/>
      <c r="XI52" s="128"/>
      <c r="XJ52" s="128"/>
      <c r="XK52" s="128"/>
      <c r="XL52" s="128"/>
      <c r="XM52" s="128"/>
      <c r="XN52" s="128"/>
      <c r="XO52" s="128"/>
      <c r="XP52" s="128"/>
      <c r="XQ52" s="128"/>
      <c r="XR52" s="128"/>
      <c r="XS52" s="128"/>
      <c r="XT52" s="128"/>
      <c r="XU52" s="128"/>
      <c r="XV52" s="128"/>
      <c r="XW52" s="128"/>
      <c r="XX52" s="128"/>
      <c r="XY52" s="128"/>
      <c r="XZ52" s="128"/>
      <c r="YA52" s="128"/>
      <c r="YB52" s="128"/>
      <c r="YC52" s="128"/>
      <c r="YD52" s="128"/>
      <c r="YE52" s="128"/>
      <c r="YF52" s="128"/>
      <c r="YG52" s="128"/>
      <c r="YH52" s="128"/>
      <c r="YI52" s="128"/>
      <c r="YJ52" s="128"/>
      <c r="YK52" s="128"/>
      <c r="YL52" s="128"/>
      <c r="YM52" s="128"/>
      <c r="YN52" s="128"/>
      <c r="YO52" s="128"/>
      <c r="YP52" s="128"/>
      <c r="YQ52" s="128"/>
      <c r="YR52" s="128"/>
      <c r="YS52" s="128"/>
      <c r="YT52" s="128"/>
      <c r="YU52" s="128"/>
      <c r="YV52" s="128"/>
      <c r="YW52" s="128"/>
      <c r="YX52" s="128"/>
      <c r="YY52" s="128"/>
      <c r="YZ52" s="128"/>
      <c r="ZA52" s="128"/>
      <c r="ZB52" s="128"/>
      <c r="ZC52" s="128"/>
      <c r="ZD52" s="128"/>
      <c r="ZE52" s="128"/>
      <c r="ZF52" s="128"/>
      <c r="ZG52" s="128"/>
      <c r="ZH52" s="128"/>
      <c r="ZI52" s="128"/>
      <c r="ZJ52" s="128"/>
      <c r="ZK52" s="128"/>
      <c r="ZL52" s="128"/>
      <c r="ZM52" s="128"/>
      <c r="ZN52" s="128"/>
      <c r="ZO52" s="128"/>
      <c r="ZP52" s="128"/>
      <c r="ZQ52" s="128"/>
      <c r="ZR52" s="128"/>
      <c r="ZS52" s="128"/>
      <c r="ZT52" s="128"/>
      <c r="ZU52" s="128"/>
      <c r="ZV52" s="128"/>
      <c r="ZW52" s="128"/>
      <c r="ZX52" s="128"/>
      <c r="ZY52" s="128"/>
      <c r="ZZ52" s="128"/>
      <c r="AAA52" s="128"/>
      <c r="AAB52" s="128"/>
      <c r="AAC52" s="128"/>
      <c r="AAD52" s="128"/>
      <c r="AAE52" s="128"/>
      <c r="AAF52" s="128"/>
      <c r="AAG52" s="128"/>
      <c r="AAH52" s="128"/>
      <c r="AAI52" s="128"/>
      <c r="AAJ52" s="128"/>
      <c r="AAK52" s="128"/>
      <c r="AAL52" s="128"/>
      <c r="AAM52" s="128"/>
      <c r="AAN52" s="128"/>
      <c r="AAO52" s="128"/>
      <c r="AAP52" s="128"/>
      <c r="AAQ52" s="128"/>
      <c r="AAR52" s="128"/>
      <c r="AAS52" s="128"/>
      <c r="AAT52" s="128"/>
      <c r="AAU52" s="128"/>
      <c r="AAV52" s="128"/>
      <c r="AAW52" s="128"/>
      <c r="AAX52" s="128"/>
      <c r="AAY52" s="128"/>
      <c r="AAZ52" s="128"/>
      <c r="ABA52" s="128"/>
      <c r="ABB52" s="128"/>
      <c r="ABC52" s="128"/>
      <c r="ABD52" s="128"/>
      <c r="ABE52" s="128"/>
      <c r="ABF52" s="128"/>
      <c r="ABG52" s="128"/>
      <c r="ABH52" s="128"/>
      <c r="ABI52" s="128"/>
      <c r="ABJ52" s="128"/>
      <c r="ABK52" s="128"/>
      <c r="ABL52" s="128"/>
      <c r="ABM52" s="128"/>
      <c r="ABN52" s="128"/>
      <c r="ABO52" s="128"/>
      <c r="ABP52" s="128"/>
      <c r="ABQ52" s="128"/>
      <c r="ABR52" s="128"/>
      <c r="ABS52" s="128"/>
      <c r="ABT52" s="128"/>
      <c r="ABU52" s="128"/>
      <c r="ABV52" s="128"/>
      <c r="ABW52" s="128"/>
      <c r="ABX52" s="128"/>
      <c r="ABY52" s="128"/>
      <c r="ABZ52" s="128"/>
      <c r="ACA52" s="128"/>
      <c r="ACB52" s="128"/>
      <c r="ACC52" s="128"/>
      <c r="ACD52" s="128"/>
      <c r="ACE52" s="128"/>
      <c r="ACF52" s="128"/>
      <c r="ACG52" s="128"/>
      <c r="ACH52" s="128"/>
      <c r="ACI52" s="128"/>
      <c r="ACJ52" s="128"/>
      <c r="ACK52" s="128"/>
      <c r="ACL52" s="128"/>
      <c r="ACM52" s="128"/>
      <c r="ACN52" s="128"/>
      <c r="ACO52" s="128"/>
      <c r="ACP52" s="128"/>
      <c r="ACQ52" s="128"/>
      <c r="ACR52" s="128"/>
      <c r="ACS52" s="128"/>
      <c r="ACT52" s="128"/>
      <c r="ACU52" s="128"/>
      <c r="ACV52" s="128"/>
      <c r="ACW52" s="128"/>
      <c r="ACX52" s="128"/>
      <c r="ACY52" s="128"/>
      <c r="ACZ52" s="128"/>
      <c r="ADA52" s="128"/>
      <c r="ADB52" s="128"/>
      <c r="ADC52" s="128"/>
      <c r="ADD52" s="128"/>
      <c r="ADE52" s="128"/>
      <c r="ADF52" s="128"/>
      <c r="ADG52" s="128"/>
      <c r="ADH52" s="128"/>
      <c r="ADI52" s="128"/>
      <c r="ADJ52" s="128"/>
      <c r="ADK52" s="128"/>
      <c r="ADL52" s="128"/>
      <c r="ADM52" s="128"/>
      <c r="ADN52" s="128"/>
      <c r="ADO52" s="128"/>
      <c r="ADP52" s="128"/>
      <c r="ADQ52" s="128"/>
      <c r="ADR52" s="128"/>
      <c r="ADS52" s="128"/>
      <c r="ADT52" s="128"/>
      <c r="ADU52" s="128"/>
      <c r="ADV52" s="128"/>
      <c r="ADW52" s="128"/>
      <c r="ADX52" s="128"/>
      <c r="ADY52" s="128"/>
      <c r="ADZ52" s="128"/>
      <c r="AEA52" s="128"/>
      <c r="AEB52" s="128"/>
      <c r="AEC52" s="128"/>
      <c r="AED52" s="128"/>
      <c r="AEE52" s="128"/>
      <c r="AEF52" s="128"/>
      <c r="AEG52" s="128"/>
      <c r="AEH52" s="128"/>
      <c r="AEI52" s="128"/>
      <c r="AEJ52" s="128"/>
      <c r="AEK52" s="128"/>
      <c r="AEL52" s="128"/>
      <c r="AEM52" s="128"/>
      <c r="AEN52" s="128"/>
      <c r="AEO52" s="128"/>
      <c r="AEP52" s="128"/>
      <c r="AEQ52" s="128"/>
      <c r="AER52" s="128"/>
      <c r="AES52" s="128"/>
      <c r="AET52" s="128"/>
      <c r="AEU52" s="128"/>
      <c r="AEV52" s="128"/>
      <c r="AEW52" s="128"/>
      <c r="AEX52" s="128"/>
      <c r="AEY52" s="128"/>
      <c r="AEZ52" s="128"/>
      <c r="AFA52" s="128"/>
      <c r="AFB52" s="128"/>
      <c r="AFC52" s="128"/>
      <c r="AFD52" s="128"/>
      <c r="AFE52" s="128"/>
      <c r="AFF52" s="128"/>
      <c r="AFG52" s="128"/>
      <c r="AFH52" s="128"/>
      <c r="AFI52" s="128"/>
      <c r="AFJ52" s="128"/>
      <c r="AFK52" s="128"/>
      <c r="AFL52" s="128"/>
      <c r="AFM52" s="128"/>
      <c r="AFN52" s="128"/>
      <c r="AFO52" s="128"/>
      <c r="AFP52" s="128"/>
      <c r="AFQ52" s="128"/>
      <c r="AFR52" s="128"/>
      <c r="AFS52" s="128"/>
      <c r="AFT52" s="128"/>
      <c r="AFU52" s="128"/>
      <c r="AFV52" s="128"/>
      <c r="AFW52" s="128"/>
      <c r="AFX52" s="128"/>
      <c r="AFY52" s="128"/>
      <c r="AFZ52" s="128"/>
      <c r="AGA52" s="128"/>
      <c r="AGB52" s="128"/>
      <c r="AGC52" s="128"/>
      <c r="AGD52" s="128"/>
      <c r="AGE52" s="128"/>
      <c r="AGF52" s="128"/>
      <c r="AGG52" s="128"/>
      <c r="AGH52" s="128"/>
      <c r="AGI52" s="128"/>
      <c r="AGJ52" s="128"/>
      <c r="AGK52" s="128"/>
      <c r="AGL52" s="128"/>
      <c r="AGM52" s="128"/>
      <c r="AGN52" s="128"/>
      <c r="AGO52" s="128"/>
      <c r="AGP52" s="128"/>
      <c r="AGQ52" s="128"/>
      <c r="AGR52" s="128"/>
      <c r="AGS52" s="128"/>
      <c r="AGT52" s="128"/>
      <c r="AGU52" s="128"/>
      <c r="AGV52" s="128"/>
      <c r="AGW52" s="128"/>
      <c r="AGX52" s="128"/>
      <c r="AGY52" s="128"/>
      <c r="AGZ52" s="128"/>
      <c r="AHA52" s="128"/>
      <c r="AHB52" s="128"/>
      <c r="AHC52" s="128"/>
      <c r="AHD52" s="128"/>
      <c r="AHE52" s="128"/>
      <c r="AHF52" s="128"/>
      <c r="AHG52" s="128"/>
      <c r="AHH52" s="128"/>
      <c r="AHI52" s="128"/>
      <c r="AHJ52" s="128"/>
      <c r="AHK52" s="128"/>
      <c r="AHL52" s="128"/>
      <c r="AHM52" s="128"/>
      <c r="AHN52" s="128"/>
      <c r="AHO52" s="128"/>
      <c r="AHP52" s="128"/>
      <c r="AHQ52" s="128"/>
      <c r="AHR52" s="128"/>
      <c r="AHS52" s="128"/>
      <c r="AHT52" s="128"/>
      <c r="AHU52" s="128"/>
      <c r="AHV52" s="128"/>
      <c r="AHW52" s="128"/>
      <c r="AHX52" s="128"/>
      <c r="AHY52" s="128"/>
      <c r="AHZ52" s="128"/>
      <c r="AIA52" s="128"/>
      <c r="AIB52" s="128"/>
      <c r="AIC52" s="128"/>
      <c r="AID52" s="128"/>
      <c r="AIE52" s="128"/>
      <c r="AIF52" s="128"/>
      <c r="AIG52" s="128"/>
      <c r="AIH52" s="128"/>
      <c r="AII52" s="128"/>
      <c r="AIJ52" s="128"/>
      <c r="AIK52" s="128"/>
      <c r="AIL52" s="128"/>
      <c r="AIM52" s="128"/>
      <c r="AIN52" s="128"/>
      <c r="AIO52" s="128"/>
      <c r="AIP52" s="128"/>
      <c r="AIQ52" s="128"/>
      <c r="AIR52" s="128"/>
      <c r="AIS52" s="128"/>
      <c r="AIT52" s="128"/>
      <c r="AIU52" s="128"/>
      <c r="AIV52" s="128"/>
      <c r="AIW52" s="128"/>
      <c r="AIX52" s="128"/>
      <c r="AIY52" s="128"/>
      <c r="AIZ52" s="128"/>
      <c r="AJA52" s="128"/>
      <c r="AJB52" s="128"/>
      <c r="AJC52" s="128"/>
      <c r="AJD52" s="128"/>
      <c r="AJE52" s="128"/>
      <c r="AJF52" s="128"/>
      <c r="AJG52" s="128"/>
      <c r="AJH52" s="128"/>
      <c r="AJI52" s="128"/>
      <c r="AJJ52" s="128"/>
      <c r="AJK52" s="128"/>
      <c r="AJL52" s="128"/>
      <c r="AJM52" s="128"/>
      <c r="AJN52" s="128"/>
      <c r="AJO52" s="128"/>
      <c r="AJP52" s="128"/>
      <c r="AJQ52" s="128"/>
      <c r="AJR52" s="128"/>
      <c r="AJS52" s="128"/>
      <c r="AJT52" s="128"/>
      <c r="AJU52" s="128"/>
      <c r="AJV52" s="128"/>
      <c r="AJW52" s="128"/>
      <c r="AJX52" s="128"/>
      <c r="AJY52" s="128"/>
      <c r="AJZ52" s="128"/>
      <c r="AKA52" s="128"/>
      <c r="AKB52" s="128"/>
      <c r="AKC52" s="128"/>
      <c r="AKD52" s="128"/>
      <c r="AKE52" s="128"/>
      <c r="AKF52" s="128"/>
      <c r="AKG52" s="128"/>
      <c r="AKH52" s="128"/>
      <c r="AKI52" s="128"/>
      <c r="AKJ52" s="128"/>
      <c r="AKK52" s="128"/>
      <c r="AKL52" s="128"/>
      <c r="AKM52" s="128"/>
      <c r="AKN52" s="128"/>
      <c r="AKO52" s="128"/>
      <c r="AKP52" s="128"/>
      <c r="AKQ52" s="128"/>
      <c r="AKR52" s="128"/>
      <c r="AKS52" s="128"/>
      <c r="AKT52" s="128"/>
      <c r="AKU52" s="128"/>
      <c r="AKV52" s="128"/>
      <c r="AKW52" s="128"/>
      <c r="AKX52" s="128"/>
      <c r="AKY52" s="128"/>
      <c r="AKZ52" s="128"/>
      <c r="ALA52" s="128"/>
      <c r="ALB52" s="128"/>
      <c r="ALC52" s="128"/>
      <c r="ALD52" s="128"/>
      <c r="ALE52" s="128"/>
      <c r="ALF52" s="128"/>
      <c r="ALG52" s="128"/>
      <c r="ALH52" s="128"/>
      <c r="ALI52" s="128"/>
      <c r="ALJ52" s="128"/>
      <c r="ALK52" s="128"/>
      <c r="ALL52" s="128"/>
      <c r="ALM52" s="128"/>
      <c r="ALN52" s="128"/>
      <c r="ALO52" s="128"/>
      <c r="ALP52" s="128"/>
      <c r="ALQ52" s="128"/>
      <c r="ALR52" s="128"/>
      <c r="ALS52"/>
      <c r="ALT52"/>
      <c r="ALU52"/>
    </row>
    <row r="53" spans="1:1009" s="96" customFormat="1" ht="12" customHeight="1">
      <c r="A53" s="136"/>
      <c r="B53" s="136"/>
      <c r="C53" s="136"/>
      <c r="D53" s="136"/>
      <c r="E53" s="136"/>
      <c r="F53" s="136"/>
      <c r="I53" s="225"/>
      <c r="J53" s="159"/>
      <c r="L53" s="173"/>
      <c r="N53" s="277"/>
      <c r="R53"/>
      <c r="S53" s="179"/>
      <c r="U53" s="159"/>
      <c r="X53"/>
      <c r="Y53" s="128"/>
      <c r="Z53" s="128"/>
      <c r="AA53" s="128"/>
      <c r="AB53" s="128"/>
      <c r="AC53" s="128"/>
      <c r="AD53" s="128"/>
      <c r="AE53" s="128"/>
      <c r="AF53" s="128"/>
      <c r="AG53" s="128"/>
      <c r="AH53" s="128"/>
      <c r="AI53" s="128"/>
      <c r="AJ53" s="128"/>
      <c r="AK53" s="128"/>
      <c r="AL53" s="128"/>
      <c r="AM53" s="128"/>
      <c r="AN53" s="128"/>
      <c r="AO53" s="128"/>
      <c r="AP53" s="128"/>
      <c r="AQ53" s="128"/>
      <c r="AR53" s="128"/>
      <c r="AS53" s="128"/>
      <c r="AT53" s="128"/>
      <c r="AU53" s="128"/>
      <c r="AV53" s="128"/>
      <c r="AW53" s="128"/>
      <c r="AX53" s="128"/>
      <c r="AY53" s="128"/>
      <c r="AZ53" s="128"/>
      <c r="BA53" s="128"/>
      <c r="BB53" s="128"/>
      <c r="BC53" s="128"/>
      <c r="BD53" s="128"/>
      <c r="BE53" s="128"/>
      <c r="BF53" s="128"/>
      <c r="BG53" s="128"/>
      <c r="BH53" s="128"/>
      <c r="BI53" s="128"/>
      <c r="BJ53" s="128"/>
      <c r="BK53" s="128"/>
      <c r="BL53" s="128"/>
      <c r="BM53" s="128"/>
      <c r="BN53" s="128"/>
      <c r="BO53" s="128"/>
      <c r="BP53" s="128"/>
      <c r="BQ53" s="128"/>
      <c r="BR53" s="128"/>
      <c r="BS53" s="128"/>
      <c r="BT53" s="128"/>
      <c r="BU53" s="128"/>
      <c r="BV53" s="128"/>
      <c r="BW53" s="128"/>
      <c r="BX53" s="128"/>
      <c r="BY53" s="128"/>
      <c r="BZ53" s="128"/>
      <c r="CA53" s="128"/>
      <c r="CB53" s="128"/>
      <c r="CC53" s="128"/>
      <c r="CD53" s="128"/>
      <c r="CE53" s="128"/>
      <c r="CF53" s="128"/>
      <c r="CG53" s="128"/>
      <c r="CH53" s="128"/>
      <c r="CI53" s="128"/>
      <c r="CJ53" s="128"/>
      <c r="CK53" s="128"/>
      <c r="CL53" s="128"/>
      <c r="CM53" s="128"/>
      <c r="CN53" s="128"/>
      <c r="CO53" s="128"/>
      <c r="CP53" s="128"/>
      <c r="CQ53" s="128"/>
      <c r="CR53" s="128"/>
      <c r="CS53" s="128"/>
      <c r="CT53" s="128"/>
      <c r="CU53" s="128"/>
      <c r="CV53" s="128"/>
      <c r="CW53" s="128"/>
      <c r="CX53" s="128"/>
      <c r="CY53" s="128"/>
      <c r="CZ53" s="128"/>
      <c r="DA53" s="128"/>
      <c r="DB53" s="128"/>
      <c r="DC53" s="128"/>
      <c r="DD53" s="128"/>
      <c r="DE53" s="128"/>
      <c r="DF53" s="128"/>
      <c r="DG53" s="128"/>
      <c r="DH53" s="128"/>
      <c r="DI53" s="128"/>
      <c r="DJ53" s="128"/>
      <c r="DK53" s="128"/>
      <c r="DL53" s="128"/>
      <c r="DM53" s="128"/>
      <c r="DN53" s="128"/>
      <c r="DO53" s="128"/>
      <c r="DP53" s="128"/>
      <c r="DQ53" s="128"/>
      <c r="DR53" s="128"/>
      <c r="DS53" s="128"/>
      <c r="DT53" s="128"/>
      <c r="DU53" s="128"/>
      <c r="DV53" s="128"/>
      <c r="DW53" s="128"/>
      <c r="DX53" s="128"/>
      <c r="DY53" s="128"/>
      <c r="DZ53" s="128"/>
      <c r="EA53" s="128"/>
      <c r="EB53" s="128"/>
      <c r="EC53" s="128"/>
      <c r="ED53" s="128"/>
      <c r="EE53" s="128"/>
      <c r="EF53" s="128"/>
      <c r="EG53" s="128"/>
      <c r="EH53" s="128"/>
      <c r="EI53" s="128"/>
      <c r="EJ53" s="128"/>
      <c r="EK53" s="128"/>
      <c r="EL53" s="128"/>
      <c r="EM53" s="128"/>
      <c r="EN53" s="128"/>
      <c r="EO53" s="128"/>
      <c r="EP53" s="128"/>
      <c r="EQ53" s="128"/>
      <c r="ER53" s="128"/>
      <c r="ES53" s="128"/>
      <c r="ET53" s="128"/>
      <c r="EU53" s="128"/>
      <c r="EV53" s="128"/>
      <c r="EW53" s="128"/>
      <c r="EX53" s="128"/>
      <c r="EY53" s="128"/>
      <c r="EZ53" s="128"/>
      <c r="FA53" s="128"/>
      <c r="FB53" s="128"/>
      <c r="FC53" s="128"/>
      <c r="FD53" s="128"/>
      <c r="FE53" s="128"/>
      <c r="FF53" s="128"/>
      <c r="FG53" s="128"/>
      <c r="FH53" s="128"/>
      <c r="FI53" s="128"/>
      <c r="FJ53" s="128"/>
      <c r="FK53" s="128"/>
      <c r="FL53" s="128"/>
      <c r="FM53" s="128"/>
      <c r="FN53" s="128"/>
      <c r="FO53" s="128"/>
      <c r="FP53" s="128"/>
      <c r="FQ53" s="128"/>
      <c r="FR53" s="128"/>
      <c r="FS53" s="128"/>
      <c r="FT53" s="128"/>
      <c r="FU53" s="128"/>
      <c r="FV53" s="128"/>
      <c r="FW53" s="128"/>
      <c r="FX53" s="128"/>
      <c r="FY53" s="128"/>
      <c r="FZ53" s="128"/>
      <c r="GA53" s="128"/>
      <c r="GB53" s="128"/>
      <c r="GC53" s="128"/>
      <c r="GD53" s="128"/>
      <c r="GE53" s="128"/>
      <c r="GF53" s="128"/>
      <c r="GG53" s="128"/>
      <c r="GH53" s="128"/>
      <c r="GI53" s="128"/>
      <c r="GJ53" s="128"/>
      <c r="GK53" s="128"/>
      <c r="GL53" s="128"/>
      <c r="GM53" s="128"/>
      <c r="GN53" s="128"/>
      <c r="GO53" s="128"/>
      <c r="GP53" s="128"/>
      <c r="GQ53" s="128"/>
      <c r="GR53" s="128"/>
      <c r="GS53" s="128"/>
      <c r="GT53" s="128"/>
      <c r="GU53" s="128"/>
      <c r="GV53" s="128"/>
      <c r="GW53" s="128"/>
      <c r="GX53" s="128"/>
      <c r="GY53" s="128"/>
      <c r="GZ53" s="128"/>
      <c r="HA53" s="128"/>
      <c r="HB53" s="128"/>
      <c r="HC53" s="128"/>
      <c r="HD53" s="128"/>
      <c r="HE53" s="128"/>
      <c r="HF53" s="128"/>
      <c r="HG53" s="128"/>
      <c r="HH53" s="128"/>
      <c r="HI53" s="128"/>
      <c r="HJ53" s="128"/>
      <c r="HK53" s="128"/>
      <c r="HL53" s="128"/>
      <c r="HM53" s="128"/>
      <c r="HN53" s="128"/>
      <c r="HO53" s="128"/>
      <c r="HP53" s="128"/>
      <c r="HQ53" s="128"/>
      <c r="HR53" s="128"/>
      <c r="HS53" s="128"/>
      <c r="HT53" s="128"/>
      <c r="HU53" s="128"/>
      <c r="HV53" s="128"/>
      <c r="HW53" s="128"/>
      <c r="HX53" s="128"/>
      <c r="HY53" s="128"/>
      <c r="HZ53" s="128"/>
      <c r="IA53" s="128"/>
      <c r="IB53" s="128"/>
      <c r="IC53" s="128"/>
      <c r="ID53" s="128"/>
      <c r="IE53" s="128"/>
      <c r="IF53" s="128"/>
      <c r="IG53" s="128"/>
      <c r="IH53" s="128"/>
      <c r="II53" s="128"/>
      <c r="IJ53" s="128"/>
      <c r="IK53" s="128"/>
      <c r="IL53" s="128"/>
      <c r="IM53" s="128"/>
      <c r="IN53" s="128"/>
      <c r="IO53" s="128"/>
      <c r="IP53" s="128"/>
      <c r="IQ53" s="128"/>
      <c r="IR53" s="128"/>
      <c r="IS53" s="128"/>
      <c r="IT53" s="128"/>
      <c r="IU53" s="128"/>
      <c r="IV53" s="128"/>
      <c r="IW53" s="128"/>
      <c r="IX53" s="128"/>
      <c r="IY53" s="128"/>
      <c r="IZ53" s="128"/>
      <c r="JA53" s="128"/>
      <c r="JB53" s="128"/>
      <c r="JC53" s="128"/>
      <c r="JD53" s="128"/>
      <c r="JE53" s="128"/>
      <c r="JF53" s="128"/>
      <c r="JG53" s="128"/>
      <c r="JH53" s="128"/>
      <c r="JI53" s="128"/>
      <c r="JJ53" s="128"/>
      <c r="JK53" s="128"/>
      <c r="JL53" s="128"/>
      <c r="JM53" s="128"/>
      <c r="JN53" s="128"/>
      <c r="JO53" s="128"/>
      <c r="JP53" s="128"/>
      <c r="JQ53" s="128"/>
      <c r="JR53" s="128"/>
      <c r="JS53" s="128"/>
      <c r="JT53" s="128"/>
      <c r="JU53" s="128"/>
      <c r="JV53" s="128"/>
      <c r="JW53" s="128"/>
      <c r="JX53" s="128"/>
      <c r="JY53" s="128"/>
      <c r="JZ53" s="128"/>
      <c r="KA53" s="128"/>
      <c r="KB53" s="128"/>
      <c r="KC53" s="128"/>
      <c r="KD53" s="128"/>
      <c r="KE53" s="128"/>
      <c r="KF53" s="128"/>
      <c r="KG53" s="128"/>
      <c r="KH53" s="128"/>
      <c r="KI53" s="128"/>
      <c r="KJ53" s="128"/>
      <c r="KK53" s="128"/>
      <c r="KL53" s="128"/>
      <c r="KM53" s="128"/>
      <c r="KN53" s="128"/>
      <c r="KO53" s="128"/>
      <c r="KP53" s="128"/>
      <c r="KQ53" s="128"/>
      <c r="KR53" s="128"/>
      <c r="KS53" s="128"/>
      <c r="KT53" s="128"/>
      <c r="KU53" s="128"/>
      <c r="KV53" s="128"/>
      <c r="KW53" s="128"/>
      <c r="KX53" s="128"/>
      <c r="KY53" s="128"/>
      <c r="KZ53" s="128"/>
      <c r="LA53" s="128"/>
      <c r="LB53" s="128"/>
      <c r="LC53" s="128"/>
      <c r="LD53" s="128"/>
      <c r="LE53" s="128"/>
      <c r="LF53" s="128"/>
      <c r="LG53" s="128"/>
      <c r="LH53" s="128"/>
      <c r="LI53" s="128"/>
      <c r="LJ53" s="128"/>
      <c r="LK53" s="128"/>
      <c r="LL53" s="128"/>
      <c r="LM53" s="128"/>
      <c r="LN53" s="128"/>
      <c r="LO53" s="128"/>
      <c r="LP53" s="128"/>
      <c r="LQ53" s="128"/>
      <c r="LR53" s="128"/>
      <c r="LS53" s="128"/>
      <c r="LT53" s="128"/>
      <c r="LU53" s="128"/>
      <c r="LV53" s="128"/>
      <c r="LW53" s="128"/>
      <c r="LX53" s="128"/>
      <c r="LY53" s="128"/>
      <c r="LZ53" s="128"/>
      <c r="MA53" s="128"/>
      <c r="MB53" s="128"/>
      <c r="MC53" s="128"/>
      <c r="MD53" s="128"/>
      <c r="ME53" s="128"/>
      <c r="MF53" s="128"/>
      <c r="MG53" s="128"/>
      <c r="MH53" s="128"/>
      <c r="MI53" s="128"/>
      <c r="MJ53" s="128"/>
      <c r="MK53" s="128"/>
      <c r="ML53" s="128"/>
      <c r="MM53" s="128"/>
      <c r="MN53" s="128"/>
      <c r="MO53" s="128"/>
      <c r="MP53" s="128"/>
      <c r="MQ53" s="128"/>
      <c r="MR53" s="128"/>
      <c r="MS53" s="128"/>
      <c r="MT53" s="128"/>
      <c r="MU53" s="128"/>
      <c r="MV53" s="128"/>
      <c r="MW53" s="128"/>
      <c r="MX53" s="128"/>
      <c r="MY53" s="128"/>
      <c r="MZ53" s="128"/>
      <c r="NA53" s="128"/>
      <c r="NB53" s="128"/>
      <c r="NC53" s="128"/>
      <c r="ND53" s="128"/>
      <c r="NE53" s="128"/>
      <c r="NF53" s="128"/>
      <c r="NG53" s="128"/>
      <c r="NH53" s="128"/>
      <c r="NI53" s="128"/>
      <c r="NJ53" s="128"/>
      <c r="NK53" s="128"/>
      <c r="NL53" s="128"/>
      <c r="NM53" s="128"/>
      <c r="NN53" s="128"/>
      <c r="NO53" s="128"/>
      <c r="NP53" s="128"/>
      <c r="NQ53" s="128"/>
      <c r="NR53" s="128"/>
      <c r="NS53" s="128"/>
      <c r="NT53" s="128"/>
      <c r="NU53" s="128"/>
      <c r="NV53" s="128"/>
      <c r="NW53" s="128"/>
      <c r="NX53" s="128"/>
      <c r="NY53" s="128"/>
      <c r="NZ53" s="128"/>
      <c r="OA53" s="128"/>
      <c r="OB53" s="128"/>
      <c r="OC53" s="128"/>
      <c r="OD53" s="128"/>
      <c r="OE53" s="128"/>
      <c r="OF53" s="128"/>
      <c r="OG53" s="128"/>
      <c r="OH53" s="128"/>
      <c r="OI53" s="128"/>
      <c r="OJ53" s="128"/>
      <c r="OK53" s="128"/>
      <c r="OL53" s="128"/>
      <c r="OM53" s="128"/>
      <c r="ON53" s="128"/>
      <c r="OO53" s="128"/>
      <c r="OP53" s="128"/>
      <c r="OQ53" s="128"/>
      <c r="OR53" s="128"/>
      <c r="OS53" s="128"/>
      <c r="OT53" s="128"/>
      <c r="OU53" s="128"/>
      <c r="OV53" s="128"/>
      <c r="OW53" s="128"/>
      <c r="OX53" s="128"/>
      <c r="OY53" s="128"/>
      <c r="OZ53" s="128"/>
      <c r="PA53" s="128"/>
      <c r="PB53" s="128"/>
      <c r="PC53" s="128"/>
      <c r="PD53" s="128"/>
      <c r="PE53" s="128"/>
      <c r="PF53" s="128"/>
      <c r="PG53" s="128"/>
      <c r="PH53" s="128"/>
      <c r="PI53" s="128"/>
      <c r="PJ53" s="128"/>
      <c r="PK53" s="128"/>
      <c r="PL53" s="128"/>
      <c r="PM53" s="128"/>
      <c r="PN53" s="128"/>
      <c r="PO53" s="128"/>
      <c r="PP53" s="128"/>
      <c r="PQ53" s="128"/>
      <c r="PR53" s="128"/>
      <c r="PS53" s="128"/>
      <c r="PT53" s="128"/>
      <c r="PU53" s="128"/>
      <c r="PV53" s="128"/>
      <c r="PW53" s="128"/>
      <c r="PX53" s="128"/>
      <c r="PY53" s="128"/>
      <c r="PZ53" s="128"/>
      <c r="QA53" s="128"/>
      <c r="QB53" s="128"/>
      <c r="QC53" s="128"/>
      <c r="QD53" s="128"/>
      <c r="QE53" s="128"/>
      <c r="QF53" s="128"/>
      <c r="QG53" s="128"/>
      <c r="QH53" s="128"/>
      <c r="QI53" s="128"/>
      <c r="QJ53" s="128"/>
      <c r="QK53" s="128"/>
      <c r="QL53" s="128"/>
      <c r="QM53" s="128"/>
      <c r="QN53" s="128"/>
      <c r="QO53" s="128"/>
      <c r="QP53" s="128"/>
      <c r="QQ53" s="128"/>
      <c r="QR53" s="128"/>
      <c r="QS53" s="128"/>
      <c r="QT53" s="128"/>
      <c r="QU53" s="128"/>
      <c r="QV53" s="128"/>
      <c r="QW53" s="128"/>
      <c r="QX53" s="128"/>
      <c r="QY53" s="128"/>
      <c r="QZ53" s="128"/>
      <c r="RA53" s="128"/>
      <c r="RB53" s="128"/>
      <c r="RC53" s="128"/>
      <c r="RD53" s="128"/>
      <c r="RE53" s="128"/>
      <c r="RF53" s="128"/>
      <c r="RG53" s="128"/>
      <c r="RH53" s="128"/>
      <c r="RI53" s="128"/>
      <c r="RJ53" s="128"/>
      <c r="RK53" s="128"/>
      <c r="RL53" s="128"/>
      <c r="RM53" s="128"/>
      <c r="RN53" s="128"/>
      <c r="RO53" s="128"/>
      <c r="RP53" s="128"/>
      <c r="RQ53" s="128"/>
      <c r="RR53" s="128"/>
      <c r="RS53" s="128"/>
      <c r="RT53" s="128"/>
      <c r="RU53" s="128"/>
      <c r="RV53" s="128"/>
      <c r="RW53" s="128"/>
      <c r="RX53" s="128"/>
      <c r="RY53" s="128"/>
      <c r="RZ53" s="128"/>
      <c r="SA53" s="128"/>
      <c r="SB53" s="128"/>
      <c r="SC53" s="128"/>
      <c r="SD53" s="128"/>
      <c r="SE53" s="128"/>
      <c r="SF53" s="128"/>
      <c r="SG53" s="128"/>
      <c r="SH53" s="128"/>
      <c r="SI53" s="128"/>
      <c r="SJ53" s="128"/>
      <c r="SK53" s="128"/>
      <c r="SL53" s="128"/>
      <c r="SM53" s="128"/>
      <c r="SN53" s="128"/>
      <c r="SO53" s="128"/>
      <c r="SP53" s="128"/>
      <c r="SQ53" s="128"/>
      <c r="SR53" s="128"/>
      <c r="SS53" s="128"/>
      <c r="ST53" s="128"/>
      <c r="SU53" s="128"/>
      <c r="SV53" s="128"/>
      <c r="SW53" s="128"/>
      <c r="SX53" s="128"/>
      <c r="SY53" s="128"/>
      <c r="SZ53" s="128"/>
      <c r="TA53" s="128"/>
      <c r="TB53" s="128"/>
      <c r="TC53" s="128"/>
      <c r="TD53" s="128"/>
      <c r="TE53" s="128"/>
      <c r="TF53" s="128"/>
      <c r="TG53" s="128"/>
      <c r="TH53" s="128"/>
      <c r="TI53" s="128"/>
      <c r="TJ53" s="128"/>
      <c r="TK53" s="128"/>
      <c r="TL53" s="128"/>
      <c r="TM53" s="128"/>
      <c r="TN53" s="128"/>
      <c r="TO53" s="128"/>
      <c r="TP53" s="128"/>
      <c r="TQ53" s="128"/>
      <c r="TR53" s="128"/>
      <c r="TS53" s="128"/>
      <c r="TT53" s="128"/>
      <c r="TU53" s="128"/>
      <c r="TV53" s="128"/>
      <c r="TW53" s="128"/>
      <c r="TX53" s="128"/>
      <c r="TY53" s="128"/>
      <c r="TZ53" s="128"/>
      <c r="UA53" s="128"/>
      <c r="UB53" s="128"/>
      <c r="UC53" s="128"/>
      <c r="UD53" s="128"/>
      <c r="UE53" s="128"/>
      <c r="UF53" s="128"/>
      <c r="UG53" s="128"/>
      <c r="UH53" s="128"/>
      <c r="UI53" s="128"/>
      <c r="UJ53" s="128"/>
      <c r="UK53" s="128"/>
      <c r="UL53" s="128"/>
      <c r="UM53" s="128"/>
      <c r="UN53" s="128"/>
      <c r="UO53" s="128"/>
      <c r="UP53" s="128"/>
      <c r="UQ53" s="128"/>
      <c r="UR53" s="128"/>
      <c r="US53" s="128"/>
      <c r="UT53" s="128"/>
      <c r="UU53" s="128"/>
      <c r="UV53" s="128"/>
      <c r="UW53" s="128"/>
      <c r="UX53" s="128"/>
      <c r="UY53" s="128"/>
      <c r="UZ53" s="128"/>
      <c r="VA53" s="128"/>
      <c r="VB53" s="128"/>
      <c r="VC53" s="128"/>
      <c r="VD53" s="128"/>
      <c r="VE53" s="128"/>
      <c r="VF53" s="128"/>
      <c r="VG53" s="128"/>
      <c r="VH53" s="128"/>
      <c r="VI53" s="128"/>
      <c r="VJ53" s="128"/>
      <c r="VK53" s="128"/>
      <c r="VL53" s="128"/>
      <c r="VM53" s="128"/>
      <c r="VN53" s="128"/>
      <c r="VO53" s="128"/>
      <c r="VP53" s="128"/>
      <c r="VQ53" s="128"/>
      <c r="VR53" s="128"/>
      <c r="VS53" s="128"/>
      <c r="VT53" s="128"/>
      <c r="VU53" s="128"/>
      <c r="VV53" s="128"/>
      <c r="VW53" s="128"/>
      <c r="VX53" s="128"/>
      <c r="VY53" s="128"/>
      <c r="VZ53" s="128"/>
      <c r="WA53" s="128"/>
      <c r="WB53" s="128"/>
      <c r="WC53" s="128"/>
      <c r="WD53" s="128"/>
      <c r="WE53" s="128"/>
      <c r="WF53" s="128"/>
      <c r="WG53" s="128"/>
      <c r="WH53" s="128"/>
      <c r="WI53" s="128"/>
      <c r="WJ53" s="128"/>
      <c r="WK53" s="128"/>
      <c r="WL53" s="128"/>
      <c r="WM53" s="128"/>
      <c r="WN53" s="128"/>
      <c r="WO53" s="128"/>
      <c r="WP53" s="128"/>
      <c r="WQ53" s="128"/>
      <c r="WR53" s="128"/>
      <c r="WS53" s="128"/>
      <c r="WT53" s="128"/>
      <c r="WU53" s="128"/>
      <c r="WV53" s="128"/>
      <c r="WW53" s="128"/>
      <c r="WX53" s="128"/>
      <c r="WY53" s="128"/>
      <c r="WZ53" s="128"/>
      <c r="XA53" s="128"/>
      <c r="XB53" s="128"/>
      <c r="XC53" s="128"/>
      <c r="XD53" s="128"/>
      <c r="XE53" s="128"/>
      <c r="XF53" s="128"/>
      <c r="XG53" s="128"/>
      <c r="XH53" s="128"/>
      <c r="XI53" s="128"/>
      <c r="XJ53" s="128"/>
      <c r="XK53" s="128"/>
      <c r="XL53" s="128"/>
      <c r="XM53" s="128"/>
      <c r="XN53" s="128"/>
      <c r="XO53" s="128"/>
      <c r="XP53" s="128"/>
      <c r="XQ53" s="128"/>
      <c r="XR53" s="128"/>
      <c r="XS53" s="128"/>
      <c r="XT53" s="128"/>
      <c r="XU53" s="128"/>
      <c r="XV53" s="128"/>
      <c r="XW53" s="128"/>
      <c r="XX53" s="128"/>
      <c r="XY53" s="128"/>
      <c r="XZ53" s="128"/>
      <c r="YA53" s="128"/>
      <c r="YB53" s="128"/>
      <c r="YC53" s="128"/>
      <c r="YD53" s="128"/>
      <c r="YE53" s="128"/>
      <c r="YF53" s="128"/>
      <c r="YG53" s="128"/>
      <c r="YH53" s="128"/>
      <c r="YI53" s="128"/>
      <c r="YJ53" s="128"/>
      <c r="YK53" s="128"/>
      <c r="YL53" s="128"/>
      <c r="YM53" s="128"/>
      <c r="YN53" s="128"/>
      <c r="YO53" s="128"/>
      <c r="YP53" s="128"/>
      <c r="YQ53" s="128"/>
      <c r="YR53" s="128"/>
      <c r="YS53" s="128"/>
      <c r="YT53" s="128"/>
      <c r="YU53" s="128"/>
      <c r="YV53" s="128"/>
      <c r="YW53" s="128"/>
      <c r="YX53" s="128"/>
      <c r="YY53" s="128"/>
      <c r="YZ53" s="128"/>
      <c r="ZA53" s="128"/>
      <c r="ZB53" s="128"/>
      <c r="ZC53" s="128"/>
      <c r="ZD53" s="128"/>
      <c r="ZE53" s="128"/>
      <c r="ZF53" s="128"/>
      <c r="ZG53" s="128"/>
      <c r="ZH53" s="128"/>
      <c r="ZI53" s="128"/>
      <c r="ZJ53" s="128"/>
      <c r="ZK53" s="128"/>
      <c r="ZL53" s="128"/>
      <c r="ZM53" s="128"/>
      <c r="ZN53" s="128"/>
      <c r="ZO53" s="128"/>
      <c r="ZP53" s="128"/>
      <c r="ZQ53" s="128"/>
      <c r="ZR53" s="128"/>
      <c r="ZS53" s="128"/>
      <c r="ZT53" s="128"/>
      <c r="ZU53" s="128"/>
      <c r="ZV53" s="128"/>
      <c r="ZW53" s="128"/>
      <c r="ZX53" s="128"/>
      <c r="ZY53" s="128"/>
      <c r="ZZ53" s="128"/>
      <c r="AAA53" s="128"/>
      <c r="AAB53" s="128"/>
      <c r="AAC53" s="128"/>
      <c r="AAD53" s="128"/>
      <c r="AAE53" s="128"/>
      <c r="AAF53" s="128"/>
      <c r="AAG53" s="128"/>
      <c r="AAH53" s="128"/>
      <c r="AAI53" s="128"/>
      <c r="AAJ53" s="128"/>
      <c r="AAK53" s="128"/>
      <c r="AAL53" s="128"/>
      <c r="AAM53" s="128"/>
      <c r="AAN53" s="128"/>
      <c r="AAO53" s="128"/>
      <c r="AAP53" s="128"/>
      <c r="AAQ53" s="128"/>
      <c r="AAR53" s="128"/>
      <c r="AAS53" s="128"/>
      <c r="AAT53" s="128"/>
      <c r="AAU53" s="128"/>
      <c r="AAV53" s="128"/>
      <c r="AAW53" s="128"/>
      <c r="AAX53" s="128"/>
      <c r="AAY53" s="128"/>
      <c r="AAZ53" s="128"/>
      <c r="ABA53" s="128"/>
      <c r="ABB53" s="128"/>
      <c r="ABC53" s="128"/>
      <c r="ABD53" s="128"/>
      <c r="ABE53" s="128"/>
      <c r="ABF53" s="128"/>
      <c r="ABG53" s="128"/>
      <c r="ABH53" s="128"/>
      <c r="ABI53" s="128"/>
      <c r="ABJ53" s="128"/>
      <c r="ABK53" s="128"/>
      <c r="ABL53" s="128"/>
      <c r="ABM53" s="128"/>
      <c r="ABN53" s="128"/>
      <c r="ABO53" s="128"/>
      <c r="ABP53" s="128"/>
      <c r="ABQ53" s="128"/>
      <c r="ABR53" s="128"/>
      <c r="ABS53" s="128"/>
      <c r="ABT53" s="128"/>
      <c r="ABU53" s="128"/>
      <c r="ABV53" s="128"/>
      <c r="ABW53" s="128"/>
      <c r="ABX53" s="128"/>
      <c r="ABY53" s="128"/>
      <c r="ABZ53" s="128"/>
      <c r="ACA53" s="128"/>
      <c r="ACB53" s="128"/>
      <c r="ACC53" s="128"/>
      <c r="ACD53" s="128"/>
      <c r="ACE53" s="128"/>
      <c r="ACF53" s="128"/>
      <c r="ACG53" s="128"/>
      <c r="ACH53" s="128"/>
      <c r="ACI53" s="128"/>
      <c r="ACJ53" s="128"/>
      <c r="ACK53" s="128"/>
      <c r="ACL53" s="128"/>
      <c r="ACM53" s="128"/>
      <c r="ACN53" s="128"/>
      <c r="ACO53" s="128"/>
      <c r="ACP53" s="128"/>
      <c r="ACQ53" s="128"/>
      <c r="ACR53" s="128"/>
      <c r="ACS53" s="128"/>
      <c r="ACT53" s="128"/>
      <c r="ACU53" s="128"/>
      <c r="ACV53" s="128"/>
      <c r="ACW53" s="128"/>
      <c r="ACX53" s="128"/>
      <c r="ACY53" s="128"/>
      <c r="ACZ53" s="128"/>
      <c r="ADA53" s="128"/>
      <c r="ADB53" s="128"/>
      <c r="ADC53" s="128"/>
      <c r="ADD53" s="128"/>
      <c r="ADE53" s="128"/>
      <c r="ADF53" s="128"/>
      <c r="ADG53" s="128"/>
      <c r="ADH53" s="128"/>
      <c r="ADI53" s="128"/>
      <c r="ADJ53" s="128"/>
      <c r="ADK53" s="128"/>
      <c r="ADL53" s="128"/>
      <c r="ADM53" s="128"/>
      <c r="ADN53" s="128"/>
      <c r="ADO53" s="128"/>
      <c r="ADP53" s="128"/>
      <c r="ADQ53" s="128"/>
      <c r="ADR53" s="128"/>
      <c r="ADS53" s="128"/>
      <c r="ADT53" s="128"/>
      <c r="ADU53" s="128"/>
      <c r="ADV53" s="128"/>
      <c r="ADW53" s="128"/>
      <c r="ADX53" s="128"/>
      <c r="ADY53" s="128"/>
      <c r="ADZ53" s="128"/>
      <c r="AEA53" s="128"/>
      <c r="AEB53" s="128"/>
      <c r="AEC53" s="128"/>
      <c r="AED53" s="128"/>
      <c r="AEE53" s="128"/>
      <c r="AEF53" s="128"/>
      <c r="AEG53" s="128"/>
      <c r="AEH53" s="128"/>
      <c r="AEI53" s="128"/>
      <c r="AEJ53" s="128"/>
      <c r="AEK53" s="128"/>
      <c r="AEL53" s="128"/>
      <c r="AEM53" s="128"/>
      <c r="AEN53" s="128"/>
      <c r="AEO53" s="128"/>
      <c r="AEP53" s="128"/>
      <c r="AEQ53" s="128"/>
      <c r="AER53" s="128"/>
      <c r="AES53" s="128"/>
      <c r="AET53" s="128"/>
      <c r="AEU53" s="128"/>
      <c r="AEV53" s="128"/>
      <c r="AEW53" s="128"/>
      <c r="AEX53" s="128"/>
      <c r="AEY53" s="128"/>
      <c r="AEZ53" s="128"/>
      <c r="AFA53" s="128"/>
      <c r="AFB53" s="128"/>
      <c r="AFC53" s="128"/>
      <c r="AFD53" s="128"/>
      <c r="AFE53" s="128"/>
      <c r="AFF53" s="128"/>
      <c r="AFG53" s="128"/>
      <c r="AFH53" s="128"/>
      <c r="AFI53" s="128"/>
      <c r="AFJ53" s="128"/>
      <c r="AFK53" s="128"/>
      <c r="AFL53" s="128"/>
      <c r="AFM53" s="128"/>
      <c r="AFN53" s="128"/>
      <c r="AFO53" s="128"/>
      <c r="AFP53" s="128"/>
      <c r="AFQ53" s="128"/>
      <c r="AFR53" s="128"/>
      <c r="AFS53" s="128"/>
      <c r="AFT53" s="128"/>
      <c r="AFU53" s="128"/>
      <c r="AFV53" s="128"/>
      <c r="AFW53" s="128"/>
      <c r="AFX53" s="128"/>
      <c r="AFY53" s="128"/>
      <c r="AFZ53" s="128"/>
      <c r="AGA53" s="128"/>
      <c r="AGB53" s="128"/>
      <c r="AGC53" s="128"/>
      <c r="AGD53" s="128"/>
      <c r="AGE53" s="128"/>
      <c r="AGF53" s="128"/>
      <c r="AGG53" s="128"/>
      <c r="AGH53" s="128"/>
      <c r="AGI53" s="128"/>
      <c r="AGJ53" s="128"/>
      <c r="AGK53" s="128"/>
      <c r="AGL53" s="128"/>
      <c r="AGM53" s="128"/>
      <c r="AGN53" s="128"/>
      <c r="AGO53" s="128"/>
      <c r="AGP53" s="128"/>
      <c r="AGQ53" s="128"/>
      <c r="AGR53" s="128"/>
      <c r="AGS53" s="128"/>
      <c r="AGT53" s="128"/>
      <c r="AGU53" s="128"/>
      <c r="AGV53" s="128"/>
      <c r="AGW53" s="128"/>
      <c r="AGX53" s="128"/>
      <c r="AGY53" s="128"/>
      <c r="AGZ53" s="128"/>
      <c r="AHA53" s="128"/>
      <c r="AHB53" s="128"/>
      <c r="AHC53" s="128"/>
      <c r="AHD53" s="128"/>
      <c r="AHE53" s="128"/>
      <c r="AHF53" s="128"/>
      <c r="AHG53" s="128"/>
      <c r="AHH53" s="128"/>
      <c r="AHI53" s="128"/>
      <c r="AHJ53" s="128"/>
      <c r="AHK53" s="128"/>
      <c r="AHL53" s="128"/>
      <c r="AHM53" s="128"/>
      <c r="AHN53" s="128"/>
      <c r="AHO53" s="128"/>
      <c r="AHP53" s="128"/>
      <c r="AHQ53" s="128"/>
      <c r="AHR53" s="128"/>
      <c r="AHS53" s="128"/>
      <c r="AHT53" s="128"/>
      <c r="AHU53" s="128"/>
      <c r="AHV53" s="128"/>
      <c r="AHW53" s="128"/>
      <c r="AHX53" s="128"/>
      <c r="AHY53" s="128"/>
      <c r="AHZ53" s="128"/>
      <c r="AIA53" s="128"/>
      <c r="AIB53" s="128"/>
      <c r="AIC53" s="128"/>
      <c r="AID53" s="128"/>
      <c r="AIE53" s="128"/>
      <c r="AIF53" s="128"/>
      <c r="AIG53" s="128"/>
      <c r="AIH53" s="128"/>
      <c r="AII53" s="128"/>
      <c r="AIJ53" s="128"/>
      <c r="AIK53" s="128"/>
      <c r="AIL53" s="128"/>
      <c r="AIM53" s="128"/>
      <c r="AIN53" s="128"/>
      <c r="AIO53" s="128"/>
      <c r="AIP53" s="128"/>
      <c r="AIQ53" s="128"/>
      <c r="AIR53" s="128"/>
      <c r="AIS53" s="128"/>
      <c r="AIT53" s="128"/>
      <c r="AIU53" s="128"/>
      <c r="AIV53" s="128"/>
      <c r="AIW53" s="128"/>
      <c r="AIX53" s="128"/>
      <c r="AIY53" s="128"/>
      <c r="AIZ53" s="128"/>
      <c r="AJA53" s="128"/>
      <c r="AJB53" s="128"/>
      <c r="AJC53" s="128"/>
      <c r="AJD53" s="128"/>
      <c r="AJE53" s="128"/>
      <c r="AJF53" s="128"/>
      <c r="AJG53" s="128"/>
      <c r="AJH53" s="128"/>
      <c r="AJI53" s="128"/>
      <c r="AJJ53" s="128"/>
      <c r="AJK53" s="128"/>
      <c r="AJL53" s="128"/>
      <c r="AJM53" s="128"/>
      <c r="AJN53" s="128"/>
      <c r="AJO53" s="128"/>
      <c r="AJP53" s="128"/>
      <c r="AJQ53" s="128"/>
      <c r="AJR53" s="128"/>
      <c r="AJS53" s="128"/>
      <c r="AJT53" s="128"/>
      <c r="AJU53" s="128"/>
      <c r="AJV53" s="128"/>
      <c r="AJW53" s="128"/>
      <c r="AJX53" s="128"/>
      <c r="AJY53" s="128"/>
      <c r="AJZ53" s="128"/>
      <c r="AKA53" s="128"/>
      <c r="AKB53" s="128"/>
      <c r="AKC53" s="128"/>
      <c r="AKD53" s="128"/>
      <c r="AKE53" s="128"/>
      <c r="AKF53" s="128"/>
      <c r="AKG53" s="128"/>
      <c r="AKH53" s="128"/>
      <c r="AKI53" s="128"/>
      <c r="AKJ53" s="128"/>
      <c r="AKK53" s="128"/>
      <c r="AKL53" s="128"/>
      <c r="AKM53" s="128"/>
      <c r="AKN53" s="128"/>
      <c r="AKO53" s="128"/>
      <c r="AKP53" s="128"/>
      <c r="AKQ53" s="128"/>
      <c r="AKR53" s="128"/>
      <c r="AKS53" s="128"/>
      <c r="AKT53" s="128"/>
      <c r="AKU53" s="128"/>
      <c r="AKV53" s="128"/>
      <c r="AKW53" s="128"/>
      <c r="AKX53" s="128"/>
      <c r="AKY53" s="128"/>
      <c r="AKZ53" s="128"/>
      <c r="ALA53" s="128"/>
      <c r="ALB53" s="128"/>
      <c r="ALC53" s="128"/>
      <c r="ALD53" s="128"/>
      <c r="ALE53" s="128"/>
      <c r="ALF53" s="128"/>
      <c r="ALG53" s="128"/>
      <c r="ALH53" s="128"/>
      <c r="ALI53" s="128"/>
      <c r="ALJ53" s="128"/>
      <c r="ALK53" s="128"/>
      <c r="ALL53" s="128"/>
      <c r="ALM53" s="128"/>
      <c r="ALN53" s="128"/>
      <c r="ALO53" s="128"/>
      <c r="ALP53" s="128"/>
      <c r="ALQ53" s="128"/>
      <c r="ALR53" s="128"/>
      <c r="ALS53"/>
      <c r="ALT53"/>
      <c r="ALU53"/>
    </row>
    <row r="54" spans="1:1009" s="96" customFormat="1" ht="12" customHeight="1">
      <c r="A54" s="136"/>
      <c r="B54" s="136"/>
      <c r="C54" s="136"/>
      <c r="D54" s="136"/>
      <c r="E54" s="136"/>
      <c r="F54" s="136"/>
      <c r="I54" s="225"/>
      <c r="J54" s="159"/>
      <c r="L54" s="173"/>
      <c r="N54" s="277"/>
      <c r="R54"/>
      <c r="S54" s="179"/>
      <c r="U54" s="159"/>
      <c r="X54"/>
      <c r="Y54" s="128"/>
      <c r="Z54" s="128"/>
      <c r="AA54" s="128"/>
      <c r="AB54" s="128"/>
      <c r="AC54" s="128"/>
      <c r="AD54" s="128"/>
      <c r="AE54" s="128"/>
      <c r="AF54" s="128"/>
      <c r="AG54" s="128"/>
      <c r="AH54" s="128"/>
      <c r="AI54" s="128"/>
      <c r="AJ54" s="128"/>
      <c r="AK54" s="128"/>
      <c r="AL54" s="128"/>
      <c r="AM54" s="128"/>
      <c r="AN54" s="128"/>
      <c r="AO54" s="128"/>
      <c r="AP54" s="128"/>
      <c r="AQ54" s="128"/>
      <c r="AR54" s="128"/>
      <c r="AS54" s="128"/>
      <c r="AT54" s="128"/>
      <c r="AU54" s="128"/>
      <c r="AV54" s="128"/>
      <c r="AW54" s="128"/>
      <c r="AX54" s="128"/>
      <c r="AY54" s="128"/>
      <c r="AZ54" s="128"/>
      <c r="BA54" s="128"/>
      <c r="BB54" s="128"/>
      <c r="BC54" s="128"/>
      <c r="BD54" s="128"/>
      <c r="BE54" s="128"/>
      <c r="BF54" s="128"/>
      <c r="BG54" s="128"/>
      <c r="BH54" s="128"/>
      <c r="BI54" s="128"/>
      <c r="BJ54" s="128"/>
      <c r="BK54" s="128"/>
      <c r="BL54" s="128"/>
      <c r="BM54" s="128"/>
      <c r="BN54" s="128"/>
      <c r="BO54" s="128"/>
      <c r="BP54" s="128"/>
      <c r="BQ54" s="128"/>
      <c r="BR54" s="128"/>
      <c r="BS54" s="128"/>
      <c r="BT54" s="128"/>
      <c r="BU54" s="128"/>
      <c r="BV54" s="128"/>
      <c r="BW54" s="128"/>
      <c r="BX54" s="128"/>
      <c r="BY54" s="128"/>
      <c r="BZ54" s="128"/>
      <c r="CA54" s="128"/>
      <c r="CB54" s="128"/>
      <c r="CC54" s="128"/>
      <c r="CD54" s="128"/>
      <c r="CE54" s="128"/>
      <c r="CF54" s="128"/>
      <c r="CG54" s="128"/>
      <c r="CH54" s="128"/>
      <c r="CI54" s="128"/>
      <c r="CJ54" s="128"/>
      <c r="CK54" s="128"/>
      <c r="CL54" s="128"/>
      <c r="CM54" s="128"/>
      <c r="CN54" s="128"/>
      <c r="CO54" s="128"/>
      <c r="CP54" s="128"/>
      <c r="CQ54" s="128"/>
      <c r="CR54" s="128"/>
      <c r="CS54" s="128"/>
      <c r="CT54" s="128"/>
      <c r="CU54" s="128"/>
      <c r="CV54" s="128"/>
      <c r="CW54" s="128"/>
      <c r="CX54" s="128"/>
      <c r="CY54" s="128"/>
      <c r="CZ54" s="128"/>
      <c r="DA54" s="128"/>
      <c r="DB54" s="128"/>
      <c r="DC54" s="128"/>
      <c r="DD54" s="128"/>
      <c r="DE54" s="128"/>
      <c r="DF54" s="128"/>
      <c r="DG54" s="128"/>
      <c r="DH54" s="128"/>
      <c r="DI54" s="128"/>
      <c r="DJ54" s="128"/>
      <c r="DK54" s="128"/>
      <c r="DL54" s="128"/>
      <c r="DM54" s="128"/>
      <c r="DN54" s="128"/>
      <c r="DO54" s="128"/>
      <c r="DP54" s="128"/>
      <c r="DQ54" s="128"/>
      <c r="DR54" s="128"/>
      <c r="DS54" s="128"/>
      <c r="DT54" s="128"/>
      <c r="DU54" s="128"/>
      <c r="DV54" s="128"/>
      <c r="DW54" s="128"/>
      <c r="DX54" s="128"/>
      <c r="DY54" s="128"/>
      <c r="DZ54" s="128"/>
      <c r="EA54" s="128"/>
      <c r="EB54" s="128"/>
      <c r="EC54" s="128"/>
      <c r="ED54" s="128"/>
      <c r="EE54" s="128"/>
      <c r="EF54" s="128"/>
      <c r="EG54" s="128"/>
      <c r="EH54" s="128"/>
      <c r="EI54" s="128"/>
      <c r="EJ54" s="128"/>
      <c r="EK54" s="128"/>
      <c r="EL54" s="128"/>
      <c r="EM54" s="128"/>
      <c r="EN54" s="128"/>
      <c r="EO54" s="128"/>
      <c r="EP54" s="128"/>
      <c r="EQ54" s="128"/>
      <c r="ER54" s="128"/>
      <c r="ES54" s="128"/>
      <c r="ET54" s="128"/>
      <c r="EU54" s="128"/>
      <c r="EV54" s="128"/>
      <c r="EW54" s="128"/>
      <c r="EX54" s="128"/>
      <c r="EY54" s="128"/>
      <c r="EZ54" s="128"/>
      <c r="FA54" s="128"/>
      <c r="FB54" s="128"/>
      <c r="FC54" s="128"/>
      <c r="FD54" s="128"/>
      <c r="FE54" s="128"/>
      <c r="FF54" s="128"/>
      <c r="FG54" s="128"/>
      <c r="FH54" s="128"/>
      <c r="FI54" s="128"/>
      <c r="FJ54" s="128"/>
      <c r="FK54" s="128"/>
      <c r="FL54" s="128"/>
      <c r="FM54" s="128"/>
      <c r="FN54" s="128"/>
      <c r="FO54" s="128"/>
      <c r="FP54" s="128"/>
      <c r="FQ54" s="128"/>
      <c r="FR54" s="128"/>
      <c r="FS54" s="128"/>
      <c r="FT54" s="128"/>
      <c r="FU54" s="128"/>
      <c r="FV54" s="128"/>
      <c r="FW54" s="128"/>
      <c r="FX54" s="128"/>
      <c r="FY54" s="128"/>
      <c r="FZ54" s="128"/>
      <c r="GA54" s="128"/>
      <c r="GB54" s="128"/>
      <c r="GC54" s="128"/>
      <c r="GD54" s="128"/>
      <c r="GE54" s="128"/>
      <c r="GF54" s="128"/>
      <c r="GG54" s="128"/>
      <c r="GH54" s="128"/>
      <c r="GI54" s="128"/>
      <c r="GJ54" s="128"/>
      <c r="GK54" s="128"/>
      <c r="GL54" s="128"/>
      <c r="GM54" s="128"/>
      <c r="GN54" s="128"/>
      <c r="GO54" s="128"/>
      <c r="GP54" s="128"/>
      <c r="GQ54" s="128"/>
      <c r="GR54" s="128"/>
      <c r="GS54" s="128"/>
      <c r="GT54" s="128"/>
      <c r="GU54" s="128"/>
      <c r="GV54" s="128"/>
      <c r="GW54" s="128"/>
      <c r="GX54" s="128"/>
      <c r="GY54" s="128"/>
      <c r="GZ54" s="128"/>
      <c r="HA54" s="128"/>
      <c r="HB54" s="128"/>
      <c r="HC54" s="128"/>
      <c r="HD54" s="128"/>
      <c r="HE54" s="128"/>
      <c r="HF54" s="128"/>
      <c r="HG54" s="128"/>
      <c r="HH54" s="128"/>
      <c r="HI54" s="128"/>
      <c r="HJ54" s="128"/>
      <c r="HK54" s="128"/>
      <c r="HL54" s="128"/>
      <c r="HM54" s="128"/>
      <c r="HN54" s="128"/>
      <c r="HO54" s="128"/>
      <c r="HP54" s="128"/>
      <c r="HQ54" s="128"/>
      <c r="HR54" s="128"/>
      <c r="HS54" s="128"/>
      <c r="HT54" s="128"/>
      <c r="HU54" s="128"/>
      <c r="HV54" s="128"/>
      <c r="HW54" s="128"/>
      <c r="HX54" s="128"/>
      <c r="HY54" s="128"/>
      <c r="HZ54" s="128"/>
      <c r="IA54" s="128"/>
      <c r="IB54" s="128"/>
      <c r="IC54" s="128"/>
      <c r="ID54" s="128"/>
      <c r="IE54" s="128"/>
      <c r="IF54" s="128"/>
      <c r="IG54" s="128"/>
      <c r="IH54" s="128"/>
      <c r="II54" s="128"/>
      <c r="IJ54" s="128"/>
      <c r="IK54" s="128"/>
      <c r="IL54" s="128"/>
      <c r="IM54" s="128"/>
      <c r="IN54" s="128"/>
      <c r="IO54" s="128"/>
      <c r="IP54" s="128"/>
      <c r="IQ54" s="128"/>
      <c r="IR54" s="128"/>
      <c r="IS54" s="128"/>
      <c r="IT54" s="128"/>
      <c r="IU54" s="128"/>
      <c r="IV54" s="128"/>
      <c r="IW54" s="128"/>
      <c r="IX54" s="128"/>
      <c r="IY54" s="128"/>
      <c r="IZ54" s="128"/>
      <c r="JA54" s="128"/>
      <c r="JB54" s="128"/>
      <c r="JC54" s="128"/>
      <c r="JD54" s="128"/>
      <c r="JE54" s="128"/>
      <c r="JF54" s="128"/>
      <c r="JG54" s="128"/>
      <c r="JH54" s="128"/>
      <c r="JI54" s="128"/>
      <c r="JJ54" s="128"/>
      <c r="JK54" s="128"/>
      <c r="JL54" s="128"/>
      <c r="JM54" s="128"/>
      <c r="JN54" s="128"/>
      <c r="JO54" s="128"/>
      <c r="JP54" s="128"/>
      <c r="JQ54" s="128"/>
      <c r="JR54" s="128"/>
      <c r="JS54" s="128"/>
      <c r="JT54" s="128"/>
      <c r="JU54" s="128"/>
      <c r="JV54" s="128"/>
      <c r="JW54" s="128"/>
      <c r="JX54" s="128"/>
      <c r="JY54" s="128"/>
      <c r="JZ54" s="128"/>
      <c r="KA54" s="128"/>
      <c r="KB54" s="128"/>
      <c r="KC54" s="128"/>
      <c r="KD54" s="128"/>
      <c r="KE54" s="128"/>
      <c r="KF54" s="128"/>
      <c r="KG54" s="128"/>
      <c r="KH54" s="128"/>
      <c r="KI54" s="128"/>
      <c r="KJ54" s="128"/>
      <c r="KK54" s="128"/>
      <c r="KL54" s="128"/>
      <c r="KM54" s="128"/>
      <c r="KN54" s="128"/>
      <c r="KO54" s="128"/>
      <c r="KP54" s="128"/>
      <c r="KQ54" s="128"/>
      <c r="KR54" s="128"/>
      <c r="KS54" s="128"/>
      <c r="KT54" s="128"/>
      <c r="KU54" s="128"/>
      <c r="KV54" s="128"/>
      <c r="KW54" s="128"/>
      <c r="KX54" s="128"/>
      <c r="KY54" s="128"/>
      <c r="KZ54" s="128"/>
      <c r="LA54" s="128"/>
      <c r="LB54" s="128"/>
      <c r="LC54" s="128"/>
      <c r="LD54" s="128"/>
      <c r="LE54" s="128"/>
      <c r="LF54" s="128"/>
      <c r="LG54" s="128"/>
      <c r="LH54" s="128"/>
      <c r="LI54" s="128"/>
      <c r="LJ54" s="128"/>
      <c r="LK54" s="128"/>
      <c r="LL54" s="128"/>
      <c r="LM54" s="128"/>
      <c r="LN54" s="128"/>
      <c r="LO54" s="128"/>
      <c r="LP54" s="128"/>
      <c r="LQ54" s="128"/>
      <c r="LR54" s="128"/>
      <c r="LS54" s="128"/>
      <c r="LT54" s="128"/>
      <c r="LU54" s="128"/>
      <c r="LV54" s="128"/>
      <c r="LW54" s="128"/>
      <c r="LX54" s="128"/>
      <c r="LY54" s="128"/>
      <c r="LZ54" s="128"/>
      <c r="MA54" s="128"/>
      <c r="MB54" s="128"/>
      <c r="MC54" s="128"/>
      <c r="MD54" s="128"/>
      <c r="ME54" s="128"/>
      <c r="MF54" s="128"/>
      <c r="MG54" s="128"/>
      <c r="MH54" s="128"/>
      <c r="MI54" s="128"/>
      <c r="MJ54" s="128"/>
      <c r="MK54" s="128"/>
      <c r="ML54" s="128"/>
      <c r="MM54" s="128"/>
      <c r="MN54" s="128"/>
      <c r="MO54" s="128"/>
      <c r="MP54" s="128"/>
      <c r="MQ54" s="128"/>
      <c r="MR54" s="128"/>
      <c r="MS54" s="128"/>
      <c r="MT54" s="128"/>
      <c r="MU54" s="128"/>
      <c r="MV54" s="128"/>
      <c r="MW54" s="128"/>
      <c r="MX54" s="128"/>
      <c r="MY54" s="128"/>
      <c r="MZ54" s="128"/>
      <c r="NA54" s="128"/>
      <c r="NB54" s="128"/>
      <c r="NC54" s="128"/>
      <c r="ND54" s="128"/>
      <c r="NE54" s="128"/>
      <c r="NF54" s="128"/>
      <c r="NG54" s="128"/>
      <c r="NH54" s="128"/>
      <c r="NI54" s="128"/>
      <c r="NJ54" s="128"/>
      <c r="NK54" s="128"/>
      <c r="NL54" s="128"/>
      <c r="NM54" s="128"/>
      <c r="NN54" s="128"/>
      <c r="NO54" s="128"/>
      <c r="NP54" s="128"/>
      <c r="NQ54" s="128"/>
      <c r="NR54" s="128"/>
      <c r="NS54" s="128"/>
      <c r="NT54" s="128"/>
      <c r="NU54" s="128"/>
      <c r="NV54" s="128"/>
      <c r="NW54" s="128"/>
      <c r="NX54" s="128"/>
      <c r="NY54" s="128"/>
      <c r="NZ54" s="128"/>
      <c r="OA54" s="128"/>
      <c r="OB54" s="128"/>
      <c r="OC54" s="128"/>
      <c r="OD54" s="128"/>
      <c r="OE54" s="128"/>
      <c r="OF54" s="128"/>
      <c r="OG54" s="128"/>
      <c r="OH54" s="128"/>
      <c r="OI54" s="128"/>
      <c r="OJ54" s="128"/>
      <c r="OK54" s="128"/>
      <c r="OL54" s="128"/>
      <c r="OM54" s="128"/>
      <c r="ON54" s="128"/>
      <c r="OO54" s="128"/>
      <c r="OP54" s="128"/>
      <c r="OQ54" s="128"/>
      <c r="OR54" s="128"/>
      <c r="OS54" s="128"/>
      <c r="OT54" s="128"/>
      <c r="OU54" s="128"/>
      <c r="OV54" s="128"/>
      <c r="OW54" s="128"/>
      <c r="OX54" s="128"/>
      <c r="OY54" s="128"/>
      <c r="OZ54" s="128"/>
      <c r="PA54" s="128"/>
      <c r="PB54" s="128"/>
      <c r="PC54" s="128"/>
      <c r="PD54" s="128"/>
      <c r="PE54" s="128"/>
      <c r="PF54" s="128"/>
      <c r="PG54" s="128"/>
      <c r="PH54" s="128"/>
      <c r="PI54" s="128"/>
      <c r="PJ54" s="128"/>
      <c r="PK54" s="128"/>
      <c r="PL54" s="128"/>
      <c r="PM54" s="128"/>
      <c r="PN54" s="128"/>
      <c r="PO54" s="128"/>
      <c r="PP54" s="128"/>
      <c r="PQ54" s="128"/>
      <c r="PR54" s="128"/>
      <c r="PS54" s="128"/>
      <c r="PT54" s="128"/>
      <c r="PU54" s="128"/>
      <c r="PV54" s="128"/>
      <c r="PW54" s="128"/>
      <c r="PX54" s="128"/>
      <c r="PY54" s="128"/>
      <c r="PZ54" s="128"/>
      <c r="QA54" s="128"/>
      <c r="QB54" s="128"/>
      <c r="QC54" s="128"/>
      <c r="QD54" s="128"/>
      <c r="QE54" s="128"/>
      <c r="QF54" s="128"/>
      <c r="QG54" s="128"/>
      <c r="QH54" s="128"/>
      <c r="QI54" s="128"/>
      <c r="QJ54" s="128"/>
      <c r="QK54" s="128"/>
      <c r="QL54" s="128"/>
      <c r="QM54" s="128"/>
      <c r="QN54" s="128"/>
      <c r="QO54" s="128"/>
      <c r="QP54" s="128"/>
      <c r="QQ54" s="128"/>
      <c r="QR54" s="128"/>
      <c r="QS54" s="128"/>
      <c r="QT54" s="128"/>
      <c r="QU54" s="128"/>
      <c r="QV54" s="128"/>
      <c r="QW54" s="128"/>
      <c r="QX54" s="128"/>
      <c r="QY54" s="128"/>
      <c r="QZ54" s="128"/>
      <c r="RA54" s="128"/>
      <c r="RB54" s="128"/>
      <c r="RC54" s="128"/>
      <c r="RD54" s="128"/>
      <c r="RE54" s="128"/>
      <c r="RF54" s="128"/>
      <c r="RG54" s="128"/>
      <c r="RH54" s="128"/>
      <c r="RI54" s="128"/>
      <c r="RJ54" s="128"/>
      <c r="RK54" s="128"/>
      <c r="RL54" s="128"/>
      <c r="RM54" s="128"/>
      <c r="RN54" s="128"/>
      <c r="RO54" s="128"/>
      <c r="RP54" s="128"/>
      <c r="RQ54" s="128"/>
      <c r="RR54" s="128"/>
      <c r="RS54" s="128"/>
      <c r="RT54" s="128"/>
      <c r="RU54" s="128"/>
      <c r="RV54" s="128"/>
      <c r="RW54" s="128"/>
      <c r="RX54" s="128"/>
      <c r="RY54" s="128"/>
      <c r="RZ54" s="128"/>
      <c r="SA54" s="128"/>
      <c r="SB54" s="128"/>
      <c r="SC54" s="128"/>
      <c r="SD54" s="128"/>
      <c r="SE54" s="128"/>
      <c r="SF54" s="128"/>
      <c r="SG54" s="128"/>
      <c r="SH54" s="128"/>
      <c r="SI54" s="128"/>
      <c r="SJ54" s="128"/>
      <c r="SK54" s="128"/>
      <c r="SL54" s="128"/>
      <c r="SM54" s="128"/>
      <c r="SN54" s="128"/>
      <c r="SO54" s="128"/>
      <c r="SP54" s="128"/>
      <c r="SQ54" s="128"/>
      <c r="SR54" s="128"/>
      <c r="SS54" s="128"/>
      <c r="ST54" s="128"/>
      <c r="SU54" s="128"/>
      <c r="SV54" s="128"/>
      <c r="SW54" s="128"/>
      <c r="SX54" s="128"/>
      <c r="SY54" s="128"/>
      <c r="SZ54" s="128"/>
      <c r="TA54" s="128"/>
      <c r="TB54" s="128"/>
      <c r="TC54" s="128"/>
      <c r="TD54" s="128"/>
      <c r="TE54" s="128"/>
      <c r="TF54" s="128"/>
      <c r="TG54" s="128"/>
      <c r="TH54" s="128"/>
      <c r="TI54" s="128"/>
      <c r="TJ54" s="128"/>
      <c r="TK54" s="128"/>
      <c r="TL54" s="128"/>
      <c r="TM54" s="128"/>
      <c r="TN54" s="128"/>
      <c r="TO54" s="128"/>
      <c r="TP54" s="128"/>
      <c r="TQ54" s="128"/>
      <c r="TR54" s="128"/>
      <c r="TS54" s="128"/>
      <c r="TT54" s="128"/>
      <c r="TU54" s="128"/>
      <c r="TV54" s="128"/>
      <c r="TW54" s="128"/>
      <c r="TX54" s="128"/>
      <c r="TY54" s="128"/>
      <c r="TZ54" s="128"/>
      <c r="UA54" s="128"/>
      <c r="UB54" s="128"/>
      <c r="UC54" s="128"/>
      <c r="UD54" s="128"/>
      <c r="UE54" s="128"/>
      <c r="UF54" s="128"/>
      <c r="UG54" s="128"/>
      <c r="UH54" s="128"/>
      <c r="UI54" s="128"/>
      <c r="UJ54" s="128"/>
      <c r="UK54" s="128"/>
      <c r="UL54" s="128"/>
      <c r="UM54" s="128"/>
      <c r="UN54" s="128"/>
      <c r="UO54" s="128"/>
      <c r="UP54" s="128"/>
      <c r="UQ54" s="128"/>
      <c r="UR54" s="128"/>
      <c r="US54" s="128"/>
      <c r="UT54" s="128"/>
      <c r="UU54" s="128"/>
      <c r="UV54" s="128"/>
      <c r="UW54" s="128"/>
      <c r="UX54" s="128"/>
      <c r="UY54" s="128"/>
      <c r="UZ54" s="128"/>
      <c r="VA54" s="128"/>
      <c r="VB54" s="128"/>
      <c r="VC54" s="128"/>
      <c r="VD54" s="128"/>
      <c r="VE54" s="128"/>
      <c r="VF54" s="128"/>
      <c r="VG54" s="128"/>
      <c r="VH54" s="128"/>
      <c r="VI54" s="128"/>
      <c r="VJ54" s="128"/>
      <c r="VK54" s="128"/>
      <c r="VL54" s="128"/>
      <c r="VM54" s="128"/>
      <c r="VN54" s="128"/>
      <c r="VO54" s="128"/>
      <c r="VP54" s="128"/>
      <c r="VQ54" s="128"/>
      <c r="VR54" s="128"/>
      <c r="VS54" s="128"/>
      <c r="VT54" s="128"/>
      <c r="VU54" s="128"/>
      <c r="VV54" s="128"/>
      <c r="VW54" s="128"/>
      <c r="VX54" s="128"/>
      <c r="VY54" s="128"/>
      <c r="VZ54" s="128"/>
      <c r="WA54" s="128"/>
      <c r="WB54" s="128"/>
      <c r="WC54" s="128"/>
      <c r="WD54" s="128"/>
      <c r="WE54" s="128"/>
      <c r="WF54" s="128"/>
      <c r="WG54" s="128"/>
      <c r="WH54" s="128"/>
      <c r="WI54" s="128"/>
      <c r="WJ54" s="128"/>
      <c r="WK54" s="128"/>
      <c r="WL54" s="128"/>
      <c r="WM54" s="128"/>
      <c r="WN54" s="128"/>
      <c r="WO54" s="128"/>
      <c r="WP54" s="128"/>
      <c r="WQ54" s="128"/>
      <c r="WR54" s="128"/>
      <c r="WS54" s="128"/>
      <c r="WT54" s="128"/>
      <c r="WU54" s="128"/>
      <c r="WV54" s="128"/>
      <c r="WW54" s="128"/>
      <c r="WX54" s="128"/>
      <c r="WY54" s="128"/>
      <c r="WZ54" s="128"/>
      <c r="XA54" s="128"/>
      <c r="XB54" s="128"/>
      <c r="XC54" s="128"/>
      <c r="XD54" s="128"/>
      <c r="XE54" s="128"/>
      <c r="XF54" s="128"/>
      <c r="XG54" s="128"/>
      <c r="XH54" s="128"/>
      <c r="XI54" s="128"/>
      <c r="XJ54" s="128"/>
      <c r="XK54" s="128"/>
      <c r="XL54" s="128"/>
      <c r="XM54" s="128"/>
      <c r="XN54" s="128"/>
      <c r="XO54" s="128"/>
      <c r="XP54" s="128"/>
      <c r="XQ54" s="128"/>
      <c r="XR54" s="128"/>
      <c r="XS54" s="128"/>
      <c r="XT54" s="128"/>
      <c r="XU54" s="128"/>
      <c r="XV54" s="128"/>
      <c r="XW54" s="128"/>
      <c r="XX54" s="128"/>
      <c r="XY54" s="128"/>
      <c r="XZ54" s="128"/>
      <c r="YA54" s="128"/>
      <c r="YB54" s="128"/>
      <c r="YC54" s="128"/>
      <c r="YD54" s="128"/>
      <c r="YE54" s="128"/>
      <c r="YF54" s="128"/>
      <c r="YG54" s="128"/>
      <c r="YH54" s="128"/>
      <c r="YI54" s="128"/>
      <c r="YJ54" s="128"/>
      <c r="YK54" s="128"/>
      <c r="YL54" s="128"/>
      <c r="YM54" s="128"/>
      <c r="YN54" s="128"/>
      <c r="YO54" s="128"/>
      <c r="YP54" s="128"/>
      <c r="YQ54" s="128"/>
      <c r="YR54" s="128"/>
      <c r="YS54" s="128"/>
      <c r="YT54" s="128"/>
      <c r="YU54" s="128"/>
      <c r="YV54" s="128"/>
      <c r="YW54" s="128"/>
      <c r="YX54" s="128"/>
      <c r="YY54" s="128"/>
      <c r="YZ54" s="128"/>
      <c r="ZA54" s="128"/>
      <c r="ZB54" s="128"/>
      <c r="ZC54" s="128"/>
      <c r="ZD54" s="128"/>
      <c r="ZE54" s="128"/>
      <c r="ZF54" s="128"/>
      <c r="ZG54" s="128"/>
      <c r="ZH54" s="128"/>
      <c r="ZI54" s="128"/>
      <c r="ZJ54" s="128"/>
      <c r="ZK54" s="128"/>
      <c r="ZL54" s="128"/>
      <c r="ZM54" s="128"/>
      <c r="ZN54" s="128"/>
      <c r="ZO54" s="128"/>
      <c r="ZP54" s="128"/>
      <c r="ZQ54" s="128"/>
      <c r="ZR54" s="128"/>
      <c r="ZS54" s="128"/>
      <c r="ZT54" s="128"/>
      <c r="ZU54" s="128"/>
      <c r="ZV54" s="128"/>
      <c r="ZW54" s="128"/>
      <c r="ZX54" s="128"/>
      <c r="ZY54" s="128"/>
      <c r="ZZ54" s="128"/>
      <c r="AAA54" s="128"/>
      <c r="AAB54" s="128"/>
      <c r="AAC54" s="128"/>
      <c r="AAD54" s="128"/>
      <c r="AAE54" s="128"/>
      <c r="AAF54" s="128"/>
      <c r="AAG54" s="128"/>
      <c r="AAH54" s="128"/>
      <c r="AAI54" s="128"/>
      <c r="AAJ54" s="128"/>
      <c r="AAK54" s="128"/>
      <c r="AAL54" s="128"/>
      <c r="AAM54" s="128"/>
      <c r="AAN54" s="128"/>
      <c r="AAO54" s="128"/>
      <c r="AAP54" s="128"/>
      <c r="AAQ54" s="128"/>
      <c r="AAR54" s="128"/>
      <c r="AAS54" s="128"/>
      <c r="AAT54" s="128"/>
      <c r="AAU54" s="128"/>
      <c r="AAV54" s="128"/>
      <c r="AAW54" s="128"/>
      <c r="AAX54" s="128"/>
      <c r="AAY54" s="128"/>
      <c r="AAZ54" s="128"/>
      <c r="ABA54" s="128"/>
      <c r="ABB54" s="128"/>
      <c r="ABC54" s="128"/>
      <c r="ABD54" s="128"/>
      <c r="ABE54" s="128"/>
      <c r="ABF54" s="128"/>
      <c r="ABG54" s="128"/>
      <c r="ABH54" s="128"/>
      <c r="ABI54" s="128"/>
      <c r="ABJ54" s="128"/>
      <c r="ABK54" s="128"/>
      <c r="ABL54" s="128"/>
      <c r="ABM54" s="128"/>
      <c r="ABN54" s="128"/>
      <c r="ABO54" s="128"/>
      <c r="ABP54" s="128"/>
      <c r="ABQ54" s="128"/>
      <c r="ABR54" s="128"/>
      <c r="ABS54" s="128"/>
      <c r="ABT54" s="128"/>
      <c r="ABU54" s="128"/>
      <c r="ABV54" s="128"/>
      <c r="ABW54" s="128"/>
      <c r="ABX54" s="128"/>
      <c r="ABY54" s="128"/>
      <c r="ABZ54" s="128"/>
      <c r="ACA54" s="128"/>
      <c r="ACB54" s="128"/>
      <c r="ACC54" s="128"/>
      <c r="ACD54" s="128"/>
      <c r="ACE54" s="128"/>
      <c r="ACF54" s="128"/>
      <c r="ACG54" s="128"/>
      <c r="ACH54" s="128"/>
      <c r="ACI54" s="128"/>
      <c r="ACJ54" s="128"/>
      <c r="ACK54" s="128"/>
      <c r="ACL54" s="128"/>
      <c r="ACM54" s="128"/>
      <c r="ACN54" s="128"/>
      <c r="ACO54" s="128"/>
      <c r="ACP54" s="128"/>
      <c r="ACQ54" s="128"/>
      <c r="ACR54" s="128"/>
      <c r="ACS54" s="128"/>
      <c r="ACT54" s="128"/>
      <c r="ACU54" s="128"/>
      <c r="ACV54" s="128"/>
      <c r="ACW54" s="128"/>
      <c r="ACX54" s="128"/>
      <c r="ACY54" s="128"/>
      <c r="ACZ54" s="128"/>
      <c r="ADA54" s="128"/>
      <c r="ADB54" s="128"/>
      <c r="ADC54" s="128"/>
      <c r="ADD54" s="128"/>
      <c r="ADE54" s="128"/>
      <c r="ADF54" s="128"/>
      <c r="ADG54" s="128"/>
      <c r="ADH54" s="128"/>
      <c r="ADI54" s="128"/>
      <c r="ADJ54" s="128"/>
      <c r="ADK54" s="128"/>
      <c r="ADL54" s="128"/>
      <c r="ADM54" s="128"/>
      <c r="ADN54" s="128"/>
      <c r="ADO54" s="128"/>
      <c r="ADP54" s="128"/>
      <c r="ADQ54" s="128"/>
      <c r="ADR54" s="128"/>
      <c r="ADS54" s="128"/>
      <c r="ADT54" s="128"/>
      <c r="ADU54" s="128"/>
      <c r="ADV54" s="128"/>
      <c r="ADW54" s="128"/>
      <c r="ADX54" s="128"/>
      <c r="ADY54" s="128"/>
      <c r="ADZ54" s="128"/>
      <c r="AEA54" s="128"/>
      <c r="AEB54" s="128"/>
      <c r="AEC54" s="128"/>
      <c r="AED54" s="128"/>
      <c r="AEE54" s="128"/>
      <c r="AEF54" s="128"/>
      <c r="AEG54" s="128"/>
      <c r="AEH54" s="128"/>
      <c r="AEI54" s="128"/>
      <c r="AEJ54" s="128"/>
      <c r="AEK54" s="128"/>
      <c r="AEL54" s="128"/>
      <c r="AEM54" s="128"/>
      <c r="AEN54" s="128"/>
      <c r="AEO54" s="128"/>
      <c r="AEP54" s="128"/>
      <c r="AEQ54" s="128"/>
      <c r="AER54" s="128"/>
      <c r="AES54" s="128"/>
      <c r="AET54" s="128"/>
      <c r="AEU54" s="128"/>
      <c r="AEV54" s="128"/>
      <c r="AEW54" s="128"/>
      <c r="AEX54" s="128"/>
      <c r="AEY54" s="128"/>
      <c r="AEZ54" s="128"/>
      <c r="AFA54" s="128"/>
      <c r="AFB54" s="128"/>
      <c r="AFC54" s="128"/>
      <c r="AFD54" s="128"/>
      <c r="AFE54" s="128"/>
      <c r="AFF54" s="128"/>
      <c r="AFG54" s="128"/>
      <c r="AFH54" s="128"/>
      <c r="AFI54" s="128"/>
      <c r="AFJ54" s="128"/>
      <c r="AFK54" s="128"/>
      <c r="AFL54" s="128"/>
      <c r="AFM54" s="128"/>
      <c r="AFN54" s="128"/>
      <c r="AFO54" s="128"/>
      <c r="AFP54" s="128"/>
      <c r="AFQ54" s="128"/>
      <c r="AFR54" s="128"/>
      <c r="AFS54" s="128"/>
      <c r="AFT54" s="128"/>
      <c r="AFU54" s="128"/>
      <c r="AFV54" s="128"/>
      <c r="AFW54" s="128"/>
      <c r="AFX54" s="128"/>
      <c r="AFY54" s="128"/>
      <c r="AFZ54" s="128"/>
      <c r="AGA54" s="128"/>
      <c r="AGB54" s="128"/>
      <c r="AGC54" s="128"/>
      <c r="AGD54" s="128"/>
      <c r="AGE54" s="128"/>
      <c r="AGF54" s="128"/>
      <c r="AGG54" s="128"/>
      <c r="AGH54" s="128"/>
      <c r="AGI54" s="128"/>
      <c r="AGJ54" s="128"/>
      <c r="AGK54" s="128"/>
      <c r="AGL54" s="128"/>
      <c r="AGM54" s="128"/>
      <c r="AGN54" s="128"/>
      <c r="AGO54" s="128"/>
      <c r="AGP54" s="128"/>
      <c r="AGQ54" s="128"/>
      <c r="AGR54" s="128"/>
      <c r="AGS54" s="128"/>
      <c r="AGT54" s="128"/>
      <c r="AGU54" s="128"/>
      <c r="AGV54" s="128"/>
      <c r="AGW54" s="128"/>
      <c r="AGX54" s="128"/>
      <c r="AGY54" s="128"/>
      <c r="AGZ54" s="128"/>
      <c r="AHA54" s="128"/>
      <c r="AHB54" s="128"/>
      <c r="AHC54" s="128"/>
      <c r="AHD54" s="128"/>
      <c r="AHE54" s="128"/>
      <c r="AHF54" s="128"/>
      <c r="AHG54" s="128"/>
      <c r="AHH54" s="128"/>
      <c r="AHI54" s="128"/>
      <c r="AHJ54" s="128"/>
      <c r="AHK54" s="128"/>
      <c r="AHL54" s="128"/>
      <c r="AHM54" s="128"/>
      <c r="AHN54" s="128"/>
      <c r="AHO54" s="128"/>
      <c r="AHP54" s="128"/>
      <c r="AHQ54" s="128"/>
      <c r="AHR54" s="128"/>
      <c r="AHS54" s="128"/>
      <c r="AHT54" s="128"/>
      <c r="AHU54" s="128"/>
      <c r="AHV54" s="128"/>
      <c r="AHW54" s="128"/>
      <c r="AHX54" s="128"/>
      <c r="AHY54" s="128"/>
      <c r="AHZ54" s="128"/>
      <c r="AIA54" s="128"/>
      <c r="AIB54" s="128"/>
      <c r="AIC54" s="128"/>
      <c r="AID54" s="128"/>
      <c r="AIE54" s="128"/>
      <c r="AIF54" s="128"/>
      <c r="AIG54" s="128"/>
      <c r="AIH54" s="128"/>
      <c r="AII54" s="128"/>
      <c r="AIJ54" s="128"/>
      <c r="AIK54" s="128"/>
      <c r="AIL54" s="128"/>
      <c r="AIM54" s="128"/>
      <c r="AIN54" s="128"/>
      <c r="AIO54" s="128"/>
      <c r="AIP54" s="128"/>
      <c r="AIQ54" s="128"/>
      <c r="AIR54" s="128"/>
      <c r="AIS54" s="128"/>
      <c r="AIT54" s="128"/>
      <c r="AIU54" s="128"/>
      <c r="AIV54" s="128"/>
      <c r="AIW54" s="128"/>
      <c r="AIX54" s="128"/>
      <c r="AIY54" s="128"/>
      <c r="AIZ54" s="128"/>
      <c r="AJA54" s="128"/>
      <c r="AJB54" s="128"/>
      <c r="AJC54" s="128"/>
      <c r="AJD54" s="128"/>
      <c r="AJE54" s="128"/>
      <c r="AJF54" s="128"/>
      <c r="AJG54" s="128"/>
      <c r="AJH54" s="128"/>
      <c r="AJI54" s="128"/>
      <c r="AJJ54" s="128"/>
      <c r="AJK54" s="128"/>
      <c r="AJL54" s="128"/>
      <c r="AJM54" s="128"/>
      <c r="AJN54" s="128"/>
      <c r="AJO54" s="128"/>
      <c r="AJP54" s="128"/>
      <c r="AJQ54" s="128"/>
      <c r="AJR54" s="128"/>
      <c r="AJS54" s="128"/>
      <c r="AJT54" s="128"/>
      <c r="AJU54" s="128"/>
      <c r="AJV54" s="128"/>
      <c r="AJW54" s="128"/>
      <c r="AJX54" s="128"/>
      <c r="AJY54" s="128"/>
      <c r="AJZ54" s="128"/>
      <c r="AKA54" s="128"/>
      <c r="AKB54" s="128"/>
      <c r="AKC54" s="128"/>
      <c r="AKD54" s="128"/>
      <c r="AKE54" s="128"/>
      <c r="AKF54" s="128"/>
      <c r="AKG54" s="128"/>
      <c r="AKH54" s="128"/>
      <c r="AKI54" s="128"/>
      <c r="AKJ54" s="128"/>
      <c r="AKK54" s="128"/>
      <c r="AKL54" s="128"/>
      <c r="AKM54" s="128"/>
      <c r="AKN54" s="128"/>
      <c r="AKO54" s="128"/>
      <c r="AKP54" s="128"/>
      <c r="AKQ54" s="128"/>
      <c r="AKR54" s="128"/>
      <c r="AKS54" s="128"/>
      <c r="AKT54" s="128"/>
      <c r="AKU54" s="128"/>
      <c r="AKV54" s="128"/>
      <c r="AKW54" s="128"/>
      <c r="AKX54" s="128"/>
      <c r="AKY54" s="128"/>
      <c r="AKZ54" s="128"/>
      <c r="ALA54" s="128"/>
      <c r="ALB54" s="128"/>
      <c r="ALC54" s="128"/>
      <c r="ALD54" s="128"/>
      <c r="ALE54" s="128"/>
      <c r="ALF54" s="128"/>
      <c r="ALG54" s="128"/>
      <c r="ALH54" s="128"/>
      <c r="ALI54" s="128"/>
      <c r="ALJ54" s="128"/>
      <c r="ALK54" s="128"/>
      <c r="ALL54" s="128"/>
      <c r="ALM54" s="128"/>
      <c r="ALN54" s="128"/>
      <c r="ALO54" s="128"/>
      <c r="ALP54" s="128"/>
      <c r="ALQ54" s="128"/>
      <c r="ALR54" s="128"/>
      <c r="ALS54"/>
      <c r="ALT54"/>
      <c r="ALU54"/>
    </row>
  </sheetData>
  <mergeCells count="1">
    <mergeCell ref="H1:I2"/>
  </mergeCells>
  <conditionalFormatting sqref="A10:A21 A24:A42 B25">
    <cfRule type="expression" dxfId="275" priority="131">
      <formula>$X10=1</formula>
    </cfRule>
  </conditionalFormatting>
  <conditionalFormatting sqref="A22:A23">
    <cfRule type="expression" dxfId="274" priority="31">
      <formula>OR($X22="X",#REF!="X")</formula>
    </cfRule>
    <cfRule type="expression" dxfId="273" priority="28">
      <formula>#REF!=1</formula>
    </cfRule>
  </conditionalFormatting>
  <conditionalFormatting sqref="A44:F45 A48:F866">
    <cfRule type="expression" dxfId="272" priority="171">
      <formula>AND($W44=1,$V44=1)</formula>
    </cfRule>
    <cfRule type="expression" dxfId="271" priority="170">
      <formula>OR($W44="X",$V44="X")</formula>
    </cfRule>
    <cfRule type="expression" dxfId="270" priority="172">
      <formula>$W44=1</formula>
    </cfRule>
    <cfRule type="expression" dxfId="269" priority="173">
      <formula>$V44=1</formula>
    </cfRule>
  </conditionalFormatting>
  <conditionalFormatting sqref="A9:G9 C10:G10 A10:A21 B11:G12 A24:A42">
    <cfRule type="expression" dxfId="268" priority="176">
      <formula>AND(NOT(ISBLANK($R9)),ISBLANK(#REF!),ISBLANK($X9))</formula>
    </cfRule>
    <cfRule type="expression" dxfId="267" priority="175">
      <formula>AND($X9=1,#REF!=1)</formula>
    </cfRule>
    <cfRule type="expression" dxfId="266" priority="177">
      <formula>OR($X9="X",#REF!="X")</formula>
    </cfRule>
  </conditionalFormatting>
  <conditionalFormatting sqref="A9:G9 C10:G10 B11:G12 A10:A21 A24:A42">
    <cfRule type="expression" dxfId="265" priority="174">
      <formula>#REF!=1</formula>
    </cfRule>
  </conditionalFormatting>
  <conditionalFormatting sqref="A22:G23">
    <cfRule type="expression" dxfId="264" priority="27">
      <formula>$X22=1</formula>
    </cfRule>
    <cfRule type="expression" dxfId="263" priority="29">
      <formula>AND($X22=1,#REF!=1)</formula>
    </cfRule>
    <cfRule type="expression" dxfId="262" priority="30">
      <formula>AND(NOT(ISBLANK($R22)),ISBLANK(#REF!),ISBLANK($X22))</formula>
    </cfRule>
  </conditionalFormatting>
  <conditionalFormatting sqref="B10">
    <cfRule type="expression" dxfId="261" priority="2">
      <formula>$X10=1</formula>
    </cfRule>
    <cfRule type="expression" dxfId="260" priority="5">
      <formula>AND(NOT(ISBLANK($R10)),ISBLANK(#REF!),ISBLANK($X10))</formula>
    </cfRule>
    <cfRule type="expression" dxfId="259" priority="6">
      <formula>OR($X10="X",#REF!="X")</formula>
    </cfRule>
    <cfRule type="expression" dxfId="258" priority="4">
      <formula>AND($X10=1,#REF!=1)</formula>
    </cfRule>
    <cfRule type="expression" dxfId="257" priority="3">
      <formula>#REF!=1</formula>
    </cfRule>
  </conditionalFormatting>
  <conditionalFormatting sqref="B25 D35:G38 B16:G20 B21:C21 E21:G21 B24:G24 D25:G25 B26:C31 E26:G31 B32:G34 B35:B41 B42:G42">
    <cfRule type="expression" dxfId="256" priority="137">
      <formula>AND($X16=1,#REF!=1)</formula>
    </cfRule>
  </conditionalFormatting>
  <conditionalFormatting sqref="B13:C14">
    <cfRule type="expression" dxfId="255" priority="100">
      <formula>OR($X36="X",#REF!="X")</formula>
    </cfRule>
    <cfRule type="expression" dxfId="254" priority="101">
      <formula>#REF!=1</formula>
    </cfRule>
    <cfRule type="expression" dxfId="253" priority="97">
      <formula>AND($X36=1,#REF!=1)</formula>
    </cfRule>
    <cfRule type="expression" dxfId="252" priority="98">
      <formula>$X36=1</formula>
    </cfRule>
    <cfRule type="expression" dxfId="251" priority="99">
      <formula>AND(NOT(ISBLANK($R36)),ISBLANK(#REF!),ISBLANK($X36))</formula>
    </cfRule>
  </conditionalFormatting>
  <conditionalFormatting sqref="B16:G20 B21:C21 E21:G21 B24:G24 B25 D25:G25 B26:C31 E26:G31 B32:G34 D35:G38 B35:B41 B42:G42">
    <cfRule type="expression" dxfId="250" priority="138">
      <formula>AND(NOT(ISBLANK($R16)),ISBLANK(#REF!),ISBLANK($X16))</formula>
    </cfRule>
  </conditionalFormatting>
  <conditionalFormatting sqref="B16:G20 B21:C21 E21:G21 B24:G24 D25:G25 B25:B31 C26:C31 E26:G31 B32:G34 D35:G38 B35:B41 B42:G42">
    <cfRule type="expression" dxfId="249" priority="140">
      <formula>#REF!=1</formula>
    </cfRule>
    <cfRule type="expression" dxfId="248" priority="139">
      <formula>OR($X16="X",#REF!="X")</formula>
    </cfRule>
  </conditionalFormatting>
  <conditionalFormatting sqref="B16:G20 B21:C21 E21:G21 B24:G24 D25:G25 B26:C31 E26:G31 B32:G34 B35:B41 B42:G42 A9:G9 C10:G10 B11:G12">
    <cfRule type="expression" dxfId="247" priority="164">
      <formula>$X9=1</formula>
    </cfRule>
  </conditionalFormatting>
  <conditionalFormatting sqref="B22:G23">
    <cfRule type="expression" dxfId="246" priority="33">
      <formula>#REF!=1</formula>
    </cfRule>
    <cfRule type="expression" dxfId="245" priority="32">
      <formula>OR($X22="X",#REF!="X")</formula>
    </cfRule>
  </conditionalFormatting>
  <conditionalFormatting sqref="C9:C11 C16:C21 C24:C34 D25 C42">
    <cfRule type="expression" dxfId="244" priority="4502">
      <formula>AND($M9="X",$B9&lt;&gt;"")</formula>
    </cfRule>
  </conditionalFormatting>
  <conditionalFormatting sqref="C12">
    <cfRule type="expression" dxfId="243" priority="1747">
      <formula>#REF!=1</formula>
    </cfRule>
    <cfRule type="expression" dxfId="242" priority="1748">
      <formula>#REF!=1</formula>
    </cfRule>
    <cfRule type="expression" dxfId="241" priority="1749">
      <formula>AND(NOT(ISBLANK(#REF!)),ISBLANK(#REF!),ISBLANK(#REF!))</formula>
    </cfRule>
    <cfRule type="expression" dxfId="240" priority="1746">
      <formula>AND(#REF!=1,#REF!=1)</formula>
    </cfRule>
    <cfRule type="expression" dxfId="239" priority="1745">
      <formula>OR(#REF!="X",#REF!="X")</formula>
    </cfRule>
  </conditionalFormatting>
  <conditionalFormatting sqref="C13:C14">
    <cfRule type="expression" dxfId="238" priority="4572">
      <formula>AND($M36="X",$B13&lt;&gt;"")</formula>
    </cfRule>
  </conditionalFormatting>
  <conditionalFormatting sqref="C22:C23">
    <cfRule type="expression" dxfId="237" priority="34">
      <formula>AND($M22="X",$B22&lt;&gt;"")</formula>
    </cfRule>
  </conditionalFormatting>
  <conditionalFormatting sqref="C25">
    <cfRule type="expression" dxfId="236" priority="126">
      <formula>#REF!=1</formula>
    </cfRule>
    <cfRule type="expression" dxfId="235" priority="125">
      <formula>OR($X25="X",#REF!="X")</formula>
    </cfRule>
    <cfRule type="expression" dxfId="234" priority="124">
      <formula>AND(NOT(ISBLANK($R25)),ISBLANK(#REF!),ISBLANK($X25))</formula>
    </cfRule>
    <cfRule type="expression" dxfId="233" priority="123">
      <formula>AND($X25=1,#REF!=1)</formula>
    </cfRule>
    <cfRule type="expression" dxfId="232" priority="122">
      <formula>$X25=1</formula>
    </cfRule>
  </conditionalFormatting>
  <conditionalFormatting sqref="C35:C38">
    <cfRule type="expression" dxfId="231" priority="4506">
      <formula>AND($X35=1,#REF!=1)</formula>
    </cfRule>
    <cfRule type="expression" dxfId="230" priority="4508">
      <formula>AND(NOT(ISBLANK($R35)),ISBLANK(#REF!),ISBLANK($X35))</formula>
    </cfRule>
    <cfRule type="expression" dxfId="229" priority="4510">
      <formula>#REF!=1</formula>
    </cfRule>
    <cfRule type="expression" dxfId="228" priority="4509">
      <formula>OR($X35="X",#REF!="X")</formula>
    </cfRule>
    <cfRule type="expression" dxfId="227" priority="4511">
      <formula>AND($M35="X",$B35&lt;&gt;"")</formula>
    </cfRule>
    <cfRule type="expression" dxfId="226" priority="4507">
      <formula>$X35=1</formula>
    </cfRule>
  </conditionalFormatting>
  <conditionalFormatting sqref="C39 C40:F40">
    <cfRule type="expression" dxfId="225" priority="120">
      <formula>$AD39=1</formula>
    </cfRule>
  </conditionalFormatting>
  <conditionalFormatting sqref="C39 C40:F41">
    <cfRule type="expression" dxfId="224" priority="117">
      <formula>AND($AE39=1,$AD39=1)</formula>
    </cfRule>
    <cfRule type="expression" dxfId="223" priority="118">
      <formula>$AE39=1</formula>
    </cfRule>
    <cfRule type="expression" dxfId="222" priority="119">
      <formula>OR($AE39="X",$AD39="X")</formula>
    </cfRule>
    <cfRule type="expression" dxfId="221" priority="121">
      <formula>AND(NOT(ISBLANK($X39)),ISBLANK($AD39),ISBLANK($AE39))</formula>
    </cfRule>
  </conditionalFormatting>
  <conditionalFormatting sqref="C39:C41">
    <cfRule type="expression" dxfId="220" priority="4516">
      <formula>AND($S39="X",OR($B39&lt;&gt;"",$C39&lt;&gt;""))</formula>
    </cfRule>
  </conditionalFormatting>
  <conditionalFormatting sqref="D9:D11 D16:D20 D24 D32:D39 D42">
    <cfRule type="expression" dxfId="219" priority="4518">
      <formula>AND($M9="X",OR($B9&lt;&gt;"",$C9&lt;&gt;""))</formula>
    </cfRule>
  </conditionalFormatting>
  <conditionalFormatting sqref="D12">
    <cfRule type="expression" dxfId="218" priority="4519">
      <formula>AND($M12="X",OR($B12&lt;&gt;"",#REF!&lt;&gt;""))</formula>
    </cfRule>
  </conditionalFormatting>
  <conditionalFormatting sqref="D13">
    <cfRule type="expression" dxfId="217" priority="4520">
      <formula>AND($S13="X",OR($C11&lt;&gt;"",#REF!&lt;&gt;""))</formula>
    </cfRule>
  </conditionalFormatting>
  <conditionalFormatting sqref="D14">
    <cfRule type="expression" dxfId="216" priority="102">
      <formula>AND($S14="X",OR(#REF!&lt;&gt;"",#REF!&lt;&gt;""))</formula>
    </cfRule>
  </conditionalFormatting>
  <conditionalFormatting sqref="D15">
    <cfRule type="expression" dxfId="215" priority="4521">
      <formula>AND($S15="X",OR($C11&lt;&gt;"",#REF!&lt;&gt;""))</formula>
    </cfRule>
  </conditionalFormatting>
  <conditionalFormatting sqref="D22:D23">
    <cfRule type="expression" dxfId="214" priority="35">
      <formula>AND($M22="X",OR($B22&lt;&gt;"",$C22&lt;&gt;""))</formula>
    </cfRule>
  </conditionalFormatting>
  <conditionalFormatting sqref="D40:D41">
    <cfRule type="expression" dxfId="213" priority="4526">
      <formula>AND($S40="X",OR($B40&lt;&gt;"",$C40&lt;&gt;"",$D40&lt;&gt;""))</formula>
    </cfRule>
  </conditionalFormatting>
  <conditionalFormatting sqref="D13:G15">
    <cfRule type="expression" dxfId="212" priority="69">
      <formula>$AD13=1</formula>
    </cfRule>
    <cfRule type="expression" dxfId="211" priority="68">
      <formula>$AE13=1</formula>
    </cfRule>
    <cfRule type="expression" dxfId="210" priority="66">
      <formula>OR($AE13="X",$AD13="X")</formula>
    </cfRule>
    <cfRule type="expression" dxfId="209" priority="67">
      <formula>AND($AE13=1,$AD13=1)</formula>
    </cfRule>
    <cfRule type="expression" dxfId="208" priority="70">
      <formula>AND(NOT(ISBLANK($X13)),ISBLANK($AD13),ISBLANK($AE13))</formula>
    </cfRule>
  </conditionalFormatting>
  <conditionalFormatting sqref="D35:G39">
    <cfRule type="expression" dxfId="207" priority="107">
      <formula>$X35=1</formula>
    </cfRule>
  </conditionalFormatting>
  <conditionalFormatting sqref="D39:G39">
    <cfRule type="expression" dxfId="206" priority="110">
      <formula>OR($X39="X",#REF!="X")</formula>
    </cfRule>
    <cfRule type="expression" dxfId="205" priority="111">
      <formula>#REF!=1</formula>
    </cfRule>
    <cfRule type="expression" dxfId="204" priority="108">
      <formula>AND($X39=1,#REF!=1)</formula>
    </cfRule>
    <cfRule type="expression" dxfId="203" priority="109">
      <formula>AND(NOT(ISBLANK($R39)),ISBLANK(#REF!),ISBLANK($X39))</formula>
    </cfRule>
  </conditionalFormatting>
  <conditionalFormatting sqref="E9:E11 E16:E20 E24 E32:E39 E42">
    <cfRule type="expression" dxfId="202" priority="4527">
      <formula>AND($M9="X",OR($B9&lt;&gt;"",$C9&lt;&gt;"",$D9&lt;&gt;""))</formula>
    </cfRule>
  </conditionalFormatting>
  <conditionalFormatting sqref="E12">
    <cfRule type="expression" dxfId="201" priority="4528">
      <formula>AND($M12="X",OR($B12&lt;&gt;"",#REF!&lt;&gt;"",$D12&lt;&gt;""))</formula>
    </cfRule>
  </conditionalFormatting>
  <conditionalFormatting sqref="E13">
    <cfRule type="expression" dxfId="200" priority="4529">
      <formula>AND($S13="X",OR($C11&lt;&gt;"",#REF!&lt;&gt;"",$D13&lt;&gt;""))</formula>
    </cfRule>
  </conditionalFormatting>
  <conditionalFormatting sqref="E14">
    <cfRule type="expression" dxfId="199" priority="4530">
      <formula>AND($S14="X",OR(#REF!&lt;&gt;"",#REF!&lt;&gt;"",$D14&lt;&gt;""))</formula>
    </cfRule>
  </conditionalFormatting>
  <conditionalFormatting sqref="E15">
    <cfRule type="expression" dxfId="198" priority="4531">
      <formula>AND($S15="X",OR($C11&lt;&gt;"",#REF!&lt;&gt;"",$D15&lt;&gt;""))</formula>
    </cfRule>
  </conditionalFormatting>
  <conditionalFormatting sqref="E21 E26:E31">
    <cfRule type="expression" dxfId="197" priority="4537">
      <formula>AND($M21="X",OR($B21&lt;&gt;"",$C21&lt;&gt;"",#REF!&lt;&gt;""))</formula>
    </cfRule>
  </conditionalFormatting>
  <conditionalFormatting sqref="E22:E23">
    <cfRule type="expression" dxfId="196" priority="36">
      <formula>AND($M22="X",OR($B22&lt;&gt;"",$C22&lt;&gt;"",$D22&lt;&gt;""))</formula>
    </cfRule>
  </conditionalFormatting>
  <conditionalFormatting sqref="E25">
    <cfRule type="expression" dxfId="195" priority="4536">
      <formula>AND($M25="X",OR($B25&lt;&gt;"",$D25&lt;&gt;"",#REF!&lt;&gt;""))</formula>
    </cfRule>
  </conditionalFormatting>
  <conditionalFormatting sqref="E40:E41">
    <cfRule type="expression" dxfId="194" priority="4538">
      <formula>AND($S40="X",OR($B40&lt;&gt;"",$C40&lt;&gt;"",$D40&lt;&gt;"",$E40&lt;&gt;""))</formula>
    </cfRule>
  </conditionalFormatting>
  <conditionalFormatting sqref="F1:F2">
    <cfRule type="dataBar" priority="162">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F16:F20 F24 F32:F39 F42">
    <cfRule type="expression" dxfId="193" priority="4539">
      <formula>AND($M9="X",OR($B9&lt;&gt;"",$C9&lt;&gt;"",$D9&lt;&gt;"",$E9&lt;&gt;""))</formula>
    </cfRule>
  </conditionalFormatting>
  <conditionalFormatting sqref="F12">
    <cfRule type="expression" dxfId="192" priority="4540">
      <formula>AND($M12="X",OR($B12&lt;&gt;"",#REF!&lt;&gt;"",$D12&lt;&gt;"",$E12&lt;&gt;""))</formula>
    </cfRule>
  </conditionalFormatting>
  <conditionalFormatting sqref="F13">
    <cfRule type="expression" dxfId="191" priority="4541">
      <formula>AND($S13="X",OR($C11&lt;&gt;"",#REF!&lt;&gt;"",$D13&lt;&gt;"",$E13&lt;&gt;""))</formula>
    </cfRule>
  </conditionalFormatting>
  <conditionalFormatting sqref="F14">
    <cfRule type="expression" dxfId="190" priority="4542">
      <formula>AND($S14="X",OR(#REF!&lt;&gt;"",#REF!&lt;&gt;"",$D14&lt;&gt;"",$E14&lt;&gt;""))</formula>
    </cfRule>
  </conditionalFormatting>
  <conditionalFormatting sqref="F15">
    <cfRule type="expression" dxfId="189" priority="4543">
      <formula>AND($S15="X",OR($C11&lt;&gt;"",#REF!&lt;&gt;"",$D15&lt;&gt;"",$E15&lt;&gt;""))</formula>
    </cfRule>
  </conditionalFormatting>
  <conditionalFormatting sqref="F21 F26:F31">
    <cfRule type="expression" dxfId="188" priority="4549">
      <formula>AND($M21="X",OR($B21&lt;&gt;"",$C21&lt;&gt;"",#REF!&lt;&gt;"",$E21&lt;&gt;""))</formula>
    </cfRule>
  </conditionalFormatting>
  <conditionalFormatting sqref="F22:F23">
    <cfRule type="expression" dxfId="187" priority="37">
      <formula>AND($M22="X",OR($B22&lt;&gt;"",$C22&lt;&gt;"",$D22&lt;&gt;"",$E22&lt;&gt;""))</formula>
    </cfRule>
  </conditionalFormatting>
  <conditionalFormatting sqref="F25">
    <cfRule type="expression" dxfId="186" priority="4548">
      <formula>AND($M25="X",OR($B25&lt;&gt;"",$D25&lt;&gt;"",#REF!&lt;&gt;"",$E25&lt;&gt;""))</formula>
    </cfRule>
  </conditionalFormatting>
  <conditionalFormatting sqref="F40:F41">
    <cfRule type="expression" dxfId="185" priority="4550">
      <formula>AND($S40="X",OR($B40&lt;&gt;"",$C40&lt;&gt;"",$D40&lt;&gt;"",$E40&lt;&gt;"",$F40&lt;&gt;""))</formula>
    </cfRule>
  </conditionalFormatting>
  <conditionalFormatting sqref="G9:G11 G16:G20 G24 G32:G39 G42">
    <cfRule type="expression" dxfId="184" priority="4551">
      <formula>AND($M9="X",OR($B9&lt;&gt;"",$C9&lt;&gt;"",$D9&lt;&gt;"",$E9&lt;&gt;"",$F9&lt;&gt;""))</formula>
    </cfRule>
  </conditionalFormatting>
  <conditionalFormatting sqref="G12">
    <cfRule type="expression" dxfId="183" priority="4552">
      <formula>AND($M12="X",OR($B12&lt;&gt;"",#REF!&lt;&gt;"",$D12&lt;&gt;"",$E12&lt;&gt;"",$F12&lt;&gt;""))</formula>
    </cfRule>
  </conditionalFormatting>
  <conditionalFormatting sqref="G13">
    <cfRule type="expression" dxfId="182" priority="4553">
      <formula>AND($S13="X",OR($C11&lt;&gt;"",#REF!&lt;&gt;"",$D13&lt;&gt;"",$E13&lt;&gt;"",$F13&lt;&gt;""))</formula>
    </cfRule>
  </conditionalFormatting>
  <conditionalFormatting sqref="G14">
    <cfRule type="expression" dxfId="181" priority="4554">
      <formula>AND($S14="X",OR(#REF!&lt;&gt;"",#REF!&lt;&gt;"",$D14&lt;&gt;"",$E14&lt;&gt;"",$F14&lt;&gt;""))</formula>
    </cfRule>
  </conditionalFormatting>
  <conditionalFormatting sqref="G15">
    <cfRule type="expression" dxfId="180" priority="4555">
      <formula>AND($S15="X",OR($C11&lt;&gt;"",#REF!&lt;&gt;"",$D15&lt;&gt;"",$E15&lt;&gt;"",$F15&lt;&gt;""))</formula>
    </cfRule>
  </conditionalFormatting>
  <conditionalFormatting sqref="G21 G26:G31">
    <cfRule type="expression" dxfId="179" priority="4561">
      <formula>AND($M21="X",OR($B21&lt;&gt;"",$C21&lt;&gt;"",#REF!&lt;&gt;"",$E21&lt;&gt;"",$F21&lt;&gt;""))</formula>
    </cfRule>
  </conditionalFormatting>
  <conditionalFormatting sqref="G22:G23">
    <cfRule type="expression" dxfId="178" priority="38">
      <formula>AND($M22="X",OR($B22&lt;&gt;"",$C22&lt;&gt;"",$D22&lt;&gt;"",$E22&lt;&gt;"",$F22&lt;&gt;""))</formula>
    </cfRule>
  </conditionalFormatting>
  <conditionalFormatting sqref="G25">
    <cfRule type="expression" dxfId="177" priority="4560">
      <formula>AND($M25="X",OR($B25&lt;&gt;"",$D25&lt;&gt;"",#REF!&lt;&gt;"",$E25&lt;&gt;"",$F25&lt;&gt;""))</formula>
    </cfRule>
  </conditionalFormatting>
  <conditionalFormatting sqref="H44:H45 H48:H866">
    <cfRule type="expression" dxfId="176" priority="163">
      <formula>$K44="X"</formula>
    </cfRule>
  </conditionalFormatting>
  <conditionalFormatting sqref="I20:I21">
    <cfRule type="expression" dxfId="175" priority="1">
      <formula>$M20="X"</formula>
    </cfRule>
  </conditionalFormatting>
  <conditionalFormatting sqref="I22">
    <cfRule type="expression" dxfId="174" priority="39">
      <formula>$M23="X"</formula>
    </cfRule>
  </conditionalFormatting>
  <conditionalFormatting sqref="I11:J11">
    <cfRule type="expression" dxfId="173" priority="1750">
      <formula>#REF!="X"</formula>
    </cfRule>
  </conditionalFormatting>
  <conditionalFormatting sqref="I16:J19 I24:J36 J37:J38 I39:J42">
    <cfRule type="expression" dxfId="172" priority="45">
      <formula>$M16="X"</formula>
    </cfRule>
  </conditionalFormatting>
  <conditionalFormatting sqref="I39:J41">
    <cfRule type="expression" dxfId="171" priority="113">
      <formula>$S39="X"</formula>
    </cfRule>
  </conditionalFormatting>
  <conditionalFormatting sqref="J20:J23">
    <cfRule type="expression" dxfId="170" priority="26">
      <formula>$M20="X"</formula>
    </cfRule>
  </conditionalFormatting>
  <conditionalFormatting sqref="L9:L42">
    <cfRule type="cellIs" dxfId="169" priority="8" operator="equal">
      <formula>"1..1"</formula>
    </cfRule>
    <cfRule type="cellIs" dxfId="168" priority="9" operator="equal">
      <formula>"0..n"</formula>
    </cfRule>
    <cfRule type="cellIs" dxfId="167" priority="10"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ME123"/>
  <sheetViews>
    <sheetView topLeftCell="B1" zoomScaleNormal="100" workbookViewId="0">
      <selection activeCell="U23" sqref="U23"/>
    </sheetView>
  </sheetViews>
  <sheetFormatPr baseColWidth="10" defaultColWidth="9.5" defaultRowHeight="15"/>
  <cols>
    <col min="1" max="1" width="4.6640625" style="128" customWidth="1"/>
    <col min="2" max="2" width="19.33203125" style="128" customWidth="1"/>
    <col min="3" max="3" width="42.1640625" style="128" bestFit="1" customWidth="1"/>
    <col min="4" max="4" width="50.6640625" style="128" customWidth="1"/>
    <col min="5" max="5" width="11.6640625" style="128" customWidth="1"/>
    <col min="6" max="6" width="8.6640625" style="128" customWidth="1"/>
    <col min="7" max="7" width="10.1640625" style="96" customWidth="1"/>
    <col min="8" max="8" width="26.1640625" style="96" customWidth="1"/>
    <col min="9" max="9" width="20.6640625" style="225" customWidth="1"/>
    <col min="10" max="10" width="11.6640625" style="96" hidden="1" customWidth="1"/>
    <col min="11" max="11" width="17.83203125" style="159" customWidth="1"/>
    <col min="12" max="12" width="7.6640625" style="96" hidden="1" customWidth="1"/>
    <col min="13" max="13" width="9.6640625" style="96" hidden="1" customWidth="1"/>
    <col min="14" max="14" width="6.1640625" style="96" hidden="1" customWidth="1"/>
    <col min="15" max="15" width="10.6640625" style="96" hidden="1" customWidth="1"/>
    <col min="16" max="16" width="11.1640625" style="173" hidden="1" customWidth="1"/>
    <col min="17" max="17" width="10.5" style="96" hidden="1" customWidth="1"/>
    <col min="18" max="18" width="11" style="277" hidden="1" customWidth="1"/>
    <col min="19" max="19" width="18.5" style="96" hidden="1" customWidth="1"/>
    <col min="20" max="20" width="12.6640625" style="277" hidden="1" customWidth="1"/>
    <col min="21" max="21" width="28.1640625" style="96" customWidth="1"/>
    <col min="22" max="24" width="8.83203125" style="96" customWidth="1"/>
    <col min="25" max="25" width="8.1640625" style="96" customWidth="1"/>
    <col min="26" max="26" width="2.33203125" hidden="1" customWidth="1"/>
    <col min="27" max="27" width="22.6640625" style="179" hidden="1" customWidth="1"/>
    <col min="28" max="28" width="24.33203125" style="96" hidden="1" customWidth="1"/>
    <col min="29" max="29" width="24.5" style="159" hidden="1" customWidth="1"/>
    <col min="30" max="30" width="17.5" style="96" hidden="1" customWidth="1"/>
    <col min="31" max="31" width="9.5" hidden="1" customWidth="1"/>
    <col min="32" max="32" width="8" style="96" hidden="1" customWidth="1"/>
    <col min="33" max="33" width="8.83203125" style="128" customWidth="1"/>
    <col min="35" max="1015" width="9.5" style="128"/>
    <col min="1016" max="1016" width="9" style="128" customWidth="1"/>
    <col min="1017" max="1018" width="9" customWidth="1"/>
  </cols>
  <sheetData>
    <row r="1" spans="1:1016" ht="13.5" customHeight="1">
      <c r="A1" s="670" t="s">
        <v>2330</v>
      </c>
      <c r="C1" s="129" t="s">
        <v>813</v>
      </c>
      <c r="E1" s="150" t="s">
        <v>814</v>
      </c>
      <c r="F1" s="157"/>
      <c r="G1" s="128"/>
      <c r="AE1" s="96"/>
      <c r="AG1"/>
      <c r="AH1" s="128"/>
      <c r="AMB1"/>
    </row>
    <row r="2" spans="1:1016" ht="13.5" customHeight="1">
      <c r="A2" s="671"/>
      <c r="C2" s="141" t="s">
        <v>818</v>
      </c>
      <c r="D2" s="284"/>
      <c r="E2" s="152" t="s">
        <v>819</v>
      </c>
      <c r="F2" s="157"/>
      <c r="G2" s="128"/>
      <c r="AE2" s="96"/>
      <c r="AG2"/>
      <c r="AH2" s="128"/>
      <c r="AMB2"/>
    </row>
    <row r="3" spans="1:1016" ht="13.5" customHeight="1">
      <c r="C3" s="142" t="s">
        <v>821</v>
      </c>
      <c r="E3" s="151" t="s">
        <v>822</v>
      </c>
      <c r="G3" s="128"/>
      <c r="AE3" s="96"/>
      <c r="AG3"/>
      <c r="AH3" s="128"/>
      <c r="AMB3"/>
    </row>
    <row r="4" spans="1:1016" ht="13.5" customHeight="1">
      <c r="C4" s="143" t="s">
        <v>824</v>
      </c>
      <c r="E4" s="153" t="s">
        <v>825</v>
      </c>
      <c r="G4" s="137"/>
      <c r="AE4" s="96"/>
      <c r="AG4"/>
      <c r="AH4" s="128"/>
      <c r="AMB4"/>
    </row>
    <row r="5" spans="1:1016" s="149" customFormat="1" ht="13.5" customHeight="1">
      <c r="A5" s="128"/>
      <c r="B5" s="128"/>
      <c r="C5" s="145" t="s">
        <v>826</v>
      </c>
      <c r="D5" s="146"/>
      <c r="E5" s="290" t="s">
        <v>912</v>
      </c>
      <c r="F5" s="146"/>
      <c r="G5" s="148"/>
      <c r="H5" s="148"/>
      <c r="I5" s="275"/>
      <c r="J5" s="148"/>
      <c r="K5" s="160"/>
      <c r="L5" s="148"/>
      <c r="M5" s="148"/>
      <c r="N5" s="148"/>
      <c r="O5" s="148"/>
      <c r="P5" s="186"/>
      <c r="Q5" s="148"/>
      <c r="R5" s="279"/>
      <c r="S5" s="148"/>
      <c r="T5" s="279"/>
      <c r="U5" s="148"/>
      <c r="V5" s="148"/>
      <c r="W5" s="148"/>
      <c r="X5" s="148"/>
      <c r="Y5" s="148"/>
      <c r="Z5"/>
      <c r="AA5" s="181"/>
      <c r="AB5" s="148"/>
      <c r="AC5" s="160"/>
      <c r="AD5" s="148"/>
      <c r="AE5" s="148"/>
      <c r="AF5" s="148"/>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row>
    <row r="6" spans="1:1016" ht="13.5" customHeight="1">
      <c r="C6" s="144" t="s">
        <v>827</v>
      </c>
      <c r="D6" s="138"/>
      <c r="F6" s="138"/>
      <c r="AE6" s="96"/>
      <c r="AG6"/>
      <c r="AH6" s="128"/>
      <c r="AMB6"/>
    </row>
    <row r="7" spans="1:1016" ht="13.5" customHeight="1">
      <c r="A7"/>
      <c r="B7"/>
      <c r="C7" s="138"/>
      <c r="D7" s="377"/>
      <c r="E7" s="138"/>
      <c r="F7" s="138"/>
      <c r="L7" s="795" t="s">
        <v>828</v>
      </c>
      <c r="M7" s="795"/>
      <c r="N7" s="795"/>
      <c r="O7" s="795"/>
      <c r="V7" s="702" t="s">
        <v>829</v>
      </c>
      <c r="W7" s="702" t="s">
        <v>829</v>
      </c>
      <c r="X7" s="702" t="s">
        <v>829</v>
      </c>
      <c r="Y7" s="702" t="s">
        <v>829</v>
      </c>
      <c r="AE7" s="795" t="s">
        <v>830</v>
      </c>
      <c r="AF7" s="795"/>
      <c r="AG7"/>
      <c r="AH7" s="128"/>
      <c r="AMB7"/>
    </row>
    <row r="8" spans="1:1016" s="238" customFormat="1" ht="55.5" customHeight="1">
      <c r="A8" s="233" t="s">
        <v>831</v>
      </c>
      <c r="B8" s="381" t="s">
        <v>832</v>
      </c>
      <c r="C8" s="278" t="s">
        <v>833</v>
      </c>
      <c r="D8" s="278" t="s">
        <v>834</v>
      </c>
      <c r="E8" s="278" t="s">
        <v>835</v>
      </c>
      <c r="F8" s="278" t="s">
        <v>836</v>
      </c>
      <c r="G8" s="278"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3" t="s">
        <v>914</v>
      </c>
      <c r="U8" s="234" t="s">
        <v>849</v>
      </c>
      <c r="V8" s="229" t="s">
        <v>2331</v>
      </c>
      <c r="W8" s="229" t="s">
        <v>1611</v>
      </c>
      <c r="X8" s="229" t="s">
        <v>850</v>
      </c>
      <c r="Y8" s="229" t="s">
        <v>2332</v>
      </c>
      <c r="Z8" s="230" t="s">
        <v>852</v>
      </c>
      <c r="AA8" s="235" t="s">
        <v>853</v>
      </c>
      <c r="AB8" s="235" t="s">
        <v>854</v>
      </c>
      <c r="AC8" s="236" t="s">
        <v>855</v>
      </c>
      <c r="AD8" s="235" t="s">
        <v>856</v>
      </c>
      <c r="AE8" s="235" t="s">
        <v>857</v>
      </c>
      <c r="AF8" s="237" t="s">
        <v>915</v>
      </c>
    </row>
    <row r="9" spans="1:1016" s="224" customFormat="1" ht="13.5" customHeight="1">
      <c r="A9" s="225">
        <f t="shared" ref="A9:A72" si="0">ROW()-8</f>
        <v>1</v>
      </c>
      <c r="B9" s="673" t="s">
        <v>2333</v>
      </c>
      <c r="C9" s="674"/>
      <c r="D9" s="674"/>
      <c r="E9" s="674"/>
      <c r="F9" s="674"/>
      <c r="G9" s="674"/>
      <c r="H9" s="750"/>
      <c r="I9" s="675"/>
      <c r="J9" s="751"/>
      <c r="K9" s="752" t="s">
        <v>1824</v>
      </c>
      <c r="L9" s="751"/>
      <c r="M9" s="751"/>
      <c r="N9" s="751"/>
      <c r="O9" s="751"/>
      <c r="P9" s="753"/>
      <c r="Q9" s="751" t="s">
        <v>820</v>
      </c>
      <c r="R9" s="754" t="s">
        <v>864</v>
      </c>
      <c r="S9" s="676" t="s">
        <v>1824</v>
      </c>
      <c r="T9" s="751"/>
      <c r="U9" s="751"/>
      <c r="V9" s="755" t="s">
        <v>864</v>
      </c>
      <c r="W9" s="755" t="s">
        <v>864</v>
      </c>
      <c r="X9" s="755"/>
      <c r="Y9" s="755"/>
      <c r="Z9" s="677"/>
      <c r="AA9" s="756"/>
      <c r="AB9" s="751"/>
      <c r="AC9" s="757"/>
      <c r="AD9" s="751"/>
      <c r="AE9" s="754"/>
      <c r="AF9" s="754"/>
    </row>
    <row r="10" spans="1:1016" s="224" customFormat="1" ht="13.5" customHeight="1">
      <c r="A10" s="225">
        <f t="shared" si="0"/>
        <v>2</v>
      </c>
      <c r="B10" s="678"/>
      <c r="C10" s="679" t="s">
        <v>2334</v>
      </c>
      <c r="D10" s="680"/>
      <c r="E10" s="680"/>
      <c r="F10" s="680"/>
      <c r="G10" s="680"/>
      <c r="H10" s="751" t="s">
        <v>2335</v>
      </c>
      <c r="I10" s="752" t="s">
        <v>1341</v>
      </c>
      <c r="J10" s="751"/>
      <c r="K10" s="752" t="s">
        <v>2336</v>
      </c>
      <c r="L10" s="751"/>
      <c r="M10" s="751"/>
      <c r="N10" s="751"/>
      <c r="O10" s="751"/>
      <c r="P10" s="753"/>
      <c r="Q10" s="751" t="s">
        <v>820</v>
      </c>
      <c r="R10" s="754"/>
      <c r="S10" s="751" t="s">
        <v>863</v>
      </c>
      <c r="T10" s="751"/>
      <c r="U10" s="751" t="s">
        <v>2717</v>
      </c>
      <c r="V10" s="755" t="s">
        <v>864</v>
      </c>
      <c r="W10" s="755" t="s">
        <v>864</v>
      </c>
      <c r="X10" s="755"/>
      <c r="Y10" s="755"/>
      <c r="Z10" s="677"/>
      <c r="AA10" s="756"/>
      <c r="AB10" s="751"/>
      <c r="AC10" s="757"/>
      <c r="AD10" s="751"/>
      <c r="AE10" s="754"/>
      <c r="AF10" s="754"/>
    </row>
    <row r="11" spans="1:1016" s="224" customFormat="1" ht="13.5" customHeight="1">
      <c r="A11" s="225">
        <f t="shared" si="0"/>
        <v>3</v>
      </c>
      <c r="B11" s="678"/>
      <c r="C11" s="679" t="s">
        <v>2337</v>
      </c>
      <c r="D11" s="680"/>
      <c r="E11" s="680"/>
      <c r="F11" s="680"/>
      <c r="G11" s="680"/>
      <c r="H11" s="751" t="s">
        <v>2338</v>
      </c>
      <c r="I11" s="752" t="s">
        <v>2339</v>
      </c>
      <c r="J11" s="751"/>
      <c r="K11" s="752" t="s">
        <v>2340</v>
      </c>
      <c r="L11" s="751"/>
      <c r="M11" s="751"/>
      <c r="N11" s="751"/>
      <c r="O11" s="751"/>
      <c r="P11" s="753"/>
      <c r="Q11" s="751" t="s">
        <v>820</v>
      </c>
      <c r="R11" s="754"/>
      <c r="S11" s="751" t="s">
        <v>863</v>
      </c>
      <c r="T11" s="751"/>
      <c r="U11" s="751"/>
      <c r="V11" s="755" t="s">
        <v>864</v>
      </c>
      <c r="W11" s="755" t="s">
        <v>864</v>
      </c>
      <c r="X11" s="755"/>
      <c r="Y11" s="755"/>
      <c r="Z11" s="677"/>
      <c r="AA11" s="756"/>
      <c r="AB11" s="751"/>
      <c r="AC11" s="757"/>
      <c r="AD11" s="751"/>
      <c r="AE11" s="754"/>
      <c r="AF11" s="754"/>
    </row>
    <row r="12" spans="1:1016" s="224" customFormat="1" ht="13.5" customHeight="1">
      <c r="A12" s="225">
        <f t="shared" si="0"/>
        <v>4</v>
      </c>
      <c r="B12" s="678"/>
      <c r="C12" s="679" t="s">
        <v>2341</v>
      </c>
      <c r="D12" s="680"/>
      <c r="E12" s="680"/>
      <c r="F12" s="680"/>
      <c r="G12" s="680"/>
      <c r="H12" s="751" t="s">
        <v>2342</v>
      </c>
      <c r="I12" s="752" t="s">
        <v>930</v>
      </c>
      <c r="J12" s="751"/>
      <c r="K12" s="752" t="s">
        <v>2343</v>
      </c>
      <c r="L12" s="751"/>
      <c r="M12" s="751"/>
      <c r="N12" s="751"/>
      <c r="O12" s="751"/>
      <c r="P12" s="753"/>
      <c r="Q12" s="751" t="s">
        <v>820</v>
      </c>
      <c r="R12" s="754"/>
      <c r="S12" s="751" t="s">
        <v>879</v>
      </c>
      <c r="T12" s="754"/>
      <c r="U12" s="751"/>
      <c r="V12" s="755" t="s">
        <v>864</v>
      </c>
      <c r="W12" s="755" t="s">
        <v>864</v>
      </c>
      <c r="X12" s="755"/>
      <c r="Y12" s="755"/>
      <c r="Z12" s="677"/>
      <c r="AA12" s="756"/>
      <c r="AB12" s="751"/>
      <c r="AC12" s="757"/>
      <c r="AD12" s="751"/>
      <c r="AE12" s="754"/>
      <c r="AF12" s="754"/>
    </row>
    <row r="13" spans="1:1016" s="224" customFormat="1" ht="13.5" customHeight="1">
      <c r="A13" s="225">
        <f t="shared" si="0"/>
        <v>5</v>
      </c>
      <c r="B13" s="678"/>
      <c r="C13" s="679" t="s">
        <v>2344</v>
      </c>
      <c r="D13" s="680"/>
      <c r="E13" s="680"/>
      <c r="F13" s="680"/>
      <c r="G13" s="680"/>
      <c r="H13" s="751" t="s">
        <v>2342</v>
      </c>
      <c r="I13" s="752" t="s">
        <v>930</v>
      </c>
      <c r="J13" s="751"/>
      <c r="K13" s="752" t="s">
        <v>2345</v>
      </c>
      <c r="L13" s="751"/>
      <c r="M13" s="751"/>
      <c r="N13" s="751"/>
      <c r="O13" s="751"/>
      <c r="P13" s="753"/>
      <c r="Q13" s="751" t="s">
        <v>820</v>
      </c>
      <c r="R13" s="754"/>
      <c r="S13" s="751" t="s">
        <v>879</v>
      </c>
      <c r="T13" s="754"/>
      <c r="U13" s="751"/>
      <c r="V13" s="755" t="s">
        <v>864</v>
      </c>
      <c r="W13" s="755" t="s">
        <v>864</v>
      </c>
      <c r="X13" s="755"/>
      <c r="Y13" s="755"/>
      <c r="Z13" s="677"/>
      <c r="AA13" s="756"/>
      <c r="AB13" s="751"/>
      <c r="AC13" s="757"/>
      <c r="AD13" s="751"/>
      <c r="AE13" s="754"/>
      <c r="AF13" s="754"/>
    </row>
    <row r="14" spans="1:1016" s="224" customFormat="1" ht="13.5" customHeight="1">
      <c r="A14" s="225">
        <f t="shared" si="0"/>
        <v>6</v>
      </c>
      <c r="B14" s="681"/>
      <c r="C14" s="758" t="s">
        <v>2346</v>
      </c>
      <c r="D14" s="758"/>
      <c r="E14" s="680"/>
      <c r="F14" s="680"/>
      <c r="G14" s="680"/>
      <c r="H14" s="758" t="s">
        <v>2347</v>
      </c>
      <c r="I14" s="752"/>
      <c r="J14" s="751"/>
      <c r="K14" s="752" t="s">
        <v>2348</v>
      </c>
      <c r="L14" s="751"/>
      <c r="M14" s="751"/>
      <c r="N14" s="751"/>
      <c r="O14" s="751"/>
      <c r="P14" s="753"/>
      <c r="Q14" s="751" t="s">
        <v>820</v>
      </c>
      <c r="R14" s="754"/>
      <c r="S14" s="751" t="s">
        <v>863</v>
      </c>
      <c r="T14" s="754"/>
      <c r="U14" s="751"/>
      <c r="V14" s="755" t="s">
        <v>864</v>
      </c>
      <c r="W14" s="755" t="s">
        <v>864</v>
      </c>
      <c r="X14" s="755"/>
      <c r="Y14" s="755"/>
      <c r="Z14" s="677"/>
      <c r="AA14" s="756"/>
      <c r="AB14" s="751"/>
      <c r="AC14" s="757"/>
      <c r="AD14" s="751"/>
      <c r="AE14" s="754"/>
      <c r="AF14" s="754"/>
    </row>
    <row r="15" spans="1:1016" s="224" customFormat="1" ht="13.5" customHeight="1">
      <c r="A15" s="225">
        <f t="shared" si="0"/>
        <v>7</v>
      </c>
      <c r="B15" s="681"/>
      <c r="C15" s="758" t="s">
        <v>2349</v>
      </c>
      <c r="D15" s="758"/>
      <c r="E15" s="680"/>
      <c r="F15" s="680"/>
      <c r="G15" s="680"/>
      <c r="H15" s="758" t="s">
        <v>2350</v>
      </c>
      <c r="I15" s="752"/>
      <c r="J15" s="751"/>
      <c r="K15" s="752" t="s">
        <v>2351</v>
      </c>
      <c r="L15" s="751"/>
      <c r="M15" s="751"/>
      <c r="N15" s="751"/>
      <c r="O15" s="751"/>
      <c r="P15" s="753"/>
      <c r="Q15" s="751" t="s">
        <v>820</v>
      </c>
      <c r="R15" s="754"/>
      <c r="S15" s="751" t="s">
        <v>863</v>
      </c>
      <c r="T15" s="754"/>
      <c r="U15" s="751"/>
      <c r="V15" s="755" t="s">
        <v>864</v>
      </c>
      <c r="W15" s="755" t="s">
        <v>864</v>
      </c>
      <c r="X15" s="755"/>
      <c r="Y15" s="755"/>
      <c r="Z15" s="677"/>
      <c r="AA15" s="756"/>
      <c r="AB15" s="751"/>
      <c r="AC15" s="757"/>
      <c r="AD15" s="751"/>
      <c r="AE15" s="754"/>
      <c r="AF15" s="754"/>
    </row>
    <row r="16" spans="1:1016" s="224" customFormat="1" ht="13.5" customHeight="1">
      <c r="A16" s="225">
        <f t="shared" si="0"/>
        <v>8</v>
      </c>
      <c r="B16" s="681"/>
      <c r="C16" s="680" t="s">
        <v>2352</v>
      </c>
      <c r="D16" s="680"/>
      <c r="E16" s="680"/>
      <c r="F16" s="680"/>
      <c r="G16" s="680"/>
      <c r="H16" s="751" t="s">
        <v>2353</v>
      </c>
      <c r="I16" s="752"/>
      <c r="J16" s="751"/>
      <c r="K16" s="752" t="s">
        <v>2354</v>
      </c>
      <c r="L16" s="751"/>
      <c r="M16" s="751"/>
      <c r="N16" s="751"/>
      <c r="O16" s="751"/>
      <c r="P16" s="753"/>
      <c r="Q16" s="751" t="s">
        <v>820</v>
      </c>
      <c r="R16" s="754"/>
      <c r="S16" s="751" t="s">
        <v>863</v>
      </c>
      <c r="T16" s="754" t="s">
        <v>864</v>
      </c>
      <c r="U16" s="777"/>
      <c r="V16" s="755" t="s">
        <v>864</v>
      </c>
      <c r="W16" s="755" t="s">
        <v>864</v>
      </c>
      <c r="X16" s="755"/>
      <c r="Y16" s="755"/>
      <c r="Z16" s="677"/>
      <c r="AA16" s="756"/>
      <c r="AB16" s="751"/>
      <c r="AC16" s="757"/>
      <c r="AD16" s="751"/>
      <c r="AE16" s="754"/>
      <c r="AF16" s="754"/>
    </row>
    <row r="17" spans="1:32" s="224" customFormat="1" ht="13.5" customHeight="1">
      <c r="A17" s="225">
        <f t="shared" si="0"/>
        <v>9</v>
      </c>
      <c r="B17" s="678"/>
      <c r="C17" s="682" t="s">
        <v>2355</v>
      </c>
      <c r="D17" s="682"/>
      <c r="E17" s="682"/>
      <c r="F17" s="682"/>
      <c r="G17" s="682"/>
      <c r="H17" s="683" t="s">
        <v>2356</v>
      </c>
      <c r="I17" s="684" t="s">
        <v>2357</v>
      </c>
      <c r="J17" s="683"/>
      <c r="K17" s="684" t="s">
        <v>970</v>
      </c>
      <c r="L17" s="683"/>
      <c r="M17" s="683"/>
      <c r="N17" s="683"/>
      <c r="O17" s="683"/>
      <c r="P17" s="685"/>
      <c r="Q17" s="751" t="s">
        <v>817</v>
      </c>
      <c r="R17" s="686"/>
      <c r="S17" s="683" t="s">
        <v>863</v>
      </c>
      <c r="T17" s="754"/>
      <c r="U17" s="751"/>
      <c r="V17" s="755"/>
      <c r="W17" s="755"/>
      <c r="X17" s="755"/>
      <c r="Y17" s="755"/>
      <c r="Z17" s="677"/>
      <c r="AA17" s="756"/>
      <c r="AB17" s="751"/>
      <c r="AC17" s="757"/>
      <c r="AD17" s="751"/>
      <c r="AE17" s="754"/>
      <c r="AF17" s="754"/>
    </row>
    <row r="18" spans="1:32" s="224" customFormat="1" ht="13.5" customHeight="1">
      <c r="A18" s="225">
        <f t="shared" si="0"/>
        <v>10</v>
      </c>
      <c r="B18" s="678"/>
      <c r="C18" s="687" t="s">
        <v>2358</v>
      </c>
      <c r="D18" s="688"/>
      <c r="E18" s="688"/>
      <c r="F18" s="688"/>
      <c r="G18" s="688"/>
      <c r="H18" s="750"/>
      <c r="I18" s="759"/>
      <c r="J18" s="751"/>
      <c r="K18" s="752"/>
      <c r="L18" s="751"/>
      <c r="M18" s="751"/>
      <c r="N18" s="751"/>
      <c r="O18" s="751"/>
      <c r="P18" s="753"/>
      <c r="Q18" s="751" t="s">
        <v>820</v>
      </c>
      <c r="R18" s="686" t="s">
        <v>864</v>
      </c>
      <c r="S18" s="689" t="s">
        <v>2359</v>
      </c>
      <c r="T18" s="754"/>
      <c r="U18" s="751"/>
      <c r="V18" s="755"/>
      <c r="W18" s="755"/>
      <c r="X18" s="755"/>
      <c r="Y18" s="755"/>
      <c r="Z18" s="677"/>
      <c r="AA18" s="756"/>
      <c r="AB18" s="751"/>
      <c r="AC18" s="757"/>
      <c r="AD18" s="751"/>
      <c r="AE18" s="754"/>
      <c r="AF18" s="754"/>
    </row>
    <row r="19" spans="1:32" s="224" customFormat="1" ht="13.5" customHeight="1">
      <c r="A19" s="225">
        <f t="shared" si="0"/>
        <v>11</v>
      </c>
      <c r="B19" s="678"/>
      <c r="C19" s="682"/>
      <c r="D19" s="682" t="s">
        <v>2360</v>
      </c>
      <c r="E19" s="682"/>
      <c r="F19" s="682"/>
      <c r="G19" s="682"/>
      <c r="H19" s="683" t="s">
        <v>2361</v>
      </c>
      <c r="I19" s="684" t="s">
        <v>2362</v>
      </c>
      <c r="J19" s="683"/>
      <c r="K19" s="684" t="s">
        <v>2363</v>
      </c>
      <c r="L19" s="683"/>
      <c r="M19" s="683"/>
      <c r="N19" s="683"/>
      <c r="O19" s="683"/>
      <c r="P19" s="685"/>
      <c r="Q19" s="683" t="s">
        <v>820</v>
      </c>
      <c r="R19" s="686"/>
      <c r="S19" s="683" t="s">
        <v>1655</v>
      </c>
      <c r="T19" s="751"/>
      <c r="U19" s="751"/>
      <c r="V19" s="755"/>
      <c r="W19" s="755"/>
      <c r="X19" s="755"/>
      <c r="Y19" s="755"/>
      <c r="Z19" s="677"/>
      <c r="AA19" s="756"/>
      <c r="AB19" s="751"/>
      <c r="AC19" s="757"/>
      <c r="AD19" s="751"/>
      <c r="AE19" s="754"/>
      <c r="AF19" s="754"/>
    </row>
    <row r="20" spans="1:32" s="224" customFormat="1" ht="13.5" customHeight="1">
      <c r="A20" s="225">
        <f t="shared" si="0"/>
        <v>12</v>
      </c>
      <c r="B20" s="678"/>
      <c r="C20" s="682"/>
      <c r="D20" s="682" t="s">
        <v>2364</v>
      </c>
      <c r="E20" s="682"/>
      <c r="F20" s="682"/>
      <c r="G20" s="682"/>
      <c r="H20" s="683"/>
      <c r="I20" s="684"/>
      <c r="J20" s="683"/>
      <c r="K20" s="684"/>
      <c r="L20" s="683"/>
      <c r="M20" s="683"/>
      <c r="N20" s="683"/>
      <c r="O20" s="683"/>
      <c r="P20" s="685"/>
      <c r="Q20" s="683" t="s">
        <v>820</v>
      </c>
      <c r="R20" s="686"/>
      <c r="S20" s="683" t="s">
        <v>879</v>
      </c>
      <c r="T20" s="751"/>
      <c r="U20" s="751"/>
      <c r="V20" s="755"/>
      <c r="W20" s="755"/>
      <c r="X20" s="755"/>
      <c r="Y20" s="755"/>
      <c r="Z20" s="677"/>
      <c r="AA20" s="756"/>
      <c r="AB20" s="751"/>
      <c r="AC20" s="757"/>
      <c r="AD20" s="751"/>
      <c r="AE20" s="754"/>
      <c r="AF20" s="754"/>
    </row>
    <row r="21" spans="1:32" s="224" customFormat="1" ht="13.5" customHeight="1">
      <c r="A21" s="225">
        <f t="shared" si="0"/>
        <v>13</v>
      </c>
      <c r="B21" s="678" t="s">
        <v>2365</v>
      </c>
      <c r="C21" s="688"/>
      <c r="D21" s="688"/>
      <c r="E21" s="688"/>
      <c r="F21" s="688"/>
      <c r="G21" s="688"/>
      <c r="H21" s="750"/>
      <c r="I21" s="759"/>
      <c r="J21" s="751"/>
      <c r="K21" s="752" t="s">
        <v>2366</v>
      </c>
      <c r="L21" s="751"/>
      <c r="M21" s="751"/>
      <c r="N21" s="751"/>
      <c r="O21" s="751"/>
      <c r="P21" s="753"/>
      <c r="Q21" s="751" t="s">
        <v>820</v>
      </c>
      <c r="R21" s="754" t="s">
        <v>864</v>
      </c>
      <c r="S21" s="676" t="s">
        <v>2366</v>
      </c>
      <c r="T21" s="754"/>
      <c r="U21" s="751"/>
      <c r="V21" s="755" t="s">
        <v>864</v>
      </c>
      <c r="W21" s="755" t="s">
        <v>864</v>
      </c>
      <c r="X21" s="755"/>
      <c r="Y21" s="755"/>
      <c r="Z21" s="677"/>
      <c r="AA21" s="756"/>
      <c r="AB21" s="751"/>
      <c r="AC21" s="757"/>
      <c r="AD21" s="751"/>
      <c r="AE21" s="754"/>
      <c r="AF21" s="754"/>
    </row>
    <row r="22" spans="1:32" s="224" customFormat="1" ht="13.5" customHeight="1">
      <c r="A22" s="225">
        <f t="shared" si="0"/>
        <v>14</v>
      </c>
      <c r="B22" s="678"/>
      <c r="C22" s="679" t="s">
        <v>2367</v>
      </c>
      <c r="D22" s="688"/>
      <c r="E22" s="688"/>
      <c r="F22" s="688"/>
      <c r="G22" s="688"/>
      <c r="H22" s="750"/>
      <c r="I22" s="759"/>
      <c r="J22" s="751"/>
      <c r="K22" s="751" t="s">
        <v>988</v>
      </c>
      <c r="L22" s="751"/>
      <c r="M22" s="751"/>
      <c r="N22" s="751"/>
      <c r="O22" s="751"/>
      <c r="P22" s="753"/>
      <c r="Q22" s="751" t="s">
        <v>820</v>
      </c>
      <c r="R22" s="754" t="s">
        <v>864</v>
      </c>
      <c r="S22" s="698" t="s">
        <v>1625</v>
      </c>
      <c r="T22" s="754"/>
      <c r="U22" s="751"/>
      <c r="V22" s="755" t="s">
        <v>864</v>
      </c>
      <c r="W22" s="755" t="s">
        <v>864</v>
      </c>
      <c r="X22" s="755"/>
      <c r="Y22" s="755"/>
      <c r="Z22" s="677"/>
      <c r="AA22" s="756"/>
      <c r="AB22" s="751"/>
      <c r="AC22" s="757"/>
      <c r="AD22" s="751"/>
      <c r="AE22" s="754"/>
      <c r="AF22" s="754"/>
    </row>
    <row r="23" spans="1:32" s="224" customFormat="1" ht="13.5" customHeight="1">
      <c r="A23" s="225">
        <f t="shared" si="0"/>
        <v>15</v>
      </c>
      <c r="B23" s="690"/>
      <c r="C23" s="680"/>
      <c r="D23" s="679" t="s">
        <v>667</v>
      </c>
      <c r="E23" s="680"/>
      <c r="F23" s="680"/>
      <c r="G23" s="680"/>
      <c r="H23" s="777" t="s">
        <v>2821</v>
      </c>
      <c r="I23" s="752" t="s">
        <v>2368</v>
      </c>
      <c r="J23" s="751"/>
      <c r="K23" s="751" t="s">
        <v>1000</v>
      </c>
      <c r="L23" s="751"/>
      <c r="M23" s="751"/>
      <c r="N23" s="751"/>
      <c r="O23" s="751"/>
      <c r="P23" s="753"/>
      <c r="Q23" s="751" t="s">
        <v>820</v>
      </c>
      <c r="R23" s="754"/>
      <c r="S23" s="751" t="s">
        <v>863</v>
      </c>
      <c r="T23" s="754" t="s">
        <v>864</v>
      </c>
      <c r="U23" s="777"/>
      <c r="V23" s="755" t="s">
        <v>864</v>
      </c>
      <c r="W23" s="755" t="s">
        <v>864</v>
      </c>
      <c r="X23" s="755"/>
      <c r="Y23" s="755"/>
      <c r="Z23" s="677"/>
      <c r="AA23" s="756"/>
      <c r="AB23" s="751"/>
      <c r="AC23" s="757"/>
      <c r="AD23" s="751"/>
      <c r="AE23" s="754"/>
      <c r="AF23" s="754"/>
    </row>
    <row r="24" spans="1:32" s="224" customFormat="1" ht="13.5" customHeight="1">
      <c r="A24" s="225">
        <f t="shared" si="0"/>
        <v>16</v>
      </c>
      <c r="B24" s="690"/>
      <c r="C24" s="680"/>
      <c r="D24" s="679" t="s">
        <v>2369</v>
      </c>
      <c r="E24" s="680"/>
      <c r="F24" s="680"/>
      <c r="G24" s="680"/>
      <c r="H24" s="777" t="s">
        <v>2822</v>
      </c>
      <c r="I24" s="752" t="s">
        <v>2370</v>
      </c>
      <c r="J24" s="751"/>
      <c r="K24" s="751" t="s">
        <v>1004</v>
      </c>
      <c r="L24" s="751"/>
      <c r="M24" s="751"/>
      <c r="N24" s="751"/>
      <c r="O24" s="751"/>
      <c r="P24" s="753"/>
      <c r="Q24" s="751" t="s">
        <v>820</v>
      </c>
      <c r="R24" s="754"/>
      <c r="S24" s="751" t="s">
        <v>863</v>
      </c>
      <c r="T24" s="754" t="s">
        <v>864</v>
      </c>
      <c r="U24" s="777"/>
      <c r="V24" s="755" t="s">
        <v>864</v>
      </c>
      <c r="W24" s="755" t="s">
        <v>864</v>
      </c>
      <c r="X24" s="755"/>
      <c r="Y24" s="755"/>
      <c r="Z24" s="677"/>
      <c r="AA24" s="756"/>
      <c r="AB24" s="751"/>
      <c r="AC24" s="757"/>
      <c r="AD24" s="751"/>
      <c r="AE24" s="754"/>
      <c r="AF24" s="754"/>
    </row>
    <row r="25" spans="1:32" s="224" customFormat="1" ht="13.5" customHeight="1">
      <c r="A25" s="225">
        <f t="shared" si="0"/>
        <v>17</v>
      </c>
      <c r="B25" s="678"/>
      <c r="C25" s="679" t="s">
        <v>2371</v>
      </c>
      <c r="D25" s="688"/>
      <c r="E25" s="688"/>
      <c r="F25" s="688"/>
      <c r="G25" s="688"/>
      <c r="H25" s="750"/>
      <c r="I25" s="759"/>
      <c r="J25" s="751"/>
      <c r="K25" s="751" t="s">
        <v>1011</v>
      </c>
      <c r="L25" s="751"/>
      <c r="M25" s="751"/>
      <c r="N25" s="751"/>
      <c r="O25" s="751"/>
      <c r="P25" s="753"/>
      <c r="Q25" s="751" t="s">
        <v>820</v>
      </c>
      <c r="R25" s="754" t="s">
        <v>864</v>
      </c>
      <c r="S25" s="698" t="s">
        <v>1625</v>
      </c>
      <c r="T25" s="754"/>
      <c r="U25" s="751"/>
      <c r="V25" s="755" t="s">
        <v>864</v>
      </c>
      <c r="W25" s="755" t="s">
        <v>864</v>
      </c>
      <c r="X25" s="755"/>
      <c r="Y25" s="755"/>
      <c r="Z25" s="677"/>
      <c r="AA25" s="756"/>
      <c r="AB25" s="751"/>
      <c r="AC25" s="757"/>
      <c r="AD25" s="751"/>
      <c r="AE25" s="754"/>
      <c r="AF25" s="754"/>
    </row>
    <row r="26" spans="1:32" s="224" customFormat="1" ht="13.5" customHeight="1">
      <c r="A26" s="225">
        <f t="shared" si="0"/>
        <v>18</v>
      </c>
      <c r="B26" s="690"/>
      <c r="C26" s="680"/>
      <c r="D26" s="679" t="s">
        <v>667</v>
      </c>
      <c r="E26" s="680"/>
      <c r="F26" s="680"/>
      <c r="G26" s="680"/>
      <c r="H26" s="777" t="s">
        <v>2823</v>
      </c>
      <c r="I26" s="752" t="s">
        <v>2368</v>
      </c>
      <c r="J26" s="751"/>
      <c r="K26" s="751" t="s">
        <v>1000</v>
      </c>
      <c r="L26" s="751"/>
      <c r="M26" s="751"/>
      <c r="N26" s="751"/>
      <c r="O26" s="751"/>
      <c r="P26" s="753"/>
      <c r="Q26" s="751" t="s">
        <v>820</v>
      </c>
      <c r="R26" s="754"/>
      <c r="S26" s="751" t="s">
        <v>863</v>
      </c>
      <c r="T26" s="754" t="s">
        <v>864</v>
      </c>
      <c r="U26" s="777"/>
      <c r="V26" s="755" t="s">
        <v>864</v>
      </c>
      <c r="W26" s="755" t="s">
        <v>864</v>
      </c>
      <c r="X26" s="755"/>
      <c r="Y26" s="755"/>
      <c r="Z26" s="677"/>
      <c r="AA26" s="756"/>
      <c r="AB26" s="751"/>
      <c r="AC26" s="757"/>
      <c r="AD26" s="751"/>
      <c r="AE26" s="754"/>
      <c r="AF26" s="754"/>
    </row>
    <row r="27" spans="1:32" s="224" customFormat="1" ht="13.5" customHeight="1">
      <c r="A27" s="225">
        <f t="shared" si="0"/>
        <v>19</v>
      </c>
      <c r="B27" s="690"/>
      <c r="C27" s="680"/>
      <c r="D27" s="679" t="s">
        <v>2369</v>
      </c>
      <c r="E27" s="680"/>
      <c r="F27" s="680"/>
      <c r="G27" s="680"/>
      <c r="H27" s="777" t="s">
        <v>2824</v>
      </c>
      <c r="I27" s="752" t="s">
        <v>2370</v>
      </c>
      <c r="J27" s="751"/>
      <c r="K27" s="751" t="s">
        <v>1004</v>
      </c>
      <c r="L27" s="751"/>
      <c r="M27" s="751"/>
      <c r="N27" s="751"/>
      <c r="O27" s="751"/>
      <c r="P27" s="753"/>
      <c r="Q27" s="751" t="s">
        <v>820</v>
      </c>
      <c r="R27" s="754"/>
      <c r="S27" s="751" t="s">
        <v>863</v>
      </c>
      <c r="T27" s="754" t="s">
        <v>864</v>
      </c>
      <c r="U27" s="777"/>
      <c r="V27" s="755" t="s">
        <v>864</v>
      </c>
      <c r="W27" s="755" t="s">
        <v>864</v>
      </c>
      <c r="X27" s="755"/>
      <c r="Y27" s="755"/>
      <c r="Z27" s="677"/>
      <c r="AA27" s="756"/>
      <c r="AB27" s="751"/>
      <c r="AC27" s="757"/>
      <c r="AD27" s="751"/>
      <c r="AE27" s="754"/>
      <c r="AF27" s="754"/>
    </row>
    <row r="28" spans="1:32" s="224" customFormat="1" ht="13.5" customHeight="1">
      <c r="A28" s="225">
        <f t="shared" si="0"/>
        <v>20</v>
      </c>
      <c r="B28" s="681"/>
      <c r="C28" s="679" t="s">
        <v>2372</v>
      </c>
      <c r="D28" s="680"/>
      <c r="E28" s="680"/>
      <c r="F28" s="680"/>
      <c r="G28" s="680"/>
      <c r="H28" s="691" t="s">
        <v>2825</v>
      </c>
      <c r="I28" s="752" t="s">
        <v>2373</v>
      </c>
      <c r="J28" s="751"/>
      <c r="K28" s="752" t="s">
        <v>2374</v>
      </c>
      <c r="L28" s="751"/>
      <c r="M28" s="751"/>
      <c r="N28" s="751"/>
      <c r="O28" s="751"/>
      <c r="P28" s="753"/>
      <c r="Q28" s="751" t="s">
        <v>820</v>
      </c>
      <c r="R28" s="754"/>
      <c r="S28" s="751" t="s">
        <v>863</v>
      </c>
      <c r="T28" s="754" t="s">
        <v>864</v>
      </c>
      <c r="U28" s="777"/>
      <c r="V28" s="755" t="s">
        <v>864</v>
      </c>
      <c r="W28" s="755" t="s">
        <v>864</v>
      </c>
      <c r="X28" s="755"/>
      <c r="Y28" s="755"/>
      <c r="Z28" s="677"/>
      <c r="AA28" s="756"/>
      <c r="AB28" s="751"/>
      <c r="AC28" s="757"/>
      <c r="AD28" s="751"/>
      <c r="AE28" s="754"/>
      <c r="AF28" s="754"/>
    </row>
    <row r="29" spans="1:32" s="224" customFormat="1" ht="13.5" customHeight="1">
      <c r="A29" s="225">
        <f t="shared" si="0"/>
        <v>21</v>
      </c>
      <c r="B29" s="690" t="s">
        <v>561</v>
      </c>
      <c r="C29" s="760"/>
      <c r="D29" s="688"/>
      <c r="E29" s="688"/>
      <c r="F29" s="688"/>
      <c r="G29" s="688"/>
      <c r="H29" s="750"/>
      <c r="I29" s="759"/>
      <c r="J29" s="751"/>
      <c r="K29" s="752" t="s">
        <v>1403</v>
      </c>
      <c r="L29" s="751"/>
      <c r="M29" s="751"/>
      <c r="N29" s="751"/>
      <c r="O29" s="751"/>
      <c r="P29" s="753"/>
      <c r="Q29" s="751" t="s">
        <v>820</v>
      </c>
      <c r="R29" s="754" t="s">
        <v>864</v>
      </c>
      <c r="S29" s="676" t="s">
        <v>1403</v>
      </c>
      <c r="T29" s="754"/>
      <c r="U29" s="751"/>
      <c r="V29" s="755" t="s">
        <v>864</v>
      </c>
      <c r="W29" s="755" t="s">
        <v>864</v>
      </c>
      <c r="X29" s="755"/>
      <c r="Y29" s="755"/>
      <c r="Z29" s="677"/>
      <c r="AA29" s="756"/>
      <c r="AB29" s="751"/>
      <c r="AC29" s="757"/>
      <c r="AD29" s="751"/>
      <c r="AE29" s="754"/>
      <c r="AF29" s="754"/>
    </row>
    <row r="30" spans="1:32" s="224" customFormat="1" ht="13.5" customHeight="1">
      <c r="A30" s="225">
        <f t="shared" si="0"/>
        <v>22</v>
      </c>
      <c r="B30" s="690"/>
      <c r="C30" s="758" t="s">
        <v>2375</v>
      </c>
      <c r="D30" s="680"/>
      <c r="E30" s="680"/>
      <c r="F30" s="680"/>
      <c r="G30" s="680"/>
      <c r="H30" s="751" t="s">
        <v>2376</v>
      </c>
      <c r="I30" s="752" t="s">
        <v>2377</v>
      </c>
      <c r="J30" s="751"/>
      <c r="K30" s="752" t="s">
        <v>2378</v>
      </c>
      <c r="L30" s="751"/>
      <c r="M30" s="751"/>
      <c r="N30" s="751"/>
      <c r="O30" s="751"/>
      <c r="P30" s="753"/>
      <c r="Q30" s="751" t="s">
        <v>820</v>
      </c>
      <c r="R30" s="754"/>
      <c r="S30" s="751" t="s">
        <v>863</v>
      </c>
      <c r="T30" s="754"/>
      <c r="U30" s="751"/>
      <c r="V30" s="755" t="s">
        <v>864</v>
      </c>
      <c r="W30" s="755" t="s">
        <v>864</v>
      </c>
      <c r="X30" s="755"/>
      <c r="Y30" s="755"/>
      <c r="Z30" s="677"/>
      <c r="AA30" s="756"/>
      <c r="AB30" s="751"/>
      <c r="AC30" s="757"/>
      <c r="AD30" s="751"/>
      <c r="AE30" s="754"/>
      <c r="AF30" s="754"/>
    </row>
    <row r="31" spans="1:32" s="224" customFormat="1" ht="13.5" customHeight="1">
      <c r="A31" s="225">
        <f t="shared" si="0"/>
        <v>23</v>
      </c>
      <c r="B31" s="690"/>
      <c r="C31" s="758" t="s">
        <v>1479</v>
      </c>
      <c r="D31" s="680"/>
      <c r="E31" s="680"/>
      <c r="F31" s="680"/>
      <c r="G31" s="680"/>
      <c r="H31" s="751" t="s">
        <v>1480</v>
      </c>
      <c r="I31" s="752" t="s">
        <v>2379</v>
      </c>
      <c r="J31" s="751"/>
      <c r="K31" s="752" t="s">
        <v>1481</v>
      </c>
      <c r="L31" s="751"/>
      <c r="M31" s="751"/>
      <c r="N31" s="751"/>
      <c r="O31" s="751"/>
      <c r="P31" s="753"/>
      <c r="Q31" s="751" t="s">
        <v>820</v>
      </c>
      <c r="R31" s="754"/>
      <c r="S31" s="751" t="s">
        <v>863</v>
      </c>
      <c r="T31" s="754"/>
      <c r="U31" s="751"/>
      <c r="V31" s="755" t="s">
        <v>864</v>
      </c>
      <c r="W31" s="755" t="s">
        <v>864</v>
      </c>
      <c r="X31" s="755"/>
      <c r="Y31" s="755"/>
      <c r="Z31" s="677"/>
      <c r="AA31" s="756"/>
      <c r="AB31" s="751"/>
      <c r="AC31" s="757"/>
      <c r="AD31" s="751"/>
      <c r="AE31" s="754"/>
      <c r="AF31" s="754"/>
    </row>
    <row r="32" spans="1:32" s="224" customFormat="1" ht="13.5" customHeight="1">
      <c r="A32" s="225">
        <f t="shared" si="0"/>
        <v>24</v>
      </c>
      <c r="B32" s="690"/>
      <c r="C32" s="758" t="s">
        <v>2380</v>
      </c>
      <c r="D32" s="680"/>
      <c r="E32" s="680"/>
      <c r="F32" s="680"/>
      <c r="G32" s="680"/>
      <c r="H32" s="777" t="s">
        <v>2827</v>
      </c>
      <c r="I32" s="752" t="s">
        <v>698</v>
      </c>
      <c r="J32" s="751"/>
      <c r="K32" s="752" t="s">
        <v>1485</v>
      </c>
      <c r="L32" s="751"/>
      <c r="M32" s="751"/>
      <c r="N32" s="751"/>
      <c r="O32" s="751"/>
      <c r="P32" s="753"/>
      <c r="Q32" s="751" t="s">
        <v>820</v>
      </c>
      <c r="R32" s="754"/>
      <c r="S32" s="751" t="s">
        <v>863</v>
      </c>
      <c r="T32" s="754" t="s">
        <v>864</v>
      </c>
      <c r="U32" s="777"/>
      <c r="V32" s="755" t="s">
        <v>864</v>
      </c>
      <c r="W32" s="755" t="s">
        <v>864</v>
      </c>
      <c r="X32" s="755"/>
      <c r="Y32" s="755"/>
      <c r="Z32" s="677"/>
      <c r="AA32" s="756"/>
      <c r="AB32" s="751"/>
      <c r="AC32" s="757"/>
      <c r="AD32" s="751"/>
      <c r="AE32" s="754"/>
      <c r="AF32" s="754"/>
    </row>
    <row r="33" spans="1:32" s="224" customFormat="1" ht="13.5" customHeight="1">
      <c r="A33" s="225">
        <f t="shared" si="0"/>
        <v>25</v>
      </c>
      <c r="B33" s="690"/>
      <c r="C33" s="758" t="s">
        <v>2381</v>
      </c>
      <c r="D33" s="680"/>
      <c r="E33" s="680"/>
      <c r="F33" s="680"/>
      <c r="G33" s="680"/>
      <c r="H33" s="751" t="s">
        <v>2382</v>
      </c>
      <c r="I33" s="752" t="s">
        <v>2383</v>
      </c>
      <c r="J33" s="751"/>
      <c r="K33" s="752" t="s">
        <v>2384</v>
      </c>
      <c r="L33" s="751"/>
      <c r="M33" s="751"/>
      <c r="N33" s="751"/>
      <c r="O33" s="751"/>
      <c r="P33" s="753"/>
      <c r="Q33" s="751" t="s">
        <v>817</v>
      </c>
      <c r="R33" s="754"/>
      <c r="S33" s="751" t="s">
        <v>1092</v>
      </c>
      <c r="T33" s="754"/>
      <c r="U33" s="751"/>
      <c r="V33" s="755" t="s">
        <v>864</v>
      </c>
      <c r="W33" s="755" t="s">
        <v>864</v>
      </c>
      <c r="X33" s="755"/>
      <c r="Y33" s="755"/>
      <c r="Z33" s="677"/>
      <c r="AA33" s="756"/>
      <c r="AB33" s="751"/>
      <c r="AC33" s="757"/>
      <c r="AD33" s="751"/>
      <c r="AE33" s="754"/>
      <c r="AF33" s="754"/>
    </row>
    <row r="34" spans="1:32" s="224" customFormat="1" ht="13.5" customHeight="1">
      <c r="A34" s="225">
        <f t="shared" si="0"/>
        <v>26</v>
      </c>
      <c r="B34" s="690"/>
      <c r="C34" s="758" t="s">
        <v>2385</v>
      </c>
      <c r="D34" s="688"/>
      <c r="E34" s="688"/>
      <c r="F34" s="688"/>
      <c r="G34" s="688"/>
      <c r="H34" s="750"/>
      <c r="I34" s="759"/>
      <c r="J34" s="751"/>
      <c r="K34" s="752" t="s">
        <v>2386</v>
      </c>
      <c r="L34" s="751"/>
      <c r="M34" s="751"/>
      <c r="N34" s="751"/>
      <c r="O34" s="751"/>
      <c r="P34" s="753"/>
      <c r="Q34" s="751" t="s">
        <v>817</v>
      </c>
      <c r="R34" s="754" t="s">
        <v>864</v>
      </c>
      <c r="S34" s="692" t="s">
        <v>2386</v>
      </c>
      <c r="T34" s="754"/>
      <c r="U34" s="751"/>
      <c r="V34" s="755" t="s">
        <v>864</v>
      </c>
      <c r="W34" s="755" t="s">
        <v>864</v>
      </c>
      <c r="X34" s="755"/>
      <c r="Y34" s="755"/>
      <c r="Z34" s="677"/>
      <c r="AA34" s="756"/>
      <c r="AB34" s="751"/>
      <c r="AC34" s="757"/>
      <c r="AD34" s="751"/>
      <c r="AE34" s="754"/>
      <c r="AF34" s="754"/>
    </row>
    <row r="35" spans="1:32" s="224" customFormat="1" ht="13.5" customHeight="1">
      <c r="A35" s="225">
        <f t="shared" si="0"/>
        <v>27</v>
      </c>
      <c r="B35" s="690"/>
      <c r="C35" s="758"/>
      <c r="D35" s="680" t="s">
        <v>2387</v>
      </c>
      <c r="E35" s="680"/>
      <c r="F35" s="680"/>
      <c r="G35" s="680"/>
      <c r="H35" s="751" t="s">
        <v>2388</v>
      </c>
      <c r="I35" s="752">
        <v>92300</v>
      </c>
      <c r="J35" s="751"/>
      <c r="K35" s="752" t="s">
        <v>2389</v>
      </c>
      <c r="L35" s="751"/>
      <c r="M35" s="751"/>
      <c r="N35" s="751"/>
      <c r="O35" s="751"/>
      <c r="P35" s="753"/>
      <c r="Q35" s="751" t="s">
        <v>820</v>
      </c>
      <c r="R35" s="754"/>
      <c r="S35" s="751" t="s">
        <v>863</v>
      </c>
      <c r="T35" s="754"/>
      <c r="U35" s="751" t="s">
        <v>1116</v>
      </c>
      <c r="V35" s="755" t="s">
        <v>864</v>
      </c>
      <c r="W35" s="755" t="s">
        <v>864</v>
      </c>
      <c r="X35" s="755"/>
      <c r="Y35" s="755"/>
      <c r="Z35" s="677"/>
      <c r="AA35" s="756"/>
      <c r="AB35" s="751"/>
      <c r="AC35" s="757"/>
      <c r="AD35" s="751"/>
      <c r="AE35" s="754"/>
      <c r="AF35" s="754"/>
    </row>
    <row r="36" spans="1:32" s="224" customFormat="1" ht="13.5" customHeight="1">
      <c r="A36" s="225">
        <f t="shared" si="0"/>
        <v>28</v>
      </c>
      <c r="B36" s="690"/>
      <c r="C36" s="758"/>
      <c r="D36" s="680" t="s">
        <v>388</v>
      </c>
      <c r="E36" s="680"/>
      <c r="F36" s="680"/>
      <c r="G36" s="680"/>
      <c r="H36" s="751" t="s">
        <v>1108</v>
      </c>
      <c r="I36" s="752" t="s">
        <v>2390</v>
      </c>
      <c r="J36" s="751"/>
      <c r="K36" s="752" t="s">
        <v>1107</v>
      </c>
      <c r="L36" s="751"/>
      <c r="M36" s="751"/>
      <c r="N36" s="751"/>
      <c r="O36" s="751"/>
      <c r="P36" s="753"/>
      <c r="Q36" s="751" t="s">
        <v>820</v>
      </c>
      <c r="R36" s="754"/>
      <c r="S36" s="751" t="s">
        <v>863</v>
      </c>
      <c r="T36" s="754"/>
      <c r="U36" s="751"/>
      <c r="V36" s="755" t="s">
        <v>864</v>
      </c>
      <c r="W36" s="755" t="s">
        <v>864</v>
      </c>
      <c r="X36" s="755"/>
      <c r="Y36" s="755"/>
      <c r="Z36" s="677"/>
      <c r="AA36" s="756"/>
      <c r="AB36" s="751"/>
      <c r="AC36" s="757"/>
      <c r="AD36" s="751"/>
      <c r="AE36" s="754"/>
      <c r="AF36" s="754"/>
    </row>
    <row r="37" spans="1:32" s="224" customFormat="1" ht="12.75" customHeight="1">
      <c r="A37" s="225">
        <f t="shared" si="0"/>
        <v>29</v>
      </c>
      <c r="B37" s="678" t="s">
        <v>2391</v>
      </c>
      <c r="C37" s="688"/>
      <c r="D37" s="688"/>
      <c r="E37" s="688"/>
      <c r="F37" s="688"/>
      <c r="G37" s="688"/>
      <c r="H37" s="750"/>
      <c r="I37" s="759"/>
      <c r="J37" s="751"/>
      <c r="K37" s="752" t="s">
        <v>2392</v>
      </c>
      <c r="L37" s="751"/>
      <c r="M37" s="751"/>
      <c r="N37" s="751"/>
      <c r="O37" s="751"/>
      <c r="P37" s="753"/>
      <c r="Q37" s="751" t="s">
        <v>820</v>
      </c>
      <c r="R37" s="754" t="s">
        <v>864</v>
      </c>
      <c r="S37" s="676" t="s">
        <v>2392</v>
      </c>
      <c r="T37" s="754"/>
      <c r="U37" s="751"/>
      <c r="V37" s="755" t="s">
        <v>864</v>
      </c>
      <c r="W37" s="755" t="s">
        <v>864</v>
      </c>
      <c r="X37" s="755"/>
      <c r="Y37" s="755"/>
      <c r="Z37" s="677"/>
      <c r="AA37" s="756"/>
      <c r="AB37" s="751"/>
      <c r="AC37" s="757"/>
      <c r="AD37" s="751"/>
      <c r="AE37" s="754"/>
      <c r="AF37" s="754"/>
    </row>
    <row r="38" spans="1:32" s="224" customFormat="1" ht="13.5" customHeight="1">
      <c r="A38" s="225">
        <f t="shared" si="0"/>
        <v>30</v>
      </c>
      <c r="B38" s="678"/>
      <c r="C38" s="680" t="s">
        <v>2393</v>
      </c>
      <c r="D38" s="680"/>
      <c r="E38" s="680"/>
      <c r="F38" s="680"/>
      <c r="G38" s="680"/>
      <c r="H38" s="750"/>
      <c r="I38" s="759"/>
      <c r="J38" s="751"/>
      <c r="K38" s="752" t="s">
        <v>1054</v>
      </c>
      <c r="L38" s="751"/>
      <c r="M38" s="751"/>
      <c r="N38" s="751"/>
      <c r="O38" s="751"/>
      <c r="P38" s="753"/>
      <c r="Q38" s="751" t="s">
        <v>820</v>
      </c>
      <c r="R38" s="754" t="s">
        <v>864</v>
      </c>
      <c r="S38" s="676" t="s">
        <v>1054</v>
      </c>
      <c r="T38" s="754"/>
      <c r="U38" s="751"/>
      <c r="V38" s="755" t="s">
        <v>864</v>
      </c>
      <c r="W38" s="755" t="s">
        <v>864</v>
      </c>
      <c r="X38" s="755"/>
      <c r="Y38" s="755"/>
      <c r="Z38" s="677"/>
      <c r="AA38" s="756"/>
      <c r="AB38" s="751"/>
      <c r="AC38" s="757"/>
      <c r="AD38" s="751"/>
      <c r="AE38" s="754"/>
      <c r="AF38" s="754"/>
    </row>
    <row r="39" spans="1:32" s="224" customFormat="1" ht="13.5" customHeight="1">
      <c r="A39" s="225">
        <f t="shared" si="0"/>
        <v>31</v>
      </c>
      <c r="B39" s="678"/>
      <c r="C39" s="680"/>
      <c r="D39" s="680" t="s">
        <v>2394</v>
      </c>
      <c r="E39" s="680"/>
      <c r="F39" s="680"/>
      <c r="G39" s="680"/>
      <c r="H39" s="777" t="s">
        <v>2826</v>
      </c>
      <c r="I39" s="752" t="s">
        <v>2395</v>
      </c>
      <c r="J39" s="751"/>
      <c r="K39" s="752" t="s">
        <v>970</v>
      </c>
      <c r="L39" s="751"/>
      <c r="M39" s="751"/>
      <c r="N39" s="751"/>
      <c r="O39" s="751"/>
      <c r="P39" s="753"/>
      <c r="Q39" s="751" t="s">
        <v>817</v>
      </c>
      <c r="R39" s="754"/>
      <c r="S39" s="751" t="s">
        <v>863</v>
      </c>
      <c r="T39" s="754" t="s">
        <v>864</v>
      </c>
      <c r="U39" s="777"/>
      <c r="V39" s="755" t="s">
        <v>864</v>
      </c>
      <c r="W39" s="755" t="s">
        <v>864</v>
      </c>
      <c r="X39" s="755"/>
      <c r="Y39" s="755"/>
      <c r="Z39" s="677"/>
      <c r="AA39" s="756"/>
      <c r="AB39" s="751"/>
      <c r="AC39" s="757"/>
      <c r="AD39" s="751"/>
      <c r="AE39" s="754"/>
      <c r="AF39" s="754"/>
    </row>
    <row r="40" spans="1:32" s="224" customFormat="1" ht="13.5" customHeight="1">
      <c r="A40" s="225">
        <f t="shared" si="0"/>
        <v>32</v>
      </c>
      <c r="B40" s="678"/>
      <c r="C40" s="680"/>
      <c r="D40" s="680" t="s">
        <v>2396</v>
      </c>
      <c r="E40" s="680"/>
      <c r="F40" s="680"/>
      <c r="G40" s="680"/>
      <c r="H40" s="751" t="s">
        <v>2397</v>
      </c>
      <c r="I40" s="752"/>
      <c r="J40" s="751"/>
      <c r="K40" s="752" t="s">
        <v>2398</v>
      </c>
      <c r="L40" s="751"/>
      <c r="M40" s="751"/>
      <c r="N40" s="751"/>
      <c r="O40" s="751"/>
      <c r="P40" s="753"/>
      <c r="Q40" s="751" t="s">
        <v>817</v>
      </c>
      <c r="R40" s="754"/>
      <c r="S40" s="751" t="s">
        <v>863</v>
      </c>
      <c r="T40" s="754"/>
      <c r="U40" s="751"/>
      <c r="V40" s="755" t="s">
        <v>864</v>
      </c>
      <c r="W40" s="755" t="s">
        <v>864</v>
      </c>
      <c r="X40" s="755"/>
      <c r="Y40" s="755"/>
      <c r="Z40" s="677"/>
      <c r="AA40" s="756"/>
      <c r="AB40" s="751"/>
      <c r="AC40" s="757"/>
      <c r="AD40" s="751"/>
      <c r="AE40" s="754"/>
      <c r="AF40" s="754"/>
    </row>
    <row r="41" spans="1:32" s="224" customFormat="1" ht="13.5" customHeight="1">
      <c r="A41" s="225">
        <f t="shared" si="0"/>
        <v>33</v>
      </c>
      <c r="B41" s="678"/>
      <c r="C41" s="680"/>
      <c r="D41" s="680" t="s">
        <v>2399</v>
      </c>
      <c r="E41" s="680"/>
      <c r="F41" s="680"/>
      <c r="G41" s="680"/>
      <c r="H41" s="751" t="s">
        <v>2400</v>
      </c>
      <c r="I41" s="752"/>
      <c r="J41" s="751"/>
      <c r="K41" s="752" t="s">
        <v>2401</v>
      </c>
      <c r="L41" s="751"/>
      <c r="M41" s="751"/>
      <c r="N41" s="751"/>
      <c r="O41" s="751"/>
      <c r="P41" s="753"/>
      <c r="Q41" s="751" t="s">
        <v>817</v>
      </c>
      <c r="R41" s="754"/>
      <c r="S41" s="751" t="s">
        <v>863</v>
      </c>
      <c r="T41" s="754"/>
      <c r="U41" s="751"/>
      <c r="V41" s="755" t="s">
        <v>864</v>
      </c>
      <c r="W41" s="755" t="s">
        <v>864</v>
      </c>
      <c r="X41" s="755"/>
      <c r="Y41" s="755"/>
      <c r="Z41" s="677"/>
      <c r="AA41" s="756"/>
      <c r="AB41" s="751"/>
      <c r="AC41" s="757"/>
      <c r="AD41" s="751"/>
      <c r="AE41" s="754"/>
      <c r="AF41" s="754"/>
    </row>
    <row r="42" spans="1:32" s="224" customFormat="1" ht="13.5" customHeight="1">
      <c r="A42" s="225">
        <f t="shared" si="0"/>
        <v>34</v>
      </c>
      <c r="B42" s="690"/>
      <c r="C42" s="680"/>
      <c r="D42" s="680" t="s">
        <v>2402</v>
      </c>
      <c r="E42" s="688"/>
      <c r="F42" s="688"/>
      <c r="G42" s="688"/>
      <c r="H42" s="750"/>
      <c r="I42" s="759"/>
      <c r="J42" s="751"/>
      <c r="K42" s="752" t="s">
        <v>1082</v>
      </c>
      <c r="L42" s="751"/>
      <c r="M42" s="751"/>
      <c r="N42" s="751"/>
      <c r="O42" s="751"/>
      <c r="P42" s="753"/>
      <c r="Q42" s="751" t="s">
        <v>817</v>
      </c>
      <c r="R42" s="754" t="s">
        <v>864</v>
      </c>
      <c r="S42" s="676" t="s">
        <v>1082</v>
      </c>
      <c r="T42" s="754"/>
      <c r="U42" s="751"/>
      <c r="V42" s="755" t="s">
        <v>864</v>
      </c>
      <c r="W42" s="755" t="s">
        <v>864</v>
      </c>
      <c r="X42" s="755"/>
      <c r="Y42" s="755"/>
      <c r="Z42" s="677"/>
      <c r="AA42" s="756"/>
      <c r="AB42" s="751"/>
      <c r="AC42" s="757"/>
      <c r="AD42" s="751"/>
      <c r="AE42" s="754"/>
      <c r="AF42" s="754"/>
    </row>
    <row r="43" spans="1:32" s="224" customFormat="1" ht="13.5" customHeight="1">
      <c r="A43" s="225">
        <f t="shared" si="0"/>
        <v>35</v>
      </c>
      <c r="B43" s="678"/>
      <c r="C43" s="680"/>
      <c r="D43" s="680"/>
      <c r="E43" s="680" t="s">
        <v>392</v>
      </c>
      <c r="F43" s="680"/>
      <c r="G43" s="680"/>
      <c r="H43" s="751" t="s">
        <v>2403</v>
      </c>
      <c r="I43" s="752">
        <v>92300</v>
      </c>
      <c r="J43" s="751"/>
      <c r="K43" s="752" t="s">
        <v>2389</v>
      </c>
      <c r="L43" s="751"/>
      <c r="M43" s="751"/>
      <c r="N43" s="751"/>
      <c r="O43" s="751"/>
      <c r="P43" s="753"/>
      <c r="Q43" s="751" t="s">
        <v>820</v>
      </c>
      <c r="R43" s="754"/>
      <c r="S43" s="751" t="s">
        <v>863</v>
      </c>
      <c r="T43" s="754"/>
      <c r="U43" s="773" t="s">
        <v>1116</v>
      </c>
      <c r="V43" s="755" t="s">
        <v>864</v>
      </c>
      <c r="W43" s="755" t="s">
        <v>864</v>
      </c>
      <c r="X43" s="755"/>
      <c r="Y43" s="755"/>
      <c r="Z43" s="677"/>
      <c r="AA43" s="756"/>
      <c r="AB43" s="751"/>
      <c r="AC43" s="757"/>
      <c r="AD43" s="751"/>
      <c r="AE43" s="754"/>
      <c r="AF43" s="754"/>
    </row>
    <row r="44" spans="1:32" s="224" customFormat="1" ht="13.5" customHeight="1">
      <c r="A44" s="225">
        <f t="shared" si="0"/>
        <v>36</v>
      </c>
      <c r="B44" s="678"/>
      <c r="C44" s="680"/>
      <c r="D44" s="680"/>
      <c r="E44" s="680" t="s">
        <v>388</v>
      </c>
      <c r="F44" s="680"/>
      <c r="G44" s="680"/>
      <c r="H44" s="751" t="s">
        <v>1108</v>
      </c>
      <c r="I44" s="752" t="s">
        <v>2390</v>
      </c>
      <c r="J44" s="751"/>
      <c r="K44" s="752" t="s">
        <v>1107</v>
      </c>
      <c r="L44" s="751"/>
      <c r="M44" s="751"/>
      <c r="N44" s="751"/>
      <c r="O44" s="751"/>
      <c r="P44" s="753"/>
      <c r="Q44" s="751" t="s">
        <v>820</v>
      </c>
      <c r="R44" s="754"/>
      <c r="S44" s="751" t="s">
        <v>863</v>
      </c>
      <c r="T44" s="754"/>
      <c r="U44" s="751"/>
      <c r="V44" s="755" t="s">
        <v>864</v>
      </c>
      <c r="W44" s="755" t="s">
        <v>864</v>
      </c>
      <c r="X44" s="755"/>
      <c r="Y44" s="755"/>
      <c r="Z44" s="677"/>
      <c r="AA44" s="756"/>
      <c r="AB44" s="751"/>
      <c r="AC44" s="757"/>
      <c r="AD44" s="751"/>
      <c r="AE44" s="754"/>
      <c r="AF44" s="754"/>
    </row>
    <row r="45" spans="1:32" s="224" customFormat="1" ht="13.5" customHeight="1">
      <c r="A45" s="225">
        <f t="shared" si="0"/>
        <v>37</v>
      </c>
      <c r="B45" s="690"/>
      <c r="C45" s="680" t="s">
        <v>2404</v>
      </c>
      <c r="D45" s="680"/>
      <c r="E45" s="680"/>
      <c r="F45" s="680"/>
      <c r="G45" s="680"/>
      <c r="H45" s="683" t="s">
        <v>2405</v>
      </c>
      <c r="I45" s="752"/>
      <c r="J45" s="751"/>
      <c r="K45" s="752" t="s">
        <v>2235</v>
      </c>
      <c r="L45" s="751"/>
      <c r="M45" s="751"/>
      <c r="N45" s="751"/>
      <c r="O45" s="751"/>
      <c r="P45" s="753"/>
      <c r="Q45" s="751" t="s">
        <v>820</v>
      </c>
      <c r="R45" s="754" t="s">
        <v>864</v>
      </c>
      <c r="S45" s="676" t="s">
        <v>2235</v>
      </c>
      <c r="T45" s="754"/>
      <c r="U45" s="751"/>
      <c r="V45" s="755" t="s">
        <v>864</v>
      </c>
      <c r="W45" s="755" t="s">
        <v>864</v>
      </c>
      <c r="X45" s="755"/>
      <c r="Y45" s="755"/>
      <c r="Z45" s="677"/>
      <c r="AA45" s="756"/>
      <c r="AB45" s="751"/>
      <c r="AC45" s="757"/>
      <c r="AD45" s="751"/>
      <c r="AE45" s="754"/>
      <c r="AF45" s="754"/>
    </row>
    <row r="46" spans="1:32" s="224" customFormat="1" ht="13.5" customHeight="1">
      <c r="A46" s="225">
        <f t="shared" si="0"/>
        <v>38</v>
      </c>
      <c r="B46" s="681"/>
      <c r="C46" s="680"/>
      <c r="D46" s="680" t="s">
        <v>2406</v>
      </c>
      <c r="E46" s="680"/>
      <c r="F46" s="680"/>
      <c r="G46" s="680"/>
      <c r="H46" s="751" t="s">
        <v>2407</v>
      </c>
      <c r="I46" s="752" t="s">
        <v>774</v>
      </c>
      <c r="J46" s="751"/>
      <c r="K46" s="752" t="s">
        <v>2408</v>
      </c>
      <c r="L46" s="751"/>
      <c r="M46" s="751"/>
      <c r="N46" s="751"/>
      <c r="O46" s="751"/>
      <c r="P46" s="753"/>
      <c r="Q46" s="751" t="s">
        <v>820</v>
      </c>
      <c r="R46" s="754"/>
      <c r="S46" s="751" t="s">
        <v>1655</v>
      </c>
      <c r="T46" s="754"/>
      <c r="U46" s="751"/>
      <c r="V46" s="755" t="s">
        <v>864</v>
      </c>
      <c r="W46" s="755" t="s">
        <v>864</v>
      </c>
      <c r="X46" s="755"/>
      <c r="Y46" s="755"/>
      <c r="Z46" s="677"/>
      <c r="AA46" s="756"/>
      <c r="AB46" s="751"/>
      <c r="AC46" s="757"/>
      <c r="AD46" s="751"/>
      <c r="AE46" s="754"/>
      <c r="AF46" s="754"/>
    </row>
    <row r="47" spans="1:32" s="224" customFormat="1" ht="13.5" customHeight="1">
      <c r="A47" s="225">
        <f t="shared" si="0"/>
        <v>39</v>
      </c>
      <c r="B47" s="681"/>
      <c r="C47" s="680"/>
      <c r="D47" s="680" t="s">
        <v>2409</v>
      </c>
      <c r="E47" s="680"/>
      <c r="F47" s="680"/>
      <c r="G47" s="680"/>
      <c r="H47" s="751" t="s">
        <v>2410</v>
      </c>
      <c r="I47" s="752" t="s">
        <v>770</v>
      </c>
      <c r="J47" s="751"/>
      <c r="K47" s="752" t="s">
        <v>2411</v>
      </c>
      <c r="L47" s="751"/>
      <c r="M47" s="751"/>
      <c r="N47" s="751"/>
      <c r="O47" s="751"/>
      <c r="P47" s="753"/>
      <c r="Q47" s="751" t="s">
        <v>820</v>
      </c>
      <c r="R47" s="754"/>
      <c r="S47" s="751" t="s">
        <v>1655</v>
      </c>
      <c r="T47" s="754"/>
      <c r="U47" s="751"/>
      <c r="V47" s="755" t="s">
        <v>864</v>
      </c>
      <c r="W47" s="755" t="s">
        <v>864</v>
      </c>
      <c r="X47" s="755"/>
      <c r="Y47" s="755"/>
      <c r="Z47" s="677"/>
      <c r="AA47" s="756"/>
      <c r="AB47" s="751"/>
      <c r="AC47" s="757"/>
      <c r="AD47" s="751"/>
      <c r="AE47" s="754"/>
      <c r="AF47" s="754"/>
    </row>
    <row r="48" spans="1:32" s="224" customFormat="1" ht="13.5" customHeight="1">
      <c r="A48" s="225">
        <f t="shared" si="0"/>
        <v>40</v>
      </c>
      <c r="B48" s="681"/>
      <c r="C48" s="680"/>
      <c r="D48" s="680" t="s">
        <v>2412</v>
      </c>
      <c r="E48" s="680"/>
      <c r="F48" s="680"/>
      <c r="G48" s="680"/>
      <c r="H48" s="751" t="s">
        <v>2413</v>
      </c>
      <c r="I48" s="752" t="s">
        <v>774</v>
      </c>
      <c r="J48" s="751"/>
      <c r="K48" s="752" t="s">
        <v>2414</v>
      </c>
      <c r="L48" s="751"/>
      <c r="M48" s="751"/>
      <c r="N48" s="751"/>
      <c r="O48" s="751"/>
      <c r="P48" s="753"/>
      <c r="Q48" s="751" t="s">
        <v>820</v>
      </c>
      <c r="R48" s="754"/>
      <c r="S48" s="751" t="s">
        <v>1655</v>
      </c>
      <c r="T48" s="754"/>
      <c r="U48" s="751"/>
      <c r="V48" s="755" t="s">
        <v>864</v>
      </c>
      <c r="W48" s="755" t="s">
        <v>864</v>
      </c>
      <c r="X48" s="755"/>
      <c r="Y48" s="755"/>
      <c r="Z48" s="677"/>
      <c r="AA48" s="756"/>
      <c r="AB48" s="751"/>
      <c r="AC48" s="757"/>
      <c r="AD48" s="751"/>
      <c r="AE48" s="754"/>
      <c r="AF48" s="754"/>
    </row>
    <row r="49" spans="1:32" s="224" customFormat="1" ht="13.5" customHeight="1">
      <c r="A49" s="225">
        <f t="shared" si="0"/>
        <v>41</v>
      </c>
      <c r="B49" s="690"/>
      <c r="C49" s="680" t="s">
        <v>2415</v>
      </c>
      <c r="D49" s="680"/>
      <c r="E49" s="680"/>
      <c r="F49" s="680"/>
      <c r="G49" s="680"/>
      <c r="H49" s="751" t="s">
        <v>2416</v>
      </c>
      <c r="I49" s="752" t="s">
        <v>2417</v>
      </c>
      <c r="J49" s="751"/>
      <c r="K49" s="752" t="s">
        <v>2418</v>
      </c>
      <c r="L49" s="751"/>
      <c r="M49" s="751"/>
      <c r="N49" s="751"/>
      <c r="O49" s="751"/>
      <c r="P49" s="753"/>
      <c r="Q49" s="751" t="s">
        <v>823</v>
      </c>
      <c r="R49" s="754"/>
      <c r="S49" s="751" t="s">
        <v>863</v>
      </c>
      <c r="T49" s="754" t="s">
        <v>864</v>
      </c>
      <c r="U49" s="777"/>
      <c r="V49" s="755" t="s">
        <v>864</v>
      </c>
      <c r="W49" s="755" t="s">
        <v>864</v>
      </c>
      <c r="X49" s="755"/>
      <c r="Y49" s="755"/>
      <c r="Z49" s="677"/>
      <c r="AA49" s="756"/>
      <c r="AB49" s="751"/>
      <c r="AC49" s="757"/>
      <c r="AD49" s="751"/>
      <c r="AE49" s="754"/>
      <c r="AF49" s="754"/>
    </row>
    <row r="50" spans="1:32" s="224" customFormat="1" ht="13.5" customHeight="1">
      <c r="A50" s="225">
        <f t="shared" si="0"/>
        <v>42</v>
      </c>
      <c r="B50" s="690"/>
      <c r="C50" s="680" t="s">
        <v>2419</v>
      </c>
      <c r="D50" s="680"/>
      <c r="E50" s="680"/>
      <c r="F50" s="680"/>
      <c r="G50" s="680"/>
      <c r="H50" s="751" t="s">
        <v>2420</v>
      </c>
      <c r="I50" s="752" t="s">
        <v>2421</v>
      </c>
      <c r="J50" s="751"/>
      <c r="K50" s="752" t="s">
        <v>1514</v>
      </c>
      <c r="L50" s="751"/>
      <c r="M50" s="751"/>
      <c r="N50" s="751"/>
      <c r="O50" s="751"/>
      <c r="P50" s="753"/>
      <c r="Q50" s="751" t="s">
        <v>820</v>
      </c>
      <c r="R50" s="754"/>
      <c r="S50" s="751" t="s">
        <v>863</v>
      </c>
      <c r="T50" s="754" t="s">
        <v>864</v>
      </c>
      <c r="U50" s="777"/>
      <c r="V50" s="755" t="s">
        <v>864</v>
      </c>
      <c r="W50" s="755" t="s">
        <v>864</v>
      </c>
      <c r="X50" s="755"/>
      <c r="Y50" s="755"/>
      <c r="Z50" s="677"/>
      <c r="AA50" s="756"/>
      <c r="AB50" s="751"/>
      <c r="AC50" s="757"/>
      <c r="AD50" s="751"/>
      <c r="AE50" s="754"/>
      <c r="AF50" s="754"/>
    </row>
    <row r="51" spans="1:32" s="224" customFormat="1" ht="13.5" customHeight="1">
      <c r="A51" s="225">
        <f t="shared" si="0"/>
        <v>43</v>
      </c>
      <c r="B51" s="690"/>
      <c r="C51" s="680" t="s">
        <v>2422</v>
      </c>
      <c r="D51" s="680"/>
      <c r="E51" s="680"/>
      <c r="F51" s="680"/>
      <c r="G51" s="680"/>
      <c r="H51" s="751" t="s">
        <v>2420</v>
      </c>
      <c r="I51" s="752" t="s">
        <v>2423</v>
      </c>
      <c r="J51" s="751"/>
      <c r="K51" s="752" t="s">
        <v>2424</v>
      </c>
      <c r="L51" s="751"/>
      <c r="M51" s="751"/>
      <c r="N51" s="751"/>
      <c r="O51" s="751"/>
      <c r="P51" s="753"/>
      <c r="Q51" s="751" t="s">
        <v>817</v>
      </c>
      <c r="R51" s="754"/>
      <c r="S51" s="751" t="s">
        <v>863</v>
      </c>
      <c r="T51" s="754" t="s">
        <v>864</v>
      </c>
      <c r="U51" s="777"/>
      <c r="V51" s="755" t="s">
        <v>864</v>
      </c>
      <c r="W51" s="755" t="s">
        <v>864</v>
      </c>
      <c r="X51" s="755"/>
      <c r="Y51" s="755"/>
      <c r="Z51" s="677"/>
      <c r="AA51" s="756"/>
      <c r="AB51" s="751"/>
      <c r="AC51" s="757"/>
      <c r="AD51" s="751"/>
      <c r="AE51" s="754"/>
      <c r="AF51" s="754"/>
    </row>
    <row r="52" spans="1:32" s="224" customFormat="1" ht="13.5" customHeight="1">
      <c r="A52" s="225">
        <f t="shared" si="0"/>
        <v>44</v>
      </c>
      <c r="B52" s="690"/>
      <c r="C52" s="680" t="s">
        <v>2425</v>
      </c>
      <c r="D52" s="688"/>
      <c r="E52" s="688"/>
      <c r="F52" s="688"/>
      <c r="G52" s="688"/>
      <c r="H52" s="750"/>
      <c r="I52" s="759"/>
      <c r="J52" s="751"/>
      <c r="K52" s="752" t="s">
        <v>2426</v>
      </c>
      <c r="L52" s="751"/>
      <c r="M52" s="751"/>
      <c r="N52" s="751"/>
      <c r="O52" s="751"/>
      <c r="P52" s="753"/>
      <c r="Q52" s="751" t="s">
        <v>817</v>
      </c>
      <c r="R52" s="754" t="s">
        <v>864</v>
      </c>
      <c r="S52" s="676" t="s">
        <v>2427</v>
      </c>
      <c r="T52" s="754"/>
      <c r="U52" s="751"/>
      <c r="V52" s="755" t="s">
        <v>864</v>
      </c>
      <c r="W52" s="755" t="s">
        <v>864</v>
      </c>
      <c r="X52" s="755"/>
      <c r="Y52" s="755"/>
      <c r="Z52" s="677"/>
      <c r="AA52" s="756"/>
      <c r="AB52" s="751"/>
      <c r="AC52" s="757"/>
      <c r="AD52" s="751"/>
      <c r="AE52" s="754"/>
      <c r="AF52" s="754"/>
    </row>
    <row r="53" spans="1:32" s="224" customFormat="1" ht="13.5" customHeight="1">
      <c r="A53" s="225">
        <f t="shared" si="0"/>
        <v>45</v>
      </c>
      <c r="B53" s="690"/>
      <c r="C53" s="680"/>
      <c r="D53" s="680" t="s">
        <v>2428</v>
      </c>
      <c r="E53" s="680"/>
      <c r="F53" s="680"/>
      <c r="G53" s="680"/>
      <c r="H53" s="751" t="s">
        <v>2342</v>
      </c>
      <c r="I53" s="752" t="s">
        <v>930</v>
      </c>
      <c r="J53" s="751"/>
      <c r="K53" s="752" t="s">
        <v>2429</v>
      </c>
      <c r="L53" s="751"/>
      <c r="M53" s="751"/>
      <c r="N53" s="751"/>
      <c r="O53" s="751"/>
      <c r="P53" s="753"/>
      <c r="Q53" s="751" t="s">
        <v>820</v>
      </c>
      <c r="R53" s="754"/>
      <c r="S53" s="751" t="s">
        <v>879</v>
      </c>
      <c r="T53" s="754"/>
      <c r="U53" s="751"/>
      <c r="V53" s="755" t="s">
        <v>864</v>
      </c>
      <c r="W53" s="755" t="s">
        <v>864</v>
      </c>
      <c r="X53" s="755"/>
      <c r="Y53" s="755"/>
      <c r="Z53" s="677"/>
      <c r="AA53" s="756"/>
      <c r="AB53" s="751"/>
      <c r="AC53" s="757"/>
      <c r="AD53" s="751"/>
      <c r="AE53" s="754"/>
      <c r="AF53" s="754"/>
    </row>
    <row r="54" spans="1:32" s="224" customFormat="1" ht="13.5" customHeight="1">
      <c r="A54" s="225">
        <f t="shared" si="0"/>
        <v>46</v>
      </c>
      <c r="B54" s="690"/>
      <c r="C54" s="680"/>
      <c r="D54" s="680" t="s">
        <v>2430</v>
      </c>
      <c r="E54" s="680"/>
      <c r="F54" s="680"/>
      <c r="G54" s="680"/>
      <c r="H54" s="751" t="s">
        <v>2342</v>
      </c>
      <c r="I54" s="752" t="s">
        <v>930</v>
      </c>
      <c r="J54" s="751"/>
      <c r="K54" s="752" t="s">
        <v>2431</v>
      </c>
      <c r="L54" s="751"/>
      <c r="M54" s="751"/>
      <c r="N54" s="751"/>
      <c r="O54" s="751"/>
      <c r="P54" s="753"/>
      <c r="Q54" s="751" t="s">
        <v>817</v>
      </c>
      <c r="R54" s="754"/>
      <c r="S54" s="751" t="s">
        <v>879</v>
      </c>
      <c r="T54" s="754"/>
      <c r="U54" s="751"/>
      <c r="V54" s="755" t="s">
        <v>864</v>
      </c>
      <c r="W54" s="755" t="s">
        <v>864</v>
      </c>
      <c r="X54" s="755"/>
      <c r="Y54" s="755"/>
      <c r="Z54" s="677"/>
      <c r="AA54" s="756"/>
      <c r="AB54" s="751"/>
      <c r="AC54" s="757"/>
      <c r="AD54" s="751"/>
      <c r="AE54" s="754"/>
      <c r="AF54" s="754"/>
    </row>
    <row r="55" spans="1:32" s="224" customFormat="1" ht="13.5" customHeight="1">
      <c r="A55" s="225">
        <f t="shared" si="0"/>
        <v>47</v>
      </c>
      <c r="B55" s="690"/>
      <c r="C55" s="680"/>
      <c r="D55" s="680" t="s">
        <v>2432</v>
      </c>
      <c r="E55" s="680"/>
      <c r="F55" s="680"/>
      <c r="G55" s="680"/>
      <c r="H55" s="751" t="s">
        <v>2342</v>
      </c>
      <c r="I55" s="752" t="s">
        <v>930</v>
      </c>
      <c r="J55" s="751"/>
      <c r="K55" s="752" t="s">
        <v>2433</v>
      </c>
      <c r="L55" s="751"/>
      <c r="M55" s="751"/>
      <c r="N55" s="751"/>
      <c r="O55" s="751"/>
      <c r="P55" s="753"/>
      <c r="Q55" s="751" t="s">
        <v>817</v>
      </c>
      <c r="R55" s="754"/>
      <c r="S55" s="751" t="s">
        <v>879</v>
      </c>
      <c r="T55" s="754"/>
      <c r="U55" s="751"/>
      <c r="V55" s="755" t="s">
        <v>864</v>
      </c>
      <c r="W55" s="755" t="s">
        <v>864</v>
      </c>
      <c r="X55" s="755"/>
      <c r="Y55" s="755"/>
      <c r="Z55" s="677"/>
      <c r="AA55" s="756"/>
      <c r="AB55" s="751"/>
      <c r="AC55" s="757"/>
      <c r="AD55" s="751"/>
      <c r="AE55" s="754"/>
      <c r="AF55" s="754"/>
    </row>
    <row r="56" spans="1:32" s="224" customFormat="1" ht="13.5" customHeight="1">
      <c r="A56" s="225">
        <f t="shared" si="0"/>
        <v>48</v>
      </c>
      <c r="B56" s="690"/>
      <c r="C56" s="680"/>
      <c r="D56" s="680" t="s">
        <v>2434</v>
      </c>
      <c r="E56" s="680"/>
      <c r="F56" s="680"/>
      <c r="G56" s="680"/>
      <c r="H56" s="751" t="s">
        <v>2342</v>
      </c>
      <c r="I56" s="752" t="s">
        <v>930</v>
      </c>
      <c r="J56" s="751"/>
      <c r="K56" s="752" t="s">
        <v>2435</v>
      </c>
      <c r="L56" s="751"/>
      <c r="M56" s="751"/>
      <c r="N56" s="751"/>
      <c r="O56" s="751"/>
      <c r="P56" s="753"/>
      <c r="Q56" s="751" t="s">
        <v>817</v>
      </c>
      <c r="R56" s="754"/>
      <c r="S56" s="751" t="s">
        <v>879</v>
      </c>
      <c r="T56" s="754"/>
      <c r="U56" s="751"/>
      <c r="V56" s="755" t="s">
        <v>864</v>
      </c>
      <c r="W56" s="755" t="s">
        <v>864</v>
      </c>
      <c r="X56" s="755"/>
      <c r="Y56" s="755"/>
      <c r="Z56" s="677"/>
      <c r="AA56" s="756"/>
      <c r="AB56" s="751"/>
      <c r="AC56" s="757"/>
      <c r="AD56" s="751"/>
      <c r="AE56" s="754"/>
      <c r="AF56" s="754"/>
    </row>
    <row r="57" spans="1:32" s="224" customFormat="1" ht="13.5" customHeight="1">
      <c r="A57" s="225">
        <f t="shared" si="0"/>
        <v>49</v>
      </c>
      <c r="B57" s="699"/>
      <c r="C57" s="700"/>
      <c r="D57" s="700" t="s">
        <v>2436</v>
      </c>
      <c r="E57" s="700"/>
      <c r="F57" s="700"/>
      <c r="G57" s="700"/>
      <c r="H57" s="761"/>
      <c r="I57" s="762"/>
      <c r="J57" s="761"/>
      <c r="K57" s="762"/>
      <c r="L57" s="761"/>
      <c r="M57" s="761"/>
      <c r="N57" s="761"/>
      <c r="O57" s="761"/>
      <c r="P57" s="763"/>
      <c r="Q57" s="761"/>
      <c r="R57" s="764"/>
      <c r="S57" s="761"/>
      <c r="T57" s="764"/>
      <c r="U57" s="761"/>
      <c r="V57" s="765"/>
      <c r="W57" s="765" t="s">
        <v>864</v>
      </c>
      <c r="X57" s="765"/>
      <c r="Y57" s="765"/>
      <c r="Z57" s="677"/>
      <c r="AA57" s="756"/>
      <c r="AB57" s="751"/>
      <c r="AC57" s="757"/>
      <c r="AD57" s="751"/>
      <c r="AE57" s="754"/>
      <c r="AF57" s="754"/>
    </row>
    <row r="58" spans="1:32" s="224" customFormat="1" ht="13.5" customHeight="1">
      <c r="A58" s="225">
        <f t="shared" si="0"/>
        <v>50</v>
      </c>
      <c r="B58" s="690"/>
      <c r="C58" s="680"/>
      <c r="D58" s="680" t="s">
        <v>2437</v>
      </c>
      <c r="E58" s="680"/>
      <c r="F58" s="680"/>
      <c r="G58" s="680"/>
      <c r="H58" s="751" t="s">
        <v>2342</v>
      </c>
      <c r="I58" s="752" t="s">
        <v>930</v>
      </c>
      <c r="J58" s="751"/>
      <c r="K58" s="752" t="s">
        <v>2438</v>
      </c>
      <c r="L58" s="751"/>
      <c r="M58" s="751"/>
      <c r="N58" s="751"/>
      <c r="O58" s="751"/>
      <c r="P58" s="753"/>
      <c r="Q58" s="751" t="s">
        <v>820</v>
      </c>
      <c r="R58" s="754"/>
      <c r="S58" s="751" t="s">
        <v>879</v>
      </c>
      <c r="T58" s="754"/>
      <c r="U58" s="751"/>
      <c r="V58" s="755" t="s">
        <v>864</v>
      </c>
      <c r="W58" s="755" t="s">
        <v>864</v>
      </c>
      <c r="X58" s="755"/>
      <c r="Y58" s="755"/>
      <c r="Z58" s="677"/>
      <c r="AA58" s="756"/>
      <c r="AB58" s="751"/>
      <c r="AC58" s="757"/>
      <c r="AD58" s="751"/>
      <c r="AE58" s="754"/>
      <c r="AF58" s="754"/>
    </row>
    <row r="59" spans="1:32" s="224" customFormat="1" ht="13.5" customHeight="1">
      <c r="A59" s="225">
        <f t="shared" si="0"/>
        <v>51</v>
      </c>
      <c r="B59" s="690"/>
      <c r="C59" s="680"/>
      <c r="D59" s="680" t="s">
        <v>2439</v>
      </c>
      <c r="E59" s="680"/>
      <c r="F59" s="680"/>
      <c r="G59" s="680"/>
      <c r="H59" s="751" t="s">
        <v>2342</v>
      </c>
      <c r="I59" s="752" t="s">
        <v>930</v>
      </c>
      <c r="J59" s="751"/>
      <c r="K59" s="752" t="s">
        <v>2440</v>
      </c>
      <c r="L59" s="751"/>
      <c r="M59" s="751"/>
      <c r="N59" s="751"/>
      <c r="O59" s="751"/>
      <c r="P59" s="753"/>
      <c r="Q59" s="751" t="s">
        <v>820</v>
      </c>
      <c r="R59" s="754"/>
      <c r="S59" s="751" t="s">
        <v>879</v>
      </c>
      <c r="T59" s="754"/>
      <c r="U59" s="751"/>
      <c r="V59" s="755" t="s">
        <v>864</v>
      </c>
      <c r="W59" s="755" t="s">
        <v>864</v>
      </c>
      <c r="X59" s="755"/>
      <c r="Y59" s="755"/>
      <c r="Z59" s="677"/>
      <c r="AA59" s="756"/>
      <c r="AB59" s="751"/>
      <c r="AC59" s="757"/>
      <c r="AD59" s="751"/>
      <c r="AE59" s="754"/>
      <c r="AF59" s="754"/>
    </row>
    <row r="60" spans="1:32" s="224" customFormat="1" ht="13.5" customHeight="1">
      <c r="A60" s="225">
        <f t="shared" si="0"/>
        <v>52</v>
      </c>
      <c r="B60" s="690" t="s">
        <v>2441</v>
      </c>
      <c r="C60" s="760"/>
      <c r="D60" s="760"/>
      <c r="E60" s="688"/>
      <c r="F60" s="688"/>
      <c r="G60" s="688"/>
      <c r="H60" s="750"/>
      <c r="I60" s="759"/>
      <c r="J60" s="751"/>
      <c r="K60" s="752" t="s">
        <v>1559</v>
      </c>
      <c r="L60" s="751"/>
      <c r="M60" s="751"/>
      <c r="N60" s="751"/>
      <c r="O60" s="751"/>
      <c r="P60" s="753"/>
      <c r="Q60" s="751" t="s">
        <v>820</v>
      </c>
      <c r="R60" s="754" t="s">
        <v>864</v>
      </c>
      <c r="S60" s="676" t="s">
        <v>1559</v>
      </c>
      <c r="T60" s="754"/>
      <c r="U60" s="751"/>
      <c r="V60" s="755" t="s">
        <v>864</v>
      </c>
      <c r="W60" s="755" t="s">
        <v>864</v>
      </c>
      <c r="X60" s="755"/>
      <c r="Y60" s="755"/>
      <c r="Z60" s="677"/>
      <c r="AA60" s="756"/>
      <c r="AB60" s="751"/>
      <c r="AC60" s="757"/>
      <c r="AD60" s="751"/>
      <c r="AE60" s="754"/>
      <c r="AF60" s="754"/>
    </row>
    <row r="61" spans="1:32" s="224" customFormat="1" ht="13.5" customHeight="1">
      <c r="A61" s="225">
        <f t="shared" si="0"/>
        <v>53</v>
      </c>
      <c r="B61" s="690"/>
      <c r="C61" s="758" t="s">
        <v>1715</v>
      </c>
      <c r="D61" s="758"/>
      <c r="E61" s="680"/>
      <c r="F61" s="680"/>
      <c r="G61" s="680"/>
      <c r="H61" s="777" t="s">
        <v>2828</v>
      </c>
      <c r="I61" s="752" t="s">
        <v>2443</v>
      </c>
      <c r="J61" s="751"/>
      <c r="K61" s="752" t="s">
        <v>970</v>
      </c>
      <c r="L61" s="751"/>
      <c r="M61" s="751"/>
      <c r="N61" s="751"/>
      <c r="O61" s="751"/>
      <c r="P61" s="753"/>
      <c r="Q61" s="751" t="s">
        <v>820</v>
      </c>
      <c r="R61" s="754"/>
      <c r="S61" s="751" t="s">
        <v>863</v>
      </c>
      <c r="T61" s="754" t="s">
        <v>864</v>
      </c>
      <c r="U61" s="777"/>
      <c r="V61" s="755" t="s">
        <v>864</v>
      </c>
      <c r="W61" s="755" t="s">
        <v>864</v>
      </c>
      <c r="X61" s="755"/>
      <c r="Y61" s="755"/>
      <c r="Z61" s="677"/>
      <c r="AA61" s="756"/>
      <c r="AB61" s="751"/>
      <c r="AC61" s="757"/>
      <c r="AD61" s="751"/>
      <c r="AE61" s="754"/>
      <c r="AF61" s="754"/>
    </row>
    <row r="62" spans="1:32" s="224" customFormat="1" ht="13.5" customHeight="1">
      <c r="A62" s="225">
        <f t="shared" si="0"/>
        <v>54</v>
      </c>
      <c r="B62" s="690"/>
      <c r="C62" s="681" t="s">
        <v>1577</v>
      </c>
      <c r="D62" s="688"/>
      <c r="E62" s="688"/>
      <c r="F62" s="688"/>
      <c r="G62" s="688"/>
      <c r="H62" s="750"/>
      <c r="I62" s="759"/>
      <c r="J62" s="751"/>
      <c r="K62" s="752" t="s">
        <v>1578</v>
      </c>
      <c r="L62" s="751"/>
      <c r="M62" s="751"/>
      <c r="N62" s="751"/>
      <c r="O62" s="751"/>
      <c r="P62" s="753"/>
      <c r="Q62" s="751" t="s">
        <v>817</v>
      </c>
      <c r="R62" s="754" t="s">
        <v>864</v>
      </c>
      <c r="S62" s="676" t="s">
        <v>1578</v>
      </c>
      <c r="T62" s="754"/>
      <c r="U62" s="751"/>
      <c r="V62" s="755" t="s">
        <v>864</v>
      </c>
      <c r="W62" s="755" t="s">
        <v>864</v>
      </c>
      <c r="X62" s="755"/>
      <c r="Y62" s="755"/>
      <c r="Z62" s="677"/>
      <c r="AA62" s="756"/>
      <c r="AB62" s="751"/>
      <c r="AC62" s="757"/>
      <c r="AD62" s="751"/>
      <c r="AE62" s="754"/>
      <c r="AF62" s="754"/>
    </row>
    <row r="63" spans="1:32" s="224" customFormat="1" ht="13.5" customHeight="1">
      <c r="A63" s="225">
        <f t="shared" si="0"/>
        <v>55</v>
      </c>
      <c r="B63" s="690"/>
      <c r="C63" s="680"/>
      <c r="D63" s="680" t="s">
        <v>2444</v>
      </c>
      <c r="E63" s="680"/>
      <c r="F63" s="680"/>
      <c r="G63" s="680"/>
      <c r="H63" s="751" t="s">
        <v>2445</v>
      </c>
      <c r="I63" s="752" t="s">
        <v>1282</v>
      </c>
      <c r="J63" s="751"/>
      <c r="K63" s="752" t="s">
        <v>2446</v>
      </c>
      <c r="L63" s="751"/>
      <c r="M63" s="751"/>
      <c r="N63" s="751"/>
      <c r="O63" s="751"/>
      <c r="P63" s="753"/>
      <c r="Q63" s="751" t="s">
        <v>820</v>
      </c>
      <c r="R63" s="754"/>
      <c r="S63" s="751" t="s">
        <v>863</v>
      </c>
      <c r="T63" s="754" t="s">
        <v>864</v>
      </c>
      <c r="U63" s="773" t="s">
        <v>1222</v>
      </c>
      <c r="V63" s="755" t="s">
        <v>864</v>
      </c>
      <c r="W63" s="755" t="s">
        <v>864</v>
      </c>
      <c r="X63" s="755"/>
      <c r="Y63" s="755"/>
      <c r="Z63" s="677"/>
      <c r="AA63" s="756"/>
      <c r="AB63" s="751"/>
      <c r="AC63" s="757"/>
      <c r="AD63" s="751"/>
      <c r="AE63" s="754"/>
      <c r="AF63" s="754"/>
    </row>
    <row r="64" spans="1:32" s="224" customFormat="1" ht="13.5" customHeight="1">
      <c r="A64" s="225">
        <f t="shared" si="0"/>
        <v>56</v>
      </c>
      <c r="B64" s="690"/>
      <c r="C64" s="680"/>
      <c r="D64" s="680" t="s">
        <v>2447</v>
      </c>
      <c r="E64" s="680"/>
      <c r="F64" s="680"/>
      <c r="G64" s="680"/>
      <c r="H64" s="751" t="s">
        <v>2448</v>
      </c>
      <c r="I64" s="752"/>
      <c r="J64" s="751"/>
      <c r="K64" s="752" t="s">
        <v>2449</v>
      </c>
      <c r="L64" s="751"/>
      <c r="M64" s="751"/>
      <c r="N64" s="751"/>
      <c r="O64" s="751"/>
      <c r="P64" s="753"/>
      <c r="Q64" s="751" t="s">
        <v>820</v>
      </c>
      <c r="R64" s="754"/>
      <c r="S64" s="751" t="s">
        <v>863</v>
      </c>
      <c r="T64" s="754" t="s">
        <v>864</v>
      </c>
      <c r="U64" s="777"/>
      <c r="V64" s="755" t="s">
        <v>864</v>
      </c>
      <c r="W64" s="755" t="s">
        <v>864</v>
      </c>
      <c r="X64" s="755"/>
      <c r="Y64" s="755"/>
      <c r="Z64" s="677"/>
      <c r="AA64" s="756"/>
      <c r="AB64" s="751"/>
      <c r="AC64" s="757"/>
      <c r="AD64" s="751"/>
      <c r="AE64" s="754"/>
      <c r="AF64" s="754"/>
    </row>
    <row r="65" spans="1:1019" s="224" customFormat="1" ht="13.5" customHeight="1">
      <c r="A65" s="225">
        <f t="shared" si="0"/>
        <v>57</v>
      </c>
      <c r="B65" s="690"/>
      <c r="C65" s="680"/>
      <c r="D65" s="680" t="s">
        <v>2450</v>
      </c>
      <c r="E65" s="680"/>
      <c r="F65" s="680"/>
      <c r="G65" s="680"/>
      <c r="H65" s="751" t="s">
        <v>2451</v>
      </c>
      <c r="I65" s="752"/>
      <c r="J65" s="751"/>
      <c r="K65" s="752" t="s">
        <v>2452</v>
      </c>
      <c r="L65" s="751"/>
      <c r="M65" s="751"/>
      <c r="N65" s="751"/>
      <c r="O65" s="751"/>
      <c r="P65" s="753"/>
      <c r="Q65" s="751" t="s">
        <v>820</v>
      </c>
      <c r="R65" s="754"/>
      <c r="S65" s="751" t="s">
        <v>863</v>
      </c>
      <c r="T65" s="754" t="s">
        <v>864</v>
      </c>
      <c r="U65" s="777"/>
      <c r="V65" s="755" t="s">
        <v>864</v>
      </c>
      <c r="W65" s="755" t="s">
        <v>864</v>
      </c>
      <c r="X65" s="755"/>
      <c r="Y65" s="755"/>
      <c r="Z65" s="677"/>
      <c r="AA65" s="756"/>
      <c r="AB65" s="751"/>
      <c r="AC65" s="757"/>
      <c r="AD65" s="751"/>
      <c r="AE65" s="754"/>
      <c r="AF65" s="754"/>
    </row>
    <row r="66" spans="1:1019" s="224" customFormat="1" ht="13.5" customHeight="1">
      <c r="A66" s="225">
        <f t="shared" si="0"/>
        <v>58</v>
      </c>
      <c r="B66" s="681"/>
      <c r="C66" s="680"/>
      <c r="D66" s="680" t="s">
        <v>2453</v>
      </c>
      <c r="E66" s="680"/>
      <c r="F66" s="680"/>
      <c r="G66" s="680"/>
      <c r="H66" s="680" t="s">
        <v>2454</v>
      </c>
      <c r="I66" s="752"/>
      <c r="J66" s="751"/>
      <c r="K66" s="752" t="s">
        <v>2455</v>
      </c>
      <c r="L66" s="751"/>
      <c r="M66" s="751"/>
      <c r="N66" s="751"/>
      <c r="O66" s="751"/>
      <c r="P66" s="753"/>
      <c r="Q66" s="751" t="s">
        <v>820</v>
      </c>
      <c r="R66" s="754"/>
      <c r="S66" s="751" t="s">
        <v>863</v>
      </c>
      <c r="T66" s="754"/>
      <c r="U66" s="751"/>
      <c r="V66" s="755" t="s">
        <v>864</v>
      </c>
      <c r="W66" s="755" t="s">
        <v>864</v>
      </c>
      <c r="X66" s="755"/>
      <c r="Y66" s="755"/>
      <c r="Z66" s="677"/>
      <c r="AA66" s="756"/>
      <c r="AB66" s="751"/>
      <c r="AC66" s="757"/>
      <c r="AD66" s="751"/>
      <c r="AE66" s="754"/>
      <c r="AF66" s="754"/>
    </row>
    <row r="67" spans="1:1019" s="517" customFormat="1" ht="13.5" customHeight="1">
      <c r="A67" s="225">
        <f t="shared" si="0"/>
        <v>59</v>
      </c>
      <c r="B67" s="693"/>
      <c r="C67" s="682"/>
      <c r="D67" s="682" t="s">
        <v>2456</v>
      </c>
      <c r="E67" s="682"/>
      <c r="F67" s="682"/>
      <c r="G67" s="682"/>
      <c r="H67" s="682" t="s">
        <v>2457</v>
      </c>
      <c r="I67" s="684"/>
      <c r="J67" s="683"/>
      <c r="K67" s="684"/>
      <c r="L67" s="683"/>
      <c r="M67" s="683"/>
      <c r="N67" s="683"/>
      <c r="O67" s="683"/>
      <c r="P67" s="685"/>
      <c r="Q67" s="683" t="s">
        <v>820</v>
      </c>
      <c r="R67" s="686"/>
      <c r="S67" s="683" t="s">
        <v>863</v>
      </c>
      <c r="T67" s="686"/>
      <c r="U67" s="683"/>
      <c r="V67" s="755"/>
      <c r="W67" s="755"/>
      <c r="X67" s="694"/>
      <c r="Y67" s="694"/>
      <c r="Z67" s="695"/>
      <c r="AA67" s="696"/>
      <c r="AB67" s="683"/>
      <c r="AC67" s="697"/>
      <c r="AD67" s="683"/>
      <c r="AE67" s="686"/>
      <c r="AF67" s="686"/>
    </row>
    <row r="68" spans="1:1019" s="517" customFormat="1" ht="13.5" customHeight="1">
      <c r="A68" s="225">
        <f t="shared" si="0"/>
        <v>60</v>
      </c>
      <c r="B68" s="693"/>
      <c r="C68" s="682"/>
      <c r="D68" s="682" t="s">
        <v>2458</v>
      </c>
      <c r="E68" s="682"/>
      <c r="F68" s="682"/>
      <c r="G68" s="682"/>
      <c r="H68" s="682" t="s">
        <v>2459</v>
      </c>
      <c r="I68" s="684"/>
      <c r="J68" s="683"/>
      <c r="K68" s="684" t="s">
        <v>871</v>
      </c>
      <c r="L68" s="683"/>
      <c r="M68" s="683"/>
      <c r="N68" s="683"/>
      <c r="O68" s="683"/>
      <c r="P68" s="685"/>
      <c r="Q68" s="683" t="s">
        <v>820</v>
      </c>
      <c r="R68" s="686"/>
      <c r="S68" s="683" t="s">
        <v>863</v>
      </c>
      <c r="T68" s="686"/>
      <c r="U68" s="683"/>
      <c r="V68" s="755"/>
      <c r="W68" s="755"/>
      <c r="X68" s="694"/>
      <c r="Y68" s="694"/>
      <c r="Z68" s="695"/>
      <c r="AA68" s="696"/>
      <c r="AB68" s="683"/>
      <c r="AC68" s="697"/>
      <c r="AD68" s="683"/>
      <c r="AE68" s="686"/>
      <c r="AF68" s="686"/>
    </row>
    <row r="69" spans="1:1019" s="224" customFormat="1" ht="13.5" customHeight="1">
      <c r="A69" s="225">
        <f t="shared" si="0"/>
        <v>61</v>
      </c>
      <c r="B69" s="681"/>
      <c r="C69" s="681" t="s">
        <v>2460</v>
      </c>
      <c r="D69" s="760"/>
      <c r="E69" s="688"/>
      <c r="F69" s="688"/>
      <c r="G69" s="688"/>
      <c r="H69" s="750"/>
      <c r="I69" s="759"/>
      <c r="J69" s="751"/>
      <c r="K69" s="752" t="s">
        <v>1545</v>
      </c>
      <c r="L69" s="751"/>
      <c r="M69" s="751"/>
      <c r="N69" s="751"/>
      <c r="O69" s="751"/>
      <c r="P69" s="753"/>
      <c r="Q69" s="751" t="s">
        <v>817</v>
      </c>
      <c r="R69" s="754" t="s">
        <v>864</v>
      </c>
      <c r="S69" s="676" t="s">
        <v>1545</v>
      </c>
      <c r="T69" s="754"/>
      <c r="U69" s="751"/>
      <c r="V69" s="755" t="s">
        <v>864</v>
      </c>
      <c r="W69" s="755" t="s">
        <v>864</v>
      </c>
      <c r="X69" s="755"/>
      <c r="Y69" s="755"/>
      <c r="Z69" s="677"/>
      <c r="AA69" s="756"/>
      <c r="AB69" s="751"/>
      <c r="AC69" s="757"/>
      <c r="AD69" s="751"/>
      <c r="AE69" s="754"/>
      <c r="AF69" s="754"/>
    </row>
    <row r="70" spans="1:1019" s="224" customFormat="1" ht="13.5" customHeight="1">
      <c r="A70" s="225">
        <f t="shared" si="0"/>
        <v>62</v>
      </c>
      <c r="B70" s="681"/>
      <c r="C70" s="681"/>
      <c r="D70" s="758" t="s">
        <v>2461</v>
      </c>
      <c r="E70" s="680"/>
      <c r="F70" s="680"/>
      <c r="G70" s="680"/>
      <c r="H70" s="777" t="s">
        <v>2829</v>
      </c>
      <c r="I70" s="752" t="s">
        <v>2211</v>
      </c>
      <c r="J70" s="751"/>
      <c r="K70" s="752" t="s">
        <v>2462</v>
      </c>
      <c r="L70" s="751"/>
      <c r="M70" s="751"/>
      <c r="N70" s="751"/>
      <c r="O70" s="751"/>
      <c r="P70" s="753"/>
      <c r="Q70" s="751" t="s">
        <v>820</v>
      </c>
      <c r="R70" s="754"/>
      <c r="S70" s="751" t="s">
        <v>863</v>
      </c>
      <c r="T70" s="754" t="s">
        <v>864</v>
      </c>
      <c r="U70" s="777"/>
      <c r="V70" s="755" t="s">
        <v>864</v>
      </c>
      <c r="W70" s="755" t="s">
        <v>864</v>
      </c>
      <c r="X70" s="755"/>
      <c r="Y70" s="755"/>
      <c r="Z70" s="677"/>
      <c r="AA70" s="756"/>
      <c r="AB70" s="751"/>
      <c r="AC70" s="757"/>
      <c r="AD70" s="751"/>
      <c r="AE70" s="754"/>
      <c r="AF70" s="754"/>
    </row>
    <row r="71" spans="1:1019" s="224" customFormat="1" ht="13.5" customHeight="1">
      <c r="A71" s="225">
        <f t="shared" si="0"/>
        <v>63</v>
      </c>
      <c r="B71" s="681"/>
      <c r="C71" s="681"/>
      <c r="D71" s="758" t="s">
        <v>2463</v>
      </c>
      <c r="E71" s="680"/>
      <c r="F71" s="680"/>
      <c r="G71" s="680"/>
      <c r="H71" s="777" t="s">
        <v>2830</v>
      </c>
      <c r="I71" s="752" t="s">
        <v>1706</v>
      </c>
      <c r="J71" s="751"/>
      <c r="K71" s="752" t="s">
        <v>1707</v>
      </c>
      <c r="L71" s="751"/>
      <c r="M71" s="751"/>
      <c r="N71" s="751"/>
      <c r="O71" s="751"/>
      <c r="P71" s="753"/>
      <c r="Q71" s="751" t="s">
        <v>820</v>
      </c>
      <c r="R71" s="754"/>
      <c r="S71" s="751" t="s">
        <v>863</v>
      </c>
      <c r="T71" s="754" t="s">
        <v>864</v>
      </c>
      <c r="U71" s="777"/>
      <c r="V71" s="755" t="s">
        <v>864</v>
      </c>
      <c r="W71" s="755" t="s">
        <v>864</v>
      </c>
      <c r="X71" s="755"/>
      <c r="Y71" s="755"/>
      <c r="Z71" s="677"/>
      <c r="AA71" s="756"/>
      <c r="AB71" s="751"/>
      <c r="AC71" s="757"/>
      <c r="AD71" s="751"/>
      <c r="AE71" s="754"/>
      <c r="AF71" s="754"/>
    </row>
    <row r="72" spans="1:1019" s="224" customFormat="1" ht="13.5" customHeight="1">
      <c r="A72" s="225">
        <f t="shared" si="0"/>
        <v>64</v>
      </c>
      <c r="B72" s="681"/>
      <c r="C72" s="681"/>
      <c r="D72" s="758" t="s">
        <v>2464</v>
      </c>
      <c r="E72" s="680"/>
      <c r="F72" s="680"/>
      <c r="G72" s="680"/>
      <c r="H72" s="691" t="s">
        <v>2831</v>
      </c>
      <c r="I72" s="752" t="s">
        <v>2373</v>
      </c>
      <c r="J72" s="751"/>
      <c r="K72" s="752" t="s">
        <v>1575</v>
      </c>
      <c r="L72" s="751"/>
      <c r="M72" s="751"/>
      <c r="N72" s="751"/>
      <c r="O72" s="751"/>
      <c r="P72" s="753"/>
      <c r="Q72" s="751" t="s">
        <v>820</v>
      </c>
      <c r="R72" s="754"/>
      <c r="S72" s="751" t="s">
        <v>863</v>
      </c>
      <c r="T72" s="754" t="s">
        <v>864</v>
      </c>
      <c r="U72" s="777"/>
      <c r="V72" s="755" t="s">
        <v>864</v>
      </c>
      <c r="W72" s="755" t="s">
        <v>864</v>
      </c>
      <c r="X72" s="755"/>
      <c r="Y72" s="755"/>
      <c r="Z72" s="677"/>
      <c r="AA72" s="756"/>
      <c r="AB72" s="751"/>
      <c r="AC72" s="757"/>
      <c r="AD72" s="751"/>
      <c r="AE72" s="754"/>
      <c r="AF72" s="754"/>
    </row>
    <row r="73" spans="1:1019" s="224" customFormat="1" ht="12" customHeight="1">
      <c r="A73" s="225">
        <f>SUBTOTAL(103,createCase2912[ID])</f>
        <v>64</v>
      </c>
      <c r="C73" s="225">
        <f>SUBTOTAL(103,createCase2912[Donnée (Niveau 2)])</f>
        <v>26</v>
      </c>
      <c r="D73" s="225">
        <f>SUBTOTAL(103,createCase2912[Donnée (Niveau 3)])</f>
        <v>31</v>
      </c>
      <c r="E73" s="225">
        <f>SUBTOTAL(103,createCase2912[Donnée (Niveau 4)])</f>
        <v>2</v>
      </c>
      <c r="F73" s="225">
        <f>SUBTOTAL(103,createCase2912[Donnée (Niveau 5)])</f>
        <v>0</v>
      </c>
      <c r="G73" s="225">
        <f>SUBTOTAL(103,createCase2912[Donnée (Niveau 6)])</f>
        <v>0</v>
      </c>
      <c r="H73" s="225">
        <f>SUBTOTAL(103,createCase2912[Description])</f>
        <v>48</v>
      </c>
      <c r="I73" s="225">
        <f>SUBTOTAL(103,createCase2912[Exemples])</f>
        <v>37</v>
      </c>
      <c r="J73" s="225">
        <f>SUBTOTAL(103,createCase2912[Balise NexSIS])</f>
        <v>0</v>
      </c>
      <c r="K73" s="239">
        <f>SUBTOTAL(103,createCase2912[Nouvelle balise])</f>
        <v>60</v>
      </c>
      <c r="L73" s="225">
        <f>SUBTOTAL(103,createCase2912[Nantes - balise])</f>
        <v>0</v>
      </c>
      <c r="M73" s="225">
        <f>SUBTOTAL(103,createCase2912[Nantes - description])</f>
        <v>0</v>
      </c>
      <c r="N73" s="225">
        <f>SUBTOTAL(103,createCase2912[GT399])</f>
        <v>0</v>
      </c>
      <c r="O73" s="225">
        <f>SUBTOTAL(103,createCase2912[GT399 description])</f>
        <v>0</v>
      </c>
      <c r="P73" s="234">
        <f>SUBTOTAL(103,createCase2912[Priorisation])</f>
        <v>0</v>
      </c>
      <c r="Q73" s="225"/>
      <c r="R73" s="274">
        <f>SUBTOTAL(103,createCase2912[Objet])</f>
        <v>15</v>
      </c>
      <c r="S73" s="225">
        <f>SUBTOTAL(103,createCase2912[Format (ou type)])</f>
        <v>63</v>
      </c>
      <c r="T73" s="274"/>
      <c r="U73" s="225"/>
      <c r="V73" s="225"/>
      <c r="W73" s="225"/>
      <c r="X73" s="225"/>
      <c r="Y73" s="225"/>
      <c r="AA73" s="271">
        <f>SUBTOTAL(103,createCase2912[Commentaire Hub Santé])</f>
        <v>0</v>
      </c>
      <c r="AB73" s="225">
        <f>SUBTOTAL(103,createCase2912[Commentaire Philippe Dreyfus])</f>
        <v>0</v>
      </c>
      <c r="AC73" s="239"/>
      <c r="AD73" s="225">
        <f>SUBTOTAL(103,createCase2912[Commentaire Yann Penverne])</f>
        <v>0</v>
      </c>
      <c r="AE73" s="225">
        <f>SUBTOTAL(103,createCase2912[NexSIS])-COUNTIFS(createCase2912[NexSIS],"=X")</f>
        <v>0</v>
      </c>
      <c r="AF73" s="225">
        <f>SUBTOTAL(103,createCase2912[Métier])-COUNTIFS(createCase2912[Métier],"=X")</f>
        <v>0</v>
      </c>
    </row>
    <row r="74" spans="1:1019" s="128" customFormat="1" ht="12" customHeight="1">
      <c r="A74" s="3"/>
      <c r="B74" s="3"/>
      <c r="C74" s="131"/>
      <c r="D74" s="131"/>
      <c r="E74" s="131"/>
      <c r="F74" s="131"/>
      <c r="G74" s="5"/>
      <c r="H74" s="155"/>
      <c r="I74" s="225"/>
      <c r="J74" s="5"/>
      <c r="K74" s="155"/>
      <c r="L74" s="5"/>
      <c r="M74" s="5"/>
      <c r="N74" s="5"/>
      <c r="O74" s="5"/>
      <c r="P74" s="188"/>
      <c r="Q74" s="5"/>
      <c r="R74" s="56"/>
      <c r="S74" s="5"/>
      <c r="T74" s="56"/>
      <c r="U74" s="56"/>
      <c r="V74" s="56"/>
      <c r="W74" s="56"/>
      <c r="X74" s="56"/>
      <c r="Y74" s="56"/>
      <c r="Z74"/>
      <c r="AA74" s="178"/>
      <c r="AB74" s="5"/>
      <c r="AC74" s="159"/>
      <c r="AD74" s="56"/>
      <c r="AF74" s="56"/>
      <c r="AMC74"/>
      <c r="AMD74"/>
      <c r="AME74"/>
    </row>
    <row r="75" spans="1:1019" s="128" customFormat="1" ht="12" customHeight="1">
      <c r="A75" s="129"/>
      <c r="B75" s="129"/>
      <c r="C75" s="129"/>
      <c r="D75" s="129"/>
      <c r="E75" s="129"/>
      <c r="F75" s="129"/>
      <c r="G75" s="96"/>
      <c r="H75" s="96"/>
      <c r="I75" s="225"/>
      <c r="J75" s="96"/>
      <c r="K75" s="159"/>
      <c r="L75" s="96"/>
      <c r="M75" s="96"/>
      <c r="N75" s="96"/>
      <c r="O75" s="96"/>
      <c r="P75" s="173"/>
      <c r="Q75" s="96"/>
      <c r="R75" s="277"/>
      <c r="S75" s="96"/>
      <c r="T75" s="277"/>
      <c r="U75" s="96"/>
      <c r="V75" s="96"/>
      <c r="W75" s="96"/>
      <c r="X75" s="96"/>
      <c r="Y75" s="96"/>
      <c r="Z75"/>
      <c r="AA75" s="179"/>
      <c r="AB75" s="96"/>
      <c r="AC75" s="159"/>
      <c r="AD75" s="96"/>
      <c r="AF75" s="96"/>
      <c r="AMC75"/>
      <c r="AMD75"/>
      <c r="AME75"/>
    </row>
    <row r="76" spans="1:1019" s="128" customFormat="1" ht="12" customHeight="1">
      <c r="I76" s="224"/>
      <c r="P76" s="174"/>
      <c r="R76" s="277"/>
      <c r="S76" s="96"/>
      <c r="T76" s="277"/>
      <c r="U76" s="96"/>
      <c r="V76" s="96"/>
      <c r="W76" s="96"/>
      <c r="X76" s="96"/>
      <c r="Y76" s="96"/>
      <c r="Z76"/>
      <c r="AA76" s="179"/>
      <c r="AB76" s="96"/>
      <c r="AC76" s="159"/>
      <c r="AD76" s="96"/>
      <c r="AF76" s="96"/>
      <c r="AMC76"/>
      <c r="AMD76"/>
      <c r="AME76"/>
    </row>
    <row r="77" spans="1:1019" s="128" customFormat="1" ht="12" customHeight="1">
      <c r="I77" s="224"/>
      <c r="P77" s="174"/>
      <c r="R77" s="277"/>
      <c r="S77" s="96"/>
      <c r="T77" s="277"/>
      <c r="U77" s="96"/>
      <c r="V77" s="96"/>
      <c r="W77" s="96"/>
      <c r="X77" s="96"/>
      <c r="Y77" s="96"/>
      <c r="Z77"/>
      <c r="AA77" s="179"/>
      <c r="AB77" s="96"/>
      <c r="AC77" s="159"/>
      <c r="AD77" s="96"/>
      <c r="AF77" s="96"/>
      <c r="AMC77"/>
      <c r="AMD77"/>
      <c r="AME77"/>
    </row>
    <row r="78" spans="1:1019" s="128" customFormat="1" ht="12" customHeight="1">
      <c r="I78" s="224"/>
      <c r="P78" s="174"/>
      <c r="R78" s="277"/>
      <c r="S78" s="96"/>
      <c r="T78" s="277"/>
      <c r="U78" s="96"/>
      <c r="V78" s="96"/>
      <c r="W78" s="96"/>
      <c r="X78" s="96"/>
      <c r="Y78" s="96"/>
      <c r="Z78"/>
      <c r="AA78" s="179"/>
      <c r="AB78" s="96"/>
      <c r="AC78" s="159"/>
      <c r="AD78" s="96"/>
      <c r="AF78" s="96"/>
      <c r="AMC78"/>
      <c r="AMD78"/>
      <c r="AME78"/>
    </row>
    <row r="79" spans="1:1019" s="128" customFormat="1" ht="12" customHeight="1">
      <c r="I79" s="224"/>
      <c r="P79" s="174"/>
      <c r="R79" s="277"/>
      <c r="S79" s="96"/>
      <c r="T79" s="277"/>
      <c r="U79" s="96"/>
      <c r="V79" s="96"/>
      <c r="W79" s="96"/>
      <c r="X79" s="96"/>
      <c r="Y79" s="96"/>
      <c r="Z79"/>
      <c r="AA79" s="179"/>
      <c r="AB79" s="96"/>
      <c r="AC79" s="159"/>
      <c r="AD79" s="96"/>
      <c r="AF79" s="96"/>
      <c r="AMC79"/>
      <c r="AMD79"/>
      <c r="AME79"/>
    </row>
    <row r="80" spans="1:1019" ht="12" customHeight="1">
      <c r="G80" s="128"/>
      <c r="H80" s="128"/>
      <c r="I80" s="224"/>
      <c r="J80" s="128"/>
      <c r="K80" s="128"/>
      <c r="L80" s="128"/>
      <c r="M80" s="128"/>
      <c r="N80" s="128"/>
      <c r="O80" s="128"/>
      <c r="P80" s="174"/>
      <c r="Q80" s="128"/>
    </row>
    <row r="81" spans="1:1018" s="117" customFormat="1" ht="12" customHeight="1">
      <c r="A81" s="128"/>
      <c r="B81" s="128"/>
      <c r="C81" s="128"/>
      <c r="D81" s="128"/>
      <c r="E81" s="128"/>
      <c r="F81" s="128"/>
      <c r="G81" s="96"/>
      <c r="H81" s="96"/>
      <c r="I81" s="225"/>
      <c r="J81" s="96"/>
      <c r="K81" s="159"/>
      <c r="L81" s="96"/>
      <c r="M81" s="96"/>
      <c r="N81" s="96"/>
      <c r="O81" s="96"/>
      <c r="P81" s="173"/>
      <c r="Q81" s="96"/>
      <c r="R81" s="277"/>
      <c r="S81" s="96"/>
      <c r="T81" s="277"/>
      <c r="U81" s="96"/>
      <c r="V81" s="96"/>
      <c r="W81" s="96"/>
      <c r="X81" s="96"/>
      <c r="Y81" s="96"/>
      <c r="Z81"/>
      <c r="AA81" s="179"/>
      <c r="AB81" s="96"/>
      <c r="AC81" s="161"/>
      <c r="AD81" s="96"/>
      <c r="AF81" s="96"/>
      <c r="AMD81"/>
    </row>
    <row r="82" spans="1:1018" ht="12" customHeight="1">
      <c r="A82" s="117"/>
      <c r="B82" s="117"/>
      <c r="C82" s="117"/>
      <c r="D82" s="117"/>
      <c r="E82" s="117"/>
      <c r="F82" s="117"/>
      <c r="G82" s="117"/>
      <c r="H82" s="117"/>
      <c r="I82" s="251"/>
      <c r="J82" s="117"/>
      <c r="K82" s="117"/>
      <c r="L82" s="117"/>
      <c r="M82" s="117"/>
      <c r="N82" s="117"/>
      <c r="O82" s="117"/>
      <c r="P82" s="189"/>
      <c r="Q82" s="117"/>
    </row>
    <row r="83" spans="1:1018" ht="12" customHeight="1">
      <c r="R83" s="125"/>
      <c r="S83" s="112"/>
      <c r="T83" s="125"/>
      <c r="U83" s="112"/>
      <c r="V83" s="112"/>
      <c r="W83" s="112"/>
      <c r="X83" s="112"/>
      <c r="Y83" s="112"/>
      <c r="AA83" s="180"/>
      <c r="AB83" s="112"/>
      <c r="AD83" s="112"/>
      <c r="AF83" s="112"/>
    </row>
    <row r="95" spans="1:1018" ht="12" customHeight="1">
      <c r="A95" s="130"/>
      <c r="B95" s="130"/>
      <c r="C95" s="130"/>
      <c r="D95" s="130"/>
      <c r="E95" s="130"/>
      <c r="F95" s="130"/>
    </row>
    <row r="96" spans="1:1018" ht="12" customHeight="1">
      <c r="A96" s="130"/>
      <c r="B96" s="130"/>
      <c r="C96" s="130"/>
      <c r="D96" s="130"/>
      <c r="E96" s="130"/>
      <c r="F96" s="130"/>
    </row>
    <row r="97" spans="1:1018" ht="12" customHeight="1">
      <c r="A97" s="130"/>
      <c r="B97" s="130"/>
      <c r="C97" s="130"/>
      <c r="D97" s="130"/>
      <c r="E97" s="130"/>
      <c r="F97" s="130"/>
    </row>
    <row r="98" spans="1:1018" ht="12" customHeight="1">
      <c r="A98" s="130"/>
      <c r="B98" s="130"/>
      <c r="C98" s="130"/>
      <c r="D98" s="130"/>
      <c r="E98" s="130"/>
      <c r="F98" s="130"/>
    </row>
    <row r="99" spans="1:1018" ht="12" customHeight="1">
      <c r="A99" s="130"/>
      <c r="B99" s="130"/>
      <c r="C99" s="130"/>
      <c r="D99" s="130"/>
      <c r="E99" s="130"/>
      <c r="F99" s="130"/>
    </row>
    <row r="100" spans="1:1018" ht="12" customHeight="1">
      <c r="A100" s="130"/>
      <c r="B100" s="130"/>
      <c r="C100" s="130"/>
      <c r="D100" s="130"/>
      <c r="E100" s="130"/>
      <c r="F100" s="130"/>
    </row>
    <row r="101" spans="1:1018" ht="12" customHeight="1">
      <c r="A101" s="130"/>
      <c r="B101" s="130"/>
      <c r="C101" s="130"/>
      <c r="D101" s="130"/>
      <c r="E101" s="130"/>
      <c r="F101" s="130"/>
    </row>
    <row r="102" spans="1:1018" ht="12" customHeight="1">
      <c r="A102" s="130"/>
      <c r="B102" s="130"/>
      <c r="C102" s="130"/>
      <c r="D102" s="130"/>
      <c r="E102" s="130"/>
      <c r="F102" s="130"/>
    </row>
    <row r="103" spans="1:1018" ht="12" customHeight="1">
      <c r="A103" s="129"/>
      <c r="B103" s="129"/>
      <c r="C103" s="129"/>
      <c r="D103" s="129"/>
      <c r="E103" s="129"/>
      <c r="F103" s="129"/>
    </row>
    <row r="104" spans="1:1018" ht="12" customHeight="1">
      <c r="A104" s="129"/>
      <c r="B104" s="129"/>
      <c r="C104" s="129"/>
      <c r="D104" s="129"/>
      <c r="E104" s="129"/>
      <c r="F104" s="129"/>
    </row>
    <row r="105" spans="1:1018" ht="12" customHeight="1">
      <c r="A105" s="129"/>
      <c r="B105" s="129"/>
      <c r="C105" s="129"/>
      <c r="D105" s="129"/>
      <c r="E105" s="129"/>
      <c r="F105" s="129"/>
    </row>
    <row r="106" spans="1:1018" ht="12" customHeight="1">
      <c r="A106" s="129"/>
      <c r="B106" s="129"/>
      <c r="C106" s="129"/>
      <c r="D106" s="129"/>
      <c r="E106" s="129"/>
      <c r="F106" s="129"/>
    </row>
    <row r="107" spans="1:1018" ht="12" customHeight="1">
      <c r="A107" s="129"/>
      <c r="B107" s="129"/>
      <c r="C107" s="129"/>
      <c r="D107" s="129"/>
      <c r="E107" s="129"/>
      <c r="F107" s="129"/>
    </row>
    <row r="108" spans="1:1018" ht="12" customHeight="1">
      <c r="A108" s="129"/>
      <c r="B108" s="129"/>
      <c r="C108" s="129"/>
      <c r="D108" s="129"/>
      <c r="E108" s="129"/>
      <c r="F108" s="129"/>
    </row>
    <row r="109" spans="1:1018" ht="12" customHeight="1">
      <c r="A109" s="129"/>
      <c r="B109" s="129"/>
      <c r="C109" s="129"/>
      <c r="D109" s="129"/>
      <c r="E109" s="129"/>
      <c r="F109" s="129"/>
    </row>
    <row r="110" spans="1:1018" s="117" customFormat="1" ht="12" customHeight="1">
      <c r="A110" s="129"/>
      <c r="B110" s="129"/>
      <c r="C110" s="129"/>
      <c r="D110" s="129"/>
      <c r="E110" s="129"/>
      <c r="F110" s="129"/>
      <c r="G110" s="96"/>
      <c r="H110" s="96"/>
      <c r="I110" s="225"/>
      <c r="J110" s="96"/>
      <c r="K110" s="159"/>
      <c r="L110" s="96"/>
      <c r="M110" s="96"/>
      <c r="N110" s="96"/>
      <c r="O110" s="96"/>
      <c r="P110" s="173"/>
      <c r="Q110" s="96"/>
      <c r="R110" s="277"/>
      <c r="S110" s="96"/>
      <c r="T110" s="277"/>
      <c r="U110" s="96"/>
      <c r="V110" s="96"/>
      <c r="W110" s="96"/>
      <c r="X110" s="96"/>
      <c r="Y110" s="96"/>
      <c r="Z110"/>
      <c r="AA110" s="179"/>
      <c r="AB110" s="96"/>
      <c r="AC110" s="161"/>
      <c r="AD110" s="96"/>
      <c r="AF110" s="96"/>
      <c r="AMD110"/>
    </row>
    <row r="111" spans="1:1018" s="117" customFormat="1" ht="12" customHeight="1">
      <c r="A111" s="130"/>
      <c r="B111" s="130"/>
      <c r="C111" s="130"/>
      <c r="D111" s="130"/>
      <c r="E111" s="130"/>
      <c r="F111" s="130"/>
      <c r="G111" s="96"/>
      <c r="H111" s="96"/>
      <c r="I111" s="225"/>
      <c r="J111" s="96"/>
      <c r="K111" s="159"/>
      <c r="L111" s="96"/>
      <c r="M111" s="96"/>
      <c r="N111" s="96"/>
      <c r="O111" s="96"/>
      <c r="P111" s="173"/>
      <c r="Q111" s="96"/>
      <c r="R111" s="277"/>
      <c r="S111" s="96"/>
      <c r="T111" s="277"/>
      <c r="U111" s="96"/>
      <c r="V111" s="96"/>
      <c r="W111" s="96"/>
      <c r="X111" s="96"/>
      <c r="Y111" s="96"/>
      <c r="Z111"/>
      <c r="AA111" s="179"/>
      <c r="AB111" s="96"/>
      <c r="AC111" s="161"/>
      <c r="AD111" s="96"/>
      <c r="AF111" s="96"/>
      <c r="AMD111"/>
    </row>
    <row r="112" spans="1:1018" s="117" customFormat="1" ht="12" customHeight="1">
      <c r="A112" s="123"/>
      <c r="B112" s="123"/>
      <c r="C112" s="123"/>
      <c r="D112" s="123"/>
      <c r="E112" s="123"/>
      <c r="F112" s="123"/>
      <c r="G112" s="112"/>
      <c r="H112" s="112"/>
      <c r="I112" s="276"/>
      <c r="J112" s="112"/>
      <c r="K112" s="161"/>
      <c r="L112" s="112"/>
      <c r="M112" s="112"/>
      <c r="N112" s="112"/>
      <c r="O112" s="112"/>
      <c r="P112" s="190"/>
      <c r="Q112" s="112"/>
      <c r="R112" s="125"/>
      <c r="S112" s="112"/>
      <c r="T112" s="125"/>
      <c r="U112" s="112"/>
      <c r="V112" s="112"/>
      <c r="W112" s="112"/>
      <c r="X112" s="112"/>
      <c r="Y112" s="112"/>
      <c r="Z112"/>
      <c r="AA112" s="180"/>
      <c r="AB112" s="112"/>
      <c r="AC112" s="161"/>
      <c r="AD112" s="112"/>
      <c r="AF112" s="112"/>
      <c r="AMD112"/>
    </row>
    <row r="113" spans="1:1018" s="117" customFormat="1" ht="12" customHeight="1">
      <c r="A113" s="123"/>
      <c r="B113" s="123"/>
      <c r="C113" s="123"/>
      <c r="D113" s="123"/>
      <c r="E113" s="123"/>
      <c r="F113" s="123"/>
      <c r="G113" s="112"/>
      <c r="H113" s="112"/>
      <c r="I113" s="276"/>
      <c r="J113" s="112"/>
      <c r="K113" s="161"/>
      <c r="L113" s="112"/>
      <c r="M113" s="112"/>
      <c r="N113" s="112"/>
      <c r="O113" s="112"/>
      <c r="P113" s="190"/>
      <c r="Q113" s="112"/>
      <c r="R113" s="125"/>
      <c r="S113" s="112"/>
      <c r="T113" s="125"/>
      <c r="U113" s="112"/>
      <c r="V113" s="112"/>
      <c r="W113" s="112"/>
      <c r="X113" s="112"/>
      <c r="Y113" s="112"/>
      <c r="Z113"/>
      <c r="AA113" s="180"/>
      <c r="AB113" s="112"/>
      <c r="AC113" s="161"/>
      <c r="AD113" s="112"/>
      <c r="AF113" s="112"/>
      <c r="AMD113"/>
    </row>
    <row r="114" spans="1:1018" s="117" customFormat="1" ht="12" customHeight="1">
      <c r="A114" s="123"/>
      <c r="B114" s="123"/>
      <c r="C114" s="123"/>
      <c r="D114" s="123"/>
      <c r="E114" s="123"/>
      <c r="F114" s="123"/>
      <c r="G114" s="112"/>
      <c r="H114" s="112"/>
      <c r="I114" s="276"/>
      <c r="J114" s="112"/>
      <c r="K114" s="161"/>
      <c r="L114" s="112"/>
      <c r="M114" s="112"/>
      <c r="N114" s="112"/>
      <c r="O114" s="112"/>
      <c r="P114" s="190"/>
      <c r="Q114" s="112"/>
      <c r="R114" s="125"/>
      <c r="S114" s="112"/>
      <c r="T114" s="125"/>
      <c r="U114" s="112"/>
      <c r="V114" s="112"/>
      <c r="W114" s="112"/>
      <c r="X114" s="112"/>
      <c r="Y114" s="112"/>
      <c r="Z114"/>
      <c r="AA114" s="180"/>
      <c r="AB114" s="112"/>
      <c r="AC114" s="161"/>
      <c r="AD114" s="112"/>
      <c r="AF114" s="112"/>
      <c r="AMD114"/>
    </row>
    <row r="115" spans="1:1018" s="117" customFormat="1" ht="12" customHeight="1">
      <c r="A115" s="123"/>
      <c r="B115" s="123"/>
      <c r="C115" s="123"/>
      <c r="D115" s="123"/>
      <c r="E115" s="123"/>
      <c r="F115" s="123"/>
      <c r="G115" s="112"/>
      <c r="H115" s="112"/>
      <c r="I115" s="276"/>
      <c r="J115" s="112"/>
      <c r="K115" s="161"/>
      <c r="L115" s="112"/>
      <c r="M115" s="112"/>
      <c r="N115" s="112"/>
      <c r="O115" s="112"/>
      <c r="P115" s="190"/>
      <c r="Q115" s="112"/>
      <c r="R115" s="125"/>
      <c r="S115" s="112"/>
      <c r="T115" s="125"/>
      <c r="U115" s="112"/>
      <c r="V115" s="112"/>
      <c r="W115" s="112"/>
      <c r="X115" s="112"/>
      <c r="Y115" s="112"/>
      <c r="Z115"/>
      <c r="AA115" s="180"/>
      <c r="AB115" s="112"/>
      <c r="AC115" s="161"/>
      <c r="AD115" s="112"/>
      <c r="AF115" s="112"/>
      <c r="AMD115"/>
    </row>
    <row r="116" spans="1:1018" s="117" customFormat="1" ht="12" customHeight="1">
      <c r="A116" s="123"/>
      <c r="B116" s="123"/>
      <c r="C116" s="123"/>
      <c r="D116" s="123"/>
      <c r="E116" s="123"/>
      <c r="F116" s="123"/>
      <c r="G116" s="112"/>
      <c r="H116" s="112"/>
      <c r="I116" s="276"/>
      <c r="J116" s="112"/>
      <c r="K116" s="161"/>
      <c r="L116" s="112"/>
      <c r="M116" s="112"/>
      <c r="N116" s="112"/>
      <c r="O116" s="112"/>
      <c r="P116" s="190"/>
      <c r="Q116" s="112"/>
      <c r="R116" s="125"/>
      <c r="S116" s="112"/>
      <c r="T116" s="125"/>
      <c r="U116" s="112"/>
      <c r="V116" s="112"/>
      <c r="W116" s="112"/>
      <c r="X116" s="112"/>
      <c r="Y116" s="112"/>
      <c r="Z116"/>
      <c r="AA116" s="180"/>
      <c r="AB116" s="112"/>
      <c r="AC116" s="161"/>
      <c r="AD116" s="112"/>
      <c r="AF116" s="112"/>
      <c r="AMD116"/>
    </row>
    <row r="117" spans="1:1018" ht="12" customHeight="1">
      <c r="A117" s="123"/>
      <c r="B117" s="123"/>
      <c r="C117" s="123"/>
      <c r="D117" s="123"/>
      <c r="E117" s="123"/>
      <c r="F117" s="123"/>
      <c r="G117" s="112"/>
      <c r="H117" s="112"/>
      <c r="I117" s="276"/>
      <c r="J117" s="112"/>
      <c r="K117" s="161"/>
      <c r="L117" s="112"/>
      <c r="M117" s="112"/>
      <c r="N117" s="112"/>
      <c r="O117" s="112"/>
      <c r="P117" s="190"/>
      <c r="Q117" s="112"/>
      <c r="R117" s="125"/>
      <c r="S117" s="112"/>
      <c r="T117" s="125"/>
      <c r="U117" s="112"/>
      <c r="V117" s="112"/>
      <c r="W117" s="112"/>
      <c r="X117" s="112"/>
      <c r="Y117" s="112"/>
      <c r="AA117" s="180"/>
      <c r="AB117" s="112"/>
      <c r="AD117" s="112"/>
      <c r="AF117" s="112"/>
    </row>
    <row r="118" spans="1:1018" ht="12" customHeight="1">
      <c r="A118" s="123"/>
      <c r="B118" s="123"/>
      <c r="C118" s="123"/>
      <c r="D118" s="123"/>
      <c r="E118" s="123"/>
      <c r="F118" s="123"/>
      <c r="G118" s="112"/>
      <c r="H118" s="112"/>
      <c r="I118" s="276"/>
      <c r="J118" s="112"/>
      <c r="K118" s="161"/>
      <c r="L118" s="112"/>
      <c r="M118" s="112"/>
      <c r="N118" s="112"/>
      <c r="O118" s="112"/>
      <c r="P118" s="190"/>
      <c r="Q118" s="112"/>
      <c r="R118" s="125"/>
      <c r="S118" s="112"/>
      <c r="T118" s="125"/>
      <c r="U118" s="112"/>
      <c r="V118" s="112"/>
      <c r="W118" s="112"/>
      <c r="X118" s="112"/>
      <c r="Y118" s="112"/>
      <c r="AA118" s="180"/>
      <c r="AB118" s="112"/>
      <c r="AD118" s="112"/>
      <c r="AF118" s="112"/>
    </row>
    <row r="119" spans="1:1018" ht="12" customHeight="1">
      <c r="A119" s="130"/>
      <c r="B119" s="130"/>
      <c r="C119" s="130"/>
      <c r="D119" s="130"/>
      <c r="E119" s="130"/>
      <c r="F119" s="130"/>
    </row>
    <row r="120" spans="1:1018" ht="12" customHeight="1">
      <c r="A120" s="130"/>
      <c r="B120" s="130"/>
      <c r="C120" s="130"/>
      <c r="D120" s="130"/>
      <c r="E120" s="130"/>
      <c r="F120" s="130"/>
    </row>
    <row r="121" spans="1:1018" ht="12" customHeight="1">
      <c r="A121" s="130"/>
      <c r="B121" s="130"/>
      <c r="C121" s="130"/>
      <c r="D121" s="130"/>
      <c r="E121" s="130"/>
      <c r="F121" s="130"/>
    </row>
    <row r="122" spans="1:1018" ht="12" customHeight="1">
      <c r="A122" s="136"/>
      <c r="B122" s="136"/>
      <c r="C122" s="136"/>
      <c r="D122" s="136"/>
      <c r="E122" s="136"/>
      <c r="F122" s="136"/>
    </row>
    <row r="123" spans="1:1018" ht="12" customHeight="1">
      <c r="A123" s="136"/>
      <c r="B123" s="136"/>
      <c r="C123" s="136"/>
      <c r="D123" s="136"/>
      <c r="E123" s="136"/>
      <c r="F123" s="136"/>
    </row>
  </sheetData>
  <mergeCells count="2">
    <mergeCell ref="L7:O7"/>
    <mergeCell ref="AE7:AF7"/>
  </mergeCells>
  <phoneticPr fontId="126" type="noConversion"/>
  <conditionalFormatting sqref="A74:F75 A95:F935">
    <cfRule type="expression" dxfId="166" priority="244">
      <formula>$AD74=1</formula>
    </cfRule>
    <cfRule type="expression" dxfId="165" priority="243">
      <formula>$AF74=1</formula>
    </cfRule>
    <cfRule type="expression" dxfId="164" priority="242">
      <formula>AND($AF74=1,$AD74=1)</formula>
    </cfRule>
    <cfRule type="expression" dxfId="163" priority="241">
      <formula>OR($AF74="X",$AD74="X")</formula>
    </cfRule>
  </conditionalFormatting>
  <conditionalFormatting sqref="F1:F2">
    <cfRule type="dataBar" priority="239">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74:H75 H95:H935">
    <cfRule type="expression" dxfId="162" priority="240">
      <formula>$Q74="X"</formula>
    </cfRule>
  </conditionalFormatting>
  <conditionalFormatting sqref="Q9:Q72 J49">
    <cfRule type="cellIs" dxfId="161" priority="110" operator="equal">
      <formula>"0..1"</formula>
    </cfRule>
    <cfRule type="cellIs" dxfId="160" priority="108" operator="equal">
      <formula>"1..1"</formula>
    </cfRule>
    <cfRule type="cellIs" dxfId="159" priority="109" operator="equal">
      <formula>"0..n"</formula>
    </cfRule>
  </conditionalFormatting>
  <conditionalFormatting sqref="T9:T11">
    <cfRule type="cellIs" dxfId="158" priority="113" operator="equal">
      <formula>"0..1"</formula>
    </cfRule>
    <cfRule type="cellIs" dxfId="157" priority="112" operator="equal">
      <formula>"0..n"</formula>
    </cfRule>
    <cfRule type="cellIs" dxfId="156" priority="111" operator="equal">
      <formula>"1..1"</formula>
    </cfRule>
  </conditionalFormatting>
  <conditionalFormatting sqref="T19:T20">
    <cfRule type="cellIs" dxfId="155" priority="66" operator="equal">
      <formula>"0..1"</formula>
    </cfRule>
    <cfRule type="cellIs" dxfId="154" priority="65" operator="equal">
      <formula>"0..n"</formula>
    </cfRule>
    <cfRule type="cellIs" dxfId="153" priority="64" operator="equal">
      <formula>"1..1"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dimension ref="A1:AMB143"/>
  <sheetViews>
    <sheetView zoomScale="85" zoomScaleNormal="85" workbookViewId="0">
      <selection activeCell="H70" sqref="H70"/>
    </sheetView>
  </sheetViews>
  <sheetFormatPr baseColWidth="10" defaultColWidth="9.5" defaultRowHeight="15"/>
  <cols>
    <col min="1" max="1" width="4.6640625" style="128" customWidth="1"/>
    <col min="2" max="2" width="35.83203125" style="128" bestFit="1" customWidth="1"/>
    <col min="3" max="3" width="39.6640625" style="128" bestFit="1" customWidth="1"/>
    <col min="4" max="4" width="34.1640625" style="128" bestFit="1" customWidth="1"/>
    <col min="5" max="5" width="10.5" style="128" customWidth="1"/>
    <col min="6" max="6" width="11" style="128" customWidth="1"/>
    <col min="7" max="7" width="9.6640625" style="96" customWidth="1"/>
    <col min="8" max="8" width="62.83203125" style="96" customWidth="1"/>
    <col min="9" max="9" width="26.5" style="225" bestFit="1" customWidth="1"/>
    <col min="10" max="10" width="12" style="96" customWidth="1"/>
    <col min="11" max="11" width="17" style="159" bestFit="1" customWidth="1"/>
    <col min="12" max="12" width="7.6640625" style="96" hidden="1" customWidth="1"/>
    <col min="13" max="13" width="9.6640625" style="96" hidden="1" customWidth="1"/>
    <col min="14" max="14" width="6.1640625" style="96" hidden="1" customWidth="1"/>
    <col min="15" max="15" width="10.6640625" style="96" hidden="1" customWidth="1"/>
    <col min="16" max="16" width="11.1640625" style="173" hidden="1" customWidth="1"/>
    <col min="17" max="17" width="10.5" style="96" customWidth="1"/>
    <col min="18" max="18" width="6" style="96" customWidth="1"/>
    <col min="19" max="19" width="18.5" style="96" customWidth="1"/>
    <col min="20" max="20" width="12.6640625" style="277" customWidth="1"/>
    <col min="21" max="21" width="28.1640625" style="96" customWidth="1"/>
    <col min="22" max="22" width="8.83203125" style="96" hidden="1" customWidth="1"/>
    <col min="23" max="23" width="8.1640625" style="96" customWidth="1"/>
    <col min="24" max="24" width="8.1640625" style="96" hidden="1" customWidth="1"/>
    <col min="25" max="25" width="22.6640625" style="179" hidden="1" customWidth="1"/>
    <col min="26" max="26" width="24.33203125" style="96" hidden="1" customWidth="1"/>
    <col min="27" max="27" width="24.5" style="159" hidden="1" customWidth="1"/>
    <col min="28" max="28" width="17.5" style="96" hidden="1" customWidth="1"/>
    <col min="29" max="29" width="9.5" hidden="1" customWidth="1"/>
    <col min="30" max="30" width="8" style="96" hidden="1" customWidth="1"/>
    <col min="31" max="31" width="8.83203125" style="128" customWidth="1"/>
    <col min="33" max="1013" width="9.5" style="128"/>
    <col min="1014" max="1014" width="9" style="128" customWidth="1"/>
    <col min="1015" max="1016" width="9" customWidth="1"/>
  </cols>
  <sheetData>
    <row r="1" spans="1:1014" ht="13.5" customHeight="1">
      <c r="A1" s="228" t="s">
        <v>2465</v>
      </c>
      <c r="C1" s="129" t="s">
        <v>813</v>
      </c>
      <c r="E1" s="150" t="s">
        <v>814</v>
      </c>
      <c r="F1" s="157">
        <f>createCase215[[#Totals],[Métier]] / createCase215[[#Totals],[ID]]</f>
        <v>0</v>
      </c>
      <c r="G1" s="128"/>
      <c r="AC1" s="96"/>
      <c r="AE1"/>
      <c r="AF1" s="128"/>
      <c r="ALZ1"/>
    </row>
    <row r="2" spans="1:1014" ht="13.5" customHeight="1">
      <c r="C2" s="141" t="s">
        <v>818</v>
      </c>
      <c r="D2" s="284"/>
      <c r="E2" s="152" t="s">
        <v>819</v>
      </c>
      <c r="F2" s="157">
        <f>createCase215[[#Totals],[NexSIS]] / createCase215[[#Totals],[ID]]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0" t="s">
        <v>912</v>
      </c>
      <c r="F5" s="146"/>
      <c r="G5" s="148"/>
      <c r="H5" s="148"/>
      <c r="I5" s="275"/>
      <c r="J5" s="148"/>
      <c r="K5" s="160"/>
      <c r="L5" s="148"/>
      <c r="M5" s="148"/>
      <c r="N5" s="148"/>
      <c r="O5" s="148"/>
      <c r="P5" s="186"/>
      <c r="Q5" s="148"/>
      <c r="R5" s="148"/>
      <c r="S5" s="148"/>
      <c r="T5" s="279"/>
      <c r="U5" s="148"/>
      <c r="V5" s="148"/>
      <c r="W5" s="148"/>
      <c r="X5" s="148"/>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7"/>
      <c r="E7" s="138"/>
      <c r="F7" s="138"/>
      <c r="L7" s="795" t="s">
        <v>828</v>
      </c>
      <c r="M7" s="795"/>
      <c r="N7" s="795"/>
      <c r="O7" s="795"/>
      <c r="V7" s="796" t="s">
        <v>829</v>
      </c>
      <c r="W7" s="796"/>
      <c r="X7" s="796"/>
      <c r="AC7" s="795" t="s">
        <v>830</v>
      </c>
      <c r="AD7" s="795"/>
      <c r="AE7"/>
      <c r="AF7" s="128"/>
      <c r="ALZ7"/>
    </row>
    <row r="8" spans="1:1014" s="238" customFormat="1" ht="55.5" customHeight="1">
      <c r="A8" s="233" t="s">
        <v>831</v>
      </c>
      <c r="B8" s="381" t="s">
        <v>832</v>
      </c>
      <c r="C8" s="278" t="s">
        <v>833</v>
      </c>
      <c r="D8" s="278" t="s">
        <v>834</v>
      </c>
      <c r="E8" s="278" t="s">
        <v>835</v>
      </c>
      <c r="F8" s="278" t="s">
        <v>836</v>
      </c>
      <c r="G8" s="278"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3" t="s">
        <v>914</v>
      </c>
      <c r="U8" s="234" t="s">
        <v>849</v>
      </c>
      <c r="V8" s="229" t="s">
        <v>850</v>
      </c>
      <c r="W8" s="229" t="s">
        <v>1611</v>
      </c>
      <c r="X8" s="229" t="s">
        <v>2466</v>
      </c>
      <c r="Y8" s="235" t="s">
        <v>853</v>
      </c>
      <c r="Z8" s="235" t="s">
        <v>854</v>
      </c>
      <c r="AA8" s="236" t="s">
        <v>855</v>
      </c>
      <c r="AB8" s="235" t="s">
        <v>856</v>
      </c>
      <c r="AC8" s="235" t="s">
        <v>857</v>
      </c>
      <c r="AD8" s="237" t="s">
        <v>915</v>
      </c>
    </row>
    <row r="9" spans="1:1014" s="224" customFormat="1" ht="13.5" customHeight="1">
      <c r="A9" s="225">
        <v>1</v>
      </c>
      <c r="B9" s="217" t="s">
        <v>2467</v>
      </c>
      <c r="C9" s="219"/>
      <c r="D9" s="727"/>
      <c r="E9" s="727"/>
      <c r="F9" s="727"/>
      <c r="G9" s="727"/>
      <c r="H9" s="728" t="s">
        <v>950</v>
      </c>
      <c r="I9" s="316" t="s">
        <v>1612</v>
      </c>
      <c r="J9" s="728"/>
      <c r="K9" s="729" t="s">
        <v>919</v>
      </c>
      <c r="L9" s="728" t="s">
        <v>953</v>
      </c>
      <c r="M9" s="728" t="s">
        <v>954</v>
      </c>
      <c r="N9" s="728"/>
      <c r="O9" s="728"/>
      <c r="P9" s="730">
        <v>1</v>
      </c>
      <c r="Q9" s="728" t="s">
        <v>820</v>
      </c>
      <c r="R9" s="731"/>
      <c r="S9" s="728" t="s">
        <v>863</v>
      </c>
      <c r="T9" s="731"/>
      <c r="U9" s="728"/>
      <c r="V9" s="732"/>
      <c r="W9" s="732" t="s">
        <v>864</v>
      </c>
      <c r="X9" s="732"/>
      <c r="Y9" s="733"/>
      <c r="Z9" s="728"/>
      <c r="AA9" s="734"/>
      <c r="AB9" s="728"/>
      <c r="AC9" s="731"/>
      <c r="AD9" s="731"/>
    </row>
    <row r="10" spans="1:1014" s="224" customFormat="1" ht="13.5" customHeight="1">
      <c r="A10" s="225">
        <v>2</v>
      </c>
      <c r="B10" s="253" t="s">
        <v>955</v>
      </c>
      <c r="C10" s="219"/>
      <c r="D10" s="221"/>
      <c r="E10" s="221"/>
      <c r="F10" s="221"/>
      <c r="G10" s="221"/>
      <c r="H10" s="728" t="s">
        <v>956</v>
      </c>
      <c r="I10" s="131" t="s">
        <v>957</v>
      </c>
      <c r="J10" s="728"/>
      <c r="K10" s="729" t="s">
        <v>925</v>
      </c>
      <c r="L10" s="728" t="s">
        <v>926</v>
      </c>
      <c r="M10" s="728" t="s">
        <v>927</v>
      </c>
      <c r="N10" s="728"/>
      <c r="O10" s="728"/>
      <c r="P10" s="730"/>
      <c r="Q10" s="728" t="s">
        <v>817</v>
      </c>
      <c r="R10" s="731"/>
      <c r="S10" s="728" t="s">
        <v>863</v>
      </c>
      <c r="T10" s="731"/>
      <c r="U10" s="728"/>
      <c r="V10" s="732"/>
      <c r="W10" s="732" t="s">
        <v>864</v>
      </c>
      <c r="X10" s="732"/>
      <c r="Y10" s="733"/>
      <c r="Z10" s="728"/>
      <c r="AA10" s="734"/>
      <c r="AB10" s="728"/>
      <c r="AC10" s="731"/>
      <c r="AD10" s="731"/>
    </row>
    <row r="11" spans="1:1014" s="224" customFormat="1" ht="13.5" customHeight="1">
      <c r="A11" s="225">
        <v>3</v>
      </c>
      <c r="B11" s="217" t="s">
        <v>2468</v>
      </c>
      <c r="C11" s="219"/>
      <c r="D11" s="241"/>
      <c r="E11" s="241"/>
      <c r="F11" s="241"/>
      <c r="G11" s="241"/>
      <c r="H11" s="728"/>
      <c r="I11" s="729" t="s">
        <v>930</v>
      </c>
      <c r="J11" s="728"/>
      <c r="K11" s="729" t="s">
        <v>931</v>
      </c>
      <c r="L11" s="728"/>
      <c r="M11" s="728"/>
      <c r="N11" s="728"/>
      <c r="O11" s="728"/>
      <c r="P11" s="730"/>
      <c r="Q11" s="728" t="s">
        <v>820</v>
      </c>
      <c r="R11" s="731"/>
      <c r="S11" s="728" t="s">
        <v>879</v>
      </c>
      <c r="T11" s="731"/>
      <c r="U11" s="728"/>
      <c r="V11" s="732"/>
      <c r="W11" s="732" t="s">
        <v>864</v>
      </c>
      <c r="X11" s="732"/>
      <c r="Y11" s="733"/>
      <c r="Z11" s="728"/>
      <c r="AA11" s="734"/>
      <c r="AB11" s="728"/>
      <c r="AC11" s="731"/>
      <c r="AD11" s="731"/>
    </row>
    <row r="12" spans="1:1014" s="224" customFormat="1" ht="13.5" customHeight="1">
      <c r="A12" s="225">
        <v>4</v>
      </c>
      <c r="B12" s="216" t="s">
        <v>1363</v>
      </c>
      <c r="C12" s="514"/>
      <c r="D12" s="513"/>
      <c r="E12" s="513"/>
      <c r="F12" s="513"/>
      <c r="G12" s="513"/>
      <c r="H12" s="766"/>
      <c r="I12" s="767"/>
      <c r="J12" s="766"/>
      <c r="K12" s="729" t="s">
        <v>1366</v>
      </c>
      <c r="L12" s="728"/>
      <c r="M12" s="728"/>
      <c r="N12" s="728"/>
      <c r="O12" s="728"/>
      <c r="P12" s="730"/>
      <c r="Q12" s="728" t="s">
        <v>820</v>
      </c>
      <c r="R12" s="731" t="s">
        <v>864</v>
      </c>
      <c r="S12" s="378" t="s">
        <v>1366</v>
      </c>
      <c r="T12" s="731"/>
      <c r="U12" s="728"/>
      <c r="V12" s="732"/>
      <c r="W12" s="732" t="s">
        <v>864</v>
      </c>
      <c r="X12" s="732"/>
      <c r="Y12" s="733"/>
      <c r="Z12" s="728"/>
      <c r="AA12" s="734"/>
      <c r="AB12" s="728"/>
      <c r="AC12" s="731"/>
      <c r="AD12" s="731"/>
    </row>
    <row r="13" spans="1:1014" s="224" customFormat="1" ht="13.5" customHeight="1">
      <c r="A13" s="225">
        <v>5</v>
      </c>
      <c r="B13" s="217"/>
      <c r="C13" s="217" t="s">
        <v>2469</v>
      </c>
      <c r="D13" s="241"/>
      <c r="E13" s="241"/>
      <c r="F13" s="241"/>
      <c r="G13" s="241"/>
      <c r="H13" s="728"/>
      <c r="I13" s="729"/>
      <c r="J13" s="728"/>
      <c r="K13" s="729" t="s">
        <v>2470</v>
      </c>
      <c r="L13" s="728"/>
      <c r="M13" s="728"/>
      <c r="N13" s="728"/>
      <c r="O13" s="728"/>
      <c r="P13" s="730"/>
      <c r="Q13" s="728" t="s">
        <v>820</v>
      </c>
      <c r="R13" s="731"/>
      <c r="S13" s="735" t="s">
        <v>863</v>
      </c>
      <c r="T13" s="731"/>
      <c r="U13" s="728"/>
      <c r="V13" s="732"/>
      <c r="W13" s="732" t="s">
        <v>864</v>
      </c>
      <c r="X13" s="732"/>
      <c r="Y13" s="733"/>
      <c r="Z13" s="728"/>
      <c r="AA13" s="734"/>
      <c r="AB13" s="728"/>
      <c r="AC13" s="731"/>
      <c r="AD13" s="731"/>
    </row>
    <row r="14" spans="1:1014" s="224" customFormat="1" ht="13.5" customHeight="1">
      <c r="A14" s="225">
        <v>6</v>
      </c>
      <c r="B14" s="217"/>
      <c r="C14" s="219" t="s">
        <v>2471</v>
      </c>
      <c r="D14" s="241"/>
      <c r="E14" s="241"/>
      <c r="F14" s="241"/>
      <c r="G14" s="241"/>
      <c r="H14" s="728"/>
      <c r="I14" s="729"/>
      <c r="J14" s="728"/>
      <c r="K14" s="729" t="s">
        <v>2472</v>
      </c>
      <c r="L14" s="728"/>
      <c r="M14" s="728"/>
      <c r="N14" s="728"/>
      <c r="O14" s="728"/>
      <c r="P14" s="730"/>
      <c r="Q14" s="728" t="s">
        <v>820</v>
      </c>
      <c r="R14" s="731"/>
      <c r="S14" s="735" t="s">
        <v>863</v>
      </c>
      <c r="T14" s="731"/>
      <c r="U14" s="728"/>
      <c r="V14" s="732"/>
      <c r="W14" s="732" t="s">
        <v>864</v>
      </c>
      <c r="X14" s="732"/>
      <c r="Y14" s="733"/>
      <c r="Z14" s="728"/>
      <c r="AA14" s="734"/>
      <c r="AB14" s="728"/>
      <c r="AC14" s="731"/>
      <c r="AD14" s="731"/>
    </row>
    <row r="15" spans="1:1014" s="224" customFormat="1" ht="13.5" customHeight="1">
      <c r="A15" s="225">
        <v>7</v>
      </c>
      <c r="B15" s="217"/>
      <c r="C15" s="219" t="s">
        <v>2473</v>
      </c>
      <c r="D15" s="241"/>
      <c r="E15" s="241"/>
      <c r="F15" s="241"/>
      <c r="G15" s="241"/>
      <c r="H15" s="728"/>
      <c r="I15" s="729"/>
      <c r="J15" s="728"/>
      <c r="K15" s="729" t="s">
        <v>2474</v>
      </c>
      <c r="L15" s="728"/>
      <c r="M15" s="728"/>
      <c r="N15" s="728"/>
      <c r="O15" s="728"/>
      <c r="P15" s="730"/>
      <c r="Q15" s="728" t="s">
        <v>817</v>
      </c>
      <c r="R15" s="731"/>
      <c r="S15" s="735" t="s">
        <v>863</v>
      </c>
      <c r="T15" s="731"/>
      <c r="U15" s="728"/>
      <c r="V15" s="732"/>
      <c r="W15" s="732" t="s">
        <v>864</v>
      </c>
      <c r="X15" s="732"/>
      <c r="Y15" s="733"/>
      <c r="Z15" s="728"/>
      <c r="AA15" s="734"/>
      <c r="AB15" s="728"/>
      <c r="AC15" s="731"/>
      <c r="AD15" s="731"/>
    </row>
    <row r="16" spans="1:1014" s="224" customFormat="1" ht="13.5" customHeight="1">
      <c r="A16" s="225">
        <v>8</v>
      </c>
      <c r="B16" s="217"/>
      <c r="C16" s="219" t="s">
        <v>2475</v>
      </c>
      <c r="D16" s="241"/>
      <c r="E16" s="241"/>
      <c r="F16" s="241"/>
      <c r="G16" s="241"/>
      <c r="H16" s="728"/>
      <c r="I16" s="729"/>
      <c r="J16" s="728"/>
      <c r="K16" s="729" t="s">
        <v>1592</v>
      </c>
      <c r="L16" s="728"/>
      <c r="M16" s="728"/>
      <c r="N16" s="728"/>
      <c r="O16" s="728"/>
      <c r="P16" s="730"/>
      <c r="Q16" s="728" t="s">
        <v>823</v>
      </c>
      <c r="R16" s="731"/>
      <c r="S16" s="735" t="s">
        <v>863</v>
      </c>
      <c r="T16" s="731"/>
      <c r="U16" s="728"/>
      <c r="V16" s="732"/>
      <c r="W16" s="732" t="s">
        <v>864</v>
      </c>
      <c r="X16" s="732"/>
      <c r="Y16" s="733"/>
      <c r="Z16" s="728"/>
      <c r="AA16" s="734"/>
      <c r="AB16" s="728"/>
      <c r="AC16" s="731"/>
      <c r="AD16" s="731"/>
    </row>
    <row r="17" spans="1:30" s="224" customFormat="1" ht="13.5" customHeight="1">
      <c r="A17" s="225">
        <v>9</v>
      </c>
      <c r="B17" s="216" t="s">
        <v>2476</v>
      </c>
      <c r="C17" s="514"/>
      <c r="D17" s="768"/>
      <c r="E17" s="768"/>
      <c r="F17" s="768"/>
      <c r="G17" s="768"/>
      <c r="H17" s="766"/>
      <c r="I17" s="766"/>
      <c r="J17" s="766"/>
      <c r="K17" s="729" t="s">
        <v>1403</v>
      </c>
      <c r="L17" s="728"/>
      <c r="M17" s="728"/>
      <c r="N17" s="728"/>
      <c r="O17" s="728"/>
      <c r="P17" s="730"/>
      <c r="Q17" s="728" t="s">
        <v>820</v>
      </c>
      <c r="R17" s="731" t="s">
        <v>864</v>
      </c>
      <c r="S17" s="378" t="s">
        <v>1403</v>
      </c>
      <c r="T17" s="731"/>
      <c r="U17" s="728"/>
      <c r="V17" s="732"/>
      <c r="W17" s="732" t="s">
        <v>864</v>
      </c>
      <c r="X17" s="732"/>
      <c r="Y17" s="733"/>
      <c r="Z17" s="728"/>
      <c r="AA17" s="734"/>
      <c r="AB17" s="728"/>
      <c r="AC17" s="731"/>
      <c r="AD17" s="731"/>
    </row>
    <row r="18" spans="1:30" s="224" customFormat="1" ht="13.5" customHeight="1">
      <c r="A18" s="225">
        <v>10</v>
      </c>
      <c r="B18" s="217"/>
      <c r="C18" s="219" t="s">
        <v>1404</v>
      </c>
      <c r="D18" s="241"/>
      <c r="E18" s="241"/>
      <c r="F18" s="241"/>
      <c r="G18" s="241"/>
      <c r="H18" s="728" t="s">
        <v>2477</v>
      </c>
      <c r="I18" s="728" t="s">
        <v>2478</v>
      </c>
      <c r="J18" s="728"/>
      <c r="K18" s="729" t="s">
        <v>2479</v>
      </c>
      <c r="L18" s="728"/>
      <c r="M18" s="728"/>
      <c r="N18" s="728"/>
      <c r="O18" s="728"/>
      <c r="P18" s="730"/>
      <c r="Q18" s="728" t="s">
        <v>820</v>
      </c>
      <c r="R18" s="731"/>
      <c r="S18" s="729" t="s">
        <v>863</v>
      </c>
      <c r="T18" s="731"/>
      <c r="U18" s="728"/>
      <c r="V18" s="732"/>
      <c r="W18" s="732" t="s">
        <v>864</v>
      </c>
      <c r="X18" s="732"/>
      <c r="Y18" s="733"/>
      <c r="Z18" s="728"/>
      <c r="AA18" s="734"/>
      <c r="AB18" s="728"/>
      <c r="AC18" s="731"/>
      <c r="AD18" s="731"/>
    </row>
    <row r="19" spans="1:30" s="224" customFormat="1" ht="13.5" customHeight="1">
      <c r="A19" s="225">
        <v>11</v>
      </c>
      <c r="B19" s="217"/>
      <c r="C19" s="219" t="s">
        <v>2480</v>
      </c>
      <c r="D19" s="241"/>
      <c r="E19" s="241"/>
      <c r="F19" s="241"/>
      <c r="G19" s="241"/>
      <c r="H19" s="728"/>
      <c r="I19" s="728" t="s">
        <v>2481</v>
      </c>
      <c r="J19" s="728"/>
      <c r="K19" s="729" t="s">
        <v>2482</v>
      </c>
      <c r="L19" s="728"/>
      <c r="M19" s="728"/>
      <c r="N19" s="728"/>
      <c r="O19" s="728"/>
      <c r="P19" s="730"/>
      <c r="Q19" s="728" t="s">
        <v>817</v>
      </c>
      <c r="R19" s="731"/>
      <c r="S19" s="735" t="s">
        <v>863</v>
      </c>
      <c r="T19" s="731"/>
      <c r="U19" s="728"/>
      <c r="V19" s="732"/>
      <c r="W19" s="732" t="s">
        <v>864</v>
      </c>
      <c r="X19" s="732"/>
      <c r="Y19" s="733"/>
      <c r="Z19" s="728"/>
      <c r="AA19" s="734"/>
      <c r="AB19" s="728"/>
      <c r="AC19" s="731"/>
      <c r="AD19" s="731"/>
    </row>
    <row r="20" spans="1:30" s="224" customFormat="1" ht="13.5" customHeight="1">
      <c r="A20" s="225">
        <v>12</v>
      </c>
      <c r="B20" s="253"/>
      <c r="C20" s="219" t="s">
        <v>1104</v>
      </c>
      <c r="D20" s="221"/>
      <c r="E20" s="221"/>
      <c r="F20" s="221"/>
      <c r="G20" s="221"/>
      <c r="H20" s="728" t="s">
        <v>2483</v>
      </c>
      <c r="I20" s="728" t="s">
        <v>1134</v>
      </c>
      <c r="J20" s="728"/>
      <c r="K20" s="729" t="s">
        <v>1311</v>
      </c>
      <c r="L20" s="728"/>
      <c r="M20" s="728"/>
      <c r="N20" s="728"/>
      <c r="O20" s="728"/>
      <c r="P20" s="730"/>
      <c r="Q20" s="728" t="s">
        <v>817</v>
      </c>
      <c r="R20" s="731"/>
      <c r="S20" s="728" t="s">
        <v>863</v>
      </c>
      <c r="T20" s="731"/>
      <c r="U20" s="728"/>
      <c r="V20" s="732"/>
      <c r="W20" s="732" t="s">
        <v>864</v>
      </c>
      <c r="X20" s="732"/>
      <c r="Y20" s="733"/>
      <c r="Z20" s="728"/>
      <c r="AA20" s="734"/>
      <c r="AB20" s="728"/>
      <c r="AC20" s="731"/>
      <c r="AD20" s="731"/>
    </row>
    <row r="21" spans="1:30" s="224" customFormat="1" ht="13.5" customHeight="1">
      <c r="A21" s="225">
        <v>13</v>
      </c>
      <c r="B21" s="217"/>
      <c r="C21" s="219" t="s">
        <v>1312</v>
      </c>
      <c r="D21" s="241"/>
      <c r="E21" s="241"/>
      <c r="F21" s="241"/>
      <c r="G21" s="241"/>
      <c r="H21" s="728" t="s">
        <v>2484</v>
      </c>
      <c r="I21" s="729" t="s">
        <v>1314</v>
      </c>
      <c r="J21" s="729"/>
      <c r="K21" s="729" t="s">
        <v>1315</v>
      </c>
      <c r="L21" s="728"/>
      <c r="M21" s="728"/>
      <c r="N21" s="728"/>
      <c r="O21" s="728"/>
      <c r="P21" s="730"/>
      <c r="Q21" s="728" t="s">
        <v>817</v>
      </c>
      <c r="R21" s="731"/>
      <c r="S21" s="728" t="s">
        <v>863</v>
      </c>
      <c r="T21" s="731"/>
      <c r="U21" s="728"/>
      <c r="V21" s="732"/>
      <c r="W21" s="732" t="s">
        <v>864</v>
      </c>
      <c r="X21" s="732"/>
      <c r="Y21" s="733"/>
      <c r="Z21" s="728"/>
      <c r="AA21" s="734"/>
      <c r="AB21" s="728"/>
      <c r="AC21" s="731"/>
      <c r="AD21" s="731"/>
    </row>
    <row r="22" spans="1:30" s="224" customFormat="1" ht="13.5" customHeight="1">
      <c r="A22" s="225">
        <v>14</v>
      </c>
      <c r="B22" s="217"/>
      <c r="C22" s="219" t="s">
        <v>1479</v>
      </c>
      <c r="D22" s="241"/>
      <c r="E22" s="241"/>
      <c r="F22" s="241"/>
      <c r="G22" s="241"/>
      <c r="H22" s="728" t="s">
        <v>1480</v>
      </c>
      <c r="I22" s="728"/>
      <c r="J22" s="728"/>
      <c r="K22" s="729" t="s">
        <v>1481</v>
      </c>
      <c r="L22" s="728"/>
      <c r="M22" s="728"/>
      <c r="N22" s="728"/>
      <c r="O22" s="728"/>
      <c r="P22" s="730"/>
      <c r="Q22" s="728" t="s">
        <v>817</v>
      </c>
      <c r="R22" s="731"/>
      <c r="S22" s="728" t="s">
        <v>1482</v>
      </c>
      <c r="T22" s="731"/>
      <c r="U22" s="728"/>
      <c r="V22" s="732"/>
      <c r="W22" s="732" t="s">
        <v>864</v>
      </c>
      <c r="X22" s="732"/>
      <c r="Y22" s="733"/>
      <c r="Z22" s="728"/>
      <c r="AA22" s="734"/>
      <c r="AB22" s="728"/>
      <c r="AC22" s="731"/>
      <c r="AD22" s="731"/>
    </row>
    <row r="23" spans="1:30" s="224" customFormat="1" ht="13.5" customHeight="1">
      <c r="A23" s="225">
        <v>15</v>
      </c>
      <c r="B23" s="217"/>
      <c r="C23" s="219" t="s">
        <v>2485</v>
      </c>
      <c r="D23" s="241"/>
      <c r="E23" s="241"/>
      <c r="F23" s="241"/>
      <c r="G23" s="241"/>
      <c r="H23" s="728" t="s">
        <v>2486</v>
      </c>
      <c r="I23" s="729">
        <v>69</v>
      </c>
      <c r="J23" s="729"/>
      <c r="K23" s="729" t="s">
        <v>1504</v>
      </c>
      <c r="L23" s="728"/>
      <c r="M23" s="728"/>
      <c r="N23" s="728"/>
      <c r="O23" s="728"/>
      <c r="P23" s="730"/>
      <c r="Q23" s="728" t="s">
        <v>817</v>
      </c>
      <c r="R23" s="731"/>
      <c r="S23" s="735" t="s">
        <v>863</v>
      </c>
      <c r="T23" s="731"/>
      <c r="U23" s="728"/>
      <c r="V23" s="732"/>
      <c r="W23" s="732" t="s">
        <v>864</v>
      </c>
      <c r="X23" s="732"/>
      <c r="Y23" s="733"/>
      <c r="Z23" s="728"/>
      <c r="AA23" s="734"/>
      <c r="AB23" s="728"/>
      <c r="AC23" s="731"/>
      <c r="AD23" s="731"/>
    </row>
    <row r="24" spans="1:30" s="224" customFormat="1" ht="13.5" customHeight="1">
      <c r="A24" s="225">
        <v>16</v>
      </c>
      <c r="B24" s="217"/>
      <c r="C24" s="219" t="s">
        <v>2380</v>
      </c>
      <c r="D24" s="241"/>
      <c r="E24" s="241"/>
      <c r="F24" s="241"/>
      <c r="G24" s="241"/>
      <c r="H24" s="728"/>
      <c r="I24" s="729" t="s">
        <v>698</v>
      </c>
      <c r="J24" s="728"/>
      <c r="K24" s="729" t="s">
        <v>1485</v>
      </c>
      <c r="L24" s="728"/>
      <c r="M24" s="728"/>
      <c r="N24" s="728"/>
      <c r="O24" s="728"/>
      <c r="P24" s="730"/>
      <c r="Q24" s="728" t="s">
        <v>817</v>
      </c>
      <c r="R24" s="731"/>
      <c r="S24" s="735" t="s">
        <v>863</v>
      </c>
      <c r="T24" s="731"/>
      <c r="U24" s="728"/>
      <c r="V24" s="732"/>
      <c r="W24" s="732" t="s">
        <v>864</v>
      </c>
      <c r="X24" s="732"/>
      <c r="Y24" s="733"/>
      <c r="Z24" s="728"/>
      <c r="AA24" s="734"/>
      <c r="AB24" s="728"/>
      <c r="AC24" s="731"/>
      <c r="AD24" s="731"/>
    </row>
    <row r="25" spans="1:30" s="224" customFormat="1" ht="13.5" customHeight="1">
      <c r="A25" s="225">
        <v>17</v>
      </c>
      <c r="B25" s="217"/>
      <c r="C25" s="219" t="s">
        <v>2487</v>
      </c>
      <c r="D25" s="241"/>
      <c r="E25" s="241"/>
      <c r="F25" s="241"/>
      <c r="G25" s="241"/>
      <c r="H25" s="728" t="s">
        <v>2488</v>
      </c>
      <c r="I25" s="729" t="s">
        <v>1282</v>
      </c>
      <c r="J25" s="728"/>
      <c r="K25" s="729" t="s">
        <v>2489</v>
      </c>
      <c r="L25" s="728"/>
      <c r="M25" s="728"/>
      <c r="N25" s="728"/>
      <c r="O25" s="728"/>
      <c r="P25" s="730"/>
      <c r="Q25" s="728" t="s">
        <v>817</v>
      </c>
      <c r="R25" s="731"/>
      <c r="S25" s="735" t="s">
        <v>863</v>
      </c>
      <c r="T25" s="731"/>
      <c r="U25" s="728"/>
      <c r="V25" s="732" t="s">
        <v>864</v>
      </c>
      <c r="W25" s="732"/>
      <c r="X25" s="732"/>
      <c r="Y25" s="733"/>
      <c r="Z25" s="728"/>
      <c r="AA25" s="734"/>
      <c r="AB25" s="728"/>
      <c r="AC25" s="731"/>
      <c r="AD25" s="731"/>
    </row>
    <row r="26" spans="1:30" s="224" customFormat="1" ht="13.5" customHeight="1">
      <c r="A26" s="225">
        <v>18</v>
      </c>
      <c r="B26" s="216"/>
      <c r="C26" s="240" t="s">
        <v>2385</v>
      </c>
      <c r="D26" s="513"/>
      <c r="E26" s="513"/>
      <c r="F26" s="513"/>
      <c r="G26" s="513"/>
      <c r="H26" s="766"/>
      <c r="I26" s="767"/>
      <c r="J26" s="766"/>
      <c r="K26" s="729" t="s">
        <v>2386</v>
      </c>
      <c r="L26" s="728"/>
      <c r="M26" s="728"/>
      <c r="N26" s="728"/>
      <c r="O26" s="728"/>
      <c r="P26" s="730"/>
      <c r="Q26" s="728" t="s">
        <v>817</v>
      </c>
      <c r="R26" s="731" t="s">
        <v>864</v>
      </c>
      <c r="S26" s="378" t="s">
        <v>2386</v>
      </c>
      <c r="T26" s="731"/>
      <c r="U26" s="728"/>
      <c r="V26" s="732"/>
      <c r="W26" s="732" t="s">
        <v>864</v>
      </c>
      <c r="X26" s="732"/>
      <c r="Y26" s="733"/>
      <c r="Z26" s="728"/>
      <c r="AA26" s="734"/>
      <c r="AB26" s="728"/>
      <c r="AC26" s="731"/>
      <c r="AD26" s="731"/>
    </row>
    <row r="27" spans="1:30" s="224" customFormat="1" ht="13.5" customHeight="1">
      <c r="A27" s="225">
        <v>19</v>
      </c>
      <c r="B27" s="216"/>
      <c r="C27" s="727"/>
      <c r="D27" s="241" t="s">
        <v>2387</v>
      </c>
      <c r="E27" s="241"/>
      <c r="F27" s="241"/>
      <c r="G27" s="241"/>
      <c r="H27" s="728" t="s">
        <v>2388</v>
      </c>
      <c r="I27" s="729">
        <v>92300</v>
      </c>
      <c r="J27" s="728"/>
      <c r="K27" s="729" t="s">
        <v>1107</v>
      </c>
      <c r="L27" s="728"/>
      <c r="M27" s="728"/>
      <c r="N27" s="728"/>
      <c r="O27" s="728"/>
      <c r="P27" s="730"/>
      <c r="Q27" s="728" t="s">
        <v>820</v>
      </c>
      <c r="R27" s="731"/>
      <c r="S27" s="728" t="s">
        <v>863</v>
      </c>
      <c r="T27" s="731"/>
      <c r="U27" s="728"/>
      <c r="V27" s="732"/>
      <c r="W27" s="732" t="s">
        <v>864</v>
      </c>
      <c r="X27" s="732"/>
      <c r="Y27" s="733"/>
      <c r="Z27" s="728"/>
      <c r="AA27" s="734"/>
      <c r="AB27" s="728"/>
      <c r="AC27" s="731"/>
      <c r="AD27" s="731"/>
    </row>
    <row r="28" spans="1:30" s="224" customFormat="1" ht="13.5" customHeight="1">
      <c r="A28" s="225">
        <v>20</v>
      </c>
      <c r="B28" s="216"/>
      <c r="C28" s="727"/>
      <c r="D28" s="241" t="s">
        <v>388</v>
      </c>
      <c r="E28" s="241"/>
      <c r="F28" s="241"/>
      <c r="G28" s="241"/>
      <c r="H28" s="728" t="s">
        <v>1108</v>
      </c>
      <c r="I28" s="729" t="s">
        <v>2390</v>
      </c>
      <c r="J28" s="728"/>
      <c r="K28" s="729" t="s">
        <v>2389</v>
      </c>
      <c r="L28" s="728"/>
      <c r="M28" s="728"/>
      <c r="N28" s="728"/>
      <c r="O28" s="728"/>
      <c r="P28" s="730"/>
      <c r="Q28" s="728" t="s">
        <v>820</v>
      </c>
      <c r="R28" s="731"/>
      <c r="S28" s="728" t="s">
        <v>863</v>
      </c>
      <c r="T28" s="731"/>
      <c r="U28" s="728"/>
      <c r="V28" s="732"/>
      <c r="W28" s="732" t="s">
        <v>864</v>
      </c>
      <c r="X28" s="732"/>
      <c r="Y28" s="733"/>
      <c r="Z28" s="728"/>
      <c r="AA28" s="734"/>
      <c r="AB28" s="728"/>
      <c r="AC28" s="731"/>
      <c r="AD28" s="731"/>
    </row>
    <row r="29" spans="1:30" ht="15" customHeight="1">
      <c r="A29" s="225">
        <v>21</v>
      </c>
      <c r="B29" s="242" t="s">
        <v>2393</v>
      </c>
      <c r="C29" s="513"/>
      <c r="D29" s="513"/>
      <c r="E29" s="513"/>
      <c r="F29" s="513"/>
      <c r="G29" s="513"/>
      <c r="H29" s="766"/>
      <c r="I29" s="767"/>
      <c r="J29" s="767"/>
      <c r="K29" s="729" t="s">
        <v>1054</v>
      </c>
      <c r="L29" s="728"/>
      <c r="M29" s="728"/>
      <c r="N29" s="728"/>
      <c r="O29" s="728"/>
      <c r="P29" s="730"/>
      <c r="Q29" s="728" t="s">
        <v>820</v>
      </c>
      <c r="R29" s="731" t="s">
        <v>864</v>
      </c>
      <c r="S29" s="243" t="s">
        <v>1054</v>
      </c>
      <c r="T29" s="731"/>
      <c r="U29" s="728"/>
      <c r="V29" s="732"/>
      <c r="W29" s="732" t="s">
        <v>864</v>
      </c>
      <c r="X29" s="732"/>
      <c r="Y29" s="733"/>
      <c r="Z29" s="728"/>
      <c r="AA29" s="734"/>
      <c r="AB29" s="728"/>
      <c r="AC29" s="731"/>
      <c r="AD29" s="731"/>
    </row>
    <row r="30" spans="1:30" ht="15" customHeight="1">
      <c r="A30" s="225">
        <v>22</v>
      </c>
      <c r="B30" s="217"/>
      <c r="C30" s="216" t="s">
        <v>1081</v>
      </c>
      <c r="D30" s="513"/>
      <c r="E30" s="513"/>
      <c r="F30" s="513"/>
      <c r="G30" s="513"/>
      <c r="H30" s="766"/>
      <c r="I30" s="767"/>
      <c r="J30" s="766"/>
      <c r="K30" s="729" t="s">
        <v>1082</v>
      </c>
      <c r="L30" s="728"/>
      <c r="M30" s="728"/>
      <c r="N30" s="728"/>
      <c r="O30" s="728"/>
      <c r="P30" s="730"/>
      <c r="Q30" s="728" t="s">
        <v>817</v>
      </c>
      <c r="R30" s="731" t="s">
        <v>864</v>
      </c>
      <c r="S30" s="243" t="s">
        <v>1082</v>
      </c>
      <c r="T30" s="731"/>
      <c r="U30" s="728"/>
      <c r="V30" s="732"/>
      <c r="W30" s="732" t="s">
        <v>864</v>
      </c>
      <c r="X30" s="732"/>
      <c r="Y30" s="733"/>
      <c r="Z30" s="728"/>
      <c r="AA30" s="734"/>
      <c r="AB30" s="728"/>
      <c r="AC30" s="731"/>
      <c r="AD30" s="731"/>
    </row>
    <row r="31" spans="1:30" ht="15" customHeight="1">
      <c r="A31" s="225">
        <v>23</v>
      </c>
      <c r="B31" s="241"/>
      <c r="C31" s="217"/>
      <c r="D31" s="727" t="s">
        <v>1083</v>
      </c>
      <c r="E31" s="253"/>
      <c r="F31" s="241"/>
      <c r="G31" s="728"/>
      <c r="H31" s="728" t="s">
        <v>1084</v>
      </c>
      <c r="I31" s="729" t="s">
        <v>1085</v>
      </c>
      <c r="J31" s="728" t="s">
        <v>1086</v>
      </c>
      <c r="K31" s="729" t="s">
        <v>1087</v>
      </c>
      <c r="L31" s="728"/>
      <c r="M31" s="728"/>
      <c r="N31" s="728"/>
      <c r="O31" s="728"/>
      <c r="P31" s="730"/>
      <c r="Q31" s="728" t="s">
        <v>820</v>
      </c>
      <c r="R31" s="731"/>
      <c r="S31" s="728" t="s">
        <v>863</v>
      </c>
      <c r="T31" s="731"/>
      <c r="U31" s="728" t="s">
        <v>1088</v>
      </c>
      <c r="V31" s="732"/>
      <c r="W31" s="732" t="s">
        <v>864</v>
      </c>
      <c r="X31" s="732"/>
      <c r="Y31" s="733"/>
      <c r="Z31" s="728"/>
      <c r="AA31" s="734"/>
      <c r="AB31" s="728"/>
      <c r="AC31" s="731"/>
      <c r="AD31" s="731"/>
    </row>
    <row r="32" spans="1:30" ht="15" customHeight="1">
      <c r="A32" s="225">
        <v>24</v>
      </c>
      <c r="B32" s="241"/>
      <c r="C32" s="222"/>
      <c r="D32" s="727" t="s">
        <v>1089</v>
      </c>
      <c r="E32" s="221"/>
      <c r="F32" s="241"/>
      <c r="G32" s="728"/>
      <c r="H32" s="728" t="s">
        <v>1090</v>
      </c>
      <c r="I32" s="729" t="s">
        <v>1091</v>
      </c>
      <c r="J32" s="728"/>
      <c r="K32" s="729" t="s">
        <v>1092</v>
      </c>
      <c r="L32" s="728" t="s">
        <v>1093</v>
      </c>
      <c r="M32" s="728" t="s">
        <v>254</v>
      </c>
      <c r="N32" s="728"/>
      <c r="O32" s="728"/>
      <c r="P32" s="730"/>
      <c r="Q32" s="728" t="s">
        <v>817</v>
      </c>
      <c r="R32" s="731"/>
      <c r="S32" s="728" t="s">
        <v>863</v>
      </c>
      <c r="T32" s="731"/>
      <c r="U32" s="728"/>
      <c r="V32" s="732"/>
      <c r="W32" s="732" t="s">
        <v>864</v>
      </c>
      <c r="X32" s="732"/>
      <c r="Y32" s="733"/>
      <c r="Z32" s="728"/>
      <c r="AA32" s="734"/>
      <c r="AB32" s="728"/>
      <c r="AC32" s="731"/>
      <c r="AD32" s="731"/>
    </row>
    <row r="33" spans="1:30" ht="15" customHeight="1">
      <c r="A33" s="225">
        <v>25</v>
      </c>
      <c r="B33" s="217"/>
      <c r="C33" s="222"/>
      <c r="D33" s="240" t="s">
        <v>1094</v>
      </c>
      <c r="E33" s="515"/>
      <c r="F33" s="513"/>
      <c r="G33" s="513"/>
      <c r="H33" s="766"/>
      <c r="I33" s="767"/>
      <c r="J33" s="766"/>
      <c r="K33" s="729" t="s">
        <v>1095</v>
      </c>
      <c r="L33" s="728" t="s">
        <v>1096</v>
      </c>
      <c r="M33" s="728" t="s">
        <v>1097</v>
      </c>
      <c r="N33" s="728"/>
      <c r="O33" s="728"/>
      <c r="P33" s="730"/>
      <c r="Q33" s="728" t="s">
        <v>817</v>
      </c>
      <c r="R33" s="731" t="s">
        <v>864</v>
      </c>
      <c r="S33" s="243" t="s">
        <v>1095</v>
      </c>
      <c r="T33" s="731"/>
      <c r="U33" s="728"/>
      <c r="V33" s="732"/>
      <c r="W33" s="732" t="s">
        <v>864</v>
      </c>
      <c r="X33" s="732"/>
      <c r="Y33" s="733"/>
      <c r="Z33" s="728"/>
      <c r="AA33" s="734"/>
      <c r="AB33" s="728"/>
      <c r="AC33" s="731"/>
      <c r="AD33" s="731"/>
    </row>
    <row r="34" spans="1:30" ht="15" customHeight="1">
      <c r="A34" s="225">
        <v>26</v>
      </c>
      <c r="B34" s="217"/>
      <c r="C34" s="222"/>
      <c r="D34" s="241"/>
      <c r="E34" s="241" t="s">
        <v>1098</v>
      </c>
      <c r="F34" s="241"/>
      <c r="G34" s="241"/>
      <c r="H34" s="728" t="s">
        <v>1099</v>
      </c>
      <c r="I34" s="729" t="s">
        <v>1100</v>
      </c>
      <c r="J34" s="728"/>
      <c r="K34" s="729" t="s">
        <v>1087</v>
      </c>
      <c r="L34" s="728"/>
      <c r="M34" s="728"/>
      <c r="N34" s="728"/>
      <c r="O34" s="728"/>
      <c r="P34" s="730"/>
      <c r="Q34" s="728" t="s">
        <v>820</v>
      </c>
      <c r="R34" s="731"/>
      <c r="S34" s="728" t="s">
        <v>863</v>
      </c>
      <c r="T34" s="731"/>
      <c r="U34" s="728" t="s">
        <v>1101</v>
      </c>
      <c r="V34" s="732"/>
      <c r="W34" s="732" t="s">
        <v>864</v>
      </c>
      <c r="X34" s="732"/>
      <c r="Y34" s="733"/>
      <c r="Z34" s="728"/>
      <c r="AA34" s="734"/>
      <c r="AB34" s="728"/>
      <c r="AC34" s="731"/>
      <c r="AD34" s="731"/>
    </row>
    <row r="35" spans="1:30" ht="15" customHeight="1">
      <c r="A35" s="225">
        <v>27</v>
      </c>
      <c r="B35" s="217"/>
      <c r="C35" s="217"/>
      <c r="D35" s="241"/>
      <c r="E35" s="241" t="s">
        <v>1102</v>
      </c>
      <c r="F35" s="241"/>
      <c r="G35" s="241"/>
      <c r="H35" s="728"/>
      <c r="I35" s="729" t="s">
        <v>1103</v>
      </c>
      <c r="J35" s="728"/>
      <c r="K35" s="729" t="s">
        <v>970</v>
      </c>
      <c r="L35" s="728"/>
      <c r="M35" s="728"/>
      <c r="N35" s="728"/>
      <c r="O35" s="728"/>
      <c r="P35" s="730"/>
      <c r="Q35" s="728" t="s">
        <v>817</v>
      </c>
      <c r="R35" s="731"/>
      <c r="S35" s="728" t="s">
        <v>863</v>
      </c>
      <c r="T35" s="731"/>
      <c r="U35" s="728"/>
      <c r="V35" s="732"/>
      <c r="W35" s="732" t="s">
        <v>864</v>
      </c>
      <c r="X35" s="732"/>
      <c r="Y35" s="733"/>
      <c r="Z35" s="728"/>
      <c r="AA35" s="734"/>
      <c r="AB35" s="728"/>
      <c r="AC35" s="731"/>
      <c r="AD35" s="731"/>
    </row>
    <row r="36" spans="1:30" ht="15" customHeight="1">
      <c r="A36" s="225">
        <v>28</v>
      </c>
      <c r="B36" s="217"/>
      <c r="C36" s="217"/>
      <c r="D36" s="241"/>
      <c r="E36" s="241" t="s">
        <v>1104</v>
      </c>
      <c r="F36" s="241"/>
      <c r="G36" s="241"/>
      <c r="H36" s="728"/>
      <c r="I36" s="729" t="s">
        <v>1105</v>
      </c>
      <c r="J36" s="728"/>
      <c r="K36" s="729" t="s">
        <v>871</v>
      </c>
      <c r="L36" s="728"/>
      <c r="M36" s="728"/>
      <c r="N36" s="728"/>
      <c r="O36" s="728"/>
      <c r="P36" s="730"/>
      <c r="Q36" s="728" t="s">
        <v>817</v>
      </c>
      <c r="R36" s="731"/>
      <c r="S36" s="728" t="s">
        <v>863</v>
      </c>
      <c r="T36" s="731"/>
      <c r="U36" s="728"/>
      <c r="V36" s="732"/>
      <c r="W36" s="732" t="s">
        <v>864</v>
      </c>
      <c r="X36" s="732"/>
      <c r="Y36" s="733"/>
      <c r="Z36" s="728"/>
      <c r="AA36" s="734"/>
      <c r="AB36" s="728"/>
      <c r="AC36" s="731"/>
      <c r="AD36" s="731"/>
    </row>
    <row r="37" spans="1:30" ht="15" customHeight="1">
      <c r="A37" s="225">
        <v>29</v>
      </c>
      <c r="B37" s="217"/>
      <c r="C37" s="216" t="s">
        <v>1106</v>
      </c>
      <c r="D37" s="515"/>
      <c r="E37" s="515"/>
      <c r="F37" s="513"/>
      <c r="G37" s="513"/>
      <c r="H37" s="766"/>
      <c r="I37" s="767"/>
      <c r="J37" s="766"/>
      <c r="K37" s="729" t="s">
        <v>1107</v>
      </c>
      <c r="L37" s="728"/>
      <c r="M37" s="728"/>
      <c r="N37" s="728"/>
      <c r="O37" s="728"/>
      <c r="P37" s="730"/>
      <c r="Q37" s="728" t="s">
        <v>817</v>
      </c>
      <c r="R37" s="731" t="s">
        <v>864</v>
      </c>
      <c r="S37" s="243" t="s">
        <v>1107</v>
      </c>
      <c r="T37" s="731"/>
      <c r="U37" s="728"/>
      <c r="V37" s="732"/>
      <c r="W37" s="732" t="s">
        <v>864</v>
      </c>
      <c r="X37" s="732"/>
      <c r="Y37" s="733"/>
      <c r="Z37" s="728"/>
      <c r="AA37" s="734"/>
      <c r="AB37" s="728"/>
      <c r="AC37" s="731"/>
      <c r="AD37" s="731"/>
    </row>
    <row r="38" spans="1:30" ht="15" customHeight="1">
      <c r="A38" s="225">
        <v>30</v>
      </c>
      <c r="B38" s="217"/>
      <c r="C38" s="217"/>
      <c r="D38" s="241" t="s">
        <v>388</v>
      </c>
      <c r="E38" s="217"/>
      <c r="F38" s="241"/>
      <c r="G38" s="241"/>
      <c r="H38" s="728" t="s">
        <v>1108</v>
      </c>
      <c r="I38" s="729" t="s">
        <v>1109</v>
      </c>
      <c r="J38" s="728" t="s">
        <v>1107</v>
      </c>
      <c r="K38" s="729" t="s">
        <v>871</v>
      </c>
      <c r="L38" s="728" t="s">
        <v>1110</v>
      </c>
      <c r="M38" s="728" t="s">
        <v>388</v>
      </c>
      <c r="N38" s="728"/>
      <c r="O38" s="728"/>
      <c r="P38" s="252"/>
      <c r="Q38" s="728" t="s">
        <v>817</v>
      </c>
      <c r="R38" s="731"/>
      <c r="S38" s="728" t="s">
        <v>863</v>
      </c>
      <c r="T38" s="731"/>
      <c r="U38" s="728"/>
      <c r="V38" s="732"/>
      <c r="W38" s="732" t="s">
        <v>864</v>
      </c>
      <c r="X38" s="732"/>
      <c r="Y38" s="733"/>
      <c r="Z38" s="728"/>
      <c r="AA38" s="734"/>
      <c r="AB38" s="728"/>
      <c r="AC38" s="731"/>
      <c r="AD38" s="731"/>
    </row>
    <row r="39" spans="1:30" ht="15" customHeight="1">
      <c r="A39" s="225">
        <v>31</v>
      </c>
      <c r="B39" s="217"/>
      <c r="C39" s="217"/>
      <c r="D39" s="241" t="s">
        <v>392</v>
      </c>
      <c r="E39" s="217"/>
      <c r="F39" s="241"/>
      <c r="G39" s="241"/>
      <c r="H39" s="728" t="s">
        <v>1112</v>
      </c>
      <c r="I39" s="729">
        <v>59350</v>
      </c>
      <c r="J39" s="728" t="s">
        <v>1113</v>
      </c>
      <c r="K39" s="729" t="s">
        <v>1114</v>
      </c>
      <c r="L39" s="728" t="s">
        <v>1115</v>
      </c>
      <c r="M39" s="728" t="s">
        <v>392</v>
      </c>
      <c r="N39" s="728"/>
      <c r="O39" s="728"/>
      <c r="P39" s="252"/>
      <c r="Q39" s="728" t="s">
        <v>817</v>
      </c>
      <c r="R39" s="731"/>
      <c r="S39" s="728" t="s">
        <v>863</v>
      </c>
      <c r="T39" s="731"/>
      <c r="U39" s="728" t="s">
        <v>1116</v>
      </c>
      <c r="V39" s="732"/>
      <c r="W39" s="732" t="s">
        <v>864</v>
      </c>
      <c r="X39" s="732"/>
      <c r="Y39" s="733"/>
      <c r="Z39" s="728"/>
      <c r="AA39" s="734"/>
      <c r="AB39" s="728"/>
      <c r="AC39" s="731"/>
      <c r="AD39" s="731"/>
    </row>
    <row r="40" spans="1:30" ht="15" customHeight="1">
      <c r="A40" s="225">
        <v>32</v>
      </c>
      <c r="B40" s="217"/>
      <c r="C40" s="217"/>
      <c r="D40" s="241" t="s">
        <v>1117</v>
      </c>
      <c r="E40" s="241"/>
      <c r="F40" s="241"/>
      <c r="G40" s="241"/>
      <c r="H40" s="263" t="s">
        <v>1118</v>
      </c>
      <c r="I40" s="729" t="s">
        <v>1119</v>
      </c>
      <c r="J40" s="728"/>
      <c r="K40" s="729" t="s">
        <v>1120</v>
      </c>
      <c r="L40" s="728"/>
      <c r="M40" s="728"/>
      <c r="N40" s="728"/>
      <c r="O40" s="728"/>
      <c r="P40" s="730"/>
      <c r="Q40" s="728" t="s">
        <v>817</v>
      </c>
      <c r="R40" s="731"/>
      <c r="S40" s="728" t="s">
        <v>863</v>
      </c>
      <c r="T40" s="281"/>
      <c r="U40" s="728"/>
      <c r="V40" s="728"/>
      <c r="W40" s="732" t="s">
        <v>864</v>
      </c>
      <c r="X40" s="728"/>
      <c r="Y40" s="733"/>
      <c r="Z40" s="728"/>
      <c r="AA40" s="734"/>
      <c r="AB40" s="728"/>
      <c r="AC40" s="731"/>
      <c r="AD40" s="731"/>
    </row>
    <row r="41" spans="1:30" ht="15" customHeight="1">
      <c r="A41" s="225">
        <v>33</v>
      </c>
      <c r="B41" s="216" t="s">
        <v>2490</v>
      </c>
      <c r="C41" s="514"/>
      <c r="D41" s="513"/>
      <c r="E41" s="513"/>
      <c r="F41" s="513"/>
      <c r="G41" s="513"/>
      <c r="H41" s="766"/>
      <c r="I41" s="767"/>
      <c r="J41" s="766"/>
      <c r="K41" s="729" t="s">
        <v>2491</v>
      </c>
      <c r="L41" s="728"/>
      <c r="M41" s="728"/>
      <c r="N41" s="728"/>
      <c r="O41" s="728"/>
      <c r="P41" s="730"/>
      <c r="Q41" s="728" t="s">
        <v>820</v>
      </c>
      <c r="R41" s="731" t="s">
        <v>864</v>
      </c>
      <c r="S41" s="378" t="s">
        <v>2491</v>
      </c>
      <c r="T41" s="731"/>
      <c r="U41" s="728"/>
      <c r="V41" s="732" t="s">
        <v>2492</v>
      </c>
      <c r="W41" s="732" t="s">
        <v>864</v>
      </c>
      <c r="X41" s="732"/>
      <c r="Y41" s="733"/>
      <c r="Z41" s="728"/>
      <c r="AA41" s="734"/>
      <c r="AB41" s="728"/>
      <c r="AC41" s="731"/>
      <c r="AD41" s="731"/>
    </row>
    <row r="42" spans="1:30" ht="15" customHeight="1">
      <c r="A42" s="225">
        <v>34</v>
      </c>
      <c r="B42" s="217"/>
      <c r="C42" s="262" t="s">
        <v>2493</v>
      </c>
      <c r="D42" s="514"/>
      <c r="E42" s="513"/>
      <c r="F42" s="513"/>
      <c r="G42" s="513"/>
      <c r="H42" s="766"/>
      <c r="I42" s="767"/>
      <c r="J42" s="766"/>
      <c r="K42" s="729" t="s">
        <v>2494</v>
      </c>
      <c r="L42" s="728"/>
      <c r="M42" s="728"/>
      <c r="N42" s="728"/>
      <c r="O42" s="728"/>
      <c r="P42" s="730"/>
      <c r="Q42" s="728" t="s">
        <v>817</v>
      </c>
      <c r="R42" s="731" t="s">
        <v>864</v>
      </c>
      <c r="S42" s="378" t="s">
        <v>2495</v>
      </c>
      <c r="T42" s="731"/>
      <c r="U42" s="728"/>
      <c r="V42" s="732" t="s">
        <v>2492</v>
      </c>
      <c r="W42" s="732" t="s">
        <v>864</v>
      </c>
      <c r="X42" s="732"/>
      <c r="Y42" s="733"/>
      <c r="Z42" s="728"/>
      <c r="AA42" s="734"/>
      <c r="AB42" s="728"/>
      <c r="AC42" s="731"/>
      <c r="AD42" s="731"/>
    </row>
    <row r="43" spans="1:30" ht="15" customHeight="1">
      <c r="A43" s="225">
        <v>35</v>
      </c>
      <c r="B43" s="217"/>
      <c r="C43" s="219"/>
      <c r="D43" s="219" t="s">
        <v>1534</v>
      </c>
      <c r="E43" s="241"/>
      <c r="F43" s="241"/>
      <c r="G43" s="241"/>
      <c r="H43" s="728" t="s">
        <v>2496</v>
      </c>
      <c r="I43" s="729"/>
      <c r="J43" s="728"/>
      <c r="K43" s="729" t="s">
        <v>1536</v>
      </c>
      <c r="L43" s="728"/>
      <c r="M43" s="728"/>
      <c r="N43" s="728"/>
      <c r="O43" s="728"/>
      <c r="P43" s="730"/>
      <c r="Q43" s="728" t="s">
        <v>817</v>
      </c>
      <c r="R43" s="731"/>
      <c r="S43" s="728" t="s">
        <v>863</v>
      </c>
      <c r="T43" s="731"/>
      <c r="U43" s="728"/>
      <c r="V43" s="732" t="s">
        <v>2492</v>
      </c>
      <c r="W43" s="732" t="s">
        <v>864</v>
      </c>
      <c r="X43" s="732"/>
      <c r="Y43" s="733"/>
      <c r="Z43" s="728"/>
      <c r="AA43" s="734"/>
      <c r="AB43" s="728"/>
      <c r="AC43" s="731"/>
      <c r="AD43" s="731"/>
    </row>
    <row r="44" spans="1:30" ht="15" customHeight="1">
      <c r="A44" s="225">
        <v>36</v>
      </c>
      <c r="B44" s="217"/>
      <c r="C44" s="219"/>
      <c r="D44" s="219" t="s">
        <v>1537</v>
      </c>
      <c r="E44" s="241"/>
      <c r="F44" s="241"/>
      <c r="G44" s="241"/>
      <c r="H44" s="728" t="s">
        <v>1538</v>
      </c>
      <c r="I44" s="729"/>
      <c r="J44" s="728"/>
      <c r="K44" s="729" t="s">
        <v>1539</v>
      </c>
      <c r="L44" s="728"/>
      <c r="M44" s="728"/>
      <c r="N44" s="728"/>
      <c r="O44" s="728"/>
      <c r="P44" s="730"/>
      <c r="Q44" s="728" t="s">
        <v>817</v>
      </c>
      <c r="R44" s="731"/>
      <c r="S44" s="728" t="s">
        <v>863</v>
      </c>
      <c r="T44" s="731"/>
      <c r="U44" s="728"/>
      <c r="V44" s="732" t="s">
        <v>2492</v>
      </c>
      <c r="W44" s="732" t="s">
        <v>864</v>
      </c>
      <c r="X44" s="732"/>
      <c r="Y44" s="733"/>
      <c r="Z44" s="728"/>
      <c r="AA44" s="734"/>
      <c r="AB44" s="728"/>
      <c r="AC44" s="731"/>
      <c r="AD44" s="731"/>
    </row>
    <row r="45" spans="1:30" ht="15" customHeight="1">
      <c r="A45" s="225">
        <v>37</v>
      </c>
      <c r="B45" s="217"/>
      <c r="C45" s="219"/>
      <c r="D45" s="219" t="s">
        <v>1540</v>
      </c>
      <c r="E45" s="241"/>
      <c r="F45" s="241"/>
      <c r="G45" s="241"/>
      <c r="H45" s="728" t="s">
        <v>1541</v>
      </c>
      <c r="I45" s="729"/>
      <c r="J45" s="728"/>
      <c r="K45" s="729" t="s">
        <v>1542</v>
      </c>
      <c r="L45" s="728"/>
      <c r="M45" s="728"/>
      <c r="N45" s="728"/>
      <c r="O45" s="728"/>
      <c r="P45" s="730"/>
      <c r="Q45" s="728" t="s">
        <v>817</v>
      </c>
      <c r="R45" s="731"/>
      <c r="S45" s="728" t="s">
        <v>863</v>
      </c>
      <c r="T45" s="731"/>
      <c r="U45" s="728"/>
      <c r="V45" s="732" t="s">
        <v>2492</v>
      </c>
      <c r="W45" s="732" t="s">
        <v>864</v>
      </c>
      <c r="X45" s="732"/>
      <c r="Y45" s="733"/>
      <c r="Z45" s="728"/>
      <c r="AA45" s="734"/>
      <c r="AB45" s="728"/>
      <c r="AC45" s="731"/>
      <c r="AD45" s="731"/>
    </row>
    <row r="46" spans="1:30" ht="15" customHeight="1">
      <c r="A46" s="225">
        <v>38</v>
      </c>
      <c r="B46" s="217"/>
      <c r="C46" s="219"/>
      <c r="D46" s="241" t="s">
        <v>2497</v>
      </c>
      <c r="E46" s="241"/>
      <c r="F46" s="241"/>
      <c r="G46" s="241"/>
      <c r="H46" s="728" t="s">
        <v>2498</v>
      </c>
      <c r="I46" s="729"/>
      <c r="J46" s="728"/>
      <c r="K46" s="729" t="s">
        <v>2499</v>
      </c>
      <c r="L46" s="728"/>
      <c r="M46" s="728"/>
      <c r="N46" s="728"/>
      <c r="O46" s="728"/>
      <c r="P46" s="730"/>
      <c r="Q46" s="728" t="s">
        <v>817</v>
      </c>
      <c r="R46" s="731"/>
      <c r="S46" s="728" t="s">
        <v>863</v>
      </c>
      <c r="T46" s="731"/>
      <c r="U46" s="728"/>
      <c r="V46" s="732" t="s">
        <v>2492</v>
      </c>
      <c r="W46" s="732" t="s">
        <v>864</v>
      </c>
      <c r="X46" s="732"/>
      <c r="Y46" s="733"/>
      <c r="Z46" s="728"/>
      <c r="AA46" s="734"/>
      <c r="AB46" s="728"/>
      <c r="AC46" s="731"/>
      <c r="AD46" s="731"/>
    </row>
    <row r="47" spans="1:30" ht="15" customHeight="1">
      <c r="A47" s="225">
        <v>39</v>
      </c>
      <c r="B47" s="217"/>
      <c r="C47" s="262" t="s">
        <v>2500</v>
      </c>
      <c r="D47" s="513"/>
      <c r="E47" s="513"/>
      <c r="F47" s="513"/>
      <c r="G47" s="513"/>
      <c r="H47" s="766"/>
      <c r="I47" s="767"/>
      <c r="J47" s="766"/>
      <c r="K47" s="729" t="s">
        <v>2501</v>
      </c>
      <c r="L47" s="728"/>
      <c r="M47" s="728"/>
      <c r="N47" s="728"/>
      <c r="O47" s="728"/>
      <c r="P47" s="730"/>
      <c r="Q47" s="728" t="s">
        <v>817</v>
      </c>
      <c r="R47" s="731"/>
      <c r="S47" s="378" t="s">
        <v>2501</v>
      </c>
      <c r="T47" s="731"/>
      <c r="U47" s="728"/>
      <c r="V47" s="732" t="s">
        <v>864</v>
      </c>
      <c r="W47" s="732" t="s">
        <v>864</v>
      </c>
      <c r="X47" s="732"/>
      <c r="Y47" s="733"/>
      <c r="Z47" s="728"/>
      <c r="AA47" s="734"/>
      <c r="AB47" s="728"/>
      <c r="AC47" s="731"/>
      <c r="AD47" s="731"/>
    </row>
    <row r="48" spans="1:30" ht="15" customHeight="1">
      <c r="A48" s="225">
        <v>40</v>
      </c>
      <c r="B48" s="217"/>
      <c r="C48" s="219"/>
      <c r="D48" s="219" t="s">
        <v>2502</v>
      </c>
      <c r="E48" s="241"/>
      <c r="F48" s="241"/>
      <c r="G48" s="241"/>
      <c r="H48" s="728" t="s">
        <v>2503</v>
      </c>
      <c r="I48" s="729"/>
      <c r="J48" s="728"/>
      <c r="K48" s="729" t="s">
        <v>2504</v>
      </c>
      <c r="L48" s="728"/>
      <c r="M48" s="728"/>
      <c r="N48" s="728"/>
      <c r="O48" s="728"/>
      <c r="P48" s="730"/>
      <c r="Q48" s="728" t="s">
        <v>817</v>
      </c>
      <c r="R48" s="731"/>
      <c r="S48" s="728" t="s">
        <v>863</v>
      </c>
      <c r="T48" s="731"/>
      <c r="U48" s="728"/>
      <c r="V48" s="732" t="s">
        <v>864</v>
      </c>
      <c r="W48" s="732" t="s">
        <v>864</v>
      </c>
      <c r="X48" s="732"/>
      <c r="Y48" s="733"/>
      <c r="Z48" s="728"/>
      <c r="AA48" s="734"/>
      <c r="AB48" s="728"/>
      <c r="AC48" s="731"/>
      <c r="AD48" s="731"/>
    </row>
    <row r="49" spans="1:30" ht="15" customHeight="1">
      <c r="A49" s="225">
        <v>41</v>
      </c>
      <c r="B49" s="217"/>
      <c r="C49" s="219"/>
      <c r="D49" s="219" t="s">
        <v>2505</v>
      </c>
      <c r="E49" s="241"/>
      <c r="F49" s="241"/>
      <c r="G49" s="241"/>
      <c r="H49" s="728" t="s">
        <v>2506</v>
      </c>
      <c r="I49" s="729"/>
      <c r="J49" s="728"/>
      <c r="K49" s="729" t="s">
        <v>2507</v>
      </c>
      <c r="L49" s="728"/>
      <c r="M49" s="728"/>
      <c r="N49" s="728"/>
      <c r="O49" s="728"/>
      <c r="P49" s="730"/>
      <c r="Q49" s="728" t="s">
        <v>817</v>
      </c>
      <c r="R49" s="731"/>
      <c r="S49" s="728" t="s">
        <v>1655</v>
      </c>
      <c r="T49" s="731"/>
      <c r="U49" s="728"/>
      <c r="V49" s="732" t="s">
        <v>864</v>
      </c>
      <c r="W49" s="732" t="s">
        <v>864</v>
      </c>
      <c r="X49" s="732"/>
      <c r="Y49" s="733"/>
      <c r="Z49" s="728"/>
      <c r="AA49" s="734"/>
      <c r="AB49" s="728"/>
      <c r="AC49" s="731"/>
      <c r="AD49" s="731"/>
    </row>
    <row r="50" spans="1:30" ht="15" customHeight="1">
      <c r="A50" s="225">
        <v>42</v>
      </c>
      <c r="B50" s="217"/>
      <c r="C50" s="219"/>
      <c r="D50" s="219" t="s">
        <v>2508</v>
      </c>
      <c r="E50" s="241"/>
      <c r="F50" s="241"/>
      <c r="G50" s="241"/>
      <c r="H50" s="728"/>
      <c r="I50" s="729"/>
      <c r="J50" s="728"/>
      <c r="K50" s="729" t="s">
        <v>2509</v>
      </c>
      <c r="L50" s="728"/>
      <c r="M50" s="728"/>
      <c r="N50" s="728"/>
      <c r="O50" s="728"/>
      <c r="P50" s="730"/>
      <c r="Q50" s="728" t="s">
        <v>817</v>
      </c>
      <c r="R50" s="731"/>
      <c r="S50" s="728" t="s">
        <v>863</v>
      </c>
      <c r="T50" s="731"/>
      <c r="U50" s="728"/>
      <c r="V50" s="732" t="s">
        <v>864</v>
      </c>
      <c r="W50" s="732" t="s">
        <v>864</v>
      </c>
      <c r="X50" s="732"/>
      <c r="Y50" s="733"/>
      <c r="Z50" s="728"/>
      <c r="AA50" s="734"/>
      <c r="AB50" s="728"/>
      <c r="AC50" s="731"/>
      <c r="AD50" s="731"/>
    </row>
    <row r="51" spans="1:30" ht="15" customHeight="1">
      <c r="A51" s="225">
        <v>43</v>
      </c>
      <c r="B51" s="217"/>
      <c r="C51" s="219"/>
      <c r="D51" s="219" t="s">
        <v>2510</v>
      </c>
      <c r="E51" s="241"/>
      <c r="F51" s="241"/>
      <c r="G51" s="241"/>
      <c r="H51" s="728"/>
      <c r="I51" s="729"/>
      <c r="J51" s="728"/>
      <c r="K51" s="729" t="s">
        <v>2511</v>
      </c>
      <c r="L51" s="728"/>
      <c r="M51" s="728"/>
      <c r="N51" s="728"/>
      <c r="O51" s="728"/>
      <c r="P51" s="730"/>
      <c r="Q51" s="728" t="s">
        <v>817</v>
      </c>
      <c r="R51" s="731"/>
      <c r="S51" s="728" t="s">
        <v>863</v>
      </c>
      <c r="T51" s="731"/>
      <c r="U51" s="728"/>
      <c r="V51" s="732" t="s">
        <v>864</v>
      </c>
      <c r="W51" s="732" t="s">
        <v>864</v>
      </c>
      <c r="X51" s="732"/>
      <c r="Y51" s="733"/>
      <c r="Z51" s="728"/>
      <c r="AA51" s="734"/>
      <c r="AB51" s="728"/>
      <c r="AC51" s="731"/>
      <c r="AD51" s="731"/>
    </row>
    <row r="52" spans="1:30" ht="15" customHeight="1">
      <c r="A52" s="225">
        <v>44</v>
      </c>
      <c r="B52" s="217"/>
      <c r="C52" s="219"/>
      <c r="D52" s="219" t="s">
        <v>2512</v>
      </c>
      <c r="E52" s="241"/>
      <c r="F52" s="241"/>
      <c r="G52" s="241"/>
      <c r="H52" s="728" t="s">
        <v>2513</v>
      </c>
      <c r="I52" s="729"/>
      <c r="J52" s="728"/>
      <c r="K52" s="729" t="s">
        <v>2514</v>
      </c>
      <c r="L52" s="728"/>
      <c r="M52" s="728"/>
      <c r="N52" s="728"/>
      <c r="O52" s="728"/>
      <c r="P52" s="730"/>
      <c r="Q52" s="728" t="s">
        <v>817</v>
      </c>
      <c r="R52" s="731"/>
      <c r="S52" s="728" t="s">
        <v>863</v>
      </c>
      <c r="T52" s="731"/>
      <c r="U52" s="728"/>
      <c r="V52" s="732" t="s">
        <v>864</v>
      </c>
      <c r="W52" s="732" t="s">
        <v>864</v>
      </c>
      <c r="X52" s="732"/>
      <c r="Y52" s="733"/>
      <c r="Z52" s="728"/>
      <c r="AA52" s="734"/>
      <c r="AB52" s="728"/>
      <c r="AC52" s="731"/>
      <c r="AD52" s="731"/>
    </row>
    <row r="53" spans="1:30" ht="15" customHeight="1">
      <c r="A53" s="225">
        <v>45</v>
      </c>
      <c r="B53" s="217"/>
      <c r="C53" s="219"/>
      <c r="D53" s="219" t="s">
        <v>2515</v>
      </c>
      <c r="E53" s="241"/>
      <c r="F53" s="241"/>
      <c r="G53" s="241"/>
      <c r="H53" s="728"/>
      <c r="I53" s="729"/>
      <c r="J53" s="728"/>
      <c r="K53" s="729" t="s">
        <v>2516</v>
      </c>
      <c r="L53" s="728"/>
      <c r="M53" s="728"/>
      <c r="N53" s="728"/>
      <c r="O53" s="728"/>
      <c r="P53" s="730"/>
      <c r="Q53" s="728" t="s">
        <v>817</v>
      </c>
      <c r="R53" s="731"/>
      <c r="S53" s="728" t="s">
        <v>863</v>
      </c>
      <c r="T53" s="731"/>
      <c r="U53" s="728"/>
      <c r="V53" s="732" t="s">
        <v>864</v>
      </c>
      <c r="W53" s="732" t="s">
        <v>864</v>
      </c>
      <c r="X53" s="732"/>
      <c r="Y53" s="733"/>
      <c r="Z53" s="728"/>
      <c r="AA53" s="734"/>
      <c r="AB53" s="728"/>
      <c r="AC53" s="731"/>
      <c r="AD53" s="731"/>
    </row>
    <row r="54" spans="1:30" ht="15" customHeight="1">
      <c r="A54" s="225">
        <v>46</v>
      </c>
      <c r="B54" s="217"/>
      <c r="C54" s="219"/>
      <c r="D54" s="219" t="s">
        <v>2517</v>
      </c>
      <c r="E54" s="241"/>
      <c r="F54" s="241"/>
      <c r="G54" s="241"/>
      <c r="H54" s="728"/>
      <c r="I54" s="729"/>
      <c r="J54" s="728"/>
      <c r="K54" s="729" t="s">
        <v>2518</v>
      </c>
      <c r="L54" s="728"/>
      <c r="M54" s="728"/>
      <c r="N54" s="728"/>
      <c r="O54" s="728"/>
      <c r="P54" s="730"/>
      <c r="Q54" s="728" t="s">
        <v>817</v>
      </c>
      <c r="R54" s="731"/>
      <c r="S54" s="728" t="s">
        <v>1655</v>
      </c>
      <c r="T54" s="731"/>
      <c r="U54" s="728"/>
      <c r="V54" s="732" t="s">
        <v>864</v>
      </c>
      <c r="W54" s="732" t="s">
        <v>864</v>
      </c>
      <c r="X54" s="732"/>
      <c r="Y54" s="733"/>
      <c r="Z54" s="728"/>
      <c r="AA54" s="734"/>
      <c r="AB54" s="728"/>
      <c r="AC54" s="731"/>
      <c r="AD54" s="731"/>
    </row>
    <row r="55" spans="1:30" ht="15" customHeight="1">
      <c r="A55" s="225">
        <v>47</v>
      </c>
      <c r="B55" s="217"/>
      <c r="C55" s="219"/>
      <c r="D55" s="219" t="s">
        <v>2519</v>
      </c>
      <c r="E55" s="241"/>
      <c r="F55" s="241"/>
      <c r="G55" s="241"/>
      <c r="H55" s="728"/>
      <c r="I55" s="729"/>
      <c r="J55" s="728"/>
      <c r="K55" s="729" t="s">
        <v>2520</v>
      </c>
      <c r="L55" s="728"/>
      <c r="M55" s="728"/>
      <c r="N55" s="728"/>
      <c r="O55" s="728"/>
      <c r="P55" s="730"/>
      <c r="Q55" s="728" t="s">
        <v>817</v>
      </c>
      <c r="R55" s="731"/>
      <c r="S55" s="728" t="s">
        <v>863</v>
      </c>
      <c r="T55" s="731"/>
      <c r="U55" s="728"/>
      <c r="V55" s="732" t="s">
        <v>864</v>
      </c>
      <c r="W55" s="732" t="s">
        <v>864</v>
      </c>
      <c r="X55" s="732"/>
      <c r="Y55" s="733"/>
      <c r="Z55" s="728"/>
      <c r="AA55" s="734"/>
      <c r="AB55" s="728"/>
      <c r="AC55" s="731"/>
      <c r="AD55" s="731"/>
    </row>
    <row r="56" spans="1:30" ht="15" customHeight="1">
      <c r="A56" s="225">
        <v>48</v>
      </c>
      <c r="B56" s="217"/>
      <c r="C56" s="219"/>
      <c r="D56" s="219" t="s">
        <v>2521</v>
      </c>
      <c r="E56" s="241"/>
      <c r="F56" s="241"/>
      <c r="G56" s="241"/>
      <c r="H56" s="728"/>
      <c r="I56" s="729"/>
      <c r="J56" s="728"/>
      <c r="K56" s="729" t="s">
        <v>2522</v>
      </c>
      <c r="L56" s="728"/>
      <c r="M56" s="728"/>
      <c r="N56" s="728"/>
      <c r="O56" s="728"/>
      <c r="P56" s="730"/>
      <c r="Q56" s="728" t="s">
        <v>817</v>
      </c>
      <c r="R56" s="731"/>
      <c r="S56" s="728" t="s">
        <v>863</v>
      </c>
      <c r="T56" s="731"/>
      <c r="U56" s="728"/>
      <c r="V56" s="732" t="s">
        <v>864</v>
      </c>
      <c r="W56" s="732" t="s">
        <v>864</v>
      </c>
      <c r="X56" s="732"/>
      <c r="Y56" s="733"/>
      <c r="Z56" s="728"/>
      <c r="AA56" s="734"/>
      <c r="AB56" s="728"/>
      <c r="AC56" s="731"/>
      <c r="AD56" s="731"/>
    </row>
    <row r="57" spans="1:30" ht="15" customHeight="1">
      <c r="A57" s="225">
        <v>49</v>
      </c>
      <c r="B57" s="217"/>
      <c r="C57" s="262" t="s">
        <v>2523</v>
      </c>
      <c r="D57" s="513"/>
      <c r="E57" s="513"/>
      <c r="F57" s="513"/>
      <c r="G57" s="513"/>
      <c r="H57" s="766"/>
      <c r="I57" s="767"/>
      <c r="J57" s="766"/>
      <c r="K57" s="729" t="s">
        <v>2524</v>
      </c>
      <c r="L57" s="728"/>
      <c r="M57" s="728"/>
      <c r="N57" s="728"/>
      <c r="O57" s="728"/>
      <c r="P57" s="730"/>
      <c r="Q57" s="728" t="s">
        <v>817</v>
      </c>
      <c r="R57" s="731"/>
      <c r="S57" s="378" t="s">
        <v>2524</v>
      </c>
      <c r="T57" s="731"/>
      <c r="U57" s="728"/>
      <c r="V57" s="732"/>
      <c r="W57" s="732" t="s">
        <v>864</v>
      </c>
      <c r="X57" s="732"/>
      <c r="Y57" s="733"/>
      <c r="Z57" s="728"/>
      <c r="AA57" s="734"/>
      <c r="AB57" s="728"/>
      <c r="AC57" s="731"/>
      <c r="AD57" s="731"/>
    </row>
    <row r="58" spans="1:30" ht="15" customHeight="1">
      <c r="A58" s="225">
        <v>50</v>
      </c>
      <c r="B58" s="217"/>
      <c r="C58" s="219"/>
      <c r="D58" s="219" t="s">
        <v>2525</v>
      </c>
      <c r="E58" s="241"/>
      <c r="F58" s="241"/>
      <c r="G58" s="241"/>
      <c r="H58" s="728"/>
      <c r="I58" s="729"/>
      <c r="J58" s="728"/>
      <c r="K58" s="729" t="s">
        <v>2526</v>
      </c>
      <c r="L58" s="728"/>
      <c r="M58" s="728"/>
      <c r="N58" s="728"/>
      <c r="O58" s="728"/>
      <c r="P58" s="730"/>
      <c r="Q58" s="728" t="s">
        <v>817</v>
      </c>
      <c r="R58" s="731"/>
      <c r="S58" s="728" t="s">
        <v>1655</v>
      </c>
      <c r="T58" s="731"/>
      <c r="U58" s="728"/>
      <c r="V58" s="732"/>
      <c r="W58" s="732" t="s">
        <v>864</v>
      </c>
      <c r="X58" s="732"/>
      <c r="Y58" s="733"/>
      <c r="Z58" s="728"/>
      <c r="AA58" s="734"/>
      <c r="AB58" s="728"/>
      <c r="AC58" s="731"/>
      <c r="AD58" s="731"/>
    </row>
    <row r="59" spans="1:30" ht="15" customHeight="1">
      <c r="A59" s="225">
        <v>51</v>
      </c>
      <c r="B59" s="217"/>
      <c r="C59" s="219"/>
      <c r="D59" s="219" t="s">
        <v>2527</v>
      </c>
      <c r="E59" s="241"/>
      <c r="F59" s="241"/>
      <c r="G59" s="241"/>
      <c r="H59" s="728" t="s">
        <v>2528</v>
      </c>
      <c r="I59" s="729"/>
      <c r="J59" s="728"/>
      <c r="K59" s="729" t="s">
        <v>2529</v>
      </c>
      <c r="L59" s="728"/>
      <c r="M59" s="728"/>
      <c r="N59" s="728"/>
      <c r="O59" s="728"/>
      <c r="P59" s="730"/>
      <c r="Q59" s="728" t="s">
        <v>817</v>
      </c>
      <c r="R59" s="731"/>
      <c r="S59" s="728" t="s">
        <v>863</v>
      </c>
      <c r="T59" s="731"/>
      <c r="U59" s="728"/>
      <c r="V59" s="732"/>
      <c r="W59" s="732" t="s">
        <v>864</v>
      </c>
      <c r="X59" s="732"/>
      <c r="Y59" s="733"/>
      <c r="Z59" s="728"/>
      <c r="AA59" s="734"/>
      <c r="AB59" s="728"/>
      <c r="AC59" s="731"/>
      <c r="AD59" s="731"/>
    </row>
    <row r="60" spans="1:30" ht="15" customHeight="1">
      <c r="A60" s="225">
        <v>52</v>
      </c>
      <c r="B60" s="217"/>
      <c r="C60" s="219"/>
      <c r="D60" s="219" t="s">
        <v>2530</v>
      </c>
      <c r="E60" s="241"/>
      <c r="F60" s="241"/>
      <c r="G60" s="241"/>
      <c r="H60" s="728" t="s">
        <v>2531</v>
      </c>
      <c r="I60" s="729"/>
      <c r="J60" s="728"/>
      <c r="K60" s="729" t="s">
        <v>2532</v>
      </c>
      <c r="L60" s="728"/>
      <c r="M60" s="728"/>
      <c r="N60" s="728"/>
      <c r="O60" s="728"/>
      <c r="P60" s="730"/>
      <c r="Q60" s="728" t="s">
        <v>817</v>
      </c>
      <c r="R60" s="731"/>
      <c r="S60" s="728" t="s">
        <v>863</v>
      </c>
      <c r="T60" s="731"/>
      <c r="U60" s="728"/>
      <c r="V60" s="732"/>
      <c r="W60" s="732" t="s">
        <v>864</v>
      </c>
      <c r="X60" s="732"/>
      <c r="Y60" s="733"/>
      <c r="Z60" s="728"/>
      <c r="AA60" s="734"/>
      <c r="AB60" s="728"/>
      <c r="AC60" s="731"/>
      <c r="AD60" s="731"/>
    </row>
    <row r="61" spans="1:30" ht="15" customHeight="1">
      <c r="A61" s="225">
        <v>53</v>
      </c>
      <c r="B61" s="217"/>
      <c r="C61" s="219"/>
      <c r="D61" s="516" t="s">
        <v>2533</v>
      </c>
      <c r="E61" s="241"/>
      <c r="F61" s="241"/>
      <c r="G61" s="241"/>
      <c r="H61" s="728"/>
      <c r="I61" s="729"/>
      <c r="J61" s="728"/>
      <c r="K61" s="729" t="s">
        <v>2534</v>
      </c>
      <c r="L61" s="728"/>
      <c r="M61" s="728"/>
      <c r="N61" s="728"/>
      <c r="O61" s="728"/>
      <c r="P61" s="730"/>
      <c r="Q61" s="728" t="s">
        <v>817</v>
      </c>
      <c r="R61" s="731"/>
      <c r="S61" s="728" t="s">
        <v>1655</v>
      </c>
      <c r="T61" s="731"/>
      <c r="U61" s="728"/>
      <c r="V61" s="732"/>
      <c r="W61" s="732" t="s">
        <v>864</v>
      </c>
      <c r="X61" s="732"/>
      <c r="Y61" s="733"/>
      <c r="Z61" s="728"/>
      <c r="AA61" s="734"/>
      <c r="AB61" s="728"/>
      <c r="AC61" s="731"/>
      <c r="AD61" s="731"/>
    </row>
    <row r="62" spans="1:30" ht="15" customHeight="1">
      <c r="A62" s="225">
        <v>54</v>
      </c>
      <c r="B62" s="217"/>
      <c r="C62" s="219"/>
      <c r="D62" s="516" t="s">
        <v>2535</v>
      </c>
      <c r="E62" s="241"/>
      <c r="F62" s="241"/>
      <c r="G62" s="241"/>
      <c r="H62" s="728"/>
      <c r="I62" s="729"/>
      <c r="J62" s="728"/>
      <c r="K62" s="729" t="s">
        <v>2536</v>
      </c>
      <c r="L62" s="728"/>
      <c r="M62" s="728"/>
      <c r="N62" s="728"/>
      <c r="O62" s="728"/>
      <c r="P62" s="730"/>
      <c r="Q62" s="728" t="s">
        <v>817</v>
      </c>
      <c r="R62" s="731"/>
      <c r="S62" s="728" t="s">
        <v>1655</v>
      </c>
      <c r="T62" s="731"/>
      <c r="U62" s="728"/>
      <c r="V62" s="732"/>
      <c r="W62" s="732" t="s">
        <v>864</v>
      </c>
      <c r="X62" s="732"/>
      <c r="Y62" s="733"/>
      <c r="Z62" s="728"/>
      <c r="AA62" s="734"/>
      <c r="AB62" s="728"/>
      <c r="AC62" s="731"/>
      <c r="AD62" s="731"/>
    </row>
    <row r="63" spans="1:30" ht="15" customHeight="1">
      <c r="A63" s="225">
        <v>55</v>
      </c>
      <c r="B63" s="217"/>
      <c r="C63" s="219"/>
      <c r="D63" s="516" t="s">
        <v>2537</v>
      </c>
      <c r="E63" s="241"/>
      <c r="F63" s="241"/>
      <c r="G63" s="241"/>
      <c r="H63" s="728"/>
      <c r="I63" s="729"/>
      <c r="J63" s="728"/>
      <c r="K63" s="729" t="s">
        <v>2538</v>
      </c>
      <c r="L63" s="728"/>
      <c r="M63" s="728"/>
      <c r="N63" s="728"/>
      <c r="O63" s="728"/>
      <c r="P63" s="730"/>
      <c r="Q63" s="728" t="s">
        <v>817</v>
      </c>
      <c r="R63" s="731"/>
      <c r="S63" s="728" t="s">
        <v>1655</v>
      </c>
      <c r="T63" s="731"/>
      <c r="U63" s="728"/>
      <c r="V63" s="732"/>
      <c r="W63" s="732" t="s">
        <v>864</v>
      </c>
      <c r="X63" s="732"/>
      <c r="Y63" s="733"/>
      <c r="Z63" s="728"/>
      <c r="AA63" s="734"/>
      <c r="AB63" s="728"/>
      <c r="AC63" s="731"/>
      <c r="AD63" s="731"/>
    </row>
    <row r="64" spans="1:30" ht="15" customHeight="1">
      <c r="A64" s="225">
        <v>56</v>
      </c>
      <c r="B64" s="217"/>
      <c r="C64" s="219"/>
      <c r="D64" s="516" t="s">
        <v>2539</v>
      </c>
      <c r="E64" s="241"/>
      <c r="F64" s="241"/>
      <c r="G64" s="241"/>
      <c r="H64" s="728"/>
      <c r="I64" s="729"/>
      <c r="J64" s="728"/>
      <c r="K64" s="729" t="s">
        <v>2540</v>
      </c>
      <c r="L64" s="728"/>
      <c r="M64" s="728"/>
      <c r="N64" s="728"/>
      <c r="O64" s="728"/>
      <c r="P64" s="730"/>
      <c r="Q64" s="728" t="s">
        <v>817</v>
      </c>
      <c r="R64" s="731"/>
      <c r="S64" s="728" t="s">
        <v>1655</v>
      </c>
      <c r="T64" s="731"/>
      <c r="U64" s="728"/>
      <c r="V64" s="732"/>
      <c r="W64" s="732" t="s">
        <v>864</v>
      </c>
      <c r="X64" s="732"/>
      <c r="Y64" s="733"/>
      <c r="Z64" s="728"/>
      <c r="AA64" s="734"/>
      <c r="AB64" s="728"/>
      <c r="AC64" s="731"/>
      <c r="AD64" s="731"/>
    </row>
    <row r="65" spans="1:30" ht="15" customHeight="1">
      <c r="A65" s="225">
        <v>57</v>
      </c>
      <c r="B65" s="217"/>
      <c r="C65" s="219"/>
      <c r="D65" s="241"/>
      <c r="E65" s="241"/>
      <c r="F65" s="241"/>
      <c r="G65" s="241"/>
      <c r="H65" s="728"/>
      <c r="I65" s="729"/>
      <c r="J65" s="728"/>
      <c r="K65" s="729"/>
      <c r="L65" s="728"/>
      <c r="M65" s="728"/>
      <c r="N65" s="728"/>
      <c r="O65" s="728"/>
      <c r="P65" s="730"/>
      <c r="Q65" s="728"/>
      <c r="R65" s="731"/>
      <c r="S65" s="728"/>
      <c r="T65" s="731"/>
      <c r="U65" s="728"/>
      <c r="V65" s="732"/>
      <c r="W65" s="732" t="s">
        <v>864</v>
      </c>
      <c r="X65" s="732"/>
      <c r="Y65" s="733"/>
      <c r="Z65" s="728"/>
      <c r="AA65" s="734"/>
      <c r="AB65" s="728"/>
      <c r="AC65" s="731"/>
      <c r="AD65" s="731"/>
    </row>
    <row r="66" spans="1:30" ht="15" customHeight="1">
      <c r="A66" s="225">
        <v>58</v>
      </c>
      <c r="B66" s="217"/>
      <c r="C66" s="219"/>
      <c r="D66" s="516" t="s">
        <v>2541</v>
      </c>
      <c r="E66" s="241"/>
      <c r="F66" s="241"/>
      <c r="G66" s="241"/>
      <c r="H66" s="728"/>
      <c r="I66" s="729"/>
      <c r="J66" s="728"/>
      <c r="K66" s="729" t="s">
        <v>2542</v>
      </c>
      <c r="L66" s="728"/>
      <c r="M66" s="728"/>
      <c r="N66" s="728"/>
      <c r="O66" s="728"/>
      <c r="P66" s="730"/>
      <c r="Q66" s="728" t="s">
        <v>817</v>
      </c>
      <c r="R66" s="731"/>
      <c r="S66" s="728" t="s">
        <v>1655</v>
      </c>
      <c r="T66" s="731"/>
      <c r="U66" s="728"/>
      <c r="V66" s="732"/>
      <c r="W66" s="732" t="s">
        <v>864</v>
      </c>
      <c r="X66" s="732"/>
      <c r="Y66" s="733"/>
      <c r="Z66" s="728"/>
      <c r="AA66" s="734"/>
      <c r="AB66" s="728"/>
      <c r="AC66" s="731"/>
      <c r="AD66" s="731"/>
    </row>
    <row r="67" spans="1:30" ht="15" customHeight="1">
      <c r="A67" s="225">
        <v>59</v>
      </c>
      <c r="B67" s="217"/>
      <c r="C67" s="219"/>
      <c r="D67" s="516" t="s">
        <v>2543</v>
      </c>
      <c r="E67" s="241"/>
      <c r="F67" s="241"/>
      <c r="G67" s="241"/>
      <c r="H67" s="728"/>
      <c r="I67" s="729"/>
      <c r="J67" s="728"/>
      <c r="K67" s="729" t="s">
        <v>2544</v>
      </c>
      <c r="L67" s="728"/>
      <c r="M67" s="728"/>
      <c r="N67" s="728"/>
      <c r="O67" s="728"/>
      <c r="P67" s="730"/>
      <c r="Q67" s="728" t="s">
        <v>817</v>
      </c>
      <c r="R67" s="731"/>
      <c r="S67" s="728" t="s">
        <v>1655</v>
      </c>
      <c r="T67" s="731"/>
      <c r="U67" s="728"/>
      <c r="V67" s="732"/>
      <c r="W67" s="732" t="s">
        <v>864</v>
      </c>
      <c r="X67" s="732"/>
      <c r="Y67" s="733"/>
      <c r="Z67" s="728"/>
      <c r="AA67" s="734"/>
      <c r="AB67" s="728"/>
      <c r="AC67" s="731"/>
      <c r="AD67" s="731"/>
    </row>
    <row r="68" spans="1:30" ht="15" customHeight="1">
      <c r="A68" s="225">
        <v>60</v>
      </c>
      <c r="B68" s="217"/>
      <c r="C68" s="219"/>
      <c r="D68" s="516" t="s">
        <v>2545</v>
      </c>
      <c r="E68" s="241"/>
      <c r="F68" s="241"/>
      <c r="G68" s="241"/>
      <c r="H68" s="728"/>
      <c r="I68" s="729"/>
      <c r="J68" s="728"/>
      <c r="K68" s="729" t="s">
        <v>2546</v>
      </c>
      <c r="L68" s="728"/>
      <c r="M68" s="728"/>
      <c r="N68" s="728"/>
      <c r="O68" s="728"/>
      <c r="P68" s="730"/>
      <c r="Q68" s="728" t="s">
        <v>817</v>
      </c>
      <c r="R68" s="731"/>
      <c r="S68" s="728" t="s">
        <v>1655</v>
      </c>
      <c r="T68" s="731"/>
      <c r="U68" s="728"/>
      <c r="V68" s="732"/>
      <c r="W68" s="732" t="s">
        <v>864</v>
      </c>
      <c r="X68" s="732"/>
      <c r="Y68" s="733"/>
      <c r="Z68" s="728"/>
      <c r="AA68" s="734"/>
      <c r="AB68" s="728"/>
      <c r="AC68" s="731"/>
      <c r="AD68" s="731"/>
    </row>
    <row r="69" spans="1:30" ht="15" customHeight="1">
      <c r="A69" s="225">
        <v>61</v>
      </c>
      <c r="B69" s="216" t="s">
        <v>2547</v>
      </c>
      <c r="C69" s="514"/>
      <c r="D69" s="513"/>
      <c r="E69" s="513"/>
      <c r="F69" s="513"/>
      <c r="G69" s="513"/>
      <c r="H69" s="766"/>
      <c r="I69" s="767"/>
      <c r="J69" s="766"/>
      <c r="K69" s="729" t="s">
        <v>1982</v>
      </c>
      <c r="L69" s="728"/>
      <c r="M69" s="728"/>
      <c r="N69" s="728"/>
      <c r="O69" s="728"/>
      <c r="P69" s="730"/>
      <c r="Q69" s="728" t="s">
        <v>817</v>
      </c>
      <c r="R69" s="731"/>
      <c r="S69" s="728"/>
      <c r="T69" s="731"/>
      <c r="U69" s="728"/>
      <c r="V69" s="732"/>
      <c r="W69" s="732" t="s">
        <v>864</v>
      </c>
      <c r="X69" s="732"/>
      <c r="Y69" s="733"/>
      <c r="Z69" s="728"/>
      <c r="AA69" s="734"/>
      <c r="AB69" s="728"/>
      <c r="AC69" s="731"/>
      <c r="AD69" s="731"/>
    </row>
    <row r="70" spans="1:30" ht="15" customHeight="1">
      <c r="A70" s="225">
        <v>62</v>
      </c>
      <c r="B70" s="217"/>
      <c r="C70" s="219" t="s">
        <v>2548</v>
      </c>
      <c r="D70" s="241"/>
      <c r="E70" s="241"/>
      <c r="F70" s="241"/>
      <c r="G70" s="241"/>
      <c r="H70" s="728" t="s">
        <v>2549</v>
      </c>
      <c r="I70" s="729"/>
      <c r="J70" s="728"/>
      <c r="K70" s="729" t="s">
        <v>2550</v>
      </c>
      <c r="L70" s="728"/>
      <c r="M70" s="728"/>
      <c r="N70" s="728"/>
      <c r="O70" s="728"/>
      <c r="P70" s="730"/>
      <c r="Q70" s="728" t="s">
        <v>817</v>
      </c>
      <c r="R70" s="731"/>
      <c r="S70" s="728"/>
      <c r="T70" s="731"/>
      <c r="U70" s="728"/>
      <c r="V70" s="732"/>
      <c r="W70" s="732" t="s">
        <v>864</v>
      </c>
      <c r="X70" s="732"/>
      <c r="Y70" s="733"/>
      <c r="Z70" s="728"/>
      <c r="AA70" s="734"/>
      <c r="AB70" s="728"/>
      <c r="AC70" s="731"/>
      <c r="AD70" s="731"/>
    </row>
    <row r="71" spans="1:30" ht="15" customHeight="1">
      <c r="A71" s="225">
        <v>63</v>
      </c>
      <c r="B71" s="217"/>
      <c r="C71" s="219" t="s">
        <v>2551</v>
      </c>
      <c r="D71" s="241"/>
      <c r="E71" s="241"/>
      <c r="F71" s="241"/>
      <c r="G71" s="241"/>
      <c r="H71" s="728" t="s">
        <v>2552</v>
      </c>
      <c r="I71" s="729"/>
      <c r="J71" s="728"/>
      <c r="K71" s="729" t="s">
        <v>2511</v>
      </c>
      <c r="L71" s="728"/>
      <c r="M71" s="728"/>
      <c r="N71" s="728"/>
      <c r="O71" s="728"/>
      <c r="P71" s="730"/>
      <c r="Q71" s="728" t="s">
        <v>817</v>
      </c>
      <c r="R71" s="731"/>
      <c r="S71" s="728"/>
      <c r="T71" s="731"/>
      <c r="U71" s="728"/>
      <c r="V71" s="732"/>
      <c r="W71" s="732" t="s">
        <v>864</v>
      </c>
      <c r="X71" s="732"/>
      <c r="Y71" s="733"/>
      <c r="Z71" s="728"/>
      <c r="AA71" s="734"/>
      <c r="AB71" s="728"/>
      <c r="AC71" s="731"/>
      <c r="AD71" s="731"/>
    </row>
    <row r="72" spans="1:30" ht="15" customHeight="1">
      <c r="A72" s="225">
        <v>64</v>
      </c>
      <c r="B72" s="217"/>
      <c r="C72" s="219" t="s">
        <v>2553</v>
      </c>
      <c r="D72" s="241"/>
      <c r="E72" s="241"/>
      <c r="F72" s="241"/>
      <c r="G72" s="241"/>
      <c r="H72" s="728"/>
      <c r="I72" s="729"/>
      <c r="J72" s="728"/>
      <c r="K72" s="729" t="s">
        <v>2554</v>
      </c>
      <c r="L72" s="728"/>
      <c r="M72" s="728"/>
      <c r="N72" s="728"/>
      <c r="O72" s="728"/>
      <c r="P72" s="730"/>
      <c r="Q72" s="728" t="s">
        <v>817</v>
      </c>
      <c r="R72" s="731"/>
      <c r="S72" s="728" t="s">
        <v>1655</v>
      </c>
      <c r="T72" s="731"/>
      <c r="U72" s="728"/>
      <c r="V72" s="732"/>
      <c r="W72" s="732" t="s">
        <v>864</v>
      </c>
      <c r="X72" s="732"/>
      <c r="Y72" s="733"/>
      <c r="Z72" s="728"/>
      <c r="AA72" s="734"/>
      <c r="AB72" s="728"/>
      <c r="AC72" s="731"/>
      <c r="AD72" s="731"/>
    </row>
    <row r="73" spans="1:30" ht="15" customHeight="1">
      <c r="A73" s="225">
        <v>65</v>
      </c>
      <c r="B73" s="217"/>
      <c r="C73" s="219" t="s">
        <v>2555</v>
      </c>
      <c r="D73" s="241"/>
      <c r="E73" s="241"/>
      <c r="F73" s="241"/>
      <c r="G73" s="241"/>
      <c r="H73" s="728"/>
      <c r="I73" s="729"/>
      <c r="J73" s="728"/>
      <c r="K73" s="729"/>
      <c r="L73" s="728"/>
      <c r="M73" s="728"/>
      <c r="N73" s="728"/>
      <c r="O73" s="728"/>
      <c r="P73" s="730"/>
      <c r="Q73" s="728" t="s">
        <v>817</v>
      </c>
      <c r="R73" s="731"/>
      <c r="S73" s="728" t="s">
        <v>1655</v>
      </c>
      <c r="T73" s="731"/>
      <c r="U73" s="728"/>
      <c r="V73" s="732"/>
      <c r="W73" s="732" t="s">
        <v>864</v>
      </c>
      <c r="X73" s="732"/>
      <c r="Y73" s="733"/>
      <c r="Z73" s="728"/>
      <c r="AA73" s="734"/>
      <c r="AB73" s="728"/>
      <c r="AC73" s="731"/>
      <c r="AD73" s="731"/>
    </row>
    <row r="74" spans="1:30" ht="15" customHeight="1">
      <c r="A74" s="225">
        <v>66</v>
      </c>
      <c r="B74" s="217"/>
      <c r="C74" s="219" t="s">
        <v>2556</v>
      </c>
      <c r="D74" s="241"/>
      <c r="E74" s="241"/>
      <c r="F74" s="241"/>
      <c r="G74" s="241"/>
      <c r="H74" s="728"/>
      <c r="I74" s="729"/>
      <c r="J74" s="728"/>
      <c r="K74" s="729" t="s">
        <v>2557</v>
      </c>
      <c r="L74" s="728"/>
      <c r="M74" s="728"/>
      <c r="N74" s="728"/>
      <c r="O74" s="728"/>
      <c r="P74" s="730"/>
      <c r="Q74" s="728" t="s">
        <v>817</v>
      </c>
      <c r="R74" s="731"/>
      <c r="S74" s="728" t="s">
        <v>1655</v>
      </c>
      <c r="T74" s="731"/>
      <c r="U74" s="728"/>
      <c r="V74" s="732"/>
      <c r="W74" s="732" t="s">
        <v>864</v>
      </c>
      <c r="X74" s="732"/>
      <c r="Y74" s="733"/>
      <c r="Z74" s="728"/>
      <c r="AA74" s="734"/>
      <c r="AB74" s="728"/>
      <c r="AC74" s="731"/>
      <c r="AD74" s="731"/>
    </row>
    <row r="75" spans="1:30" ht="15" customHeight="1">
      <c r="A75" s="225">
        <v>67</v>
      </c>
      <c r="B75" s="217"/>
      <c r="C75" s="219" t="s">
        <v>2558</v>
      </c>
      <c r="D75" s="241"/>
      <c r="E75" s="241"/>
      <c r="F75" s="241"/>
      <c r="G75" s="241"/>
      <c r="H75" s="728"/>
      <c r="I75" s="729"/>
      <c r="J75" s="728"/>
      <c r="K75" s="729" t="s">
        <v>2559</v>
      </c>
      <c r="L75" s="728"/>
      <c r="M75" s="728"/>
      <c r="N75" s="728"/>
      <c r="O75" s="728"/>
      <c r="P75" s="730"/>
      <c r="Q75" s="728" t="s">
        <v>817</v>
      </c>
      <c r="R75" s="731"/>
      <c r="S75" s="728" t="s">
        <v>1655</v>
      </c>
      <c r="T75" s="731"/>
      <c r="U75" s="728"/>
      <c r="V75" s="732"/>
      <c r="W75" s="732" t="s">
        <v>864</v>
      </c>
      <c r="X75" s="732"/>
      <c r="Y75" s="733"/>
      <c r="Z75" s="728"/>
      <c r="AA75" s="734"/>
      <c r="AB75" s="728"/>
      <c r="AC75" s="731"/>
      <c r="AD75" s="731"/>
    </row>
    <row r="76" spans="1:30" ht="15" customHeight="1">
      <c r="A76" s="225">
        <v>68</v>
      </c>
      <c r="B76" s="217"/>
      <c r="C76" s="512" t="s">
        <v>2560</v>
      </c>
      <c r="D76" s="241"/>
      <c r="E76" s="241"/>
      <c r="F76" s="241"/>
      <c r="G76" s="241"/>
      <c r="H76" s="728" t="s">
        <v>2561</v>
      </c>
      <c r="I76" s="729"/>
      <c r="J76" s="728"/>
      <c r="K76" s="729"/>
      <c r="L76" s="728"/>
      <c r="M76" s="728"/>
      <c r="N76" s="728"/>
      <c r="O76" s="728"/>
      <c r="P76" s="730"/>
      <c r="Q76" s="728" t="s">
        <v>817</v>
      </c>
      <c r="R76" s="731"/>
      <c r="S76" s="728" t="s">
        <v>1655</v>
      </c>
      <c r="T76" s="731"/>
      <c r="U76" s="728"/>
      <c r="V76" s="732"/>
      <c r="W76" s="732" t="s">
        <v>864</v>
      </c>
      <c r="X76" s="732"/>
      <c r="Y76" s="733"/>
      <c r="Z76" s="728"/>
      <c r="AA76" s="734"/>
      <c r="AB76" s="728"/>
      <c r="AC76" s="731"/>
      <c r="AD76" s="731"/>
    </row>
    <row r="77" spans="1:30" ht="15" customHeight="1">
      <c r="A77" s="225">
        <v>69</v>
      </c>
      <c r="B77" s="217"/>
      <c r="C77" s="512" t="s">
        <v>2562</v>
      </c>
      <c r="D77" s="241"/>
      <c r="E77" s="241"/>
      <c r="F77" s="241"/>
      <c r="G77" s="241"/>
      <c r="H77" s="728" t="s">
        <v>2563</v>
      </c>
      <c r="I77" s="729"/>
      <c r="J77" s="728"/>
      <c r="K77" s="729"/>
      <c r="L77" s="728"/>
      <c r="M77" s="728"/>
      <c r="N77" s="728"/>
      <c r="O77" s="728"/>
      <c r="P77" s="730"/>
      <c r="Q77" s="728" t="s">
        <v>817</v>
      </c>
      <c r="R77" s="731"/>
      <c r="S77" s="728" t="s">
        <v>1655</v>
      </c>
      <c r="T77" s="731"/>
      <c r="U77" s="728"/>
      <c r="V77" s="732"/>
      <c r="W77" s="732" t="s">
        <v>864</v>
      </c>
      <c r="X77" s="732"/>
      <c r="Y77" s="733"/>
      <c r="Z77" s="728"/>
      <c r="AA77" s="734"/>
      <c r="AB77" s="728"/>
      <c r="AC77" s="731"/>
      <c r="AD77" s="731"/>
    </row>
    <row r="78" spans="1:30" ht="15" customHeight="1">
      <c r="A78" s="225">
        <v>70</v>
      </c>
      <c r="B78" s="217"/>
      <c r="C78" s="512" t="s">
        <v>2564</v>
      </c>
      <c r="D78" s="241"/>
      <c r="E78" s="241"/>
      <c r="F78" s="241"/>
      <c r="G78" s="241"/>
      <c r="H78" s="263" t="s">
        <v>2565</v>
      </c>
      <c r="I78" s="729"/>
      <c r="J78" s="728"/>
      <c r="K78" s="729"/>
      <c r="L78" s="728"/>
      <c r="M78" s="728"/>
      <c r="N78" s="728"/>
      <c r="O78" s="728"/>
      <c r="P78" s="730"/>
      <c r="Q78" s="728" t="s">
        <v>817</v>
      </c>
      <c r="R78" s="731"/>
      <c r="S78" s="728" t="s">
        <v>1655</v>
      </c>
      <c r="T78" s="731"/>
      <c r="U78" s="728"/>
      <c r="V78" s="732"/>
      <c r="W78" s="732" t="s">
        <v>864</v>
      </c>
      <c r="X78" s="732"/>
      <c r="Y78" s="733"/>
      <c r="Z78" s="728"/>
      <c r="AA78" s="734"/>
      <c r="AB78" s="728"/>
      <c r="AC78" s="731"/>
      <c r="AD78" s="731"/>
    </row>
    <row r="79" spans="1:30" ht="15" customHeight="1">
      <c r="A79" s="225">
        <v>71</v>
      </c>
      <c r="B79" s="217"/>
      <c r="C79" s="512" t="s">
        <v>2566</v>
      </c>
      <c r="D79" s="241"/>
      <c r="E79" s="241"/>
      <c r="F79" s="241"/>
      <c r="G79" s="241"/>
      <c r="H79" s="728" t="s">
        <v>2567</v>
      </c>
      <c r="I79" s="729"/>
      <c r="J79" s="728"/>
      <c r="K79" s="729"/>
      <c r="L79" s="728"/>
      <c r="M79" s="728"/>
      <c r="N79" s="728"/>
      <c r="O79" s="728"/>
      <c r="P79" s="730"/>
      <c r="Q79" s="728" t="s">
        <v>817</v>
      </c>
      <c r="R79" s="731"/>
      <c r="S79" s="728" t="s">
        <v>1655</v>
      </c>
      <c r="T79" s="731"/>
      <c r="U79" s="728"/>
      <c r="V79" s="732"/>
      <c r="W79" s="732" t="s">
        <v>864</v>
      </c>
      <c r="X79" s="732"/>
      <c r="Y79" s="733"/>
      <c r="Z79" s="728"/>
      <c r="AA79" s="734"/>
      <c r="AB79" s="728"/>
      <c r="AC79" s="731"/>
      <c r="AD79" s="731"/>
    </row>
    <row r="80" spans="1:30" ht="15" customHeight="1">
      <c r="A80" s="225">
        <v>72</v>
      </c>
      <c r="B80" s="217"/>
      <c r="C80" s="512" t="s">
        <v>2568</v>
      </c>
      <c r="D80" s="241"/>
      <c r="E80" s="241"/>
      <c r="F80" s="241"/>
      <c r="G80" s="241"/>
      <c r="H80" s="263" t="s">
        <v>2569</v>
      </c>
      <c r="I80" s="729"/>
      <c r="J80" s="728"/>
      <c r="K80" s="729"/>
      <c r="L80" s="728"/>
      <c r="M80" s="728"/>
      <c r="N80" s="728"/>
      <c r="O80" s="728"/>
      <c r="P80" s="730"/>
      <c r="Q80" s="728" t="s">
        <v>817</v>
      </c>
      <c r="R80" s="731"/>
      <c r="S80" s="728" t="s">
        <v>1655</v>
      </c>
      <c r="T80" s="731"/>
      <c r="U80" s="728"/>
      <c r="V80" s="732"/>
      <c r="W80" s="732" t="s">
        <v>864</v>
      </c>
      <c r="X80" s="732"/>
      <c r="Y80" s="733"/>
      <c r="Z80" s="728"/>
      <c r="AA80" s="734"/>
      <c r="AB80" s="728"/>
      <c r="AC80" s="731"/>
      <c r="AD80" s="731"/>
    </row>
    <row r="81" spans="1:30" ht="15" customHeight="1">
      <c r="A81" s="225">
        <v>73</v>
      </c>
      <c r="B81" s="217"/>
      <c r="C81" s="512" t="s">
        <v>2570</v>
      </c>
      <c r="D81" s="241"/>
      <c r="E81" s="241"/>
      <c r="F81" s="241"/>
      <c r="G81" s="241"/>
      <c r="H81" s="728" t="s">
        <v>2571</v>
      </c>
      <c r="I81" s="729"/>
      <c r="J81" s="728"/>
      <c r="K81" s="729"/>
      <c r="L81" s="728"/>
      <c r="M81" s="728"/>
      <c r="N81" s="728"/>
      <c r="O81" s="728"/>
      <c r="P81" s="730"/>
      <c r="Q81" s="728" t="s">
        <v>817</v>
      </c>
      <c r="R81" s="731"/>
      <c r="S81" s="728" t="s">
        <v>1655</v>
      </c>
      <c r="T81" s="731"/>
      <c r="U81" s="728"/>
      <c r="V81" s="732"/>
      <c r="W81" s="732" t="s">
        <v>864</v>
      </c>
      <c r="X81" s="732"/>
      <c r="Y81" s="733"/>
      <c r="Z81" s="728"/>
      <c r="AA81" s="734"/>
      <c r="AB81" s="728"/>
      <c r="AC81" s="731"/>
      <c r="AD81" s="731"/>
    </row>
    <row r="82" spans="1:30" ht="15" customHeight="1">
      <c r="A82" s="225">
        <v>74</v>
      </c>
      <c r="B82" s="217"/>
      <c r="C82" s="512" t="s">
        <v>2572</v>
      </c>
      <c r="D82" s="241"/>
      <c r="E82" s="241"/>
      <c r="F82" s="241"/>
      <c r="G82" s="241"/>
      <c r="H82" s="728" t="s">
        <v>2573</v>
      </c>
      <c r="I82" s="729"/>
      <c r="J82" s="728"/>
      <c r="K82" s="729"/>
      <c r="L82" s="728"/>
      <c r="M82" s="728"/>
      <c r="N82" s="728"/>
      <c r="O82" s="728"/>
      <c r="P82" s="730"/>
      <c r="Q82" s="728" t="s">
        <v>817</v>
      </c>
      <c r="R82" s="731"/>
      <c r="S82" s="728" t="s">
        <v>1655</v>
      </c>
      <c r="T82" s="731"/>
      <c r="U82" s="728"/>
      <c r="V82" s="732"/>
      <c r="W82" s="732" t="s">
        <v>864</v>
      </c>
      <c r="X82" s="732"/>
      <c r="Y82" s="733"/>
      <c r="Z82" s="728"/>
      <c r="AA82" s="734"/>
      <c r="AB82" s="728"/>
      <c r="AC82" s="731"/>
      <c r="AD82" s="731"/>
    </row>
    <row r="83" spans="1:30" ht="15" customHeight="1">
      <c r="A83" s="225">
        <v>75</v>
      </c>
      <c r="B83" s="216" t="s">
        <v>2574</v>
      </c>
      <c r="C83" s="514"/>
      <c r="D83" s="513"/>
      <c r="E83" s="513"/>
      <c r="F83" s="513"/>
      <c r="G83" s="513"/>
      <c r="H83" s="766"/>
      <c r="I83" s="767"/>
      <c r="J83" s="766"/>
      <c r="K83" s="729" t="s">
        <v>1559</v>
      </c>
      <c r="L83" s="728"/>
      <c r="M83" s="728"/>
      <c r="N83" s="728"/>
      <c r="O83" s="728"/>
      <c r="P83" s="730"/>
      <c r="Q83" s="728"/>
      <c r="R83" s="731"/>
      <c r="S83" s="728"/>
      <c r="T83" s="731"/>
      <c r="U83" s="728"/>
      <c r="V83" s="732"/>
      <c r="W83" s="732"/>
      <c r="X83" s="769"/>
      <c r="Y83" s="733"/>
      <c r="Z83" s="728"/>
      <c r="AA83" s="734"/>
      <c r="AB83" s="728"/>
      <c r="AC83" s="731"/>
      <c r="AD83" s="731"/>
    </row>
    <row r="84" spans="1:30" ht="15" customHeight="1">
      <c r="A84" s="225">
        <v>76</v>
      </c>
      <c r="B84" s="216"/>
      <c r="C84" s="216" t="s">
        <v>2575</v>
      </c>
      <c r="D84" s="514"/>
      <c r="E84" s="513"/>
      <c r="F84" s="513"/>
      <c r="G84" s="513"/>
      <c r="H84" s="766"/>
      <c r="I84" s="767"/>
      <c r="J84" s="766"/>
      <c r="K84" s="729" t="s">
        <v>2576</v>
      </c>
      <c r="L84" s="728"/>
      <c r="M84" s="728"/>
      <c r="N84" s="728"/>
      <c r="O84" s="728"/>
      <c r="P84" s="730"/>
      <c r="Q84" s="728" t="s">
        <v>817</v>
      </c>
      <c r="R84" s="731" t="s">
        <v>864</v>
      </c>
      <c r="S84" s="729" t="s">
        <v>2577</v>
      </c>
      <c r="T84" s="731"/>
      <c r="U84" s="728"/>
      <c r="V84" s="732"/>
      <c r="W84" s="732"/>
      <c r="X84" s="769"/>
      <c r="Y84" s="733"/>
      <c r="Z84" s="728"/>
      <c r="AA84" s="734"/>
      <c r="AB84" s="728"/>
      <c r="AC84" s="731"/>
      <c r="AD84" s="731"/>
    </row>
    <row r="85" spans="1:30" ht="15" customHeight="1">
      <c r="A85" s="225">
        <v>77</v>
      </c>
      <c r="B85" s="217"/>
      <c r="C85" s="219"/>
      <c r="D85" s="241" t="s">
        <v>1556</v>
      </c>
      <c r="E85" s="241"/>
      <c r="F85" s="241"/>
      <c r="G85" s="241"/>
      <c r="H85" s="728" t="s">
        <v>2442</v>
      </c>
      <c r="I85" s="729"/>
      <c r="J85" s="728"/>
      <c r="K85" s="729" t="s">
        <v>970</v>
      </c>
      <c r="L85" s="728"/>
      <c r="M85" s="728"/>
      <c r="N85" s="728"/>
      <c r="O85" s="728"/>
      <c r="P85" s="730"/>
      <c r="Q85" s="728"/>
      <c r="R85" s="731"/>
      <c r="S85" s="728"/>
      <c r="T85" s="731"/>
      <c r="U85" s="728"/>
      <c r="V85" s="732"/>
      <c r="W85" s="732"/>
      <c r="X85" s="769"/>
      <c r="Y85" s="733"/>
      <c r="Z85" s="728"/>
      <c r="AA85" s="734"/>
      <c r="AB85" s="728"/>
      <c r="AC85" s="731"/>
      <c r="AD85" s="731"/>
    </row>
    <row r="86" spans="1:30" ht="15" customHeight="1">
      <c r="A86" s="225">
        <v>78</v>
      </c>
      <c r="B86" s="217"/>
      <c r="C86" s="217"/>
      <c r="D86" s="219" t="s">
        <v>2578</v>
      </c>
      <c r="E86" s="241"/>
      <c r="F86" s="241"/>
      <c r="G86" s="241"/>
      <c r="H86" s="728"/>
      <c r="I86" s="729"/>
      <c r="J86" s="728"/>
      <c r="K86" s="729" t="s">
        <v>1575</v>
      </c>
      <c r="L86" s="728"/>
      <c r="M86" s="728"/>
      <c r="N86" s="728"/>
      <c r="O86" s="728"/>
      <c r="P86" s="730"/>
      <c r="Q86" s="728" t="s">
        <v>817</v>
      </c>
      <c r="R86" s="731"/>
      <c r="S86" s="728"/>
      <c r="T86" s="731"/>
      <c r="U86" s="728"/>
      <c r="V86" s="732"/>
      <c r="W86" s="732"/>
      <c r="X86" s="769"/>
      <c r="Y86" s="733"/>
      <c r="Z86" s="728"/>
      <c r="AA86" s="734"/>
      <c r="AB86" s="728"/>
      <c r="AC86" s="731"/>
      <c r="AD86" s="731"/>
    </row>
    <row r="87" spans="1:30" ht="15" customHeight="1">
      <c r="A87" s="225">
        <v>79</v>
      </c>
      <c r="B87" s="217"/>
      <c r="C87" s="217"/>
      <c r="D87" s="219" t="s">
        <v>2579</v>
      </c>
      <c r="E87" s="241"/>
      <c r="F87" s="241"/>
      <c r="G87" s="241"/>
      <c r="H87" s="728"/>
      <c r="I87" s="729"/>
      <c r="J87" s="728"/>
      <c r="K87" s="729" t="s">
        <v>1578</v>
      </c>
      <c r="L87" s="728"/>
      <c r="M87" s="728"/>
      <c r="N87" s="728"/>
      <c r="O87" s="728"/>
      <c r="P87" s="730"/>
      <c r="Q87" s="728" t="s">
        <v>817</v>
      </c>
      <c r="R87" s="731" t="s">
        <v>864</v>
      </c>
      <c r="S87" s="378" t="s">
        <v>1578</v>
      </c>
      <c r="T87" s="731"/>
      <c r="U87" s="728"/>
      <c r="V87" s="732"/>
      <c r="W87" s="732"/>
      <c r="X87" s="769"/>
      <c r="Y87" s="733"/>
      <c r="Z87" s="728"/>
      <c r="AA87" s="734"/>
      <c r="AB87" s="728"/>
      <c r="AC87" s="731"/>
      <c r="AD87" s="731"/>
    </row>
    <row r="88" spans="1:30" ht="15" customHeight="1">
      <c r="A88" s="225">
        <v>80</v>
      </c>
      <c r="B88" s="217"/>
      <c r="C88" s="217"/>
      <c r="D88" s="219"/>
      <c r="E88" s="219" t="s">
        <v>2580</v>
      </c>
      <c r="F88" s="241"/>
      <c r="G88" s="241"/>
      <c r="H88" s="728"/>
      <c r="I88" s="729"/>
      <c r="J88" s="728"/>
      <c r="K88" s="729" t="s">
        <v>2462</v>
      </c>
      <c r="L88" s="728"/>
      <c r="M88" s="728"/>
      <c r="N88" s="728"/>
      <c r="O88" s="728"/>
      <c r="P88" s="730"/>
      <c r="Q88" s="728" t="s">
        <v>817</v>
      </c>
      <c r="R88" s="731"/>
      <c r="S88" s="728"/>
      <c r="T88" s="731"/>
      <c r="U88" s="728"/>
      <c r="V88" s="732"/>
      <c r="W88" s="732"/>
      <c r="X88" s="769"/>
      <c r="Y88" s="733"/>
      <c r="Z88" s="728"/>
      <c r="AA88" s="734"/>
      <c r="AB88" s="728"/>
      <c r="AC88" s="731"/>
      <c r="AD88" s="731"/>
    </row>
    <row r="89" spans="1:30" ht="15" customHeight="1">
      <c r="A89" s="225">
        <v>81</v>
      </c>
      <c r="B89" s="217"/>
      <c r="C89" s="217"/>
      <c r="D89" s="219"/>
      <c r="E89" s="219" t="s">
        <v>1704</v>
      </c>
      <c r="F89" s="241"/>
      <c r="G89" s="241"/>
      <c r="H89" s="728"/>
      <c r="I89" s="729"/>
      <c r="J89" s="728"/>
      <c r="K89" s="729" t="s">
        <v>1707</v>
      </c>
      <c r="L89" s="728"/>
      <c r="M89" s="728"/>
      <c r="N89" s="728"/>
      <c r="O89" s="728"/>
      <c r="P89" s="730"/>
      <c r="Q89" s="728" t="s">
        <v>817</v>
      </c>
      <c r="R89" s="731"/>
      <c r="S89" s="728"/>
      <c r="T89" s="731"/>
      <c r="U89" s="728"/>
      <c r="V89" s="732"/>
      <c r="W89" s="732"/>
      <c r="X89" s="769"/>
      <c r="Y89" s="733"/>
      <c r="Z89" s="728"/>
      <c r="AA89" s="734"/>
      <c r="AB89" s="728"/>
      <c r="AC89" s="731"/>
      <c r="AD89" s="731"/>
    </row>
    <row r="90" spans="1:30" ht="15" customHeight="1">
      <c r="A90" s="225">
        <v>82</v>
      </c>
      <c r="B90" s="217"/>
      <c r="C90" s="219"/>
      <c r="D90" s="241"/>
      <c r="E90" s="219" t="s">
        <v>1568</v>
      </c>
      <c r="F90" s="241"/>
      <c r="G90" s="241"/>
      <c r="H90" s="728"/>
      <c r="I90" s="729"/>
      <c r="J90" s="728"/>
      <c r="K90" s="729" t="s">
        <v>1710</v>
      </c>
      <c r="L90" s="728"/>
      <c r="M90" s="728"/>
      <c r="N90" s="728"/>
      <c r="O90" s="728"/>
      <c r="P90" s="730"/>
      <c r="Q90" s="728" t="s">
        <v>817</v>
      </c>
      <c r="R90" s="731"/>
      <c r="S90" s="728"/>
      <c r="T90" s="731"/>
      <c r="U90" s="728"/>
      <c r="V90" s="732"/>
      <c r="W90" s="732"/>
      <c r="X90" s="769"/>
      <c r="Y90" s="733"/>
      <c r="Z90" s="728"/>
      <c r="AA90" s="734"/>
      <c r="AB90" s="728"/>
      <c r="AC90" s="731"/>
      <c r="AD90" s="731"/>
    </row>
    <row r="91" spans="1:30" ht="15" customHeight="1">
      <c r="A91" s="225">
        <v>80</v>
      </c>
      <c r="B91" s="217"/>
      <c r="C91" s="217" t="s">
        <v>2581</v>
      </c>
      <c r="D91" s="217"/>
      <c r="E91" s="241"/>
      <c r="F91" s="241"/>
      <c r="G91" s="241"/>
      <c r="H91" s="728"/>
      <c r="I91" s="729"/>
      <c r="J91" s="728"/>
      <c r="K91" s="729" t="s">
        <v>2582</v>
      </c>
      <c r="L91" s="728"/>
      <c r="M91" s="728"/>
      <c r="N91" s="728"/>
      <c r="O91" s="728"/>
      <c r="P91" s="730"/>
      <c r="Q91" s="728" t="s">
        <v>817</v>
      </c>
      <c r="R91" s="731"/>
      <c r="S91" s="728" t="s">
        <v>879</v>
      </c>
      <c r="T91" s="731"/>
      <c r="U91" s="728"/>
      <c r="V91" s="732"/>
      <c r="W91" s="732" t="s">
        <v>864</v>
      </c>
      <c r="X91" s="732"/>
      <c r="Y91" s="733"/>
      <c r="Z91" s="728"/>
      <c r="AA91" s="734"/>
      <c r="AB91" s="728"/>
      <c r="AC91" s="731"/>
      <c r="AD91" s="731"/>
    </row>
    <row r="92" spans="1:30" ht="15" customHeight="1">
      <c r="A92" s="225">
        <v>81</v>
      </c>
      <c r="B92" s="217"/>
      <c r="C92" s="217" t="s">
        <v>2583</v>
      </c>
      <c r="D92" s="217"/>
      <c r="E92" s="241"/>
      <c r="F92" s="241"/>
      <c r="G92" s="241"/>
      <c r="H92" s="728"/>
      <c r="I92" s="729"/>
      <c r="J92" s="728"/>
      <c r="K92" s="729" t="s">
        <v>2584</v>
      </c>
      <c r="L92" s="728"/>
      <c r="M92" s="728"/>
      <c r="N92" s="728"/>
      <c r="O92" s="728"/>
      <c r="P92" s="730"/>
      <c r="Q92" s="728" t="s">
        <v>817</v>
      </c>
      <c r="R92" s="731"/>
      <c r="S92" s="728" t="s">
        <v>879</v>
      </c>
      <c r="T92" s="731"/>
      <c r="U92" s="728"/>
      <c r="V92" s="732"/>
      <c r="W92" s="732" t="s">
        <v>864</v>
      </c>
      <c r="X92" s="732"/>
      <c r="Y92" s="733"/>
      <c r="Z92" s="728"/>
      <c r="AA92" s="734"/>
      <c r="AB92" s="728"/>
      <c r="AC92" s="731"/>
      <c r="AD92" s="731"/>
    </row>
    <row r="93" spans="1:30" ht="16.5" customHeight="1">
      <c r="A93" s="225">
        <f>SUBTOTAL(103,createCase215[ID])</f>
        <v>84</v>
      </c>
      <c r="B93" s="224"/>
      <c r="C93" s="225">
        <f>SUBTOTAL(103,createCase215[Donnée (Niveau 2)])</f>
        <v>34</v>
      </c>
      <c r="D93" s="225">
        <f>SUBTOTAL(103,createCase215[Donnée (Niveau 3)])</f>
        <v>34</v>
      </c>
      <c r="E93" s="225">
        <f>SUBTOTAL(103,createCase215[Donnée (Niveau 4)])</f>
        <v>6</v>
      </c>
      <c r="F93" s="225">
        <f>SUBTOTAL(103,createCase215[Donnée (Niveau 5)])</f>
        <v>0</v>
      </c>
      <c r="G93" s="225">
        <f>SUBTOTAL(103,createCase215[Donnée (Niveau 6)])</f>
        <v>0</v>
      </c>
      <c r="H93" s="225">
        <f>SUBTOTAL(103,createCase215[Description])</f>
        <v>35</v>
      </c>
      <c r="I93" s="225">
        <f>SUBTOTAL(103,createCase215[Exemples])</f>
        <v>20</v>
      </c>
      <c r="J93" s="225">
        <f>SUBTOTAL(103,createCase215[Balise NexSIS])</f>
        <v>3</v>
      </c>
      <c r="K93" s="239">
        <f>SUBTOTAL(103,createCase215[Nouvelle balise])</f>
        <v>75</v>
      </c>
      <c r="L93" s="225">
        <f>SUBTOTAL(103,createCase215[Nantes - balise])</f>
        <v>6</v>
      </c>
      <c r="M93" s="225">
        <f>SUBTOTAL(103,createCase215[Nantes - description])</f>
        <v>6</v>
      </c>
      <c r="N93" s="225">
        <f>SUBTOTAL(103,createCase215[GT399])</f>
        <v>0</v>
      </c>
      <c r="O93" s="225">
        <f>SUBTOTAL(103,createCase215[GT399 description])</f>
        <v>0</v>
      </c>
      <c r="P93" s="234">
        <f>SUBTOTAL(103,createCase215[Priorisation])</f>
        <v>1</v>
      </c>
      <c r="Q93" s="225"/>
      <c r="R93" s="225">
        <f>SUBTOTAL(103,createCase215[Objet])</f>
        <v>11</v>
      </c>
      <c r="S93" s="225">
        <f>SUBTOTAL(103,createCase215[Format (ou type)])</f>
        <v>74</v>
      </c>
      <c r="T93" s="274"/>
      <c r="U93" s="225"/>
      <c r="V93" s="225"/>
      <c r="W93" s="225"/>
      <c r="X93" s="225"/>
      <c r="Y93" s="271">
        <f>SUBTOTAL(103,createCase215[Commentaire Hub Santé])</f>
        <v>0</v>
      </c>
      <c r="Z93" s="225">
        <f>SUBTOTAL(103,createCase215[Commentaire Philippe Dreyfus])</f>
        <v>0</v>
      </c>
      <c r="AA93" s="239"/>
      <c r="AB93" s="225">
        <f>SUBTOTAL(103,createCase215[Commentaire Yann Penverne])</f>
        <v>0</v>
      </c>
      <c r="AC93" s="225">
        <f>SUBTOTAL(103,createCase215[NexSIS])-COUNTIFS(createCase215[NexSIS],"=X")</f>
        <v>0</v>
      </c>
      <c r="AD93" s="225">
        <f>SUBTOTAL(103,createCase215[Métier])-COUNTIFS(createCase215[Métier],"=X")</f>
        <v>0</v>
      </c>
    </row>
    <row r="94" spans="1:30" ht="12" customHeight="1">
      <c r="A94" s="3"/>
      <c r="B94" s="3"/>
      <c r="C94" s="131"/>
      <c r="D94" s="131"/>
      <c r="E94" s="131"/>
      <c r="F94" s="131"/>
      <c r="G94" s="5"/>
      <c r="H94" s="155"/>
      <c r="J94" s="5"/>
      <c r="K94" s="155"/>
      <c r="L94" s="5"/>
      <c r="M94" s="5"/>
      <c r="N94" s="5"/>
      <c r="O94" s="5"/>
      <c r="P94" s="188"/>
      <c r="Q94" s="5"/>
      <c r="R94" s="5"/>
      <c r="S94" s="5"/>
      <c r="T94" s="56"/>
      <c r="U94" s="56"/>
      <c r="V94" s="56"/>
      <c r="W94" s="56"/>
      <c r="X94" s="56"/>
      <c r="Y94" s="178"/>
      <c r="Z94" s="5"/>
      <c r="AB94" s="56"/>
      <c r="AC94" s="128"/>
      <c r="AD94" s="56"/>
    </row>
    <row r="95" spans="1:30" ht="12" customHeight="1">
      <c r="A95" s="129"/>
      <c r="B95" s="129"/>
      <c r="C95" s="129"/>
      <c r="D95" s="129"/>
      <c r="E95" s="129"/>
      <c r="F95" s="129"/>
      <c r="AC95" s="128"/>
    </row>
    <row r="96" spans="1:30" ht="12" customHeight="1">
      <c r="G96" s="128"/>
      <c r="H96" s="128"/>
      <c r="I96" s="224"/>
      <c r="J96" s="128"/>
      <c r="K96" s="128"/>
      <c r="L96" s="128"/>
      <c r="M96" s="128"/>
      <c r="N96" s="128"/>
      <c r="O96" s="128"/>
      <c r="P96" s="174"/>
      <c r="Q96" s="128"/>
      <c r="AC96" s="128"/>
    </row>
    <row r="97" spans="1:1016" ht="12" customHeight="1">
      <c r="G97" s="128"/>
      <c r="H97" s="128"/>
      <c r="I97" s="224"/>
      <c r="J97" s="128"/>
      <c r="K97" s="128"/>
      <c r="L97" s="128"/>
      <c r="M97" s="128"/>
      <c r="N97" s="128"/>
      <c r="O97" s="128"/>
      <c r="P97" s="174"/>
      <c r="Q97" s="128"/>
      <c r="AC97" s="128"/>
    </row>
    <row r="98" spans="1:1016" ht="12" customHeight="1">
      <c r="G98" s="128"/>
      <c r="H98" s="128"/>
      <c r="I98" s="224"/>
      <c r="J98" s="128"/>
      <c r="K98" s="128"/>
      <c r="L98" s="128"/>
      <c r="M98" s="128"/>
      <c r="N98" s="128"/>
      <c r="O98" s="128"/>
      <c r="P98" s="174"/>
      <c r="Q98" s="128"/>
      <c r="AC98" s="128"/>
    </row>
    <row r="99" spans="1:1016" ht="12" customHeight="1">
      <c r="G99" s="128"/>
      <c r="H99" s="128"/>
      <c r="I99" s="224"/>
      <c r="J99" s="128"/>
      <c r="K99" s="128"/>
      <c r="L99" s="128"/>
      <c r="M99" s="128"/>
      <c r="N99" s="128"/>
      <c r="O99" s="128"/>
      <c r="P99" s="174"/>
      <c r="Q99" s="128"/>
      <c r="AC99" s="128"/>
    </row>
    <row r="100" spans="1:1016" ht="12" customHeight="1">
      <c r="G100" s="128"/>
      <c r="H100" s="128"/>
      <c r="I100" s="224"/>
      <c r="J100" s="128"/>
      <c r="K100" s="128"/>
      <c r="L100" s="128"/>
      <c r="M100" s="128"/>
      <c r="N100" s="128"/>
      <c r="O100" s="128"/>
      <c r="P100" s="174"/>
      <c r="Q100" s="128"/>
    </row>
    <row r="101" spans="1:1016" ht="12" customHeight="1">
      <c r="AA101" s="161"/>
      <c r="AC101" s="117"/>
    </row>
    <row r="102" spans="1:1016" ht="12" customHeight="1">
      <c r="A102" s="117"/>
      <c r="B102" s="117"/>
      <c r="C102" s="117"/>
      <c r="D102" s="117"/>
      <c r="E102" s="117"/>
      <c r="F102" s="117"/>
      <c r="G102" s="117"/>
      <c r="H102" s="117"/>
      <c r="I102" s="251"/>
      <c r="J102" s="117"/>
      <c r="K102" s="117"/>
      <c r="L102" s="117"/>
      <c r="M102" s="117"/>
      <c r="N102" s="117"/>
      <c r="O102" s="117"/>
      <c r="P102" s="189"/>
      <c r="Q102" s="117"/>
    </row>
    <row r="103" spans="1:1016" ht="12" customHeight="1">
      <c r="R103" s="112"/>
      <c r="S103" s="112"/>
      <c r="T103" s="125"/>
      <c r="U103" s="112"/>
      <c r="V103" s="112"/>
      <c r="W103" s="112"/>
      <c r="X103" s="112"/>
      <c r="Y103" s="180"/>
      <c r="Z103" s="112"/>
      <c r="AB103" s="112"/>
      <c r="AD103" s="112"/>
    </row>
    <row r="104" spans="1:1016" ht="12" customHeight="1"/>
    <row r="105" spans="1:1016" ht="12" customHeight="1"/>
    <row r="106" spans="1:1016" ht="12" customHeight="1"/>
    <row r="107" spans="1:1016" ht="12" customHeight="1"/>
    <row r="108" spans="1:1016" s="117" customFormat="1" ht="12" customHeight="1">
      <c r="A108" s="128"/>
      <c r="B108" s="128"/>
      <c r="C108" s="128"/>
      <c r="D108" s="128"/>
      <c r="E108" s="128"/>
      <c r="F108" s="128"/>
      <c r="G108" s="96"/>
      <c r="H108" s="96"/>
      <c r="I108" s="225"/>
      <c r="J108" s="96"/>
      <c r="K108" s="159"/>
      <c r="L108" s="96"/>
      <c r="M108" s="96"/>
      <c r="N108" s="96"/>
      <c r="O108" s="96"/>
      <c r="P108" s="173"/>
      <c r="Q108" s="96"/>
      <c r="R108" s="96"/>
      <c r="S108" s="96"/>
      <c r="T108" s="277"/>
      <c r="U108" s="96"/>
      <c r="V108" s="96"/>
      <c r="W108" s="96"/>
      <c r="X108" s="96"/>
      <c r="Y108" s="179"/>
      <c r="Z108" s="96"/>
      <c r="AA108" s="159"/>
      <c r="AB108" s="96"/>
      <c r="AC108"/>
      <c r="AD108" s="96"/>
      <c r="AMB108"/>
    </row>
    <row r="109" spans="1:1016" s="117" customFormat="1" ht="12" customHeight="1">
      <c r="A109" s="128"/>
      <c r="B109" s="128"/>
      <c r="C109" s="128"/>
      <c r="D109" s="128"/>
      <c r="E109" s="128"/>
      <c r="F109" s="128"/>
      <c r="G109" s="96"/>
      <c r="H109" s="96"/>
      <c r="I109" s="225"/>
      <c r="J109" s="96"/>
      <c r="K109" s="159"/>
      <c r="L109" s="96"/>
      <c r="M109" s="96"/>
      <c r="N109" s="96"/>
      <c r="O109" s="96"/>
      <c r="P109" s="173"/>
      <c r="Q109" s="96"/>
      <c r="R109" s="96"/>
      <c r="S109" s="96"/>
      <c r="T109" s="277"/>
      <c r="U109" s="96"/>
      <c r="V109" s="96"/>
      <c r="W109" s="96"/>
      <c r="X109" s="96"/>
      <c r="Y109" s="179"/>
      <c r="Z109" s="96"/>
      <c r="AA109" s="159"/>
      <c r="AB109" s="96"/>
      <c r="AC109"/>
      <c r="AD109" s="96"/>
      <c r="AMB109"/>
    </row>
    <row r="110" spans="1:1016" s="117" customFormat="1" ht="12" customHeight="1">
      <c r="A110" s="128"/>
      <c r="B110" s="128"/>
      <c r="C110" s="128"/>
      <c r="D110" s="128"/>
      <c r="E110" s="128"/>
      <c r="F110" s="128"/>
      <c r="G110" s="96"/>
      <c r="H110" s="96"/>
      <c r="I110" s="225"/>
      <c r="J110" s="96"/>
      <c r="K110" s="159"/>
      <c r="L110" s="96"/>
      <c r="M110" s="96"/>
      <c r="N110" s="96"/>
      <c r="O110" s="96"/>
      <c r="P110" s="173"/>
      <c r="Q110" s="96"/>
      <c r="R110" s="96"/>
      <c r="S110" s="96"/>
      <c r="T110" s="277"/>
      <c r="U110" s="96"/>
      <c r="V110" s="96"/>
      <c r="W110" s="96"/>
      <c r="X110" s="96"/>
      <c r="Y110" s="179"/>
      <c r="Z110" s="96"/>
      <c r="AA110" s="159"/>
      <c r="AB110" s="96"/>
      <c r="AC110"/>
      <c r="AD110" s="96"/>
      <c r="AMB110"/>
    </row>
    <row r="111" spans="1:1016" s="117" customFormat="1" ht="12" customHeight="1">
      <c r="A111" s="128"/>
      <c r="B111" s="128"/>
      <c r="C111" s="128"/>
      <c r="D111" s="128"/>
      <c r="E111" s="128"/>
      <c r="F111" s="128"/>
      <c r="G111" s="96"/>
      <c r="H111" s="96"/>
      <c r="I111" s="225"/>
      <c r="J111" s="96"/>
      <c r="K111" s="159"/>
      <c r="L111" s="96"/>
      <c r="M111" s="96"/>
      <c r="N111" s="96"/>
      <c r="O111" s="96"/>
      <c r="P111" s="173"/>
      <c r="Q111" s="96"/>
      <c r="R111" s="96"/>
      <c r="S111" s="96"/>
      <c r="T111" s="277"/>
      <c r="U111" s="96"/>
      <c r="V111" s="96"/>
      <c r="W111" s="96"/>
      <c r="X111" s="96"/>
      <c r="Y111" s="179"/>
      <c r="Z111" s="96"/>
      <c r="AA111" s="159"/>
      <c r="AB111" s="96"/>
      <c r="AC111"/>
      <c r="AD111" s="96"/>
      <c r="AMB111"/>
    </row>
    <row r="112" spans="1:1016" s="117" customFormat="1" ht="12" customHeight="1">
      <c r="A112" s="128"/>
      <c r="B112" s="128"/>
      <c r="C112" s="128"/>
      <c r="D112" s="128"/>
      <c r="E112" s="128"/>
      <c r="F112" s="128"/>
      <c r="G112" s="96"/>
      <c r="H112" s="96"/>
      <c r="I112" s="225"/>
      <c r="J112" s="96"/>
      <c r="K112" s="159"/>
      <c r="L112" s="96"/>
      <c r="M112" s="96"/>
      <c r="N112" s="96"/>
      <c r="O112" s="96"/>
      <c r="P112" s="173"/>
      <c r="Q112" s="96"/>
      <c r="R112" s="96"/>
      <c r="S112" s="96"/>
      <c r="T112" s="277"/>
      <c r="U112" s="96"/>
      <c r="V112" s="96"/>
      <c r="W112" s="96"/>
      <c r="X112" s="96"/>
      <c r="Y112" s="179"/>
      <c r="Z112" s="96"/>
      <c r="AA112" s="159"/>
      <c r="AB112" s="96"/>
      <c r="AC112"/>
      <c r="AD112" s="96"/>
      <c r="AMB112"/>
    </row>
    <row r="113" spans="1:1016" s="117" customFormat="1" ht="12" customHeight="1">
      <c r="A113" s="128"/>
      <c r="B113" s="128"/>
      <c r="C113" s="128"/>
      <c r="D113" s="128"/>
      <c r="E113" s="128"/>
      <c r="F113" s="128"/>
      <c r="G113" s="96"/>
      <c r="H113" s="96"/>
      <c r="I113" s="225"/>
      <c r="J113" s="96"/>
      <c r="K113" s="159"/>
      <c r="L113" s="96"/>
      <c r="M113" s="96"/>
      <c r="N113" s="96"/>
      <c r="O113" s="96"/>
      <c r="P113" s="173"/>
      <c r="Q113" s="96"/>
      <c r="R113" s="96"/>
      <c r="S113" s="96"/>
      <c r="T113" s="277"/>
      <c r="U113" s="96"/>
      <c r="V113" s="96"/>
      <c r="W113" s="96"/>
      <c r="X113" s="96"/>
      <c r="Y113" s="179"/>
      <c r="Z113" s="96"/>
      <c r="AA113" s="159"/>
      <c r="AB113" s="96"/>
      <c r="AC113"/>
      <c r="AD113" s="96"/>
      <c r="AMB113"/>
    </row>
    <row r="114" spans="1:1016" s="117" customFormat="1" ht="12" customHeight="1">
      <c r="A114" s="128"/>
      <c r="B114" s="128"/>
      <c r="C114" s="128"/>
      <c r="D114" s="128"/>
      <c r="E114" s="128"/>
      <c r="F114" s="128"/>
      <c r="G114" s="96"/>
      <c r="H114" s="96"/>
      <c r="I114" s="225"/>
      <c r="J114" s="96"/>
      <c r="K114" s="159"/>
      <c r="L114" s="96"/>
      <c r="M114" s="96"/>
      <c r="N114" s="96"/>
      <c r="O114" s="96"/>
      <c r="P114" s="173"/>
      <c r="Q114" s="96"/>
      <c r="R114" s="96"/>
      <c r="S114" s="96"/>
      <c r="T114" s="277"/>
      <c r="U114" s="96"/>
      <c r="V114" s="96"/>
      <c r="W114" s="96"/>
      <c r="X114" s="96"/>
      <c r="Y114" s="179"/>
      <c r="Z114" s="96"/>
      <c r="AA114" s="159"/>
      <c r="AB114" s="96"/>
      <c r="AC114"/>
      <c r="AD114" s="96"/>
      <c r="AMB114"/>
    </row>
    <row r="115" spans="1:1016" ht="12" customHeight="1">
      <c r="A115" s="130"/>
      <c r="B115" s="130"/>
      <c r="C115" s="130"/>
      <c r="D115" s="130"/>
      <c r="E115" s="130"/>
      <c r="F115" s="130"/>
    </row>
    <row r="116" spans="1:1016" ht="12" customHeight="1">
      <c r="A116" s="130"/>
      <c r="B116" s="130"/>
      <c r="C116" s="130"/>
      <c r="D116" s="130"/>
      <c r="E116" s="130"/>
      <c r="F116" s="130"/>
    </row>
    <row r="117" spans="1:1016" ht="12" customHeight="1">
      <c r="A117" s="130"/>
      <c r="B117" s="130"/>
      <c r="C117" s="130"/>
      <c r="D117" s="130"/>
      <c r="E117" s="130"/>
      <c r="F117" s="130"/>
    </row>
    <row r="118" spans="1:1016" ht="12" customHeight="1">
      <c r="A118" s="130"/>
      <c r="B118" s="130"/>
      <c r="C118" s="130"/>
      <c r="D118" s="130"/>
      <c r="E118" s="130"/>
      <c r="F118" s="130"/>
    </row>
    <row r="119" spans="1:1016" ht="12" customHeight="1">
      <c r="A119" s="130"/>
      <c r="B119" s="130"/>
      <c r="C119" s="130"/>
      <c r="D119" s="130"/>
      <c r="E119" s="130"/>
      <c r="F119" s="130"/>
    </row>
    <row r="120" spans="1:1016" ht="12" customHeight="1">
      <c r="A120" s="130"/>
      <c r="B120" s="130"/>
      <c r="C120" s="130"/>
      <c r="D120" s="130"/>
      <c r="E120" s="130"/>
      <c r="F120" s="130"/>
    </row>
    <row r="121" spans="1:1016" ht="12" customHeight="1">
      <c r="A121" s="130"/>
      <c r="B121" s="130"/>
      <c r="C121" s="130"/>
      <c r="D121" s="130"/>
      <c r="E121" s="130"/>
      <c r="F121" s="130"/>
    </row>
    <row r="122" spans="1:1016">
      <c r="A122" s="130"/>
      <c r="B122" s="130"/>
      <c r="C122" s="130"/>
      <c r="D122" s="130"/>
      <c r="E122" s="130"/>
      <c r="F122" s="130"/>
    </row>
    <row r="123" spans="1:1016">
      <c r="A123" s="129"/>
      <c r="B123" s="129"/>
      <c r="C123" s="129"/>
      <c r="D123" s="129"/>
      <c r="E123" s="129"/>
      <c r="F123" s="129"/>
    </row>
    <row r="124" spans="1:1016">
      <c r="A124" s="129"/>
      <c r="B124" s="129"/>
      <c r="C124" s="129"/>
      <c r="D124" s="129"/>
      <c r="E124" s="129"/>
      <c r="F124" s="129"/>
    </row>
    <row r="125" spans="1:1016">
      <c r="A125" s="129"/>
      <c r="B125" s="129"/>
      <c r="C125" s="129"/>
      <c r="D125" s="129"/>
      <c r="E125" s="129"/>
      <c r="F125" s="129"/>
    </row>
    <row r="126" spans="1:1016">
      <c r="A126" s="129"/>
      <c r="B126" s="129"/>
      <c r="C126" s="129"/>
      <c r="D126" s="129"/>
      <c r="E126" s="129"/>
      <c r="F126" s="129"/>
    </row>
    <row r="127" spans="1:1016">
      <c r="A127" s="129"/>
      <c r="B127" s="129"/>
      <c r="C127" s="129"/>
      <c r="D127" s="129"/>
      <c r="E127" s="129"/>
      <c r="F127" s="129"/>
    </row>
    <row r="128" spans="1:1016">
      <c r="A128" s="129"/>
      <c r="B128" s="129"/>
      <c r="C128" s="129"/>
      <c r="D128" s="129"/>
      <c r="E128" s="129"/>
      <c r="F128" s="129"/>
    </row>
    <row r="129" spans="1:30">
      <c r="A129" s="129"/>
      <c r="B129" s="129"/>
      <c r="C129" s="129"/>
      <c r="D129" s="129"/>
      <c r="E129" s="129"/>
      <c r="F129" s="129"/>
    </row>
    <row r="130" spans="1:30">
      <c r="A130" s="129"/>
      <c r="B130" s="129"/>
      <c r="C130" s="129"/>
      <c r="D130" s="129"/>
      <c r="E130" s="129"/>
      <c r="F130" s="129"/>
      <c r="AA130" s="161"/>
      <c r="AC130" s="117"/>
    </row>
    <row r="131" spans="1:30">
      <c r="A131" s="130"/>
      <c r="B131" s="130"/>
      <c r="C131" s="130"/>
      <c r="D131" s="130"/>
      <c r="E131" s="130"/>
      <c r="F131" s="130"/>
      <c r="AA131" s="161"/>
      <c r="AC131" s="117"/>
    </row>
    <row r="132" spans="1:30">
      <c r="A132" s="123"/>
      <c r="B132" s="123"/>
      <c r="C132" s="123"/>
      <c r="D132" s="123"/>
      <c r="E132" s="123"/>
      <c r="F132" s="123"/>
      <c r="G132" s="112"/>
      <c r="H132" s="112"/>
      <c r="I132" s="276"/>
      <c r="J132" s="112"/>
      <c r="K132" s="161"/>
      <c r="L132" s="112"/>
      <c r="M132" s="112"/>
      <c r="N132" s="112"/>
      <c r="O132" s="112"/>
      <c r="P132" s="190"/>
      <c r="Q132" s="112"/>
      <c r="R132" s="112"/>
      <c r="S132" s="112"/>
      <c r="T132" s="125"/>
      <c r="U132" s="112"/>
      <c r="V132" s="112"/>
      <c r="W132" s="112"/>
      <c r="X132" s="112"/>
      <c r="Y132" s="180"/>
      <c r="Z132" s="112"/>
      <c r="AA132" s="161"/>
      <c r="AB132" s="112"/>
      <c r="AC132" s="117"/>
      <c r="AD132" s="112"/>
    </row>
    <row r="133" spans="1:30">
      <c r="A133" s="123"/>
      <c r="B133" s="123"/>
      <c r="C133" s="123"/>
      <c r="D133" s="123"/>
      <c r="E133" s="123"/>
      <c r="F133" s="123"/>
      <c r="G133" s="112"/>
      <c r="H133" s="112"/>
      <c r="I133" s="276"/>
      <c r="J133" s="112"/>
      <c r="K133" s="161"/>
      <c r="L133" s="112"/>
      <c r="M133" s="112"/>
      <c r="N133" s="112"/>
      <c r="O133" s="112"/>
      <c r="P133" s="190"/>
      <c r="Q133" s="112"/>
      <c r="R133" s="112"/>
      <c r="S133" s="112"/>
      <c r="T133" s="125"/>
      <c r="U133" s="112"/>
      <c r="V133" s="112"/>
      <c r="W133" s="112"/>
      <c r="X133" s="112"/>
      <c r="Y133" s="180"/>
      <c r="Z133" s="112"/>
      <c r="AA133" s="161"/>
      <c r="AB133" s="112"/>
      <c r="AC133" s="117"/>
      <c r="AD133" s="112"/>
    </row>
    <row r="134" spans="1:30">
      <c r="A134" s="123"/>
      <c r="B134" s="123"/>
      <c r="C134" s="123"/>
      <c r="D134" s="123"/>
      <c r="E134" s="123"/>
      <c r="F134" s="123"/>
      <c r="G134" s="112"/>
      <c r="H134" s="112"/>
      <c r="I134" s="276"/>
      <c r="J134" s="112"/>
      <c r="K134" s="161"/>
      <c r="L134" s="112"/>
      <c r="M134" s="112"/>
      <c r="N134" s="112"/>
      <c r="O134" s="112"/>
      <c r="P134" s="190"/>
      <c r="Q134" s="112"/>
      <c r="R134" s="112"/>
      <c r="S134" s="112"/>
      <c r="T134" s="125"/>
      <c r="U134" s="112"/>
      <c r="V134" s="112"/>
      <c r="W134" s="112"/>
      <c r="X134" s="112"/>
      <c r="Y134" s="180"/>
      <c r="Z134" s="112"/>
      <c r="AA134" s="161"/>
      <c r="AB134" s="112"/>
      <c r="AC134" s="117"/>
      <c r="AD134" s="112"/>
    </row>
    <row r="135" spans="1:30">
      <c r="A135" s="123"/>
      <c r="B135" s="123"/>
      <c r="C135" s="123"/>
      <c r="D135" s="123"/>
      <c r="E135" s="123"/>
      <c r="F135" s="123"/>
      <c r="G135" s="112"/>
      <c r="H135" s="112"/>
      <c r="I135" s="276"/>
      <c r="J135" s="112"/>
      <c r="K135" s="161"/>
      <c r="L135" s="112"/>
      <c r="M135" s="112"/>
      <c r="N135" s="112"/>
      <c r="O135" s="112"/>
      <c r="P135" s="190"/>
      <c r="Q135" s="112"/>
      <c r="R135" s="112"/>
      <c r="S135" s="112"/>
      <c r="T135" s="125"/>
      <c r="U135" s="112"/>
      <c r="V135" s="112"/>
      <c r="W135" s="112"/>
      <c r="X135" s="112"/>
      <c r="Y135" s="180"/>
      <c r="Z135" s="112"/>
      <c r="AA135" s="161"/>
      <c r="AB135" s="112"/>
      <c r="AC135" s="117"/>
      <c r="AD135" s="112"/>
    </row>
    <row r="136" spans="1:30">
      <c r="A136" s="123"/>
      <c r="B136" s="123"/>
      <c r="C136" s="123"/>
      <c r="D136" s="123"/>
      <c r="E136" s="123"/>
      <c r="F136" s="123"/>
      <c r="G136" s="112"/>
      <c r="H136" s="112"/>
      <c r="I136" s="276"/>
      <c r="J136" s="112"/>
      <c r="K136" s="161"/>
      <c r="L136" s="112"/>
      <c r="M136" s="112"/>
      <c r="N136" s="112"/>
      <c r="O136" s="112"/>
      <c r="P136" s="190"/>
      <c r="Q136" s="112"/>
      <c r="R136" s="112"/>
      <c r="S136" s="112"/>
      <c r="T136" s="125"/>
      <c r="U136" s="112"/>
      <c r="V136" s="112"/>
      <c r="W136" s="112"/>
      <c r="X136" s="112"/>
      <c r="Y136" s="180"/>
      <c r="Z136" s="112"/>
      <c r="AA136" s="161"/>
      <c r="AB136" s="112"/>
      <c r="AC136" s="117"/>
      <c r="AD136" s="112"/>
    </row>
    <row r="137" spans="1:30">
      <c r="A137" s="123"/>
      <c r="B137" s="123"/>
      <c r="C137" s="123"/>
      <c r="D137" s="123"/>
      <c r="E137" s="123"/>
      <c r="F137" s="123"/>
      <c r="G137" s="112"/>
      <c r="H137" s="112"/>
      <c r="I137" s="276"/>
      <c r="J137" s="112"/>
      <c r="K137" s="161"/>
      <c r="L137" s="112"/>
      <c r="M137" s="112"/>
      <c r="N137" s="112"/>
      <c r="O137" s="112"/>
      <c r="P137" s="190"/>
      <c r="Q137" s="112"/>
      <c r="R137" s="112"/>
      <c r="S137" s="112"/>
      <c r="T137" s="125"/>
      <c r="U137" s="112"/>
      <c r="V137" s="112"/>
      <c r="W137" s="112"/>
      <c r="X137" s="112"/>
      <c r="Y137" s="180"/>
      <c r="Z137" s="112"/>
      <c r="AB137" s="112"/>
      <c r="AD137" s="112"/>
    </row>
    <row r="138" spans="1:30">
      <c r="A138" s="123"/>
      <c r="B138" s="123"/>
      <c r="C138" s="123"/>
      <c r="D138" s="123"/>
      <c r="E138" s="123"/>
      <c r="F138" s="123"/>
      <c r="G138" s="112"/>
      <c r="H138" s="112"/>
      <c r="I138" s="276"/>
      <c r="J138" s="112"/>
      <c r="K138" s="161"/>
      <c r="L138" s="112"/>
      <c r="M138" s="112"/>
      <c r="N138" s="112"/>
      <c r="O138" s="112"/>
      <c r="P138" s="190"/>
      <c r="Q138" s="112"/>
      <c r="R138" s="112"/>
      <c r="S138" s="112"/>
      <c r="T138" s="125"/>
      <c r="U138" s="112"/>
      <c r="V138" s="112"/>
      <c r="W138" s="112"/>
      <c r="X138" s="112"/>
      <c r="Y138" s="180"/>
      <c r="Z138" s="112"/>
      <c r="AB138" s="112"/>
      <c r="AD138" s="112"/>
    </row>
    <row r="139" spans="1:30">
      <c r="A139" s="130"/>
      <c r="B139" s="130"/>
      <c r="C139" s="130"/>
      <c r="D139" s="130"/>
      <c r="E139" s="130"/>
      <c r="F139" s="130"/>
    </row>
    <row r="140" spans="1:30">
      <c r="A140" s="130"/>
      <c r="B140" s="130"/>
      <c r="C140" s="130"/>
      <c r="D140" s="130"/>
      <c r="E140" s="130"/>
      <c r="F140" s="130"/>
    </row>
    <row r="141" spans="1:30">
      <c r="A141" s="130"/>
      <c r="B141" s="130"/>
      <c r="C141" s="130"/>
      <c r="D141" s="130"/>
      <c r="E141" s="130"/>
      <c r="F141" s="130"/>
    </row>
    <row r="142" spans="1:30">
      <c r="A142" s="136"/>
      <c r="B142" s="136"/>
      <c r="C142" s="136"/>
      <c r="D142" s="136"/>
      <c r="E142" s="136"/>
      <c r="F142" s="136"/>
    </row>
    <row r="143" spans="1:30">
      <c r="A143" s="136"/>
      <c r="B143" s="136"/>
      <c r="C143" s="136"/>
      <c r="D143" s="136"/>
      <c r="E143" s="136"/>
      <c r="F143" s="136"/>
    </row>
  </sheetData>
  <mergeCells count="3">
    <mergeCell ref="L7:O7"/>
    <mergeCell ref="AC7:AD7"/>
    <mergeCell ref="V7:X7"/>
  </mergeCells>
  <conditionalFormatting sqref="A94:F95 A115:F955">
    <cfRule type="expression" dxfId="152" priority="272">
      <formula>$AB94=1</formula>
    </cfRule>
    <cfRule type="expression" dxfId="151" priority="271">
      <formula>$AD94=1</formula>
    </cfRule>
    <cfRule type="expression" dxfId="150" priority="270">
      <formula>AND($AD94=1,$AB94=1)</formula>
    </cfRule>
    <cfRule type="expression" dxfId="149" priority="269">
      <formula>OR($AD94="X",$AB94="X")</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4:H95 H115:H955">
    <cfRule type="expression" dxfId="148" priority="268">
      <formula>$Q94="X"</formula>
    </cfRule>
  </conditionalFormatting>
  <conditionalFormatting sqref="Q9:Q92">
    <cfRule type="cellIs" dxfId="147" priority="3" operator="equal">
      <formula>"0..1"</formula>
    </cfRule>
    <cfRule type="cellIs" dxfId="146" priority="2" operator="equal">
      <formula>"0..n"</formula>
    </cfRule>
    <cfRule type="cellIs" dxfId="145" priority="1"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dimension ref="A1:AMB115"/>
  <sheetViews>
    <sheetView workbookViewId="0">
      <selection activeCell="D25" sqref="D25"/>
    </sheetView>
  </sheetViews>
  <sheetFormatPr baseColWidth="10" defaultColWidth="9.5" defaultRowHeight="15"/>
  <cols>
    <col min="1" max="1" width="4.6640625" style="128" customWidth="1"/>
    <col min="2" max="2" width="27.1640625" style="128" customWidth="1"/>
    <col min="3" max="3" width="29.33203125" style="128" customWidth="1"/>
    <col min="4" max="4" width="27.33203125" style="128" customWidth="1"/>
    <col min="5" max="5" width="24.6640625" style="128" bestFit="1" customWidth="1"/>
    <col min="6" max="6" width="20.5" style="128" bestFit="1" customWidth="1"/>
    <col min="7" max="7" width="17.5" style="96" bestFit="1" customWidth="1"/>
    <col min="8" max="9" width="17.5" style="96" customWidth="1"/>
    <col min="10" max="10" width="53.1640625" style="96" customWidth="1"/>
    <col min="11" max="11" width="33.5" style="225" customWidth="1"/>
    <col min="12" max="12" width="12" style="96" customWidth="1"/>
    <col min="13" max="13" width="17.83203125" style="159" customWidth="1"/>
    <col min="14" max="15" width="4.83203125" style="96" hidden="1" customWidth="1"/>
    <col min="16" max="17" width="6.1640625" style="96" hidden="1" customWidth="1"/>
    <col min="18" max="18" width="6.6640625" style="173" hidden="1" customWidth="1"/>
    <col min="19" max="19" width="10.5" style="96" customWidth="1"/>
    <col min="20" max="20" width="6" style="96" customWidth="1"/>
    <col min="21" max="21" width="18.5" style="96" customWidth="1"/>
    <col min="22" max="22" width="12.6640625" style="277" customWidth="1"/>
    <col min="23" max="23" width="28.1640625" style="96" customWidth="1"/>
    <col min="24" max="24" width="8.83203125" style="96" customWidth="1"/>
    <col min="25" max="25" width="8.1640625" style="96" customWidth="1"/>
    <col min="26" max="26" width="2.33203125" hidden="1" customWidth="1"/>
    <col min="27" max="27" width="22.6640625" style="179" hidden="1" customWidth="1"/>
    <col min="28" max="28" width="24.33203125" style="96" hidden="1" customWidth="1"/>
    <col min="29" max="29" width="24.5" style="159" hidden="1" customWidth="1"/>
    <col min="30" max="30" width="17.5" style="96" hidden="1" customWidth="1"/>
    <col min="31" max="31" width="0" hidden="1" customWidth="1"/>
    <col min="32" max="32" width="8" style="96" hidden="1" customWidth="1"/>
    <col min="33" max="1013" width="9.5" style="128"/>
    <col min="1014" max="1014" width="9" style="128" customWidth="1"/>
    <col min="1015" max="1016" width="9" customWidth="1"/>
  </cols>
  <sheetData>
    <row r="1" spans="1:1014" ht="13.5" customHeight="1">
      <c r="A1" s="228" t="s">
        <v>2585</v>
      </c>
      <c r="C1" s="129" t="s">
        <v>813</v>
      </c>
      <c r="E1" s="150" t="s">
        <v>814</v>
      </c>
      <c r="G1" s="128"/>
      <c r="H1" s="128"/>
      <c r="I1" s="128"/>
      <c r="J1" s="128"/>
      <c r="K1" s="128"/>
      <c r="L1" s="128"/>
      <c r="Q1" s="794" t="s">
        <v>816</v>
      </c>
      <c r="R1" s="794"/>
      <c r="AE1" s="96"/>
      <c r="ALZ1"/>
    </row>
    <row r="2" spans="1:1014" ht="13.5" customHeight="1">
      <c r="C2" s="141" t="s">
        <v>818</v>
      </c>
      <c r="D2" s="284"/>
      <c r="E2" s="152" t="s">
        <v>819</v>
      </c>
      <c r="G2" s="128"/>
      <c r="H2" s="128"/>
      <c r="I2" s="128"/>
      <c r="J2" s="128"/>
      <c r="K2" s="128"/>
      <c r="L2" s="128"/>
      <c r="AE2" s="96"/>
      <c r="ALZ2"/>
    </row>
    <row r="3" spans="1:1014" ht="13.5" customHeight="1">
      <c r="C3" s="142" t="s">
        <v>821</v>
      </c>
      <c r="E3" s="151" t="s">
        <v>822</v>
      </c>
      <c r="G3" s="128"/>
      <c r="H3" s="128"/>
      <c r="I3" s="128"/>
      <c r="J3" s="128"/>
      <c r="K3" s="128"/>
      <c r="L3" s="128"/>
      <c r="AE3" s="96"/>
      <c r="ALZ3"/>
    </row>
    <row r="4" spans="1:1014" ht="13.5" customHeight="1">
      <c r="C4" s="143" t="s">
        <v>824</v>
      </c>
      <c r="E4" s="153" t="s">
        <v>825</v>
      </c>
      <c r="G4" s="128"/>
      <c r="H4" s="128"/>
      <c r="I4" s="128"/>
      <c r="J4" s="128"/>
      <c r="K4" s="128"/>
      <c r="L4" s="128"/>
      <c r="AE4" s="96"/>
      <c r="ALZ4"/>
    </row>
    <row r="5" spans="1:1014" s="149" customFormat="1" ht="13.5" customHeight="1">
      <c r="A5" s="128"/>
      <c r="B5" s="128"/>
      <c r="C5" s="145" t="s">
        <v>826</v>
      </c>
      <c r="D5" s="146"/>
      <c r="E5" s="290" t="s">
        <v>912</v>
      </c>
      <c r="F5" s="128"/>
      <c r="G5" s="128"/>
      <c r="H5" s="128"/>
      <c r="I5" s="128"/>
      <c r="J5" s="128"/>
      <c r="K5" s="128"/>
      <c r="L5" s="128"/>
      <c r="M5" s="160"/>
      <c r="N5" s="148"/>
      <c r="O5" s="148"/>
      <c r="P5" s="148"/>
      <c r="Q5" s="148"/>
      <c r="R5" s="186"/>
      <c r="S5" s="148"/>
      <c r="T5" s="148"/>
      <c r="U5" s="148"/>
      <c r="V5" s="279"/>
      <c r="W5" s="148"/>
      <c r="X5" s="148"/>
      <c r="Y5" s="148"/>
      <c r="Z5"/>
      <c r="AA5" s="181"/>
      <c r="AB5" s="148"/>
      <c r="AC5" s="160"/>
      <c r="AD5" s="148"/>
      <c r="AE5" s="148"/>
      <c r="AF5" s="148"/>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G6" s="128"/>
      <c r="H6" s="128"/>
      <c r="I6" s="128"/>
      <c r="J6" s="128"/>
      <c r="K6" s="128"/>
      <c r="L6" s="128"/>
      <c r="AE6" s="96"/>
      <c r="ALZ6"/>
    </row>
    <row r="7" spans="1:1014" ht="13.5" customHeight="1">
      <c r="A7"/>
      <c r="B7"/>
      <c r="C7" s="138"/>
      <c r="D7" s="377"/>
      <c r="E7" s="138"/>
      <c r="F7" s="138"/>
      <c r="N7" s="795" t="s">
        <v>828</v>
      </c>
      <c r="O7" s="795"/>
      <c r="P7" s="795"/>
      <c r="Q7" s="795"/>
      <c r="X7" s="796" t="s">
        <v>829</v>
      </c>
      <c r="Y7" s="796"/>
      <c r="AE7" s="795" t="s">
        <v>830</v>
      </c>
      <c r="AF7" s="795"/>
      <c r="ALZ7"/>
    </row>
    <row r="8" spans="1:1014" s="238" customFormat="1" ht="55.5" customHeight="1">
      <c r="A8" s="233" t="s">
        <v>831</v>
      </c>
      <c r="B8" s="381" t="s">
        <v>832</v>
      </c>
      <c r="C8" s="278" t="s">
        <v>833</v>
      </c>
      <c r="D8" s="278" t="s">
        <v>834</v>
      </c>
      <c r="E8" s="278" t="s">
        <v>835</v>
      </c>
      <c r="F8" s="278" t="s">
        <v>836</v>
      </c>
      <c r="G8" s="278" t="s">
        <v>837</v>
      </c>
      <c r="H8" s="278" t="s">
        <v>2586</v>
      </c>
      <c r="I8" s="278" t="s">
        <v>2587</v>
      </c>
      <c r="J8" s="234" t="s">
        <v>9</v>
      </c>
      <c r="K8" s="234" t="s">
        <v>838</v>
      </c>
      <c r="L8" s="234" t="s">
        <v>841</v>
      </c>
      <c r="M8" s="234" t="s">
        <v>842</v>
      </c>
      <c r="N8" s="235" t="s">
        <v>843</v>
      </c>
      <c r="O8" s="235" t="s">
        <v>844</v>
      </c>
      <c r="P8" s="235" t="s">
        <v>845</v>
      </c>
      <c r="Q8" s="235" t="s">
        <v>846</v>
      </c>
      <c r="R8" s="235" t="s">
        <v>847</v>
      </c>
      <c r="S8" s="234" t="s">
        <v>677</v>
      </c>
      <c r="T8" s="234" t="s">
        <v>3</v>
      </c>
      <c r="U8" s="234" t="s">
        <v>913</v>
      </c>
      <c r="V8" s="283" t="s">
        <v>914</v>
      </c>
      <c r="W8" s="234" t="s">
        <v>849</v>
      </c>
      <c r="X8" s="229" t="s">
        <v>1611</v>
      </c>
      <c r="Y8" s="229" t="s">
        <v>2588</v>
      </c>
      <c r="Z8" s="230" t="s">
        <v>852</v>
      </c>
      <c r="AA8" s="235" t="s">
        <v>853</v>
      </c>
      <c r="AB8" s="235" t="s">
        <v>854</v>
      </c>
      <c r="AC8" s="236" t="s">
        <v>855</v>
      </c>
      <c r="AD8" s="235" t="s">
        <v>856</v>
      </c>
      <c r="AE8" s="235" t="s">
        <v>857</v>
      </c>
      <c r="AF8" s="237" t="s">
        <v>915</v>
      </c>
    </row>
    <row r="9" spans="1:1014" s="224" customFormat="1" ht="13.5" customHeight="1">
      <c r="A9" s="225">
        <v>1</v>
      </c>
      <c r="B9" s="216" t="s">
        <v>2589</v>
      </c>
      <c r="C9" s="264"/>
      <c r="D9" s="264"/>
      <c r="E9" s="264"/>
      <c r="F9" s="264"/>
      <c r="G9" s="264"/>
      <c r="H9" s="264"/>
      <c r="I9" s="264"/>
      <c r="J9" s="269" t="s">
        <v>1544</v>
      </c>
      <c r="K9" s="729"/>
      <c r="L9" s="728"/>
      <c r="M9" s="729" t="s">
        <v>1545</v>
      </c>
      <c r="N9" s="728"/>
      <c r="O9" s="728"/>
      <c r="P9" s="728"/>
      <c r="Q9" s="728"/>
      <c r="R9" s="730"/>
      <c r="S9" s="728" t="s">
        <v>823</v>
      </c>
      <c r="T9" s="728" t="s">
        <v>864</v>
      </c>
      <c r="U9" s="243" t="s">
        <v>1545</v>
      </c>
      <c r="V9" s="731"/>
      <c r="W9" s="728"/>
      <c r="X9" s="732" t="s">
        <v>864</v>
      </c>
      <c r="Y9" s="260"/>
      <c r="Z9" s="232"/>
      <c r="AA9" s="266"/>
      <c r="AB9" s="263"/>
      <c r="AC9" s="734"/>
      <c r="AD9" s="728"/>
      <c r="AE9" s="731"/>
      <c r="AF9" s="731"/>
    </row>
    <row r="10" spans="1:1014" s="224" customFormat="1" ht="13.5" customHeight="1">
      <c r="A10" s="225">
        <v>2</v>
      </c>
      <c r="B10" s="217"/>
      <c r="C10" s="217" t="s">
        <v>1404</v>
      </c>
      <c r="D10" s="241"/>
      <c r="E10" s="241"/>
      <c r="F10" s="241"/>
      <c r="G10" s="241"/>
      <c r="H10" s="241"/>
      <c r="I10" s="241"/>
      <c r="J10" s="728" t="s">
        <v>1692</v>
      </c>
      <c r="K10" s="729"/>
      <c r="L10" s="728"/>
      <c r="M10" s="729" t="s">
        <v>1218</v>
      </c>
      <c r="N10" s="728"/>
      <c r="O10" s="728"/>
      <c r="P10" s="728"/>
      <c r="Q10" s="728"/>
      <c r="R10" s="730"/>
      <c r="S10" s="728" t="s">
        <v>817</v>
      </c>
      <c r="T10" s="728"/>
      <c r="U10" s="728" t="s">
        <v>863</v>
      </c>
      <c r="V10" s="731"/>
      <c r="W10" s="728"/>
      <c r="X10" s="732" t="s">
        <v>864</v>
      </c>
      <c r="Y10" s="260"/>
      <c r="Z10" s="232"/>
      <c r="AA10" s="733"/>
      <c r="AB10" s="263"/>
      <c r="AC10" s="734"/>
      <c r="AD10" s="728"/>
      <c r="AE10" s="731"/>
      <c r="AF10" s="731"/>
    </row>
    <row r="11" spans="1:1014" s="158" customFormat="1" ht="12.75" customHeight="1">
      <c r="A11" s="225">
        <v>3</v>
      </c>
      <c r="B11" s="217"/>
      <c r="C11" s="241" t="s">
        <v>1548</v>
      </c>
      <c r="D11" s="241"/>
      <c r="E11" s="241"/>
      <c r="F11" s="241"/>
      <c r="G11" s="241"/>
      <c r="H11" s="241"/>
      <c r="I11" s="241"/>
      <c r="J11" s="728" t="s">
        <v>1549</v>
      </c>
      <c r="K11" s="729" t="s">
        <v>930</v>
      </c>
      <c r="L11" s="728"/>
      <c r="M11" s="729" t="s">
        <v>931</v>
      </c>
      <c r="N11" s="728"/>
      <c r="O11" s="728"/>
      <c r="P11" s="728"/>
      <c r="Q11" s="728"/>
      <c r="R11" s="730"/>
      <c r="S11" s="728" t="s">
        <v>820</v>
      </c>
      <c r="T11" s="728"/>
      <c r="U11" s="728" t="s">
        <v>879</v>
      </c>
      <c r="V11" s="268"/>
      <c r="W11" s="728"/>
      <c r="X11" s="732" t="s">
        <v>864</v>
      </c>
      <c r="Y11" s="732"/>
      <c r="Z11" s="232"/>
      <c r="AA11" s="733"/>
      <c r="AB11" s="263"/>
      <c r="AC11" s="734"/>
      <c r="AD11" s="728"/>
      <c r="AE11" s="731"/>
      <c r="AF11" s="731"/>
    </row>
    <row r="12" spans="1:1014" s="158" customFormat="1" ht="12.75" customHeight="1">
      <c r="A12" s="225">
        <v>5</v>
      </c>
      <c r="B12" s="217"/>
      <c r="C12" s="241" t="s">
        <v>1715</v>
      </c>
      <c r="D12" s="241"/>
      <c r="E12" s="241"/>
      <c r="F12" s="241"/>
      <c r="G12" s="241"/>
      <c r="H12" s="241"/>
      <c r="I12" s="241"/>
      <c r="J12" s="266" t="s">
        <v>1557</v>
      </c>
      <c r="K12" s="264" t="s">
        <v>1558</v>
      </c>
      <c r="L12" s="263"/>
      <c r="M12" s="729" t="s">
        <v>1559</v>
      </c>
      <c r="N12" s="728"/>
      <c r="O12" s="728"/>
      <c r="P12" s="728"/>
      <c r="Q12" s="728"/>
      <c r="R12" s="730"/>
      <c r="S12" s="728" t="s">
        <v>817</v>
      </c>
      <c r="T12" s="728"/>
      <c r="U12" s="728" t="s">
        <v>863</v>
      </c>
      <c r="V12" s="268" t="s">
        <v>864</v>
      </c>
      <c r="W12" s="373"/>
      <c r="X12" s="265" t="s">
        <v>864</v>
      </c>
      <c r="Y12" s="260"/>
      <c r="Z12" s="232"/>
      <c r="AA12" s="263"/>
      <c r="AB12" s="389"/>
      <c r="AC12" s="267"/>
      <c r="AD12" s="263"/>
      <c r="AE12" s="731"/>
      <c r="AF12" s="731"/>
    </row>
    <row r="13" spans="1:1014" s="158" customFormat="1" ht="12.75" customHeight="1">
      <c r="A13" s="225"/>
      <c r="B13" s="217"/>
      <c r="C13" s="241" t="s">
        <v>2460</v>
      </c>
      <c r="D13" s="241"/>
      <c r="E13" s="241"/>
      <c r="F13" s="241"/>
      <c r="G13" s="241"/>
      <c r="H13" s="241"/>
      <c r="I13" s="241"/>
      <c r="J13" s="742"/>
      <c r="K13" s="729"/>
      <c r="L13" s="728"/>
      <c r="M13" s="729"/>
      <c r="N13" s="728"/>
      <c r="O13" s="728"/>
      <c r="P13" s="728"/>
      <c r="Q13" s="728"/>
      <c r="R13" s="730"/>
      <c r="S13" s="728"/>
      <c r="T13" s="728"/>
      <c r="U13" s="728"/>
      <c r="V13" s="731"/>
      <c r="W13" s="728"/>
      <c r="X13" s="732"/>
      <c r="Y13" s="732"/>
      <c r="Z13" s="232"/>
      <c r="AA13" s="733"/>
      <c r="AB13" s="728"/>
      <c r="AC13" s="734"/>
      <c r="AD13" s="263"/>
      <c r="AE13" s="731"/>
      <c r="AF13" s="731"/>
    </row>
    <row r="14" spans="1:1014" s="158" customFormat="1" ht="12.75" customHeight="1">
      <c r="A14" s="225">
        <v>6</v>
      </c>
      <c r="B14" s="217"/>
      <c r="C14" s="241"/>
      <c r="D14" s="241" t="s">
        <v>1562</v>
      </c>
      <c r="E14" s="241"/>
      <c r="F14" s="241"/>
      <c r="G14" s="241"/>
      <c r="H14" s="241"/>
      <c r="I14" s="241"/>
      <c r="J14" s="269" t="s">
        <v>1563</v>
      </c>
      <c r="K14" s="264" t="s">
        <v>1564</v>
      </c>
      <c r="L14" s="263"/>
      <c r="M14" s="729" t="s">
        <v>1565</v>
      </c>
      <c r="N14" s="728"/>
      <c r="O14" s="728"/>
      <c r="P14" s="728"/>
      <c r="Q14" s="728"/>
      <c r="R14" s="730"/>
      <c r="S14" s="737" t="s">
        <v>823</v>
      </c>
      <c r="T14" s="728"/>
      <c r="U14" s="728" t="s">
        <v>863</v>
      </c>
      <c r="V14" s="268" t="s">
        <v>864</v>
      </c>
      <c r="W14" s="373"/>
      <c r="X14" s="265" t="s">
        <v>864</v>
      </c>
      <c r="Y14" s="260"/>
      <c r="Z14" s="232"/>
      <c r="AA14" s="389"/>
      <c r="AB14" s="389"/>
      <c r="AC14" s="261"/>
      <c r="AD14" s="263"/>
      <c r="AE14" s="731"/>
      <c r="AF14" s="731"/>
    </row>
    <row r="15" spans="1:1014" s="158" customFormat="1" ht="12.75" customHeight="1">
      <c r="A15" s="225">
        <v>7</v>
      </c>
      <c r="B15" s="217"/>
      <c r="C15" s="241"/>
      <c r="D15" s="241" t="s">
        <v>1704</v>
      </c>
      <c r="E15" s="241"/>
      <c r="F15" s="241"/>
      <c r="G15" s="241"/>
      <c r="H15" s="241"/>
      <c r="I15" s="241"/>
      <c r="J15" s="742"/>
      <c r="K15" s="729" t="s">
        <v>2590</v>
      </c>
      <c r="L15" s="728"/>
      <c r="M15" s="729" t="s">
        <v>1365</v>
      </c>
      <c r="N15" s="728"/>
      <c r="O15" s="728"/>
      <c r="P15" s="728"/>
      <c r="Q15" s="728"/>
      <c r="R15" s="730"/>
      <c r="S15" s="263" t="s">
        <v>817</v>
      </c>
      <c r="T15" s="728"/>
      <c r="U15" s="728" t="s">
        <v>863</v>
      </c>
      <c r="V15" s="731" t="s">
        <v>864</v>
      </c>
      <c r="W15" s="728"/>
      <c r="X15" s="732" t="s">
        <v>864</v>
      </c>
      <c r="Y15" s="732"/>
      <c r="Z15" s="232"/>
      <c r="AA15" s="389"/>
      <c r="AB15" s="728"/>
      <c r="AC15" s="734"/>
      <c r="AD15" s="728"/>
      <c r="AE15" s="731"/>
      <c r="AF15" s="731"/>
    </row>
    <row r="16" spans="1:1014" s="249" customFormat="1" ht="12.75" customHeight="1">
      <c r="A16" s="225">
        <v>8</v>
      </c>
      <c r="B16" s="218"/>
      <c r="C16" s="219"/>
      <c r="D16" s="219" t="s">
        <v>1568</v>
      </c>
      <c r="E16" s="218"/>
      <c r="F16" s="218"/>
      <c r="G16" s="218"/>
      <c r="H16" s="218"/>
      <c r="I16" s="218"/>
      <c r="J16" s="269" t="s">
        <v>1720</v>
      </c>
      <c r="K16" s="497"/>
      <c r="L16" s="255"/>
      <c r="M16" s="264" t="s">
        <v>1570</v>
      </c>
      <c r="N16" s="263"/>
      <c r="O16" s="263"/>
      <c r="P16" s="263"/>
      <c r="Q16" s="263"/>
      <c r="R16" s="265"/>
      <c r="S16" s="263" t="s">
        <v>817</v>
      </c>
      <c r="T16" s="263"/>
      <c r="U16" s="263" t="s">
        <v>863</v>
      </c>
      <c r="V16" s="373"/>
      <c r="W16" s="255"/>
      <c r="X16" s="260" t="s">
        <v>864</v>
      </c>
      <c r="Y16" s="260"/>
      <c r="Z16" s="500"/>
      <c r="AA16" s="389"/>
      <c r="AB16" s="255"/>
      <c r="AC16" s="245"/>
      <c r="AD16" s="255"/>
      <c r="AE16" s="373"/>
      <c r="AF16" s="373"/>
    </row>
    <row r="17" spans="1:32" s="158" customFormat="1" ht="12.75" customHeight="1">
      <c r="A17" s="225">
        <v>9</v>
      </c>
      <c r="B17" s="217"/>
      <c r="C17" s="241"/>
      <c r="D17" s="241" t="s">
        <v>1572</v>
      </c>
      <c r="E17" s="241"/>
      <c r="F17" s="241"/>
      <c r="G17" s="241"/>
      <c r="H17" s="241"/>
      <c r="I17" s="241"/>
      <c r="J17" s="269" t="s">
        <v>1573</v>
      </c>
      <c r="K17" s="264" t="s">
        <v>1574</v>
      </c>
      <c r="L17" s="263"/>
      <c r="M17" s="729" t="s">
        <v>1575</v>
      </c>
      <c r="N17" s="728"/>
      <c r="O17" s="728"/>
      <c r="P17" s="728"/>
      <c r="Q17" s="728"/>
      <c r="R17" s="730"/>
      <c r="S17" s="728" t="s">
        <v>817</v>
      </c>
      <c r="T17" s="728"/>
      <c r="U17" s="728" t="s">
        <v>863</v>
      </c>
      <c r="V17" s="268"/>
      <c r="W17" s="376"/>
      <c r="X17" s="265" t="s">
        <v>864</v>
      </c>
      <c r="Y17" s="260"/>
      <c r="Z17" s="232"/>
      <c r="AA17" s="728"/>
      <c r="AB17" s="389"/>
      <c r="AC17" s="267"/>
      <c r="AD17" s="263"/>
      <c r="AE17" s="731"/>
      <c r="AF17" s="731"/>
    </row>
    <row r="18" spans="1:32" s="158" customFormat="1" ht="12.75" customHeight="1">
      <c r="A18" s="225">
        <v>10</v>
      </c>
      <c r="B18" s="242"/>
      <c r="C18" s="264"/>
      <c r="D18" s="242" t="s">
        <v>1577</v>
      </c>
      <c r="E18" s="264"/>
      <c r="F18" s="264"/>
      <c r="G18" s="264"/>
      <c r="H18" s="264"/>
      <c r="I18" s="264"/>
      <c r="J18" s="264"/>
      <c r="K18" s="264"/>
      <c r="L18" s="263"/>
      <c r="M18" s="729" t="s">
        <v>1578</v>
      </c>
      <c r="N18" s="728"/>
      <c r="O18" s="728"/>
      <c r="P18" s="728"/>
      <c r="Q18" s="728"/>
      <c r="R18" s="730"/>
      <c r="S18" s="737" t="s">
        <v>817</v>
      </c>
      <c r="T18" s="728" t="s">
        <v>864</v>
      </c>
      <c r="U18" s="378" t="s">
        <v>1578</v>
      </c>
      <c r="V18" s="268"/>
      <c r="W18" s="263"/>
      <c r="X18" s="265" t="s">
        <v>864</v>
      </c>
      <c r="Y18" s="260"/>
      <c r="Z18" s="232"/>
      <c r="AA18" s="266"/>
      <c r="AB18" s="263"/>
      <c r="AC18" s="261"/>
      <c r="AD18" s="263"/>
      <c r="AE18" s="731"/>
      <c r="AF18" s="731"/>
    </row>
    <row r="19" spans="1:32" s="158" customFormat="1" ht="12.75" customHeight="1">
      <c r="A19" s="225">
        <v>11</v>
      </c>
      <c r="B19" s="241"/>
      <c r="C19" s="241"/>
      <c r="D19" s="241"/>
      <c r="E19" s="241" t="s">
        <v>1580</v>
      </c>
      <c r="F19" s="241"/>
      <c r="G19" s="241"/>
      <c r="H19" s="241"/>
      <c r="I19" s="241"/>
      <c r="J19" s="269" t="s">
        <v>1581</v>
      </c>
      <c r="K19" s="264"/>
      <c r="L19" s="263"/>
      <c r="M19" s="729" t="s">
        <v>970</v>
      </c>
      <c r="N19" s="728"/>
      <c r="O19" s="728"/>
      <c r="P19" s="728"/>
      <c r="Q19" s="728"/>
      <c r="R19" s="730"/>
      <c r="S19" s="737" t="s">
        <v>817</v>
      </c>
      <c r="T19" s="728"/>
      <c r="U19" s="728" t="s">
        <v>863</v>
      </c>
      <c r="V19" s="268" t="s">
        <v>864</v>
      </c>
      <c r="W19" s="263" t="s">
        <v>1582</v>
      </c>
      <c r="X19" s="265" t="s">
        <v>864</v>
      </c>
      <c r="Y19" s="260"/>
      <c r="Z19" s="232"/>
      <c r="AA19" s="266"/>
      <c r="AB19" s="263"/>
      <c r="AC19" s="261"/>
      <c r="AD19" s="263"/>
      <c r="AE19" s="731"/>
      <c r="AF19" s="731"/>
    </row>
    <row r="20" spans="1:32" s="158" customFormat="1" ht="12.75" customHeight="1">
      <c r="A20" s="225">
        <v>12</v>
      </c>
      <c r="B20" s="241"/>
      <c r="C20" s="242"/>
      <c r="D20" s="241"/>
      <c r="E20" s="242" t="s">
        <v>1583</v>
      </c>
      <c r="F20" s="241"/>
      <c r="G20" s="241"/>
      <c r="H20" s="241"/>
      <c r="I20" s="241"/>
      <c r="J20" s="269"/>
      <c r="K20" s="264"/>
      <c r="L20" s="263"/>
      <c r="M20" s="729" t="s">
        <v>1585</v>
      </c>
      <c r="N20" s="728"/>
      <c r="O20" s="728"/>
      <c r="P20" s="728"/>
      <c r="Q20" s="728"/>
      <c r="R20" s="730"/>
      <c r="S20" s="737" t="s">
        <v>817</v>
      </c>
      <c r="T20" s="728" t="s">
        <v>864</v>
      </c>
      <c r="U20" s="728" t="s">
        <v>1054</v>
      </c>
      <c r="V20" s="268"/>
      <c r="W20" s="263"/>
      <c r="X20" s="265" t="s">
        <v>864</v>
      </c>
      <c r="Y20" s="260"/>
      <c r="Z20" s="232"/>
      <c r="AA20" s="266"/>
      <c r="AB20" s="263"/>
      <c r="AC20" s="261"/>
      <c r="AD20" s="263"/>
      <c r="AE20" s="731"/>
      <c r="AF20" s="731"/>
    </row>
    <row r="21" spans="1:32" s="224" customFormat="1" ht="13.5" customHeight="1">
      <c r="A21" s="225">
        <v>14</v>
      </c>
      <c r="B21" s="217"/>
      <c r="C21" s="217"/>
      <c r="D21" s="217"/>
      <c r="E21" s="217"/>
      <c r="F21" s="217" t="s">
        <v>1055</v>
      </c>
      <c r="G21" s="217"/>
      <c r="H21" s="217"/>
      <c r="I21" s="217"/>
      <c r="J21" s="728" t="s">
        <v>1056</v>
      </c>
      <c r="K21" s="729" t="s">
        <v>1057</v>
      </c>
      <c r="L21" s="728" t="s">
        <v>1058</v>
      </c>
      <c r="M21" s="729"/>
      <c r="N21" s="728"/>
      <c r="O21" s="728"/>
      <c r="P21" s="728"/>
      <c r="Q21" s="728"/>
      <c r="R21" s="730"/>
      <c r="S21" s="728" t="s">
        <v>820</v>
      </c>
      <c r="T21" s="728"/>
      <c r="U21" s="728" t="s">
        <v>863</v>
      </c>
      <c r="V21" s="731"/>
      <c r="W21" s="728"/>
      <c r="X21" s="732" t="s">
        <v>864</v>
      </c>
      <c r="Y21" s="732"/>
      <c r="Z21" s="232"/>
      <c r="AA21" s="733"/>
      <c r="AB21" s="728"/>
      <c r="AC21" s="734"/>
      <c r="AD21" s="728"/>
      <c r="AE21" s="731">
        <v>1</v>
      </c>
      <c r="AF21" s="731">
        <v>1</v>
      </c>
    </row>
    <row r="22" spans="1:32" s="249" customFormat="1" ht="13.5" customHeight="1">
      <c r="A22" s="225">
        <v>15</v>
      </c>
      <c r="B22" s="217"/>
      <c r="C22" s="219"/>
      <c r="D22" s="217"/>
      <c r="E22" s="219"/>
      <c r="F22" s="219" t="s">
        <v>1059</v>
      </c>
      <c r="G22" s="219"/>
      <c r="H22" s="220"/>
      <c r="I22" s="220"/>
      <c r="J22" s="728" t="s">
        <v>1060</v>
      </c>
      <c r="K22" s="729" t="s">
        <v>1061</v>
      </c>
      <c r="L22" s="728" t="s">
        <v>1062</v>
      </c>
      <c r="M22" s="729"/>
      <c r="N22" s="728"/>
      <c r="O22" s="728"/>
      <c r="P22" s="728"/>
      <c r="Q22" s="728"/>
      <c r="R22" s="252"/>
      <c r="S22" s="728" t="s">
        <v>817</v>
      </c>
      <c r="T22" s="728"/>
      <c r="U22" s="728" t="s">
        <v>863</v>
      </c>
      <c r="V22" s="731"/>
      <c r="W22" s="728"/>
      <c r="X22" s="260" t="s">
        <v>864</v>
      </c>
      <c r="Y22" s="732"/>
      <c r="Z22" s="232"/>
      <c r="AA22" s="733"/>
      <c r="AB22" s="728"/>
      <c r="AC22" s="734"/>
      <c r="AD22" s="728"/>
      <c r="AE22" s="731">
        <v>1</v>
      </c>
      <c r="AF22" s="731"/>
    </row>
    <row r="23" spans="1:32" s="224" customFormat="1" ht="13.5" customHeight="1">
      <c r="A23" s="225">
        <v>16</v>
      </c>
      <c r="B23" s="217"/>
      <c r="C23" s="217"/>
      <c r="D23" s="217"/>
      <c r="E23" s="217"/>
      <c r="F23" s="217" t="s">
        <v>1063</v>
      </c>
      <c r="G23" s="217"/>
      <c r="H23" s="217"/>
      <c r="I23" s="217"/>
      <c r="J23" s="263" t="s">
        <v>1064</v>
      </c>
      <c r="K23" s="729" t="s">
        <v>1065</v>
      </c>
      <c r="L23" s="728" t="s">
        <v>871</v>
      </c>
      <c r="M23" s="729"/>
      <c r="N23" s="728" t="s">
        <v>1066</v>
      </c>
      <c r="O23" s="728" t="s">
        <v>1067</v>
      </c>
      <c r="P23" s="728"/>
      <c r="Q23" s="728"/>
      <c r="R23" s="252"/>
      <c r="S23" s="728" t="s">
        <v>817</v>
      </c>
      <c r="T23" s="728"/>
      <c r="U23" s="728" t="s">
        <v>863</v>
      </c>
      <c r="V23" s="731"/>
      <c r="W23" s="728"/>
      <c r="X23" s="260" t="s">
        <v>864</v>
      </c>
      <c r="Y23" s="732"/>
      <c r="Z23" s="232"/>
      <c r="AA23" s="733"/>
      <c r="AB23" s="728"/>
      <c r="AC23" s="734"/>
      <c r="AD23" s="728"/>
      <c r="AE23" s="731">
        <v>1</v>
      </c>
      <c r="AF23" s="731">
        <v>1</v>
      </c>
    </row>
    <row r="24" spans="1:32" s="224" customFormat="1" ht="13.5" customHeight="1">
      <c r="A24" s="225">
        <v>17</v>
      </c>
      <c r="B24" s="217"/>
      <c r="C24" s="241"/>
      <c r="D24" s="217"/>
      <c r="E24" s="241"/>
      <c r="F24" s="241" t="s">
        <v>1068</v>
      </c>
      <c r="G24" s="221"/>
      <c r="H24" s="221"/>
      <c r="I24" s="221"/>
      <c r="J24" s="728" t="s">
        <v>1069</v>
      </c>
      <c r="K24" s="736"/>
      <c r="L24" s="728"/>
      <c r="M24" s="264" t="s">
        <v>1070</v>
      </c>
      <c r="N24" s="728"/>
      <c r="O24" s="728"/>
      <c r="P24" s="728"/>
      <c r="Q24" s="728"/>
      <c r="R24" s="730"/>
      <c r="S24" s="728" t="s">
        <v>823</v>
      </c>
      <c r="T24" s="728" t="s">
        <v>864</v>
      </c>
      <c r="U24" s="518" t="s">
        <v>1070</v>
      </c>
      <c r="V24" s="731"/>
      <c r="W24" s="731"/>
      <c r="X24" s="260" t="s">
        <v>864</v>
      </c>
      <c r="Y24" s="260"/>
      <c r="Z24" s="232"/>
      <c r="AA24" s="733"/>
      <c r="AB24" s="728"/>
      <c r="AC24" s="734"/>
      <c r="AD24" s="728"/>
      <c r="AE24" s="731"/>
      <c r="AF24" s="731">
        <v>1</v>
      </c>
    </row>
    <row r="25" spans="1:32" s="224" customFormat="1" ht="13.5" customHeight="1">
      <c r="A25" s="225">
        <v>18</v>
      </c>
      <c r="B25" s="217"/>
      <c r="C25" s="241"/>
      <c r="D25" s="217"/>
      <c r="E25" s="241"/>
      <c r="F25" s="241"/>
      <c r="G25" s="241" t="s">
        <v>1071</v>
      </c>
      <c r="H25" s="241"/>
      <c r="I25" s="241"/>
      <c r="J25" s="728" t="s">
        <v>1072</v>
      </c>
      <c r="K25" s="736" t="s">
        <v>1073</v>
      </c>
      <c r="L25" s="728"/>
      <c r="M25" s="729" t="s">
        <v>908</v>
      </c>
      <c r="N25" s="728"/>
      <c r="O25" s="728"/>
      <c r="P25" s="728"/>
      <c r="Q25" s="728"/>
      <c r="R25" s="730"/>
      <c r="S25" s="728" t="s">
        <v>820</v>
      </c>
      <c r="T25" s="728"/>
      <c r="U25" s="728" t="s">
        <v>863</v>
      </c>
      <c r="V25" s="731" t="s">
        <v>864</v>
      </c>
      <c r="W25" s="729" t="s">
        <v>1074</v>
      </c>
      <c r="X25" s="260" t="s">
        <v>864</v>
      </c>
      <c r="Y25" s="260"/>
      <c r="Z25" s="232"/>
      <c r="AA25" s="266" t="s">
        <v>1075</v>
      </c>
      <c r="AB25" s="728" t="s">
        <v>1076</v>
      </c>
      <c r="AC25" s="245"/>
      <c r="AD25" s="728"/>
      <c r="AE25" s="731"/>
      <c r="AF25" s="731">
        <v>1</v>
      </c>
    </row>
    <row r="26" spans="1:32" s="224" customFormat="1" ht="13.5" customHeight="1">
      <c r="A26" s="225">
        <v>19</v>
      </c>
      <c r="B26" s="217"/>
      <c r="C26" s="241"/>
      <c r="D26" s="217"/>
      <c r="E26" s="241"/>
      <c r="F26" s="241"/>
      <c r="G26" s="241" t="s">
        <v>1077</v>
      </c>
      <c r="H26" s="241"/>
      <c r="I26" s="241"/>
      <c r="J26" s="728" t="s">
        <v>1078</v>
      </c>
      <c r="K26" s="736" t="s">
        <v>1079</v>
      </c>
      <c r="L26" s="728"/>
      <c r="M26" s="729" t="s">
        <v>1080</v>
      </c>
      <c r="N26" s="728"/>
      <c r="O26" s="728"/>
      <c r="P26" s="728"/>
      <c r="Q26" s="728"/>
      <c r="R26" s="730"/>
      <c r="S26" s="728" t="s">
        <v>820</v>
      </c>
      <c r="T26" s="728"/>
      <c r="U26" s="728" t="s">
        <v>863</v>
      </c>
      <c r="V26" s="731"/>
      <c r="W26" s="731"/>
      <c r="X26" s="260" t="s">
        <v>864</v>
      </c>
      <c r="Y26" s="260"/>
      <c r="Z26" s="232"/>
      <c r="AA26" s="733"/>
      <c r="AB26" s="728"/>
      <c r="AC26" s="245"/>
      <c r="AD26" s="728"/>
      <c r="AE26" s="731"/>
      <c r="AF26" s="731">
        <v>1</v>
      </c>
    </row>
    <row r="27" spans="1:32" s="224" customFormat="1" ht="13.5" customHeight="1">
      <c r="A27" s="225">
        <v>20</v>
      </c>
      <c r="B27" s="217"/>
      <c r="C27" s="217"/>
      <c r="D27" s="217"/>
      <c r="E27" s="217"/>
      <c r="F27" s="217" t="s">
        <v>1081</v>
      </c>
      <c r="G27" s="221"/>
      <c r="H27" s="221"/>
      <c r="I27" s="221"/>
      <c r="J27" s="728"/>
      <c r="K27" s="729"/>
      <c r="L27" s="728"/>
      <c r="M27" s="729" t="s">
        <v>1082</v>
      </c>
      <c r="N27" s="728"/>
      <c r="O27" s="728"/>
      <c r="P27" s="728"/>
      <c r="Q27" s="728"/>
      <c r="R27" s="730"/>
      <c r="S27" s="728" t="s">
        <v>817</v>
      </c>
      <c r="T27" s="728" t="s">
        <v>864</v>
      </c>
      <c r="U27" s="243" t="s">
        <v>1082</v>
      </c>
      <c r="V27" s="731"/>
      <c r="W27" s="728"/>
      <c r="X27" s="260" t="s">
        <v>864</v>
      </c>
      <c r="Y27" s="732"/>
      <c r="Z27" s="232"/>
      <c r="AA27" s="733"/>
      <c r="AB27" s="728"/>
      <c r="AC27" s="734"/>
      <c r="AD27" s="728"/>
      <c r="AE27" s="731">
        <v>1</v>
      </c>
      <c r="AF27" s="731">
        <v>1</v>
      </c>
    </row>
    <row r="28" spans="1:32" s="224" customFormat="1" ht="13.5" customHeight="1">
      <c r="A28" s="225">
        <v>21</v>
      </c>
      <c r="B28" s="217"/>
      <c r="C28" s="217"/>
      <c r="D28" s="217"/>
      <c r="E28" s="217"/>
      <c r="F28" s="217"/>
      <c r="G28" s="727" t="s">
        <v>1083</v>
      </c>
      <c r="H28" s="253"/>
      <c r="I28" s="239"/>
      <c r="J28" s="728" t="s">
        <v>1084</v>
      </c>
      <c r="K28" s="729" t="s">
        <v>1085</v>
      </c>
      <c r="L28" s="728" t="s">
        <v>1086</v>
      </c>
      <c r="M28" s="729" t="s">
        <v>1087</v>
      </c>
      <c r="N28" s="728"/>
      <c r="O28" s="728"/>
      <c r="P28" s="728"/>
      <c r="Q28" s="728"/>
      <c r="R28" s="730"/>
      <c r="S28" s="728" t="s">
        <v>820</v>
      </c>
      <c r="T28" s="728"/>
      <c r="U28" s="728" t="s">
        <v>863</v>
      </c>
      <c r="V28" s="731"/>
      <c r="W28" s="728" t="s">
        <v>1088</v>
      </c>
      <c r="X28" s="732" t="s">
        <v>864</v>
      </c>
      <c r="Y28" s="732"/>
      <c r="Z28" s="232"/>
      <c r="AA28" s="733"/>
      <c r="AB28" s="728"/>
      <c r="AC28" s="734"/>
      <c r="AD28" s="728"/>
      <c r="AE28" s="731">
        <v>1</v>
      </c>
      <c r="AF28" s="731">
        <v>1</v>
      </c>
    </row>
    <row r="29" spans="1:32" s="254" customFormat="1" ht="13.5" customHeight="1">
      <c r="A29" s="225">
        <v>22</v>
      </c>
      <c r="B29" s="217"/>
      <c r="C29" s="222"/>
      <c r="D29" s="217"/>
      <c r="E29" s="222"/>
      <c r="F29" s="222"/>
      <c r="G29" s="727" t="s">
        <v>1089</v>
      </c>
      <c r="H29" s="221"/>
      <c r="I29" s="221"/>
      <c r="J29" s="728" t="s">
        <v>1090</v>
      </c>
      <c r="K29" s="729" t="s">
        <v>1091</v>
      </c>
      <c r="L29" s="728"/>
      <c r="M29" s="729" t="s">
        <v>1092</v>
      </c>
      <c r="N29" s="728" t="s">
        <v>1093</v>
      </c>
      <c r="O29" s="728" t="s">
        <v>254</v>
      </c>
      <c r="P29" s="728"/>
      <c r="Q29" s="728"/>
      <c r="R29" s="730"/>
      <c r="S29" s="728" t="s">
        <v>817</v>
      </c>
      <c r="T29" s="728"/>
      <c r="U29" s="728" t="s">
        <v>863</v>
      </c>
      <c r="V29" s="731"/>
      <c r="W29" s="728"/>
      <c r="X29" s="732" t="s">
        <v>864</v>
      </c>
      <c r="Y29" s="732"/>
      <c r="Z29" s="232"/>
      <c r="AA29" s="733"/>
      <c r="AB29" s="728"/>
      <c r="AC29" s="734"/>
      <c r="AD29" s="728"/>
      <c r="AE29" s="731">
        <v>1</v>
      </c>
      <c r="AF29" s="731">
        <v>1</v>
      </c>
    </row>
    <row r="30" spans="1:32" s="254" customFormat="1" ht="13.5" customHeight="1">
      <c r="A30" s="225">
        <v>23</v>
      </c>
      <c r="B30" s="217"/>
      <c r="C30" s="222"/>
      <c r="D30" s="217"/>
      <c r="E30" s="222"/>
      <c r="F30" s="222"/>
      <c r="G30" s="727" t="s">
        <v>1094</v>
      </c>
      <c r="H30" s="221"/>
      <c r="I30" s="221"/>
      <c r="J30" s="728"/>
      <c r="K30" s="729"/>
      <c r="L30" s="728"/>
      <c r="M30" s="729" t="s">
        <v>1095</v>
      </c>
      <c r="N30" s="728" t="s">
        <v>1096</v>
      </c>
      <c r="O30" s="728" t="s">
        <v>1097</v>
      </c>
      <c r="P30" s="728"/>
      <c r="Q30" s="728"/>
      <c r="R30" s="730"/>
      <c r="S30" s="728" t="s">
        <v>817</v>
      </c>
      <c r="T30" s="728" t="s">
        <v>864</v>
      </c>
      <c r="U30" s="243" t="s">
        <v>1095</v>
      </c>
      <c r="V30" s="731"/>
      <c r="W30" s="728"/>
      <c r="X30" s="732" t="s">
        <v>864</v>
      </c>
      <c r="Y30" s="732"/>
      <c r="Z30" s="232"/>
      <c r="AA30" s="733"/>
      <c r="AB30" s="728"/>
      <c r="AC30" s="734"/>
      <c r="AD30" s="728"/>
      <c r="AE30" s="731">
        <v>1</v>
      </c>
      <c r="AF30" s="731">
        <v>1</v>
      </c>
    </row>
    <row r="31" spans="1:32" s="254" customFormat="1" ht="13.5" customHeight="1">
      <c r="A31" s="225">
        <v>24</v>
      </c>
      <c r="B31" s="217"/>
      <c r="C31" s="222"/>
      <c r="D31" s="217"/>
      <c r="E31" s="222"/>
      <c r="F31" s="222"/>
      <c r="G31" s="241"/>
      <c r="H31" s="241" t="s">
        <v>1098</v>
      </c>
      <c r="I31" s="241"/>
      <c r="J31" s="728" t="s">
        <v>1099</v>
      </c>
      <c r="K31" s="729" t="s">
        <v>1100</v>
      </c>
      <c r="L31" s="728"/>
      <c r="M31" s="729" t="s">
        <v>1087</v>
      </c>
      <c r="N31" s="728"/>
      <c r="O31" s="728"/>
      <c r="P31" s="728"/>
      <c r="Q31" s="728"/>
      <c r="R31" s="730"/>
      <c r="S31" s="728" t="s">
        <v>820</v>
      </c>
      <c r="T31" s="728"/>
      <c r="U31" s="728" t="s">
        <v>863</v>
      </c>
      <c r="V31" s="731"/>
      <c r="W31" s="728" t="s">
        <v>1101</v>
      </c>
      <c r="X31" s="732" t="s">
        <v>864</v>
      </c>
      <c r="Y31" s="732"/>
      <c r="Z31" s="232"/>
      <c r="AA31" s="733"/>
      <c r="AB31" s="728"/>
      <c r="AC31" s="734"/>
      <c r="AD31" s="728"/>
      <c r="AE31" s="731">
        <v>1</v>
      </c>
      <c r="AF31" s="731">
        <v>1</v>
      </c>
    </row>
    <row r="32" spans="1:32" s="224" customFormat="1" ht="13.5" customHeight="1">
      <c r="A32" s="225">
        <v>25</v>
      </c>
      <c r="B32" s="217"/>
      <c r="C32" s="217"/>
      <c r="D32" s="217"/>
      <c r="E32" s="217"/>
      <c r="F32" s="217"/>
      <c r="G32" s="241"/>
      <c r="H32" s="241" t="s">
        <v>1102</v>
      </c>
      <c r="I32" s="241"/>
      <c r="J32" s="728"/>
      <c r="K32" s="729" t="s">
        <v>1103</v>
      </c>
      <c r="L32" s="728"/>
      <c r="M32" s="729" t="s">
        <v>970</v>
      </c>
      <c r="N32" s="728"/>
      <c r="O32" s="728"/>
      <c r="P32" s="728"/>
      <c r="Q32" s="728"/>
      <c r="R32" s="730"/>
      <c r="S32" s="728" t="s">
        <v>817</v>
      </c>
      <c r="T32" s="728"/>
      <c r="U32" s="728" t="s">
        <v>863</v>
      </c>
      <c r="V32" s="731"/>
      <c r="W32" s="728"/>
      <c r="X32" s="732" t="s">
        <v>864</v>
      </c>
      <c r="Y32" s="732"/>
      <c r="Z32" s="232"/>
      <c r="AA32" s="733"/>
      <c r="AB32" s="728"/>
      <c r="AC32" s="734"/>
      <c r="AD32" s="728"/>
      <c r="AE32" s="731">
        <v>1</v>
      </c>
      <c r="AF32" s="731">
        <v>1</v>
      </c>
    </row>
    <row r="33" spans="1:32" s="224" customFormat="1" ht="13.5" customHeight="1">
      <c r="A33" s="225">
        <v>26</v>
      </c>
      <c r="B33" s="217"/>
      <c r="C33" s="217"/>
      <c r="D33" s="217"/>
      <c r="E33" s="217"/>
      <c r="F33" s="217"/>
      <c r="G33" s="241"/>
      <c r="H33" s="241" t="s">
        <v>1104</v>
      </c>
      <c r="I33" s="241"/>
      <c r="J33" s="728"/>
      <c r="K33" s="729" t="s">
        <v>1105</v>
      </c>
      <c r="L33" s="728"/>
      <c r="M33" s="729" t="s">
        <v>871</v>
      </c>
      <c r="N33" s="728"/>
      <c r="O33" s="728"/>
      <c r="P33" s="728"/>
      <c r="Q33" s="728"/>
      <c r="R33" s="730"/>
      <c r="S33" s="728" t="s">
        <v>817</v>
      </c>
      <c r="T33" s="728"/>
      <c r="U33" s="728" t="s">
        <v>863</v>
      </c>
      <c r="V33" s="731"/>
      <c r="W33" s="728"/>
      <c r="X33" s="732" t="s">
        <v>864</v>
      </c>
      <c r="Y33" s="732"/>
      <c r="Z33" s="232"/>
      <c r="AA33" s="733"/>
      <c r="AB33" s="728"/>
      <c r="AC33" s="734"/>
      <c r="AD33" s="728"/>
      <c r="AE33" s="731">
        <v>1</v>
      </c>
      <c r="AF33" s="731">
        <v>1</v>
      </c>
    </row>
    <row r="34" spans="1:32" s="224" customFormat="1" ht="13.5" customHeight="1">
      <c r="A34" s="225">
        <v>27</v>
      </c>
      <c r="B34" s="217"/>
      <c r="C34" s="217"/>
      <c r="D34" s="217"/>
      <c r="E34" s="217"/>
      <c r="F34" s="217" t="s">
        <v>1106</v>
      </c>
      <c r="G34" s="221"/>
      <c r="H34" s="221"/>
      <c r="I34" s="221"/>
      <c r="J34" s="728"/>
      <c r="K34" s="729"/>
      <c r="L34" s="728"/>
      <c r="M34" s="729" t="s">
        <v>1107</v>
      </c>
      <c r="N34" s="728"/>
      <c r="O34" s="728"/>
      <c r="P34" s="728"/>
      <c r="Q34" s="728"/>
      <c r="R34" s="730"/>
      <c r="S34" s="728" t="s">
        <v>817</v>
      </c>
      <c r="T34" s="728" t="s">
        <v>864</v>
      </c>
      <c r="U34" s="243" t="s">
        <v>1107</v>
      </c>
      <c r="V34" s="731"/>
      <c r="W34" s="728"/>
      <c r="X34" s="732" t="s">
        <v>864</v>
      </c>
      <c r="Y34" s="732"/>
      <c r="Z34" s="232"/>
      <c r="AA34" s="733"/>
      <c r="AB34" s="728"/>
      <c r="AC34" s="734"/>
      <c r="AD34" s="728"/>
      <c r="AE34" s="731"/>
      <c r="AF34" s="731">
        <v>1</v>
      </c>
    </row>
    <row r="35" spans="1:32" s="231" customFormat="1" ht="13.5" customHeight="1">
      <c r="A35" s="225">
        <v>28</v>
      </c>
      <c r="B35" s="217"/>
      <c r="C35" s="217"/>
      <c r="D35" s="217"/>
      <c r="E35" s="217"/>
      <c r="F35" s="217"/>
      <c r="G35" s="241" t="s">
        <v>388</v>
      </c>
      <c r="H35" s="217"/>
      <c r="I35" s="217"/>
      <c r="J35" s="728" t="s">
        <v>1108</v>
      </c>
      <c r="K35" s="729" t="s">
        <v>1109</v>
      </c>
      <c r="L35" s="728" t="s">
        <v>1107</v>
      </c>
      <c r="M35" s="729" t="s">
        <v>871</v>
      </c>
      <c r="N35" s="728" t="s">
        <v>1110</v>
      </c>
      <c r="O35" s="728" t="s">
        <v>388</v>
      </c>
      <c r="P35" s="728"/>
      <c r="Q35" s="728"/>
      <c r="R35" s="252"/>
      <c r="S35" s="728" t="s">
        <v>817</v>
      </c>
      <c r="T35" s="728"/>
      <c r="U35" s="728" t="s">
        <v>863</v>
      </c>
      <c r="V35" s="731"/>
      <c r="W35" s="728"/>
      <c r="X35" s="732" t="s">
        <v>864</v>
      </c>
      <c r="Y35" s="732"/>
      <c r="Z35" s="232"/>
      <c r="AA35" s="733"/>
      <c r="AB35" s="255"/>
      <c r="AC35" s="245" t="s">
        <v>1111</v>
      </c>
      <c r="AD35" s="728"/>
      <c r="AE35" s="731">
        <v>1</v>
      </c>
      <c r="AF35" s="731">
        <v>1</v>
      </c>
    </row>
    <row r="36" spans="1:32" s="224" customFormat="1" ht="13.5" customHeight="1">
      <c r="A36" s="225">
        <v>29</v>
      </c>
      <c r="B36" s="217"/>
      <c r="C36" s="217"/>
      <c r="D36" s="217"/>
      <c r="E36" s="217"/>
      <c r="F36" s="217"/>
      <c r="G36" s="241" t="s">
        <v>392</v>
      </c>
      <c r="H36" s="217"/>
      <c r="I36" s="217"/>
      <c r="J36" s="728" t="s">
        <v>1112</v>
      </c>
      <c r="K36" s="729">
        <v>59350</v>
      </c>
      <c r="L36" s="728" t="s">
        <v>1113</v>
      </c>
      <c r="M36" s="729" t="s">
        <v>1114</v>
      </c>
      <c r="N36" s="728" t="s">
        <v>1115</v>
      </c>
      <c r="O36" s="728" t="s">
        <v>392</v>
      </c>
      <c r="P36" s="728"/>
      <c r="Q36" s="728"/>
      <c r="R36" s="252"/>
      <c r="S36" s="728" t="s">
        <v>817</v>
      </c>
      <c r="T36" s="728"/>
      <c r="U36" s="728" t="s">
        <v>863</v>
      </c>
      <c r="V36" s="731"/>
      <c r="W36" s="728" t="s">
        <v>1116</v>
      </c>
      <c r="X36" s="732" t="s">
        <v>864</v>
      </c>
      <c r="Y36" s="732"/>
      <c r="Z36" s="232"/>
      <c r="AA36" s="733"/>
      <c r="AB36" s="728"/>
      <c r="AC36" s="734"/>
      <c r="AD36" s="728"/>
      <c r="AE36" s="731">
        <v>1</v>
      </c>
      <c r="AF36" s="731">
        <v>1</v>
      </c>
    </row>
    <row r="37" spans="1:32" s="224" customFormat="1" ht="13.5" customHeight="1">
      <c r="A37" s="225">
        <v>30</v>
      </c>
      <c r="B37" s="217"/>
      <c r="C37" s="217"/>
      <c r="D37" s="217"/>
      <c r="E37" s="217"/>
      <c r="F37" s="217"/>
      <c r="G37" s="241" t="s">
        <v>1117</v>
      </c>
      <c r="H37" s="241"/>
      <c r="I37" s="241"/>
      <c r="J37" s="263" t="s">
        <v>1118</v>
      </c>
      <c r="K37" s="729" t="s">
        <v>1119</v>
      </c>
      <c r="L37" s="728"/>
      <c r="M37" s="729" t="s">
        <v>1120</v>
      </c>
      <c r="N37" s="728"/>
      <c r="O37" s="728"/>
      <c r="P37" s="728"/>
      <c r="Q37" s="728"/>
      <c r="R37" s="730"/>
      <c r="S37" s="728" t="s">
        <v>817</v>
      </c>
      <c r="T37" s="728"/>
      <c r="U37" s="735" t="s">
        <v>863</v>
      </c>
      <c r="V37" s="281"/>
      <c r="W37" s="728"/>
      <c r="X37" s="732" t="s">
        <v>864</v>
      </c>
      <c r="Y37" s="732"/>
      <c r="Z37" s="232"/>
      <c r="AA37" s="733"/>
      <c r="AB37" s="728"/>
      <c r="AC37" s="734"/>
      <c r="AD37" s="728"/>
      <c r="AE37" s="731"/>
      <c r="AF37" s="731">
        <v>1</v>
      </c>
    </row>
    <row r="38" spans="1:32" s="256" customFormat="1" ht="12.75" customHeight="1">
      <c r="A38" s="225">
        <v>31</v>
      </c>
      <c r="B38" s="217"/>
      <c r="C38" s="217"/>
      <c r="D38" s="217"/>
      <c r="E38" s="217"/>
      <c r="F38" s="217" t="s">
        <v>1121</v>
      </c>
      <c r="G38" s="221"/>
      <c r="H38" s="221"/>
      <c r="I38" s="221"/>
      <c r="J38" s="728" t="s">
        <v>1122</v>
      </c>
      <c r="K38" s="729"/>
      <c r="L38" s="728"/>
      <c r="M38" s="729" t="s">
        <v>1123</v>
      </c>
      <c r="N38" s="728"/>
      <c r="O38" s="728"/>
      <c r="P38" s="728"/>
      <c r="Q38" s="728"/>
      <c r="R38" s="730"/>
      <c r="S38" s="728" t="s">
        <v>817</v>
      </c>
      <c r="T38" s="728" t="s">
        <v>864</v>
      </c>
      <c r="U38" s="243" t="s">
        <v>1123</v>
      </c>
      <c r="V38" s="731"/>
      <c r="W38" s="728"/>
      <c r="X38" s="732" t="s">
        <v>864</v>
      </c>
      <c r="Y38" s="732"/>
      <c r="Z38" s="232"/>
      <c r="AA38" s="733"/>
      <c r="AB38" s="728"/>
      <c r="AC38" s="734"/>
      <c r="AD38" s="728"/>
      <c r="AE38" s="731">
        <v>1</v>
      </c>
      <c r="AF38" s="731">
        <v>1</v>
      </c>
    </row>
    <row r="39" spans="1:32" s="256" customFormat="1" ht="12.75" customHeight="1">
      <c r="A39" s="225">
        <v>32</v>
      </c>
      <c r="B39" s="217"/>
      <c r="C39" s="217"/>
      <c r="D39" s="217"/>
      <c r="E39" s="217"/>
      <c r="F39" s="217"/>
      <c r="G39" s="727" t="s">
        <v>415</v>
      </c>
      <c r="H39" s="221"/>
      <c r="I39" s="221"/>
      <c r="J39" s="728" t="s">
        <v>1124</v>
      </c>
      <c r="K39" s="729" t="s">
        <v>1125</v>
      </c>
      <c r="L39" s="728"/>
      <c r="M39" s="729" t="s">
        <v>1126</v>
      </c>
      <c r="N39" s="728" t="s">
        <v>1127</v>
      </c>
      <c r="O39" s="728" t="s">
        <v>415</v>
      </c>
      <c r="P39" s="728"/>
      <c r="Q39" s="728"/>
      <c r="R39" s="730"/>
      <c r="S39" s="728" t="s">
        <v>817</v>
      </c>
      <c r="T39" s="728"/>
      <c r="U39" s="735" t="s">
        <v>863</v>
      </c>
      <c r="V39" s="281"/>
      <c r="W39" s="728"/>
      <c r="X39" s="732" t="s">
        <v>864</v>
      </c>
      <c r="Y39" s="732"/>
      <c r="Z39" s="232"/>
      <c r="AA39" s="733"/>
      <c r="AB39" s="728"/>
      <c r="AC39" s="734"/>
      <c r="AD39" s="728"/>
      <c r="AE39" s="731">
        <v>1</v>
      </c>
      <c r="AF39" s="731">
        <v>1</v>
      </c>
    </row>
    <row r="40" spans="1:32" s="256" customFormat="1" ht="12.75" customHeight="1">
      <c r="A40" s="225">
        <v>33</v>
      </c>
      <c r="B40" s="217"/>
      <c r="C40" s="217"/>
      <c r="D40" s="217"/>
      <c r="E40" s="217"/>
      <c r="F40" s="217"/>
      <c r="G40" s="727" t="s">
        <v>1128</v>
      </c>
      <c r="H40" s="221"/>
      <c r="I40" s="221"/>
      <c r="J40" s="728" t="s">
        <v>1129</v>
      </c>
      <c r="K40" s="729" t="s">
        <v>1130</v>
      </c>
      <c r="L40" s="728"/>
      <c r="M40" s="729" t="s">
        <v>1131</v>
      </c>
      <c r="N40" s="728" t="s">
        <v>1132</v>
      </c>
      <c r="O40" s="728" t="s">
        <v>424</v>
      </c>
      <c r="P40" s="728"/>
      <c r="Q40" s="728"/>
      <c r="R40" s="730"/>
      <c r="S40" s="728" t="s">
        <v>817</v>
      </c>
      <c r="T40" s="728"/>
      <c r="U40" s="735" t="s">
        <v>863</v>
      </c>
      <c r="V40" s="281"/>
      <c r="W40" s="728"/>
      <c r="X40" s="732" t="s">
        <v>864</v>
      </c>
      <c r="Y40" s="732"/>
      <c r="Z40" s="232"/>
      <c r="AA40" s="733"/>
      <c r="AB40" s="728"/>
      <c r="AC40" s="734"/>
      <c r="AD40" s="728"/>
      <c r="AE40" s="731">
        <v>1</v>
      </c>
      <c r="AF40" s="731">
        <v>1</v>
      </c>
    </row>
    <row r="41" spans="1:32" s="244" customFormat="1" ht="12.75" customHeight="1">
      <c r="A41" s="225">
        <v>34</v>
      </c>
      <c r="B41" s="217"/>
      <c r="C41" s="222"/>
      <c r="D41" s="217"/>
      <c r="E41" s="222"/>
      <c r="F41" s="222"/>
      <c r="G41" s="727" t="s">
        <v>429</v>
      </c>
      <c r="H41" s="221"/>
      <c r="I41" s="221"/>
      <c r="J41" s="728" t="s">
        <v>1133</v>
      </c>
      <c r="K41" s="729" t="s">
        <v>1134</v>
      </c>
      <c r="L41" s="728"/>
      <c r="M41" s="729" t="s">
        <v>1135</v>
      </c>
      <c r="N41" s="728"/>
      <c r="O41" s="728"/>
      <c r="P41" s="728"/>
      <c r="Q41" s="728"/>
      <c r="R41" s="730"/>
      <c r="S41" s="728" t="s">
        <v>817</v>
      </c>
      <c r="T41" s="728"/>
      <c r="U41" s="735" t="s">
        <v>863</v>
      </c>
      <c r="V41" s="281"/>
      <c r="W41" s="728"/>
      <c r="X41" s="732" t="s">
        <v>864</v>
      </c>
      <c r="Y41" s="732"/>
      <c r="Z41" s="232"/>
      <c r="AA41" s="733"/>
      <c r="AB41" s="728"/>
      <c r="AC41" s="734"/>
      <c r="AD41" s="728"/>
      <c r="AE41" s="731">
        <v>1</v>
      </c>
      <c r="AF41" s="731">
        <v>1</v>
      </c>
    </row>
    <row r="42" spans="1:32" s="244" customFormat="1" ht="12.75" customHeight="1">
      <c r="A42" s="225">
        <v>35</v>
      </c>
      <c r="B42" s="217"/>
      <c r="C42" s="222"/>
      <c r="D42" s="217"/>
      <c r="E42" s="222"/>
      <c r="F42" s="222"/>
      <c r="G42" s="727" t="s">
        <v>426</v>
      </c>
      <c r="H42" s="221"/>
      <c r="I42" s="221"/>
      <c r="J42" s="728" t="s">
        <v>1136</v>
      </c>
      <c r="K42" s="729" t="s">
        <v>1137</v>
      </c>
      <c r="L42" s="728"/>
      <c r="M42" s="729" t="s">
        <v>1138</v>
      </c>
      <c r="N42" s="728" t="s">
        <v>1139</v>
      </c>
      <c r="O42" s="728" t="s">
        <v>426</v>
      </c>
      <c r="P42" s="728"/>
      <c r="Q42" s="728"/>
      <c r="R42" s="730"/>
      <c r="S42" s="728" t="s">
        <v>823</v>
      </c>
      <c r="T42" s="728"/>
      <c r="U42" s="735" t="s">
        <v>863</v>
      </c>
      <c r="V42" s="281"/>
      <c r="W42" s="728"/>
      <c r="X42" s="732" t="s">
        <v>864</v>
      </c>
      <c r="Y42" s="732"/>
      <c r="Z42" s="232"/>
      <c r="AA42" s="733"/>
      <c r="AB42" s="728"/>
      <c r="AC42" s="734"/>
      <c r="AD42" s="728"/>
      <c r="AE42" s="731">
        <v>1</v>
      </c>
      <c r="AF42" s="731">
        <v>1</v>
      </c>
    </row>
    <row r="43" spans="1:32" s="244" customFormat="1" ht="12.75" customHeight="1">
      <c r="A43" s="225">
        <v>36</v>
      </c>
      <c r="B43" s="217"/>
      <c r="C43" s="222"/>
      <c r="D43" s="217"/>
      <c r="E43" s="222"/>
      <c r="F43" s="222"/>
      <c r="G43" s="727" t="s">
        <v>1140</v>
      </c>
      <c r="H43" s="221"/>
      <c r="I43" s="221"/>
      <c r="J43" s="728" t="s">
        <v>1141</v>
      </c>
      <c r="K43" s="729" t="s">
        <v>1142</v>
      </c>
      <c r="L43" s="728"/>
      <c r="M43" s="729" t="s">
        <v>1143</v>
      </c>
      <c r="N43" s="728"/>
      <c r="O43" s="728"/>
      <c r="P43" s="728"/>
      <c r="Q43" s="728"/>
      <c r="R43" s="730"/>
      <c r="S43" s="728" t="s">
        <v>817</v>
      </c>
      <c r="T43" s="728"/>
      <c r="U43" s="735" t="s">
        <v>863</v>
      </c>
      <c r="V43" s="281"/>
      <c r="W43" s="728"/>
      <c r="X43" s="732" t="s">
        <v>864</v>
      </c>
      <c r="Y43" s="732"/>
      <c r="Z43" s="232"/>
      <c r="AA43" s="733"/>
      <c r="AB43" s="728"/>
      <c r="AC43" s="734"/>
      <c r="AD43" s="728"/>
      <c r="AE43" s="731">
        <v>1</v>
      </c>
      <c r="AF43" s="731">
        <v>1</v>
      </c>
    </row>
    <row r="44" spans="1:32" s="257" customFormat="1" ht="12.75" customHeight="1">
      <c r="A44" s="225">
        <v>37</v>
      </c>
      <c r="B44" s="217"/>
      <c r="C44" s="222"/>
      <c r="D44" s="217"/>
      <c r="E44" s="222"/>
      <c r="F44" s="222"/>
      <c r="G44" s="727" t="s">
        <v>1144</v>
      </c>
      <c r="H44" s="221"/>
      <c r="I44" s="221"/>
      <c r="J44" s="728" t="s">
        <v>410</v>
      </c>
      <c r="K44" s="729" t="s">
        <v>1145</v>
      </c>
      <c r="L44" s="728"/>
      <c r="M44" s="729" t="s">
        <v>1146</v>
      </c>
      <c r="N44" s="728"/>
      <c r="O44" s="728"/>
      <c r="P44" s="728"/>
      <c r="Q44" s="728"/>
      <c r="R44" s="730"/>
      <c r="S44" s="728" t="s">
        <v>817</v>
      </c>
      <c r="T44" s="728"/>
      <c r="U44" s="735" t="s">
        <v>863</v>
      </c>
      <c r="V44" s="281"/>
      <c r="W44" s="728"/>
      <c r="X44" s="732" t="s">
        <v>864</v>
      </c>
      <c r="Y44" s="732"/>
      <c r="Z44" s="232"/>
      <c r="AA44" s="733"/>
      <c r="AB44" s="728"/>
      <c r="AC44" s="734"/>
      <c r="AD44" s="728"/>
      <c r="AE44" s="731">
        <v>1</v>
      </c>
      <c r="AF44" s="731">
        <v>1</v>
      </c>
    </row>
    <row r="45" spans="1:32" s="258" customFormat="1" ht="12.75" customHeight="1">
      <c r="A45" s="225">
        <v>38</v>
      </c>
      <c r="B45" s="217"/>
      <c r="C45" s="218"/>
      <c r="D45" s="217"/>
      <c r="E45" s="218"/>
      <c r="F45" s="218"/>
      <c r="G45" s="727" t="s">
        <v>1147</v>
      </c>
      <c r="H45" s="221"/>
      <c r="I45" s="221"/>
      <c r="J45" s="728"/>
      <c r="K45" s="729" t="s">
        <v>1148</v>
      </c>
      <c r="L45" s="728"/>
      <c r="M45" s="729" t="s">
        <v>1149</v>
      </c>
      <c r="N45" s="728"/>
      <c r="O45" s="728"/>
      <c r="P45" s="728"/>
      <c r="Q45" s="728"/>
      <c r="R45" s="730"/>
      <c r="S45" s="728" t="s">
        <v>817</v>
      </c>
      <c r="T45" s="728"/>
      <c r="U45" s="735" t="s">
        <v>863</v>
      </c>
      <c r="V45" s="281"/>
      <c r="W45" s="728"/>
      <c r="X45" s="732" t="s">
        <v>864</v>
      </c>
      <c r="Y45" s="732"/>
      <c r="Z45" s="232"/>
      <c r="AA45" s="733"/>
      <c r="AB45" s="728"/>
      <c r="AC45" s="734"/>
      <c r="AD45" s="728"/>
      <c r="AE45" s="731">
        <v>1</v>
      </c>
      <c r="AF45" s="731">
        <v>1</v>
      </c>
    </row>
    <row r="46" spans="1:32" s="256" customFormat="1" ht="13" customHeight="1">
      <c r="A46" s="225">
        <v>39</v>
      </c>
      <c r="B46" s="217"/>
      <c r="C46" s="218"/>
      <c r="D46" s="217"/>
      <c r="E46" s="218"/>
      <c r="F46" s="218"/>
      <c r="G46" s="727" t="s">
        <v>178</v>
      </c>
      <c r="H46" s="221"/>
      <c r="I46" s="221"/>
      <c r="J46" s="728" t="s">
        <v>1150</v>
      </c>
      <c r="K46" s="729" t="s">
        <v>1151</v>
      </c>
      <c r="L46" s="728"/>
      <c r="M46" s="729" t="s">
        <v>1152</v>
      </c>
      <c r="N46" s="728"/>
      <c r="O46" s="728"/>
      <c r="P46" s="728"/>
      <c r="Q46" s="728"/>
      <c r="R46" s="730"/>
      <c r="S46" s="728" t="s">
        <v>817</v>
      </c>
      <c r="T46" s="728"/>
      <c r="U46" s="735" t="s">
        <v>863</v>
      </c>
      <c r="V46" s="281"/>
      <c r="W46" s="728"/>
      <c r="X46" s="732" t="s">
        <v>864</v>
      </c>
      <c r="Y46" s="732"/>
      <c r="Z46" s="232"/>
      <c r="AA46" s="733"/>
      <c r="AB46" s="728"/>
      <c r="AC46" s="734"/>
      <c r="AD46" s="728"/>
      <c r="AE46" s="731">
        <v>1</v>
      </c>
      <c r="AF46" s="731">
        <v>1</v>
      </c>
    </row>
    <row r="47" spans="1:32" s="256" customFormat="1" ht="13" customHeight="1">
      <c r="A47" s="225">
        <v>40</v>
      </c>
      <c r="B47" s="217"/>
      <c r="C47" s="218"/>
      <c r="D47" s="217"/>
      <c r="E47" s="218"/>
      <c r="F47" s="218"/>
      <c r="G47" s="241" t="s">
        <v>1153</v>
      </c>
      <c r="H47" s="241"/>
      <c r="I47" s="241"/>
      <c r="J47" s="728" t="s">
        <v>1154</v>
      </c>
      <c r="K47" s="729">
        <v>33123452323</v>
      </c>
      <c r="L47" s="728"/>
      <c r="M47" s="729" t="s">
        <v>1155</v>
      </c>
      <c r="N47" s="728"/>
      <c r="O47" s="728"/>
      <c r="P47" s="728"/>
      <c r="Q47" s="728"/>
      <c r="R47" s="730"/>
      <c r="S47" s="728" t="s">
        <v>817</v>
      </c>
      <c r="T47" s="728"/>
      <c r="U47" s="728" t="s">
        <v>1092</v>
      </c>
      <c r="V47" s="731"/>
      <c r="W47" s="728"/>
      <c r="X47" s="732" t="s">
        <v>864</v>
      </c>
      <c r="Y47" s="732"/>
      <c r="Z47" s="232"/>
      <c r="AA47" s="733"/>
      <c r="AB47" s="728" t="s">
        <v>1156</v>
      </c>
      <c r="AC47" s="734"/>
      <c r="AD47" s="728"/>
      <c r="AE47" s="731"/>
      <c r="AF47" s="731">
        <v>1</v>
      </c>
    </row>
    <row r="48" spans="1:32" s="224" customFormat="1" ht="13.5" customHeight="1">
      <c r="A48" s="225">
        <v>41</v>
      </c>
      <c r="B48" s="217"/>
      <c r="C48" s="217"/>
      <c r="D48" s="217"/>
      <c r="E48" s="217"/>
      <c r="F48" s="217" t="s">
        <v>1157</v>
      </c>
      <c r="G48" s="217"/>
      <c r="H48" s="217"/>
      <c r="I48" s="217"/>
      <c r="J48" s="728"/>
      <c r="K48" s="729"/>
      <c r="L48" s="728" t="s">
        <v>1158</v>
      </c>
      <c r="M48" s="729" t="s">
        <v>1159</v>
      </c>
      <c r="N48" s="728"/>
      <c r="O48" s="728"/>
      <c r="P48" s="728"/>
      <c r="Q48" s="728"/>
      <c r="R48" s="252"/>
      <c r="S48" s="728" t="s">
        <v>817</v>
      </c>
      <c r="T48" s="728" t="s">
        <v>864</v>
      </c>
      <c r="U48" s="243" t="s">
        <v>1159</v>
      </c>
      <c r="V48" s="731"/>
      <c r="W48" s="728"/>
      <c r="X48" s="732" t="s">
        <v>864</v>
      </c>
      <c r="Y48" s="732"/>
      <c r="Z48" s="232"/>
      <c r="AA48" s="733"/>
      <c r="AB48" s="728"/>
      <c r="AC48" s="734"/>
      <c r="AD48" s="728"/>
      <c r="AE48" s="731">
        <v>1</v>
      </c>
      <c r="AF48" s="731"/>
    </row>
    <row r="49" spans="1:1015" s="224" customFormat="1" ht="13.5" customHeight="1">
      <c r="A49" s="225">
        <v>42</v>
      </c>
      <c r="B49" s="217"/>
      <c r="C49" s="217"/>
      <c r="D49" s="217"/>
      <c r="E49" s="217"/>
      <c r="F49" s="217"/>
      <c r="G49" s="241" t="s">
        <v>1160</v>
      </c>
      <c r="H49" s="241"/>
      <c r="I49" s="241"/>
      <c r="J49" s="728" t="s">
        <v>1161</v>
      </c>
      <c r="K49" s="729" t="s">
        <v>930</v>
      </c>
      <c r="L49" s="728"/>
      <c r="M49" s="729" t="s">
        <v>1162</v>
      </c>
      <c r="N49" s="728"/>
      <c r="O49" s="728"/>
      <c r="P49" s="728"/>
      <c r="Q49" s="728"/>
      <c r="R49" s="730"/>
      <c r="S49" s="728" t="s">
        <v>820</v>
      </c>
      <c r="T49" s="728"/>
      <c r="U49" s="728" t="s">
        <v>879</v>
      </c>
      <c r="V49" s="731"/>
      <c r="W49" s="728"/>
      <c r="X49" s="732" t="s">
        <v>864</v>
      </c>
      <c r="Y49" s="732"/>
      <c r="Z49" s="232"/>
      <c r="AA49" s="733"/>
      <c r="AB49" s="728" t="s">
        <v>1163</v>
      </c>
      <c r="AC49" s="734"/>
      <c r="AD49" s="728"/>
      <c r="AE49" s="731"/>
      <c r="AF49" s="731">
        <v>1</v>
      </c>
    </row>
    <row r="50" spans="1:1015" s="224" customFormat="1" ht="13.5" customHeight="1">
      <c r="A50" s="225">
        <v>43</v>
      </c>
      <c r="B50" s="217"/>
      <c r="C50" s="217"/>
      <c r="D50" s="217"/>
      <c r="E50" s="217"/>
      <c r="F50" s="217"/>
      <c r="G50" s="217" t="s">
        <v>1164</v>
      </c>
      <c r="H50" s="217"/>
      <c r="I50" s="217"/>
      <c r="J50" s="728" t="s">
        <v>1165</v>
      </c>
      <c r="K50" s="729"/>
      <c r="L50" s="728" t="s">
        <v>1166</v>
      </c>
      <c r="M50" s="729" t="s">
        <v>1166</v>
      </c>
      <c r="N50" s="728"/>
      <c r="O50" s="728"/>
      <c r="P50" s="728"/>
      <c r="Q50" s="728"/>
      <c r="R50" s="252"/>
      <c r="S50" s="728" t="s">
        <v>817</v>
      </c>
      <c r="T50" s="728" t="s">
        <v>864</v>
      </c>
      <c r="U50" s="243" t="s">
        <v>1166</v>
      </c>
      <c r="V50" s="731"/>
      <c r="W50" s="728"/>
      <c r="X50" s="732" t="s">
        <v>864</v>
      </c>
      <c r="Y50" s="732"/>
      <c r="Z50" s="232"/>
      <c r="AA50" s="733"/>
      <c r="AB50" s="728"/>
      <c r="AC50" s="734"/>
      <c r="AD50" s="728"/>
      <c r="AE50" s="731">
        <v>1</v>
      </c>
      <c r="AF50" s="731">
        <v>1</v>
      </c>
    </row>
    <row r="51" spans="1:1015" s="224" customFormat="1" ht="13.5" customHeight="1">
      <c r="A51" s="225">
        <v>44</v>
      </c>
      <c r="B51" s="217"/>
      <c r="C51" s="217"/>
      <c r="D51" s="217"/>
      <c r="E51" s="217"/>
      <c r="F51" s="217"/>
      <c r="G51" s="217"/>
      <c r="H51" s="217" t="s">
        <v>1167</v>
      </c>
      <c r="I51" s="217"/>
      <c r="J51" s="728" t="s">
        <v>1168</v>
      </c>
      <c r="K51" s="729"/>
      <c r="L51" s="728" t="s">
        <v>1169</v>
      </c>
      <c r="M51" s="729" t="s">
        <v>1169</v>
      </c>
      <c r="N51" s="728"/>
      <c r="O51" s="728"/>
      <c r="P51" s="728"/>
      <c r="Q51" s="728"/>
      <c r="R51" s="252"/>
      <c r="S51" s="728" t="s">
        <v>820</v>
      </c>
      <c r="T51" s="728" t="s">
        <v>864</v>
      </c>
      <c r="U51" s="243" t="s">
        <v>1169</v>
      </c>
      <c r="V51" s="731"/>
      <c r="W51" s="728"/>
      <c r="X51" s="732" t="s">
        <v>864</v>
      </c>
      <c r="Y51" s="732"/>
      <c r="Z51" s="232"/>
      <c r="AA51" s="733"/>
      <c r="AB51" s="728"/>
      <c r="AC51" s="734"/>
      <c r="AD51" s="728"/>
      <c r="AE51" s="731">
        <v>1</v>
      </c>
      <c r="AF51" s="731">
        <v>1</v>
      </c>
    </row>
    <row r="52" spans="1:1015" s="224" customFormat="1" ht="13.5" customHeight="1">
      <c r="A52" s="225">
        <v>45</v>
      </c>
      <c r="B52" s="217"/>
      <c r="C52" s="217"/>
      <c r="D52" s="217"/>
      <c r="E52" s="217"/>
      <c r="F52" s="217"/>
      <c r="G52" s="217"/>
      <c r="H52" s="217"/>
      <c r="I52" s="217" t="s">
        <v>1170</v>
      </c>
      <c r="J52" s="728" t="s">
        <v>1171</v>
      </c>
      <c r="K52" s="729" t="s">
        <v>1172</v>
      </c>
      <c r="L52" s="728" t="s">
        <v>1173</v>
      </c>
      <c r="M52" s="729" t="s">
        <v>1173</v>
      </c>
      <c r="N52" s="728"/>
      <c r="O52" s="728"/>
      <c r="P52" s="728"/>
      <c r="Q52" s="728"/>
      <c r="R52" s="252"/>
      <c r="S52" s="728" t="s">
        <v>820</v>
      </c>
      <c r="T52" s="728"/>
      <c r="U52" s="728" t="s">
        <v>1092</v>
      </c>
      <c r="V52" s="731"/>
      <c r="W52" s="728"/>
      <c r="X52" s="732" t="s">
        <v>864</v>
      </c>
      <c r="Y52" s="732"/>
      <c r="Z52" s="232"/>
      <c r="AA52" s="728" t="s">
        <v>1174</v>
      </c>
      <c r="AB52" s="728"/>
      <c r="AC52" s="245" t="s">
        <v>1175</v>
      </c>
      <c r="AD52" s="728"/>
      <c r="AE52" s="731">
        <v>1</v>
      </c>
      <c r="AF52" s="731">
        <v>1</v>
      </c>
    </row>
    <row r="53" spans="1:1015" s="256" customFormat="1" ht="13.5" customHeight="1">
      <c r="A53" s="225">
        <v>46</v>
      </c>
      <c r="B53" s="217"/>
      <c r="C53" s="217"/>
      <c r="D53" s="217"/>
      <c r="E53" s="217"/>
      <c r="F53" s="217"/>
      <c r="G53" s="217"/>
      <c r="H53" s="217"/>
      <c r="I53" s="217" t="s">
        <v>1176</v>
      </c>
      <c r="J53" s="728" t="s">
        <v>1177</v>
      </c>
      <c r="K53" s="729" t="s">
        <v>1178</v>
      </c>
      <c r="L53" s="728" t="s">
        <v>1179</v>
      </c>
      <c r="M53" s="729" t="s">
        <v>1179</v>
      </c>
      <c r="N53" s="728"/>
      <c r="O53" s="728"/>
      <c r="P53" s="728"/>
      <c r="Q53" s="728"/>
      <c r="R53" s="252"/>
      <c r="S53" s="728" t="s">
        <v>820</v>
      </c>
      <c r="T53" s="728"/>
      <c r="U53" s="728" t="s">
        <v>1092</v>
      </c>
      <c r="V53" s="731"/>
      <c r="W53" s="728"/>
      <c r="X53" s="732" t="s">
        <v>864</v>
      </c>
      <c r="Y53" s="732"/>
      <c r="Z53" s="232"/>
      <c r="AA53" s="728" t="s">
        <v>1174</v>
      </c>
      <c r="AB53" s="728"/>
      <c r="AC53" s="245" t="s">
        <v>1175</v>
      </c>
      <c r="AD53" s="728"/>
      <c r="AE53" s="731">
        <v>1</v>
      </c>
      <c r="AF53" s="731">
        <v>1</v>
      </c>
    </row>
    <row r="54" spans="1:1015" s="244" customFormat="1" ht="13.5" customHeight="1">
      <c r="A54" s="225">
        <v>47</v>
      </c>
      <c r="B54" s="217"/>
      <c r="C54" s="222"/>
      <c r="D54" s="217"/>
      <c r="E54" s="222"/>
      <c r="F54" s="222"/>
      <c r="G54" s="222"/>
      <c r="H54" s="222"/>
      <c r="I54" s="222" t="s">
        <v>1180</v>
      </c>
      <c r="J54" s="728" t="s">
        <v>1181</v>
      </c>
      <c r="K54" s="729">
        <v>120</v>
      </c>
      <c r="L54" s="728"/>
      <c r="M54" s="728" t="s">
        <v>1182</v>
      </c>
      <c r="N54" s="728"/>
      <c r="O54" s="728"/>
      <c r="P54" s="728"/>
      <c r="Q54" s="728"/>
      <c r="R54" s="730"/>
      <c r="S54" s="728" t="s">
        <v>817</v>
      </c>
      <c r="T54" s="728"/>
      <c r="U54" s="728" t="s">
        <v>1092</v>
      </c>
      <c r="V54" s="731"/>
      <c r="W54" s="728"/>
      <c r="X54" s="732" t="s">
        <v>864</v>
      </c>
      <c r="Y54" s="732"/>
      <c r="Z54" s="232"/>
      <c r="AA54" s="728" t="s">
        <v>1183</v>
      </c>
      <c r="AB54" s="728"/>
      <c r="AC54" s="734"/>
      <c r="AD54" s="728"/>
      <c r="AE54" s="731">
        <v>1</v>
      </c>
      <c r="AF54" s="731">
        <v>1</v>
      </c>
    </row>
    <row r="55" spans="1:1015" s="256" customFormat="1" ht="13.5" customHeight="1">
      <c r="A55" s="225">
        <v>48</v>
      </c>
      <c r="B55" s="217"/>
      <c r="C55" s="217"/>
      <c r="D55" s="217"/>
      <c r="E55" s="217"/>
      <c r="F55" s="217"/>
      <c r="G55" s="241"/>
      <c r="H55" s="241"/>
      <c r="I55" s="241" t="s">
        <v>1184</v>
      </c>
      <c r="J55" s="728" t="s">
        <v>1185</v>
      </c>
      <c r="K55" s="729">
        <v>96</v>
      </c>
      <c r="L55" s="728"/>
      <c r="M55" s="728" t="s">
        <v>1186</v>
      </c>
      <c r="N55" s="728"/>
      <c r="O55" s="728"/>
      <c r="P55" s="728"/>
      <c r="Q55" s="728"/>
      <c r="R55" s="730"/>
      <c r="S55" s="728" t="s">
        <v>817</v>
      </c>
      <c r="T55" s="728"/>
      <c r="U55" s="728" t="s">
        <v>1092</v>
      </c>
      <c r="V55" s="731"/>
      <c r="W55" s="728"/>
      <c r="X55" s="732" t="s">
        <v>864</v>
      </c>
      <c r="Y55" s="732"/>
      <c r="Z55" s="232"/>
      <c r="AA55" s="728" t="s">
        <v>1187</v>
      </c>
      <c r="AB55" s="728"/>
      <c r="AC55" s="734"/>
      <c r="AD55" s="728"/>
      <c r="AE55" s="731">
        <v>1</v>
      </c>
      <c r="AF55" s="731">
        <v>1</v>
      </c>
    </row>
    <row r="56" spans="1:1015" s="256" customFormat="1" ht="13.5" customHeight="1">
      <c r="A56" s="225">
        <v>49</v>
      </c>
      <c r="B56" s="217"/>
      <c r="C56" s="217"/>
      <c r="D56" s="217"/>
      <c r="E56" s="217"/>
      <c r="F56" s="217"/>
      <c r="G56" s="241"/>
      <c r="H56" s="241"/>
      <c r="I56" s="241" t="s">
        <v>1188</v>
      </c>
      <c r="J56" s="728" t="s">
        <v>1189</v>
      </c>
      <c r="K56" s="729">
        <v>34</v>
      </c>
      <c r="L56" s="728"/>
      <c r="M56" s="728" t="s">
        <v>1190</v>
      </c>
      <c r="N56" s="728"/>
      <c r="O56" s="728"/>
      <c r="P56" s="728"/>
      <c r="Q56" s="728"/>
      <c r="R56" s="730"/>
      <c r="S56" s="728" t="s">
        <v>817</v>
      </c>
      <c r="T56" s="728"/>
      <c r="U56" s="728" t="s">
        <v>1092</v>
      </c>
      <c r="V56" s="731"/>
      <c r="W56" s="728"/>
      <c r="X56" s="732" t="s">
        <v>864</v>
      </c>
      <c r="Y56" s="732"/>
      <c r="Z56" s="232"/>
      <c r="AA56" s="728" t="s">
        <v>1191</v>
      </c>
      <c r="AB56" s="728"/>
      <c r="AC56" s="734"/>
      <c r="AD56" s="728"/>
      <c r="AE56" s="731">
        <v>1</v>
      </c>
      <c r="AF56" s="731">
        <v>1</v>
      </c>
    </row>
    <row r="57" spans="1:1015" s="244" customFormat="1" ht="13.5" customHeight="1">
      <c r="A57" s="225">
        <v>50</v>
      </c>
      <c r="B57" s="217"/>
      <c r="C57" s="222"/>
      <c r="D57" s="217"/>
      <c r="E57" s="222"/>
      <c r="F57" s="222"/>
      <c r="G57" s="241"/>
      <c r="H57" s="241"/>
      <c r="I57" s="241" t="s">
        <v>1192</v>
      </c>
      <c r="J57" s="728" t="s">
        <v>1193</v>
      </c>
      <c r="K57" s="729" t="s">
        <v>1194</v>
      </c>
      <c r="L57" s="728"/>
      <c r="M57" s="729" t="s">
        <v>1195</v>
      </c>
      <c r="N57" s="728"/>
      <c r="O57" s="728"/>
      <c r="P57" s="728"/>
      <c r="Q57" s="728"/>
      <c r="R57" s="730"/>
      <c r="S57" s="728" t="s">
        <v>820</v>
      </c>
      <c r="T57" s="728"/>
      <c r="U57" s="728" t="s">
        <v>863</v>
      </c>
      <c r="V57" s="731" t="s">
        <v>864</v>
      </c>
      <c r="W57" s="728" t="s">
        <v>1196</v>
      </c>
      <c r="X57" s="732" t="s">
        <v>864</v>
      </c>
      <c r="Y57" s="732"/>
      <c r="Z57" s="232"/>
      <c r="AA57" s="733"/>
      <c r="AB57" s="728"/>
      <c r="AC57" s="734"/>
      <c r="AD57" s="728"/>
      <c r="AE57" s="731"/>
      <c r="AF57" s="731">
        <v>1</v>
      </c>
    </row>
    <row r="58" spans="1:1015" s="256" customFormat="1" ht="13.5" customHeight="1">
      <c r="A58" s="225">
        <v>51</v>
      </c>
      <c r="B58" s="217"/>
      <c r="C58" s="217"/>
      <c r="D58" s="217"/>
      <c r="E58" s="217"/>
      <c r="F58" s="217"/>
      <c r="G58" s="217"/>
      <c r="H58" s="217" t="s">
        <v>1197</v>
      </c>
      <c r="I58" s="217"/>
      <c r="J58" s="728" t="s">
        <v>1198</v>
      </c>
      <c r="K58" s="729" t="s">
        <v>1199</v>
      </c>
      <c r="L58" s="728" t="s">
        <v>1200</v>
      </c>
      <c r="M58" s="729" t="s">
        <v>1201</v>
      </c>
      <c r="N58" s="728"/>
      <c r="O58" s="728"/>
      <c r="P58" s="728"/>
      <c r="Q58" s="728"/>
      <c r="R58" s="730">
        <v>1</v>
      </c>
      <c r="S58" s="728" t="s">
        <v>817</v>
      </c>
      <c r="T58" s="728"/>
      <c r="U58" s="728" t="s">
        <v>863</v>
      </c>
      <c r="V58" s="731"/>
      <c r="W58" s="728"/>
      <c r="X58" s="732" t="s">
        <v>864</v>
      </c>
      <c r="Y58" s="732"/>
      <c r="Z58" s="232"/>
      <c r="AA58" s="733"/>
      <c r="AB58" s="728"/>
      <c r="AC58" s="734"/>
      <c r="AD58" s="728"/>
      <c r="AE58" s="731">
        <v>1</v>
      </c>
      <c r="AF58" s="731">
        <v>1</v>
      </c>
    </row>
    <row r="59" spans="1:1015" s="256" customFormat="1" ht="13" customHeight="1">
      <c r="A59" s="225">
        <v>52</v>
      </c>
      <c r="B59" s="217"/>
      <c r="C59" s="217"/>
      <c r="D59" s="217"/>
      <c r="E59" s="217"/>
      <c r="F59" s="217"/>
      <c r="G59" s="217" t="s">
        <v>1202</v>
      </c>
      <c r="H59" s="217"/>
      <c r="I59" s="217"/>
      <c r="J59" s="728" t="s">
        <v>1203</v>
      </c>
      <c r="K59" s="729"/>
      <c r="L59" s="728" t="s">
        <v>1204</v>
      </c>
      <c r="M59" s="729" t="s">
        <v>1204</v>
      </c>
      <c r="N59" s="728"/>
      <c r="O59" s="728"/>
      <c r="P59" s="728"/>
      <c r="Q59" s="728"/>
      <c r="R59" s="252"/>
      <c r="S59" s="728" t="s">
        <v>817</v>
      </c>
      <c r="T59" s="728"/>
      <c r="U59" s="728" t="s">
        <v>863</v>
      </c>
      <c r="V59" s="731"/>
      <c r="W59" s="728"/>
      <c r="X59" s="732" t="s">
        <v>864</v>
      </c>
      <c r="Y59" s="732"/>
      <c r="Z59" s="232"/>
      <c r="AA59" s="733"/>
      <c r="AB59" s="728"/>
      <c r="AC59" s="734"/>
      <c r="AD59" s="728"/>
      <c r="AE59" s="731">
        <v>1</v>
      </c>
      <c r="AF59" s="731"/>
    </row>
    <row r="60" spans="1:1015" s="224" customFormat="1" ht="13.5" customHeight="1">
      <c r="A60" s="225">
        <v>53</v>
      </c>
      <c r="B60" s="217"/>
      <c r="C60" s="217"/>
      <c r="D60" s="217"/>
      <c r="E60" s="217"/>
      <c r="F60" s="217" t="s">
        <v>1205</v>
      </c>
      <c r="G60" s="217"/>
      <c r="H60" s="217"/>
      <c r="I60" s="217"/>
      <c r="J60" s="728" t="s">
        <v>1206</v>
      </c>
      <c r="K60" s="729"/>
      <c r="L60" s="728" t="s">
        <v>942</v>
      </c>
      <c r="M60" s="729" t="s">
        <v>1207</v>
      </c>
      <c r="N60" s="728"/>
      <c r="O60" s="728"/>
      <c r="P60" s="728"/>
      <c r="Q60" s="728"/>
      <c r="R60" s="252"/>
      <c r="S60" s="728" t="s">
        <v>823</v>
      </c>
      <c r="T60" s="728" t="s">
        <v>864</v>
      </c>
      <c r="U60" s="243" t="s">
        <v>1207</v>
      </c>
      <c r="V60" s="731"/>
      <c r="W60" s="728"/>
      <c r="X60" s="732" t="s">
        <v>864</v>
      </c>
      <c r="Y60" s="732"/>
      <c r="Z60" s="232"/>
      <c r="AA60" s="733"/>
      <c r="AB60" s="728"/>
      <c r="AC60" s="734"/>
      <c r="AD60" s="728"/>
      <c r="AE60" s="731">
        <v>1</v>
      </c>
      <c r="AF60" s="731">
        <v>1</v>
      </c>
    </row>
    <row r="61" spans="1:1015" s="224" customFormat="1" ht="13.5" customHeight="1">
      <c r="A61" s="225">
        <v>54</v>
      </c>
      <c r="B61" s="217"/>
      <c r="C61" s="217"/>
      <c r="D61" s="217"/>
      <c r="E61" s="217"/>
      <c r="F61" s="217"/>
      <c r="G61" s="217" t="s">
        <v>1208</v>
      </c>
      <c r="H61" s="217"/>
      <c r="I61" s="217"/>
      <c r="J61" s="728" t="s">
        <v>1209</v>
      </c>
      <c r="K61" s="729" t="s">
        <v>1210</v>
      </c>
      <c r="L61" s="728" t="s">
        <v>908</v>
      </c>
      <c r="M61" s="729" t="s">
        <v>939</v>
      </c>
      <c r="N61" s="728"/>
      <c r="O61" s="728"/>
      <c r="P61" s="728"/>
      <c r="Q61" s="728"/>
      <c r="R61" s="252"/>
      <c r="S61" s="728" t="s">
        <v>820</v>
      </c>
      <c r="T61" s="728"/>
      <c r="U61" s="728" t="s">
        <v>863</v>
      </c>
      <c r="V61" s="731" t="s">
        <v>864</v>
      </c>
      <c r="W61" s="728" t="s">
        <v>1211</v>
      </c>
      <c r="X61" s="732" t="s">
        <v>864</v>
      </c>
      <c r="Y61" s="732"/>
      <c r="Z61" s="232"/>
      <c r="AA61" s="733"/>
      <c r="AB61" s="728"/>
      <c r="AC61" s="734"/>
      <c r="AD61" s="728"/>
      <c r="AE61" s="731">
        <v>1</v>
      </c>
      <c r="AF61" s="731">
        <v>1</v>
      </c>
    </row>
    <row r="62" spans="1:1015" s="224" customFormat="1" ht="13.5" customHeight="1">
      <c r="A62" s="225">
        <v>55</v>
      </c>
      <c r="B62" s="217"/>
      <c r="C62" s="217"/>
      <c r="D62" s="217"/>
      <c r="E62" s="217"/>
      <c r="F62" s="217"/>
      <c r="G62" s="217" t="s">
        <v>1212</v>
      </c>
      <c r="H62" s="217"/>
      <c r="I62" s="217"/>
      <c r="J62" s="728" t="s">
        <v>1213</v>
      </c>
      <c r="K62" s="729" t="s">
        <v>1214</v>
      </c>
      <c r="L62" s="728" t="s">
        <v>970</v>
      </c>
      <c r="M62" s="729" t="s">
        <v>970</v>
      </c>
      <c r="N62" s="728"/>
      <c r="O62" s="728"/>
      <c r="P62" s="728"/>
      <c r="Q62" s="728"/>
      <c r="R62" s="252"/>
      <c r="S62" s="728" t="s">
        <v>820</v>
      </c>
      <c r="T62" s="728"/>
      <c r="U62" s="728" t="s">
        <v>863</v>
      </c>
      <c r="V62" s="731" t="s">
        <v>864</v>
      </c>
      <c r="W62" s="728" t="s">
        <v>1215</v>
      </c>
      <c r="X62" s="732" t="s">
        <v>864</v>
      </c>
      <c r="Y62" s="732"/>
      <c r="Z62" s="232"/>
      <c r="AA62" s="733"/>
      <c r="AB62" s="728"/>
      <c r="AC62" s="734"/>
      <c r="AD62" s="728"/>
      <c r="AE62" s="731">
        <v>1</v>
      </c>
      <c r="AF62" s="731">
        <v>1</v>
      </c>
    </row>
    <row r="63" spans="1:1015" s="231" customFormat="1" ht="13" customHeight="1">
      <c r="A63" s="225">
        <v>56</v>
      </c>
      <c r="B63" s="217"/>
      <c r="C63" s="217"/>
      <c r="D63" s="217"/>
      <c r="E63" s="217"/>
      <c r="F63" s="217"/>
      <c r="G63" s="217" t="s">
        <v>1077</v>
      </c>
      <c r="H63" s="217"/>
      <c r="I63" s="217"/>
      <c r="J63" s="728" t="s">
        <v>1216</v>
      </c>
      <c r="K63" s="729" t="s">
        <v>1217</v>
      </c>
      <c r="L63" s="728" t="s">
        <v>1218</v>
      </c>
      <c r="M63" s="729" t="s">
        <v>1219</v>
      </c>
      <c r="N63" s="728"/>
      <c r="O63" s="728"/>
      <c r="P63" s="728"/>
      <c r="Q63" s="728"/>
      <c r="R63" s="252"/>
      <c r="S63" s="728" t="s">
        <v>820</v>
      </c>
      <c r="T63" s="728"/>
      <c r="U63" s="735" t="s">
        <v>863</v>
      </c>
      <c r="V63" s="281"/>
      <c r="W63" s="728"/>
      <c r="X63" s="732" t="s">
        <v>864</v>
      </c>
      <c r="Y63" s="732"/>
      <c r="Z63" s="232"/>
      <c r="AA63" s="733"/>
      <c r="AB63" s="728"/>
      <c r="AC63" s="734"/>
      <c r="AD63" s="728"/>
      <c r="AE63" s="731">
        <v>1</v>
      </c>
      <c r="AF63" s="731">
        <v>1</v>
      </c>
      <c r="AG63" s="738"/>
      <c r="AH63" s="738"/>
      <c r="AI63" s="738"/>
      <c r="AJ63" s="738"/>
      <c r="AK63" s="738"/>
      <c r="AL63" s="738"/>
      <c r="AM63" s="738"/>
      <c r="AN63" s="738"/>
      <c r="AO63" s="738"/>
      <c r="AP63" s="738"/>
      <c r="AQ63" s="738"/>
      <c r="AR63" s="738"/>
      <c r="AS63" s="738"/>
      <c r="AT63" s="738"/>
      <c r="AU63" s="738"/>
      <c r="AV63" s="738"/>
      <c r="AW63" s="738"/>
      <c r="AX63" s="738"/>
      <c r="AY63" s="738"/>
      <c r="AZ63" s="738"/>
      <c r="BA63" s="738"/>
      <c r="BB63" s="738"/>
      <c r="BC63" s="738"/>
      <c r="BD63" s="738"/>
      <c r="BE63" s="738"/>
      <c r="BF63" s="738"/>
      <c r="BG63" s="738"/>
      <c r="BH63" s="738"/>
      <c r="BI63" s="738"/>
      <c r="BJ63" s="738"/>
      <c r="BK63" s="738"/>
      <c r="BL63" s="738"/>
      <c r="BM63" s="738"/>
      <c r="BN63" s="738"/>
      <c r="BO63" s="738"/>
      <c r="BP63" s="738"/>
      <c r="BQ63" s="738"/>
      <c r="BR63" s="738"/>
      <c r="BS63" s="738"/>
      <c r="BT63" s="738"/>
      <c r="BU63" s="738"/>
      <c r="BV63" s="738"/>
      <c r="BW63" s="738"/>
      <c r="BX63" s="738"/>
      <c r="BY63" s="738"/>
      <c r="BZ63" s="738"/>
      <c r="CA63" s="738"/>
      <c r="CB63" s="738"/>
      <c r="CC63" s="738"/>
      <c r="CD63" s="738"/>
      <c r="CE63" s="738"/>
      <c r="CF63" s="738"/>
      <c r="CG63" s="738"/>
      <c r="CH63" s="738"/>
      <c r="CI63" s="738"/>
      <c r="CJ63" s="738"/>
      <c r="CK63" s="738"/>
      <c r="CL63" s="738"/>
      <c r="CM63" s="738"/>
      <c r="CN63" s="738"/>
      <c r="CO63" s="738"/>
      <c r="CP63" s="738"/>
      <c r="CQ63" s="738"/>
      <c r="CR63" s="738"/>
      <c r="CS63" s="738"/>
      <c r="CT63" s="738"/>
      <c r="CU63" s="738"/>
      <c r="CV63" s="738"/>
      <c r="CW63" s="738"/>
      <c r="CX63" s="738"/>
      <c r="CY63" s="738"/>
      <c r="CZ63" s="738"/>
      <c r="DA63" s="738"/>
      <c r="DB63" s="738"/>
      <c r="DC63" s="738"/>
      <c r="DD63" s="738"/>
      <c r="DE63" s="738"/>
      <c r="DF63" s="738"/>
      <c r="DG63" s="738"/>
      <c r="DH63" s="738"/>
      <c r="DI63" s="738"/>
      <c r="DJ63" s="738"/>
      <c r="DK63" s="738"/>
      <c r="DL63" s="738"/>
      <c r="DM63" s="738"/>
      <c r="DN63" s="738"/>
      <c r="DO63" s="738"/>
      <c r="DP63" s="738"/>
      <c r="DQ63" s="738"/>
      <c r="DR63" s="738"/>
      <c r="DS63" s="738"/>
      <c r="DT63" s="738"/>
      <c r="DU63" s="738"/>
      <c r="DV63" s="738"/>
      <c r="DW63" s="738"/>
      <c r="DX63" s="738"/>
      <c r="DY63" s="738"/>
      <c r="DZ63" s="738"/>
      <c r="EA63" s="738"/>
      <c r="EB63" s="738"/>
      <c r="EC63" s="738"/>
      <c r="ED63" s="738"/>
      <c r="EE63" s="738"/>
      <c r="EF63" s="738"/>
      <c r="EG63" s="738"/>
      <c r="EH63" s="738"/>
      <c r="EI63" s="738"/>
      <c r="EJ63" s="738"/>
      <c r="EK63" s="738"/>
      <c r="EL63" s="738"/>
      <c r="EM63" s="738"/>
      <c r="EN63" s="738"/>
      <c r="EO63" s="738"/>
      <c r="EP63" s="738"/>
      <c r="EQ63" s="738"/>
      <c r="ER63" s="738"/>
      <c r="ES63" s="738"/>
      <c r="ET63" s="738"/>
      <c r="EU63" s="738"/>
      <c r="EV63" s="738"/>
      <c r="EW63" s="738"/>
      <c r="EX63" s="738"/>
      <c r="EY63" s="738"/>
      <c r="EZ63" s="738"/>
      <c r="FA63" s="738"/>
      <c r="FB63" s="738"/>
      <c r="FC63" s="738"/>
      <c r="FD63" s="738"/>
      <c r="FE63" s="738"/>
      <c r="FF63" s="738"/>
      <c r="FG63" s="738"/>
      <c r="FH63" s="738"/>
      <c r="FI63" s="738"/>
      <c r="FJ63" s="738"/>
      <c r="FK63" s="738"/>
      <c r="FL63" s="738"/>
      <c r="FM63" s="738"/>
      <c r="FN63" s="738"/>
      <c r="FO63" s="738"/>
      <c r="FP63" s="738"/>
      <c r="FQ63" s="738"/>
      <c r="FR63" s="738"/>
      <c r="FS63" s="738"/>
      <c r="FT63" s="738"/>
      <c r="FU63" s="738"/>
      <c r="FV63" s="738"/>
      <c r="FW63" s="738"/>
      <c r="FX63" s="738"/>
      <c r="FY63" s="738"/>
      <c r="FZ63" s="738"/>
      <c r="GA63" s="738"/>
      <c r="GB63" s="738"/>
      <c r="GC63" s="738"/>
      <c r="GD63" s="738"/>
      <c r="GE63" s="738"/>
      <c r="GF63" s="738"/>
      <c r="GG63" s="738"/>
      <c r="GH63" s="738"/>
      <c r="GI63" s="738"/>
      <c r="GJ63" s="738"/>
      <c r="GK63" s="738"/>
      <c r="GL63" s="738"/>
      <c r="GM63" s="738"/>
      <c r="GN63" s="738"/>
      <c r="GO63" s="738"/>
      <c r="GP63" s="738"/>
      <c r="GQ63" s="738"/>
      <c r="GR63" s="738"/>
      <c r="GS63" s="738"/>
      <c r="GT63" s="738"/>
      <c r="GU63" s="738"/>
      <c r="GV63" s="738"/>
      <c r="GW63" s="738"/>
      <c r="GX63" s="738"/>
      <c r="GY63" s="738"/>
      <c r="GZ63" s="738"/>
      <c r="HA63" s="738"/>
      <c r="HB63" s="738"/>
      <c r="HC63" s="738"/>
      <c r="HD63" s="738"/>
      <c r="HE63" s="738"/>
      <c r="HF63" s="738"/>
      <c r="HG63" s="738"/>
      <c r="HH63" s="738"/>
      <c r="HI63" s="738"/>
      <c r="HJ63" s="738"/>
      <c r="HK63" s="738"/>
      <c r="HL63" s="738"/>
      <c r="HM63" s="738"/>
      <c r="HN63" s="738"/>
      <c r="HO63" s="738"/>
      <c r="HP63" s="738"/>
      <c r="HQ63" s="738"/>
      <c r="HR63" s="738"/>
      <c r="HS63" s="738"/>
      <c r="HT63" s="738"/>
      <c r="HU63" s="738"/>
      <c r="HV63" s="738"/>
      <c r="HW63" s="738"/>
      <c r="HX63" s="738"/>
      <c r="HY63" s="738"/>
      <c r="HZ63" s="738"/>
      <c r="IA63" s="738"/>
      <c r="IB63" s="738"/>
      <c r="IC63" s="738"/>
      <c r="ID63" s="738"/>
      <c r="IE63" s="738"/>
      <c r="IF63" s="738"/>
      <c r="IG63" s="738"/>
      <c r="IH63" s="738"/>
      <c r="II63" s="738"/>
      <c r="IJ63" s="738"/>
      <c r="IK63" s="738"/>
      <c r="IL63" s="738"/>
      <c r="IM63" s="738"/>
      <c r="IN63" s="738"/>
      <c r="IO63" s="738"/>
      <c r="IP63" s="738"/>
      <c r="IQ63" s="738"/>
      <c r="IR63" s="738"/>
      <c r="IS63" s="738"/>
      <c r="IT63" s="738"/>
      <c r="IU63" s="738"/>
      <c r="IV63" s="738"/>
      <c r="IW63" s="738"/>
      <c r="IX63" s="738"/>
      <c r="IY63" s="738"/>
      <c r="IZ63" s="738"/>
      <c r="JA63" s="738"/>
      <c r="JB63" s="738"/>
      <c r="JC63" s="738"/>
      <c r="JD63" s="738"/>
      <c r="JE63" s="738"/>
      <c r="JF63" s="738"/>
      <c r="JG63" s="738"/>
      <c r="JH63" s="738"/>
      <c r="JI63" s="738"/>
      <c r="JJ63" s="738"/>
      <c r="JK63" s="738"/>
      <c r="JL63" s="738"/>
      <c r="JM63" s="738"/>
      <c r="JN63" s="738"/>
      <c r="JO63" s="738"/>
      <c r="JP63" s="738"/>
      <c r="JQ63" s="738"/>
      <c r="JR63" s="738"/>
      <c r="JS63" s="738"/>
      <c r="JT63" s="738"/>
      <c r="JU63" s="738"/>
      <c r="JV63" s="738"/>
      <c r="JW63" s="738"/>
      <c r="JX63" s="738"/>
      <c r="JY63" s="738"/>
      <c r="JZ63" s="738"/>
      <c r="KA63" s="738"/>
      <c r="KB63" s="738"/>
      <c r="KC63" s="738"/>
      <c r="KD63" s="738"/>
      <c r="KE63" s="738"/>
      <c r="KF63" s="738"/>
      <c r="KG63" s="738"/>
      <c r="KH63" s="738"/>
      <c r="KI63" s="738"/>
      <c r="KJ63" s="738"/>
      <c r="KK63" s="738"/>
      <c r="KL63" s="738"/>
      <c r="KM63" s="738"/>
      <c r="KN63" s="738"/>
      <c r="KO63" s="738"/>
      <c r="KP63" s="738"/>
      <c r="KQ63" s="738"/>
      <c r="KR63" s="738"/>
      <c r="KS63" s="738"/>
      <c r="KT63" s="738"/>
      <c r="KU63" s="738"/>
      <c r="KV63" s="738"/>
      <c r="KW63" s="738"/>
      <c r="KX63" s="738"/>
      <c r="KY63" s="738"/>
      <c r="KZ63" s="738"/>
      <c r="LA63" s="738"/>
      <c r="LB63" s="738"/>
      <c r="LC63" s="738"/>
      <c r="LD63" s="738"/>
      <c r="LE63" s="738"/>
      <c r="LF63" s="738"/>
      <c r="LG63" s="738"/>
      <c r="LH63" s="738"/>
      <c r="LI63" s="738"/>
      <c r="LJ63" s="738"/>
      <c r="LK63" s="738"/>
      <c r="LL63" s="738"/>
      <c r="LM63" s="738"/>
      <c r="LN63" s="738"/>
      <c r="LO63" s="738"/>
      <c r="LP63" s="738"/>
      <c r="LQ63" s="738"/>
      <c r="LR63" s="738"/>
      <c r="LS63" s="738"/>
      <c r="LT63" s="738"/>
      <c r="LU63" s="738"/>
      <c r="LV63" s="738"/>
      <c r="LW63" s="738"/>
      <c r="LX63" s="738"/>
      <c r="LY63" s="738"/>
      <c r="LZ63" s="738"/>
      <c r="MA63" s="738"/>
      <c r="MB63" s="738"/>
      <c r="MC63" s="738"/>
      <c r="MD63" s="738"/>
      <c r="ME63" s="738"/>
      <c r="MF63" s="738"/>
      <c r="MG63" s="738"/>
      <c r="MH63" s="738"/>
      <c r="MI63" s="738"/>
      <c r="MJ63" s="738"/>
      <c r="MK63" s="738"/>
      <c r="ML63" s="738"/>
      <c r="MM63" s="738"/>
      <c r="MN63" s="738"/>
      <c r="MO63" s="738"/>
      <c r="MP63" s="738"/>
      <c r="MQ63" s="738"/>
      <c r="MR63" s="738"/>
      <c r="MS63" s="738"/>
      <c r="MT63" s="738"/>
      <c r="MU63" s="738"/>
      <c r="MV63" s="738"/>
      <c r="MW63" s="738"/>
      <c r="MX63" s="738"/>
      <c r="MY63" s="738"/>
      <c r="MZ63" s="738"/>
      <c r="NA63" s="738"/>
      <c r="NB63" s="738"/>
      <c r="NC63" s="738"/>
      <c r="ND63" s="738"/>
      <c r="NE63" s="738"/>
      <c r="NF63" s="738"/>
      <c r="NG63" s="738"/>
      <c r="NH63" s="738"/>
      <c r="NI63" s="738"/>
      <c r="NJ63" s="738"/>
      <c r="NK63" s="738"/>
      <c r="NL63" s="738"/>
      <c r="NM63" s="738"/>
      <c r="NN63" s="738"/>
      <c r="NO63" s="738"/>
      <c r="NP63" s="738"/>
      <c r="NQ63" s="738"/>
      <c r="NR63" s="738"/>
      <c r="NS63" s="738"/>
      <c r="NT63" s="738"/>
      <c r="NU63" s="738"/>
      <c r="NV63" s="738"/>
      <c r="NW63" s="738"/>
      <c r="NX63" s="738"/>
      <c r="NY63" s="738"/>
      <c r="NZ63" s="738"/>
      <c r="OA63" s="738"/>
      <c r="OB63" s="738"/>
      <c r="OC63" s="738"/>
      <c r="OD63" s="738"/>
      <c r="OE63" s="738"/>
      <c r="OF63" s="738"/>
      <c r="OG63" s="738"/>
      <c r="OH63" s="738"/>
      <c r="OI63" s="738"/>
      <c r="OJ63" s="738"/>
      <c r="OK63" s="738"/>
      <c r="OL63" s="738"/>
      <c r="OM63" s="738"/>
      <c r="ON63" s="738"/>
      <c r="OO63" s="738"/>
      <c r="OP63" s="738"/>
      <c r="OQ63" s="738"/>
      <c r="OR63" s="738"/>
      <c r="OS63" s="738"/>
      <c r="OT63" s="738"/>
      <c r="OU63" s="738"/>
      <c r="OV63" s="738"/>
      <c r="OW63" s="738"/>
      <c r="OX63" s="738"/>
      <c r="OY63" s="738"/>
      <c r="OZ63" s="738"/>
      <c r="PA63" s="738"/>
      <c r="PB63" s="738"/>
      <c r="PC63" s="738"/>
      <c r="PD63" s="738"/>
      <c r="PE63" s="738"/>
      <c r="PF63" s="738"/>
      <c r="PG63" s="738"/>
      <c r="PH63" s="738"/>
      <c r="PI63" s="738"/>
      <c r="PJ63" s="738"/>
      <c r="PK63" s="738"/>
      <c r="PL63" s="738"/>
      <c r="PM63" s="738"/>
      <c r="PN63" s="738"/>
      <c r="PO63" s="738"/>
      <c r="PP63" s="738"/>
      <c r="PQ63" s="738"/>
      <c r="PR63" s="738"/>
      <c r="PS63" s="738"/>
      <c r="PT63" s="738"/>
      <c r="PU63" s="738"/>
      <c r="PV63" s="738"/>
      <c r="PW63" s="738"/>
      <c r="PX63" s="738"/>
      <c r="PY63" s="738"/>
      <c r="PZ63" s="738"/>
      <c r="QA63" s="738"/>
      <c r="QB63" s="738"/>
      <c r="QC63" s="738"/>
      <c r="QD63" s="738"/>
      <c r="QE63" s="738"/>
      <c r="QF63" s="738"/>
      <c r="QG63" s="738"/>
      <c r="QH63" s="738"/>
      <c r="QI63" s="738"/>
      <c r="QJ63" s="738"/>
      <c r="QK63" s="738"/>
      <c r="QL63" s="738"/>
      <c r="QM63" s="738"/>
      <c r="QN63" s="738"/>
      <c r="QO63" s="738"/>
      <c r="QP63" s="738"/>
      <c r="QQ63" s="738"/>
      <c r="QR63" s="738"/>
      <c r="QS63" s="738"/>
      <c r="QT63" s="738"/>
      <c r="QU63" s="738"/>
      <c r="QV63" s="738"/>
      <c r="QW63" s="738"/>
      <c r="QX63" s="738"/>
      <c r="QY63" s="738"/>
      <c r="QZ63" s="738"/>
      <c r="RA63" s="738"/>
      <c r="RB63" s="738"/>
      <c r="RC63" s="738"/>
      <c r="RD63" s="738"/>
      <c r="RE63" s="738"/>
      <c r="RF63" s="738"/>
      <c r="RG63" s="738"/>
      <c r="RH63" s="738"/>
      <c r="RI63" s="738"/>
      <c r="RJ63" s="738"/>
      <c r="RK63" s="738"/>
      <c r="RL63" s="738"/>
      <c r="RM63" s="738"/>
      <c r="RN63" s="738"/>
      <c r="RO63" s="738"/>
      <c r="RP63" s="738"/>
      <c r="RQ63" s="738"/>
      <c r="RR63" s="738"/>
      <c r="RS63" s="738"/>
      <c r="RT63" s="738"/>
      <c r="RU63" s="738"/>
      <c r="RV63" s="738"/>
      <c r="RW63" s="738"/>
      <c r="RX63" s="738"/>
      <c r="RY63" s="738"/>
      <c r="RZ63" s="738"/>
      <c r="SA63" s="738"/>
      <c r="SB63" s="738"/>
      <c r="SC63" s="738"/>
      <c r="SD63" s="738"/>
      <c r="SE63" s="738"/>
      <c r="SF63" s="738"/>
      <c r="SG63" s="738"/>
      <c r="SH63" s="738"/>
      <c r="SI63" s="738"/>
      <c r="SJ63" s="738"/>
      <c r="SK63" s="738"/>
      <c r="SL63" s="738"/>
      <c r="SM63" s="738"/>
      <c r="SN63" s="738"/>
      <c r="SO63" s="738"/>
      <c r="SP63" s="738"/>
      <c r="SQ63" s="738"/>
      <c r="SR63" s="738"/>
      <c r="SS63" s="738"/>
      <c r="ST63" s="738"/>
      <c r="SU63" s="738"/>
      <c r="SV63" s="738"/>
      <c r="SW63" s="738"/>
      <c r="SX63" s="738"/>
      <c r="SY63" s="738"/>
      <c r="SZ63" s="738"/>
      <c r="TA63" s="738"/>
      <c r="TB63" s="738"/>
      <c r="TC63" s="738"/>
      <c r="TD63" s="738"/>
      <c r="TE63" s="738"/>
      <c r="TF63" s="738"/>
      <c r="TG63" s="738"/>
      <c r="TH63" s="738"/>
      <c r="TI63" s="738"/>
      <c r="TJ63" s="738"/>
      <c r="TK63" s="738"/>
      <c r="TL63" s="738"/>
      <c r="TM63" s="738"/>
      <c r="TN63" s="738"/>
      <c r="TO63" s="738"/>
      <c r="TP63" s="738"/>
      <c r="TQ63" s="738"/>
      <c r="TR63" s="738"/>
      <c r="TS63" s="738"/>
      <c r="TT63" s="738"/>
      <c r="TU63" s="738"/>
      <c r="TV63" s="738"/>
      <c r="TW63" s="738"/>
      <c r="TX63" s="738"/>
      <c r="TY63" s="738"/>
      <c r="TZ63" s="738"/>
      <c r="UA63" s="738"/>
      <c r="UB63" s="738"/>
      <c r="UC63" s="738"/>
      <c r="UD63" s="738"/>
      <c r="UE63" s="738"/>
      <c r="UF63" s="738"/>
      <c r="UG63" s="738"/>
      <c r="UH63" s="738"/>
      <c r="UI63" s="738"/>
      <c r="UJ63" s="738"/>
      <c r="UK63" s="738"/>
      <c r="UL63" s="738"/>
      <c r="UM63" s="738"/>
      <c r="UN63" s="738"/>
      <c r="UO63" s="738"/>
      <c r="UP63" s="738"/>
      <c r="UQ63" s="738"/>
      <c r="UR63" s="738"/>
      <c r="US63" s="738"/>
      <c r="UT63" s="738"/>
      <c r="UU63" s="738"/>
      <c r="UV63" s="738"/>
      <c r="UW63" s="738"/>
      <c r="UX63" s="738"/>
      <c r="UY63" s="738"/>
      <c r="UZ63" s="738"/>
      <c r="VA63" s="738"/>
      <c r="VB63" s="738"/>
      <c r="VC63" s="738"/>
      <c r="VD63" s="738"/>
      <c r="VE63" s="738"/>
      <c r="VF63" s="738"/>
      <c r="VG63" s="738"/>
      <c r="VH63" s="738"/>
      <c r="VI63" s="738"/>
      <c r="VJ63" s="738"/>
      <c r="VK63" s="738"/>
      <c r="VL63" s="738"/>
      <c r="VM63" s="738"/>
      <c r="VN63" s="738"/>
      <c r="VO63" s="738"/>
      <c r="VP63" s="738"/>
      <c r="VQ63" s="738"/>
      <c r="VR63" s="738"/>
      <c r="VS63" s="738"/>
      <c r="VT63" s="738"/>
      <c r="VU63" s="738"/>
      <c r="VV63" s="738"/>
      <c r="VW63" s="738"/>
      <c r="VX63" s="738"/>
      <c r="VY63" s="738"/>
      <c r="VZ63" s="738"/>
      <c r="WA63" s="738"/>
      <c r="WB63" s="738"/>
      <c r="WC63" s="738"/>
      <c r="WD63" s="738"/>
      <c r="WE63" s="738"/>
      <c r="WF63" s="738"/>
      <c r="WG63" s="738"/>
      <c r="WH63" s="738"/>
      <c r="WI63" s="738"/>
      <c r="WJ63" s="738"/>
      <c r="WK63" s="738"/>
      <c r="WL63" s="738"/>
      <c r="WM63" s="738"/>
      <c r="WN63" s="738"/>
      <c r="WO63" s="738"/>
      <c r="WP63" s="738"/>
      <c r="WQ63" s="738"/>
      <c r="WR63" s="738"/>
      <c r="WS63" s="738"/>
      <c r="WT63" s="738"/>
      <c r="WU63" s="738"/>
      <c r="WV63" s="738"/>
      <c r="WW63" s="738"/>
      <c r="WX63" s="738"/>
      <c r="WY63" s="738"/>
      <c r="WZ63" s="738"/>
      <c r="XA63" s="738"/>
      <c r="XB63" s="738"/>
      <c r="XC63" s="738"/>
      <c r="XD63" s="738"/>
      <c r="XE63" s="738"/>
      <c r="XF63" s="738"/>
      <c r="XG63" s="738"/>
      <c r="XH63" s="738"/>
      <c r="XI63" s="738"/>
      <c r="XJ63" s="738"/>
      <c r="XK63" s="738"/>
      <c r="XL63" s="738"/>
      <c r="XM63" s="738"/>
      <c r="XN63" s="738"/>
      <c r="XO63" s="738"/>
      <c r="XP63" s="738"/>
      <c r="XQ63" s="738"/>
      <c r="XR63" s="738"/>
      <c r="XS63" s="738"/>
      <c r="XT63" s="738"/>
      <c r="XU63" s="738"/>
      <c r="XV63" s="738"/>
      <c r="XW63" s="738"/>
      <c r="XX63" s="738"/>
      <c r="XY63" s="738"/>
      <c r="XZ63" s="738"/>
      <c r="YA63" s="738"/>
      <c r="YB63" s="738"/>
      <c r="YC63" s="738"/>
      <c r="YD63" s="738"/>
      <c r="YE63" s="738"/>
      <c r="YF63" s="738"/>
      <c r="YG63" s="738"/>
      <c r="YH63" s="738"/>
      <c r="YI63" s="738"/>
      <c r="YJ63" s="738"/>
      <c r="YK63" s="738"/>
      <c r="YL63" s="738"/>
      <c r="YM63" s="738"/>
      <c r="YN63" s="738"/>
      <c r="YO63" s="738"/>
      <c r="YP63" s="738"/>
      <c r="YQ63" s="738"/>
      <c r="YR63" s="738"/>
      <c r="YS63" s="738"/>
      <c r="YT63" s="738"/>
      <c r="YU63" s="738"/>
      <c r="YV63" s="738"/>
      <c r="YW63" s="738"/>
      <c r="YX63" s="738"/>
      <c r="YY63" s="738"/>
      <c r="YZ63" s="738"/>
      <c r="ZA63" s="738"/>
      <c r="ZB63" s="738"/>
      <c r="ZC63" s="738"/>
      <c r="ZD63" s="738"/>
      <c r="ZE63" s="738"/>
      <c r="ZF63" s="738"/>
      <c r="ZG63" s="738"/>
      <c r="ZH63" s="738"/>
      <c r="ZI63" s="738"/>
      <c r="ZJ63" s="738"/>
      <c r="ZK63" s="738"/>
      <c r="ZL63" s="738"/>
      <c r="ZM63" s="738"/>
      <c r="ZN63" s="738"/>
      <c r="ZO63" s="738"/>
      <c r="ZP63" s="738"/>
      <c r="ZQ63" s="738"/>
      <c r="ZR63" s="738"/>
      <c r="ZS63" s="738"/>
      <c r="ZT63" s="738"/>
      <c r="ZU63" s="738"/>
      <c r="ZV63" s="738"/>
      <c r="ZW63" s="738"/>
      <c r="ZX63" s="738"/>
      <c r="ZY63" s="738"/>
      <c r="ZZ63" s="738"/>
      <c r="AAA63" s="738"/>
      <c r="AAB63" s="738"/>
      <c r="AAC63" s="738"/>
      <c r="AAD63" s="738"/>
      <c r="AAE63" s="738"/>
      <c r="AAF63" s="738"/>
      <c r="AAG63" s="738"/>
      <c r="AAH63" s="738"/>
      <c r="AAI63" s="738"/>
      <c r="AAJ63" s="738"/>
      <c r="AAK63" s="738"/>
      <c r="AAL63" s="738"/>
      <c r="AAM63" s="738"/>
      <c r="AAN63" s="738"/>
      <c r="AAO63" s="738"/>
      <c r="AAP63" s="738"/>
      <c r="AAQ63" s="738"/>
      <c r="AAR63" s="738"/>
      <c r="AAS63" s="738"/>
      <c r="AAT63" s="738"/>
      <c r="AAU63" s="738"/>
      <c r="AAV63" s="738"/>
      <c r="AAW63" s="738"/>
      <c r="AAX63" s="738"/>
      <c r="AAY63" s="738"/>
      <c r="AAZ63" s="738"/>
      <c r="ABA63" s="738"/>
      <c r="ABB63" s="738"/>
      <c r="ABC63" s="738"/>
      <c r="ABD63" s="738"/>
      <c r="ABE63" s="738"/>
      <c r="ABF63" s="738"/>
      <c r="ABG63" s="738"/>
      <c r="ABH63" s="738"/>
      <c r="ABI63" s="738"/>
      <c r="ABJ63" s="738"/>
      <c r="ABK63" s="738"/>
      <c r="ABL63" s="738"/>
      <c r="ABM63" s="738"/>
      <c r="ABN63" s="738"/>
      <c r="ABO63" s="738"/>
      <c r="ABP63" s="738"/>
      <c r="ABQ63" s="738"/>
      <c r="ABR63" s="738"/>
      <c r="ABS63" s="738"/>
      <c r="ABT63" s="738"/>
      <c r="ABU63" s="738"/>
      <c r="ABV63" s="738"/>
      <c r="ABW63" s="738"/>
      <c r="ABX63" s="738"/>
      <c r="ABY63" s="738"/>
      <c r="ABZ63" s="738"/>
      <c r="ACA63" s="738"/>
      <c r="ACB63" s="738"/>
      <c r="ACC63" s="738"/>
      <c r="ACD63" s="738"/>
      <c r="ACE63" s="738"/>
      <c r="ACF63" s="738"/>
      <c r="ACG63" s="738"/>
      <c r="ACH63" s="738"/>
      <c r="ACI63" s="738"/>
      <c r="ACJ63" s="738"/>
      <c r="ACK63" s="738"/>
      <c r="ACL63" s="738"/>
      <c r="ACM63" s="738"/>
      <c r="ACN63" s="738"/>
      <c r="ACO63" s="738"/>
      <c r="ACP63" s="738"/>
      <c r="ACQ63" s="738"/>
      <c r="ACR63" s="738"/>
      <c r="ACS63" s="738"/>
      <c r="ACT63" s="738"/>
      <c r="ACU63" s="738"/>
      <c r="ACV63" s="738"/>
      <c r="ACW63" s="738"/>
      <c r="ACX63" s="738"/>
      <c r="ACY63" s="738"/>
      <c r="ACZ63" s="738"/>
      <c r="ADA63" s="738"/>
      <c r="ADB63" s="738"/>
      <c r="ADC63" s="738"/>
      <c r="ADD63" s="738"/>
      <c r="ADE63" s="738"/>
      <c r="ADF63" s="738"/>
      <c r="ADG63" s="738"/>
      <c r="ADH63" s="738"/>
      <c r="ADI63" s="738"/>
      <c r="ADJ63" s="738"/>
      <c r="ADK63" s="738"/>
      <c r="ADL63" s="738"/>
      <c r="ADM63" s="738"/>
      <c r="ADN63" s="738"/>
      <c r="ADO63" s="738"/>
      <c r="ADP63" s="738"/>
      <c r="ADQ63" s="738"/>
      <c r="ADR63" s="738"/>
      <c r="ADS63" s="738"/>
      <c r="ADT63" s="738"/>
      <c r="ADU63" s="738"/>
      <c r="ADV63" s="738"/>
      <c r="ADW63" s="738"/>
      <c r="ADX63" s="738"/>
      <c r="ADY63" s="738"/>
      <c r="ADZ63" s="738"/>
      <c r="AEA63" s="738"/>
      <c r="AEB63" s="738"/>
      <c r="AEC63" s="738"/>
      <c r="AED63" s="738"/>
      <c r="AEE63" s="738"/>
      <c r="AEF63" s="738"/>
      <c r="AEG63" s="738"/>
      <c r="AEH63" s="738"/>
      <c r="AEI63" s="738"/>
      <c r="AEJ63" s="738"/>
      <c r="AEK63" s="738"/>
      <c r="AEL63" s="738"/>
      <c r="AEM63" s="738"/>
      <c r="AEN63" s="738"/>
      <c r="AEO63" s="738"/>
      <c r="AEP63" s="738"/>
      <c r="AEQ63" s="738"/>
      <c r="AER63" s="738"/>
      <c r="AES63" s="738"/>
      <c r="AET63" s="738"/>
      <c r="AEU63" s="738"/>
      <c r="AEV63" s="738"/>
      <c r="AEW63" s="738"/>
      <c r="AEX63" s="738"/>
      <c r="AEY63" s="738"/>
      <c r="AEZ63" s="738"/>
      <c r="AFA63" s="738"/>
      <c r="AFB63" s="738"/>
      <c r="AFC63" s="738"/>
      <c r="AFD63" s="738"/>
      <c r="AFE63" s="738"/>
      <c r="AFF63" s="738"/>
      <c r="AFG63" s="738"/>
      <c r="AFH63" s="738"/>
      <c r="AFI63" s="738"/>
      <c r="AFJ63" s="738"/>
      <c r="AFK63" s="738"/>
      <c r="AFL63" s="738"/>
      <c r="AFM63" s="738"/>
      <c r="AFN63" s="738"/>
      <c r="AFO63" s="738"/>
      <c r="AFP63" s="738"/>
      <c r="AFQ63" s="738"/>
      <c r="AFR63" s="738"/>
      <c r="AFS63" s="738"/>
      <c r="AFT63" s="738"/>
      <c r="AFU63" s="738"/>
      <c r="AFV63" s="738"/>
      <c r="AFW63" s="738"/>
      <c r="AFX63" s="738"/>
      <c r="AFY63" s="738"/>
      <c r="AFZ63" s="738"/>
      <c r="AGA63" s="738"/>
      <c r="AGB63" s="738"/>
      <c r="AGC63" s="738"/>
      <c r="AGD63" s="738"/>
      <c r="AGE63" s="738"/>
      <c r="AGF63" s="738"/>
      <c r="AGG63" s="738"/>
      <c r="AGH63" s="738"/>
      <c r="AGI63" s="738"/>
      <c r="AGJ63" s="738"/>
      <c r="AGK63" s="738"/>
      <c r="AGL63" s="738"/>
      <c r="AGM63" s="738"/>
      <c r="AGN63" s="738"/>
      <c r="AGO63" s="738"/>
      <c r="AGP63" s="738"/>
      <c r="AGQ63" s="738"/>
      <c r="AGR63" s="738"/>
      <c r="AGS63" s="738"/>
      <c r="AGT63" s="738"/>
      <c r="AGU63" s="738"/>
      <c r="AGV63" s="738"/>
      <c r="AGW63" s="738"/>
      <c r="AGX63" s="738"/>
      <c r="AGY63" s="738"/>
      <c r="AGZ63" s="738"/>
      <c r="AHA63" s="738"/>
      <c r="AHB63" s="738"/>
      <c r="AHC63" s="738"/>
      <c r="AHD63" s="738"/>
      <c r="AHE63" s="738"/>
      <c r="AHF63" s="738"/>
      <c r="AHG63" s="738"/>
      <c r="AHH63" s="738"/>
      <c r="AHI63" s="738"/>
      <c r="AHJ63" s="738"/>
      <c r="AHK63" s="738"/>
      <c r="AHL63" s="738"/>
      <c r="AHM63" s="738"/>
      <c r="AHN63" s="738"/>
      <c r="AHO63" s="738"/>
      <c r="AHP63" s="738"/>
      <c r="AHQ63" s="738"/>
      <c r="AHR63" s="738"/>
      <c r="AHS63" s="738"/>
      <c r="AHT63" s="738"/>
      <c r="AHU63" s="738"/>
      <c r="AHV63" s="738"/>
      <c r="AHW63" s="738"/>
      <c r="AHX63" s="738"/>
      <c r="AHY63" s="738"/>
      <c r="AHZ63" s="738"/>
      <c r="AIA63" s="738"/>
      <c r="AIB63" s="738"/>
      <c r="AIC63" s="738"/>
      <c r="AID63" s="738"/>
      <c r="AIE63" s="738"/>
      <c r="AIF63" s="738"/>
      <c r="AIG63" s="738"/>
      <c r="AIH63" s="738"/>
      <c r="AII63" s="738"/>
      <c r="AIJ63" s="738"/>
      <c r="AIK63" s="738"/>
      <c r="AIL63" s="738"/>
      <c r="AIM63" s="738"/>
      <c r="AIN63" s="738"/>
      <c r="AIO63" s="738"/>
      <c r="AIP63" s="738"/>
      <c r="AIQ63" s="738"/>
      <c r="AIR63" s="738"/>
      <c r="AIS63" s="738"/>
      <c r="AIT63" s="738"/>
      <c r="AIU63" s="738"/>
      <c r="AIV63" s="738"/>
      <c r="AIW63" s="738"/>
      <c r="AIX63" s="738"/>
      <c r="AIY63" s="738"/>
      <c r="AIZ63" s="738"/>
      <c r="AJA63" s="738"/>
      <c r="AJB63" s="738"/>
      <c r="AJC63" s="738"/>
      <c r="AJD63" s="738"/>
      <c r="AJE63" s="738"/>
      <c r="AJF63" s="738"/>
      <c r="AJG63" s="738"/>
      <c r="AJH63" s="738"/>
      <c r="AJI63" s="738"/>
      <c r="AJJ63" s="738"/>
      <c r="AJK63" s="738"/>
      <c r="AJL63" s="738"/>
      <c r="AJM63" s="738"/>
      <c r="AJN63" s="738"/>
      <c r="AJO63" s="738"/>
      <c r="AJP63" s="738"/>
      <c r="AJQ63" s="738"/>
      <c r="AJR63" s="738"/>
      <c r="AJS63" s="738"/>
      <c r="AJT63" s="738"/>
      <c r="AJU63" s="738"/>
      <c r="AJV63" s="738"/>
      <c r="AJW63" s="738"/>
      <c r="AJX63" s="738"/>
      <c r="AJY63" s="738"/>
      <c r="AJZ63" s="738"/>
      <c r="AKA63" s="738"/>
      <c r="AKB63" s="738"/>
      <c r="AKC63" s="738"/>
      <c r="AKD63" s="738"/>
      <c r="AKE63" s="738"/>
      <c r="AKF63" s="738"/>
      <c r="AKG63" s="738"/>
      <c r="AKH63" s="738"/>
      <c r="AKI63" s="738"/>
      <c r="AKJ63" s="738"/>
      <c r="AKK63" s="738"/>
      <c r="AKL63" s="738"/>
      <c r="AKM63" s="738"/>
      <c r="AKN63" s="738"/>
      <c r="AKO63" s="738"/>
      <c r="AKP63" s="738"/>
      <c r="AKQ63" s="738"/>
      <c r="AKR63" s="738"/>
      <c r="AKS63" s="738"/>
      <c r="AKT63" s="738"/>
      <c r="AKU63" s="738"/>
      <c r="AKV63" s="738"/>
      <c r="AKW63" s="738"/>
      <c r="AKX63" s="738"/>
      <c r="AKY63" s="738"/>
      <c r="AKZ63" s="738"/>
      <c r="ALA63" s="738"/>
      <c r="ALB63" s="738"/>
      <c r="ALC63" s="738"/>
      <c r="ALD63" s="738"/>
      <c r="ALE63" s="738"/>
      <c r="ALF63" s="738"/>
      <c r="ALG63" s="738"/>
      <c r="ALH63" s="738"/>
      <c r="ALI63" s="738"/>
      <c r="ALJ63" s="738"/>
      <c r="ALK63" s="738"/>
      <c r="ALL63" s="738"/>
      <c r="ALM63" s="738"/>
      <c r="ALN63" s="738"/>
      <c r="ALO63" s="738"/>
      <c r="ALP63" s="738"/>
      <c r="ALQ63" s="738"/>
      <c r="ALR63" s="738"/>
      <c r="ALS63" s="738"/>
      <c r="ALT63" s="738"/>
      <c r="ALU63" s="738"/>
      <c r="ALV63" s="738"/>
      <c r="ALW63" s="738"/>
      <c r="ALX63" s="738"/>
      <c r="ALY63" s="738"/>
      <c r="ALZ63" s="738"/>
      <c r="AMA63" s="738"/>
    </row>
    <row r="64" spans="1:1015" s="224" customFormat="1" ht="13.5" customHeight="1">
      <c r="A64" s="225">
        <v>57</v>
      </c>
      <c r="B64" s="217"/>
      <c r="C64" s="217"/>
      <c r="D64" s="217"/>
      <c r="E64" s="217"/>
      <c r="F64" s="217" t="s">
        <v>264</v>
      </c>
      <c r="G64" s="217"/>
      <c r="H64" s="217"/>
      <c r="I64" s="217"/>
      <c r="J64" s="728"/>
      <c r="K64" s="729" t="s">
        <v>1220</v>
      </c>
      <c r="L64" s="728" t="s">
        <v>1221</v>
      </c>
      <c r="M64" s="729"/>
      <c r="N64" s="728"/>
      <c r="O64" s="728"/>
      <c r="P64" s="728"/>
      <c r="Q64" s="728"/>
      <c r="R64" s="252"/>
      <c r="S64" s="728" t="s">
        <v>820</v>
      </c>
      <c r="T64" s="728"/>
      <c r="U64" s="735" t="s">
        <v>863</v>
      </c>
      <c r="V64" s="281" t="s">
        <v>864</v>
      </c>
      <c r="W64" s="728" t="s">
        <v>1222</v>
      </c>
      <c r="X64" s="732" t="s">
        <v>864</v>
      </c>
      <c r="Y64" s="732"/>
      <c r="Z64" s="232"/>
      <c r="AA64" s="733"/>
      <c r="AB64" s="728" t="s">
        <v>1223</v>
      </c>
      <c r="AC64" s="245" t="s">
        <v>1224</v>
      </c>
      <c r="AD64" s="728"/>
      <c r="AE64" s="731"/>
      <c r="AF64" s="731">
        <v>1</v>
      </c>
    </row>
    <row r="65" spans="1:32">
      <c r="A65" s="225">
        <f>SUBTOTAL(103,createCase16[ID])</f>
        <v>55</v>
      </c>
      <c r="B65" s="224"/>
      <c r="C65" s="225">
        <f>SUBTOTAL(103,createCase16[Donnée (Niveau 2)])</f>
        <v>4</v>
      </c>
      <c r="D65" s="225">
        <f>SUBTOTAL(103,createCase16[Donnée (Niveau 3)])</f>
        <v>5</v>
      </c>
      <c r="E65" s="225">
        <f>SUBTOTAL(103,createCase16[Donnée (Niveau 4)])</f>
        <v>2</v>
      </c>
      <c r="F65" s="225">
        <f>SUBTOTAL(103,createCase16[Donnée (Niveau 5)])</f>
        <v>10</v>
      </c>
      <c r="G65" s="225">
        <f>SUBTOTAL(103,createCase16[Donnée (Niveau 6)])</f>
        <v>23</v>
      </c>
      <c r="H65" s="225"/>
      <c r="I65" s="225"/>
      <c r="J65" s="225">
        <f>SUBTOTAL(103,createCase16[Description])</f>
        <v>44</v>
      </c>
      <c r="K65" s="225">
        <f>SUBTOTAL(103,createCase16[Exemples])</f>
        <v>39</v>
      </c>
      <c r="L65" s="225">
        <f>SUBTOTAL(103,createCase16[Balise NexSIS])</f>
        <v>18</v>
      </c>
      <c r="M65" s="239">
        <f>SUBTOTAL(103,createCase16[Nouvelle balise])</f>
        <v>51</v>
      </c>
      <c r="N65" s="225">
        <f>SUBTOTAL(103,createCase16[Nantes - balise])</f>
        <v>8</v>
      </c>
      <c r="O65" s="225">
        <f>SUBTOTAL(103,createCase16[Nantes - description])</f>
        <v>8</v>
      </c>
      <c r="P65" s="225">
        <f>SUBTOTAL(103,createCase16[GT399])</f>
        <v>0</v>
      </c>
      <c r="Q65" s="225">
        <f>SUBTOTAL(103,createCase16[GT399 description])</f>
        <v>0</v>
      </c>
      <c r="R65" s="234">
        <f>SUBTOTAL(103,createCase16[Priorisation])</f>
        <v>1</v>
      </c>
      <c r="S65" s="225"/>
      <c r="T65" s="225">
        <f>SUBTOTAL(103,createCase16[Objet])</f>
        <v>12</v>
      </c>
      <c r="U65" s="225">
        <f>SUBTOTAL(103,createCase16[Format (ou type)])</f>
        <v>55</v>
      </c>
      <c r="V65" s="274"/>
      <c r="W65" s="225"/>
      <c r="X65" s="225"/>
      <c r="Y65" s="225"/>
      <c r="Z65" s="224"/>
      <c r="AA65" s="271">
        <f>SUBTOTAL(103,createCase16[Commentaire Hub Santé])</f>
        <v>6</v>
      </c>
      <c r="AB65" s="225">
        <f>SUBTOTAL(103,createCase16[Commentaire Philippe Dreyfus])</f>
        <v>4</v>
      </c>
      <c r="AC65" s="271"/>
      <c r="AD65" s="225">
        <f>SUBTOTAL(103,createCase16[Commentaire Yann Penverne])</f>
        <v>0</v>
      </c>
      <c r="AE65" s="225">
        <f>SUBTOTAL(103,createCase16[NexSIS])-COUNTIFS(createCase16[NexSIS],"=X")</f>
        <v>35</v>
      </c>
      <c r="AF65" s="225">
        <f>SUBTOTAL(103,createCase16[Métier])-COUNTIFS(createCase16[Métier],"=X")</f>
        <v>41</v>
      </c>
    </row>
    <row r="66" spans="1:32">
      <c r="A66" s="3"/>
      <c r="B66" s="3"/>
      <c r="C66" s="131"/>
      <c r="D66" s="131"/>
      <c r="E66" s="131"/>
      <c r="F66" s="131"/>
      <c r="G66" s="5"/>
      <c r="H66" s="5"/>
      <c r="I66" s="5"/>
      <c r="J66" s="155"/>
      <c r="L66" s="5"/>
      <c r="M66" s="155"/>
      <c r="N66" s="5"/>
      <c r="O66" s="5"/>
      <c r="P66" s="5"/>
      <c r="Q66" s="5"/>
      <c r="R66" s="188"/>
      <c r="S66" s="5"/>
      <c r="T66" s="5"/>
      <c r="U66" s="5"/>
      <c r="V66" s="56"/>
      <c r="W66" s="56"/>
      <c r="X66" s="56"/>
      <c r="Y66" s="56"/>
      <c r="AA66" s="178"/>
      <c r="AB66" s="5"/>
      <c r="AC66" s="225"/>
      <c r="AD66" s="56"/>
      <c r="AE66" s="128"/>
      <c r="AF66" s="56"/>
    </row>
    <row r="67" spans="1:32">
      <c r="A67" s="129"/>
      <c r="B67" s="129"/>
      <c r="C67" s="129"/>
      <c r="D67" s="129"/>
      <c r="E67" s="129"/>
      <c r="F67" s="129"/>
      <c r="AE67" s="128"/>
    </row>
    <row r="68" spans="1:32">
      <c r="G68" s="128"/>
      <c r="H68" s="128"/>
      <c r="I68" s="128"/>
      <c r="J68" s="128"/>
      <c r="K68" s="224"/>
      <c r="L68" s="128"/>
      <c r="M68" s="128"/>
      <c r="N68" s="128"/>
      <c r="O68" s="128"/>
      <c r="P68" s="128"/>
      <c r="Q68" s="128"/>
      <c r="R68" s="174"/>
      <c r="S68" s="128"/>
      <c r="AE68" s="128"/>
    </row>
    <row r="69" spans="1:32">
      <c r="G69" s="128"/>
      <c r="H69" s="128"/>
      <c r="I69" s="128"/>
      <c r="J69" s="128"/>
      <c r="K69" s="224"/>
      <c r="L69" s="128"/>
      <c r="M69" s="128"/>
      <c r="N69" s="128"/>
      <c r="O69" s="128"/>
      <c r="P69" s="128"/>
      <c r="Q69" s="128"/>
      <c r="R69" s="174"/>
      <c r="S69" s="128"/>
      <c r="AE69" s="128"/>
    </row>
    <row r="70" spans="1:32">
      <c r="G70" s="128"/>
      <c r="H70" s="128"/>
      <c r="I70" s="128"/>
      <c r="J70" s="128"/>
      <c r="K70" s="224"/>
      <c r="L70" s="128"/>
      <c r="M70" s="128"/>
      <c r="N70" s="128"/>
      <c r="O70" s="128"/>
      <c r="P70" s="128"/>
      <c r="Q70" s="128"/>
      <c r="R70" s="174"/>
      <c r="S70" s="128"/>
      <c r="AE70" s="128"/>
    </row>
    <row r="71" spans="1:32">
      <c r="G71" s="128"/>
      <c r="H71" s="128"/>
      <c r="I71" s="128"/>
      <c r="J71" s="128"/>
      <c r="K71" s="224"/>
      <c r="L71" s="128"/>
      <c r="M71" s="128"/>
      <c r="N71" s="128"/>
      <c r="O71" s="128"/>
      <c r="P71" s="128"/>
      <c r="Q71" s="128"/>
      <c r="R71" s="174"/>
      <c r="S71" s="128"/>
      <c r="AE71" s="128"/>
    </row>
    <row r="72" spans="1:32">
      <c r="G72" s="128"/>
      <c r="H72" s="128"/>
      <c r="I72" s="128"/>
      <c r="J72" s="128"/>
      <c r="K72" s="224"/>
      <c r="L72" s="128"/>
      <c r="M72" s="128"/>
      <c r="N72" s="128"/>
      <c r="O72" s="128"/>
      <c r="P72" s="128"/>
      <c r="Q72" s="128"/>
      <c r="R72" s="174"/>
      <c r="S72" s="128"/>
    </row>
    <row r="73" spans="1:32" ht="12" customHeight="1">
      <c r="AC73" s="161"/>
      <c r="AE73" s="117"/>
    </row>
    <row r="74" spans="1:32" ht="12" customHeight="1">
      <c r="A74" s="117"/>
      <c r="B74" s="117"/>
      <c r="C74" s="117"/>
      <c r="D74" s="117"/>
      <c r="E74" s="117"/>
      <c r="F74" s="117"/>
      <c r="G74" s="117"/>
      <c r="H74" s="117"/>
      <c r="I74" s="117"/>
      <c r="J74" s="117"/>
      <c r="K74" s="251"/>
      <c r="L74" s="117"/>
      <c r="M74" s="117"/>
      <c r="N74" s="117"/>
      <c r="O74" s="117"/>
      <c r="P74" s="117"/>
      <c r="Q74" s="117"/>
      <c r="R74" s="189"/>
      <c r="S74" s="117"/>
    </row>
    <row r="75" spans="1:32" ht="12" customHeight="1">
      <c r="T75" s="112"/>
      <c r="U75" s="112"/>
      <c r="V75" s="125"/>
      <c r="W75" s="112"/>
      <c r="X75" s="112"/>
      <c r="Y75" s="112"/>
      <c r="AA75" s="180"/>
      <c r="AB75" s="112"/>
      <c r="AD75" s="112"/>
      <c r="AF75" s="112"/>
    </row>
    <row r="76" spans="1:32" ht="12" customHeight="1"/>
    <row r="77" spans="1:32" ht="12" customHeight="1"/>
    <row r="78" spans="1:32" ht="12" customHeight="1"/>
    <row r="79" spans="1:32" ht="12" customHeight="1"/>
    <row r="80" spans="1:32" ht="12" customHeight="1"/>
    <row r="81" spans="1:1016" ht="12" customHeight="1"/>
    <row r="82" spans="1:1016" ht="12" customHeight="1"/>
    <row r="83" spans="1:1016" ht="12" customHeight="1"/>
    <row r="84" spans="1:1016" ht="12" customHeight="1"/>
    <row r="85" spans="1:1016" ht="12" customHeight="1"/>
    <row r="86" spans="1:1016" ht="12" customHeight="1"/>
    <row r="87" spans="1:1016" ht="12" customHeight="1">
      <c r="A87" s="130"/>
      <c r="B87" s="130"/>
      <c r="C87" s="130"/>
      <c r="D87" s="130"/>
      <c r="E87" s="130"/>
      <c r="F87" s="130"/>
    </row>
    <row r="88" spans="1:1016" s="117" customFormat="1" ht="12" customHeight="1">
      <c r="A88" s="130"/>
      <c r="B88" s="130"/>
      <c r="C88" s="130"/>
      <c r="D88" s="130"/>
      <c r="E88" s="130"/>
      <c r="F88" s="130"/>
      <c r="G88" s="96"/>
      <c r="H88" s="96"/>
      <c r="I88" s="96"/>
      <c r="J88" s="96"/>
      <c r="K88" s="225"/>
      <c r="L88" s="96"/>
      <c r="M88" s="159"/>
      <c r="N88" s="96"/>
      <c r="O88" s="96"/>
      <c r="P88" s="96"/>
      <c r="Q88" s="96"/>
      <c r="R88" s="173"/>
      <c r="S88" s="96"/>
      <c r="T88" s="96"/>
      <c r="U88" s="96"/>
      <c r="V88" s="277"/>
      <c r="W88" s="96"/>
      <c r="X88" s="96"/>
      <c r="Y88" s="96"/>
      <c r="Z88"/>
      <c r="AA88" s="179"/>
      <c r="AB88" s="96"/>
      <c r="AC88" s="159"/>
      <c r="AD88" s="96"/>
      <c r="AE88"/>
      <c r="AF88" s="96"/>
      <c r="AMB88"/>
    </row>
    <row r="89" spans="1:1016" s="117" customFormat="1" ht="12" customHeight="1">
      <c r="A89" s="130"/>
      <c r="B89" s="130"/>
      <c r="C89" s="130"/>
      <c r="D89" s="130"/>
      <c r="E89" s="130"/>
      <c r="F89" s="130"/>
      <c r="G89" s="96"/>
      <c r="H89" s="96"/>
      <c r="I89" s="96"/>
      <c r="J89" s="96"/>
      <c r="K89" s="225"/>
      <c r="L89" s="96"/>
      <c r="M89" s="159"/>
      <c r="N89" s="96"/>
      <c r="O89" s="96"/>
      <c r="P89" s="96"/>
      <c r="Q89" s="96"/>
      <c r="R89" s="173"/>
      <c r="S89" s="96"/>
      <c r="T89" s="96"/>
      <c r="U89" s="96"/>
      <c r="V89" s="277"/>
      <c r="W89" s="96"/>
      <c r="X89" s="96"/>
      <c r="Y89" s="96"/>
      <c r="Z89"/>
      <c r="AA89" s="179"/>
      <c r="AB89" s="96"/>
      <c r="AC89" s="159"/>
      <c r="AD89" s="96"/>
      <c r="AE89"/>
      <c r="AF89" s="96"/>
      <c r="AMB89"/>
    </row>
    <row r="90" spans="1:1016" s="117" customFormat="1" ht="12" customHeight="1">
      <c r="A90" s="130"/>
      <c r="B90" s="130"/>
      <c r="C90" s="130"/>
      <c r="D90" s="130"/>
      <c r="E90" s="130"/>
      <c r="F90" s="130"/>
      <c r="G90" s="96"/>
      <c r="H90" s="96"/>
      <c r="I90" s="96"/>
      <c r="J90" s="96"/>
      <c r="K90" s="225"/>
      <c r="L90" s="96"/>
      <c r="M90" s="159"/>
      <c r="N90" s="96"/>
      <c r="O90" s="96"/>
      <c r="P90" s="96"/>
      <c r="Q90" s="96"/>
      <c r="R90" s="173"/>
      <c r="S90" s="96"/>
      <c r="T90" s="96"/>
      <c r="U90" s="96"/>
      <c r="V90" s="277"/>
      <c r="W90" s="96"/>
      <c r="X90" s="96"/>
      <c r="Y90" s="96"/>
      <c r="Z90"/>
      <c r="AA90" s="179"/>
      <c r="AB90" s="96"/>
      <c r="AC90" s="159"/>
      <c r="AD90" s="96"/>
      <c r="AE90"/>
      <c r="AF90" s="96"/>
      <c r="AMB90"/>
    </row>
    <row r="91" spans="1:1016" s="117" customFormat="1" ht="12" customHeight="1">
      <c r="A91" s="130"/>
      <c r="B91" s="130"/>
      <c r="C91" s="130"/>
      <c r="D91" s="130"/>
      <c r="E91" s="130"/>
      <c r="F91" s="130"/>
      <c r="G91" s="96"/>
      <c r="H91" s="96"/>
      <c r="I91" s="96"/>
      <c r="J91" s="96"/>
      <c r="K91" s="225"/>
      <c r="L91" s="96"/>
      <c r="M91" s="159"/>
      <c r="N91" s="96"/>
      <c r="O91" s="96"/>
      <c r="P91" s="96"/>
      <c r="Q91" s="96"/>
      <c r="R91" s="173"/>
      <c r="S91" s="96"/>
      <c r="T91" s="96"/>
      <c r="U91" s="96"/>
      <c r="V91" s="277"/>
      <c r="W91" s="96"/>
      <c r="X91" s="96"/>
      <c r="Y91" s="96"/>
      <c r="Z91"/>
      <c r="AA91" s="179"/>
      <c r="AB91" s="96"/>
      <c r="AC91" s="159"/>
      <c r="AD91" s="96"/>
      <c r="AE91"/>
      <c r="AF91" s="96"/>
      <c r="AMB91"/>
    </row>
    <row r="92" spans="1:1016" s="117" customFormat="1" ht="12" customHeight="1">
      <c r="A92" s="130"/>
      <c r="B92" s="130"/>
      <c r="C92" s="130"/>
      <c r="D92" s="130"/>
      <c r="E92" s="130"/>
      <c r="F92" s="130"/>
      <c r="G92" s="96"/>
      <c r="H92" s="96"/>
      <c r="I92" s="96"/>
      <c r="J92" s="96"/>
      <c r="K92" s="225"/>
      <c r="L92" s="96"/>
      <c r="M92" s="159"/>
      <c r="N92" s="96"/>
      <c r="O92" s="96"/>
      <c r="P92" s="96"/>
      <c r="Q92" s="96"/>
      <c r="R92" s="173"/>
      <c r="S92" s="96"/>
      <c r="T92" s="96"/>
      <c r="U92" s="96"/>
      <c r="V92" s="277"/>
      <c r="W92" s="96"/>
      <c r="X92" s="96"/>
      <c r="Y92" s="96"/>
      <c r="Z92"/>
      <c r="AA92" s="179"/>
      <c r="AB92" s="96"/>
      <c r="AC92" s="159"/>
      <c r="AD92" s="96"/>
      <c r="AE92"/>
      <c r="AF92" s="96"/>
      <c r="AMB92"/>
    </row>
    <row r="93" spans="1:1016" s="117" customFormat="1" ht="12" customHeight="1">
      <c r="A93" s="130"/>
      <c r="B93" s="130"/>
      <c r="C93" s="130"/>
      <c r="D93" s="130"/>
      <c r="E93" s="130"/>
      <c r="F93" s="130"/>
      <c r="G93" s="96"/>
      <c r="H93" s="96"/>
      <c r="I93" s="96"/>
      <c r="J93" s="96"/>
      <c r="K93" s="225"/>
      <c r="L93" s="96"/>
      <c r="M93" s="159"/>
      <c r="N93" s="96"/>
      <c r="O93" s="96"/>
      <c r="P93" s="96"/>
      <c r="Q93" s="96"/>
      <c r="R93" s="173"/>
      <c r="S93" s="96"/>
      <c r="T93" s="96"/>
      <c r="U93" s="96"/>
      <c r="V93" s="277"/>
      <c r="W93" s="96"/>
      <c r="X93" s="96"/>
      <c r="Y93" s="96"/>
      <c r="Z93"/>
      <c r="AA93" s="179"/>
      <c r="AB93" s="96"/>
      <c r="AC93" s="159"/>
      <c r="AD93" s="96"/>
      <c r="AE93"/>
      <c r="AF93" s="96"/>
      <c r="AMB93"/>
    </row>
    <row r="94" spans="1:1016" s="117" customFormat="1" ht="12" customHeight="1">
      <c r="A94" s="130"/>
      <c r="B94" s="130"/>
      <c r="C94" s="130"/>
      <c r="D94" s="130"/>
      <c r="E94" s="130"/>
      <c r="F94" s="130"/>
      <c r="G94" s="96"/>
      <c r="H94" s="96"/>
      <c r="I94" s="96"/>
      <c r="J94" s="96"/>
      <c r="K94" s="225"/>
      <c r="L94" s="96"/>
      <c r="M94" s="159"/>
      <c r="N94" s="96"/>
      <c r="O94" s="96"/>
      <c r="P94" s="96"/>
      <c r="Q94" s="96"/>
      <c r="R94" s="173"/>
      <c r="S94" s="96"/>
      <c r="T94" s="96"/>
      <c r="U94" s="96"/>
      <c r="V94" s="277"/>
      <c r="W94" s="96"/>
      <c r="X94" s="96"/>
      <c r="Y94" s="96"/>
      <c r="Z94"/>
      <c r="AA94" s="179"/>
      <c r="AB94" s="96"/>
      <c r="AC94" s="159"/>
      <c r="AD94" s="96"/>
      <c r="AE94"/>
      <c r="AF94" s="96"/>
      <c r="AMB94"/>
    </row>
    <row r="95" spans="1:1016" ht="12" customHeight="1">
      <c r="A95" s="129"/>
      <c r="B95" s="129"/>
      <c r="C95" s="129"/>
      <c r="D95" s="129"/>
      <c r="E95" s="129"/>
      <c r="F95" s="129"/>
    </row>
    <row r="96" spans="1:1016" ht="12" customHeight="1">
      <c r="A96" s="129"/>
      <c r="B96" s="129"/>
      <c r="C96" s="129"/>
      <c r="D96" s="129"/>
      <c r="E96" s="129"/>
      <c r="F96" s="129"/>
    </row>
    <row r="97" spans="1:32" ht="12" customHeight="1">
      <c r="A97" s="129"/>
      <c r="B97" s="129"/>
      <c r="C97" s="129"/>
      <c r="D97" s="129"/>
      <c r="E97" s="129"/>
      <c r="F97" s="129"/>
    </row>
    <row r="98" spans="1:32" ht="12" customHeight="1">
      <c r="A98" s="129"/>
      <c r="B98" s="129"/>
      <c r="C98" s="129"/>
      <c r="D98" s="129"/>
      <c r="E98" s="129"/>
      <c r="F98" s="129"/>
    </row>
    <row r="99" spans="1:32" ht="12" customHeight="1">
      <c r="A99" s="129"/>
      <c r="B99" s="129"/>
      <c r="C99" s="129"/>
      <c r="D99" s="129"/>
      <c r="E99" s="129"/>
      <c r="F99" s="129"/>
    </row>
    <row r="100" spans="1:32" ht="12" customHeight="1">
      <c r="A100" s="129"/>
      <c r="B100" s="129"/>
      <c r="C100" s="129"/>
      <c r="D100" s="129"/>
      <c r="E100" s="129"/>
      <c r="F100" s="129"/>
    </row>
    <row r="101" spans="1:32" ht="12" customHeight="1">
      <c r="A101" s="129"/>
      <c r="B101" s="129"/>
      <c r="C101" s="129"/>
      <c r="D101" s="129"/>
      <c r="E101" s="129"/>
      <c r="F101" s="129"/>
    </row>
    <row r="102" spans="1:32">
      <c r="A102" s="129"/>
      <c r="B102" s="129"/>
      <c r="C102" s="129"/>
      <c r="D102" s="129"/>
      <c r="E102" s="129"/>
      <c r="F102" s="129"/>
      <c r="AC102" s="161"/>
      <c r="AE102" s="117"/>
    </row>
    <row r="103" spans="1:32">
      <c r="A103" s="130"/>
      <c r="B103" s="130"/>
      <c r="C103" s="130"/>
      <c r="D103" s="130"/>
      <c r="E103" s="130"/>
      <c r="F103" s="130"/>
      <c r="AC103" s="161"/>
      <c r="AE103" s="117"/>
    </row>
    <row r="104" spans="1:32">
      <c r="A104" s="123"/>
      <c r="B104" s="123"/>
      <c r="C104" s="123"/>
      <c r="D104" s="123"/>
      <c r="E104" s="123"/>
      <c r="F104" s="123"/>
      <c r="G104" s="112"/>
      <c r="H104" s="112"/>
      <c r="I104" s="112"/>
      <c r="J104" s="112"/>
      <c r="K104" s="276"/>
      <c r="L104" s="112"/>
      <c r="M104" s="161"/>
      <c r="N104" s="112"/>
      <c r="O104" s="112"/>
      <c r="P104" s="112"/>
      <c r="Q104" s="112"/>
      <c r="R104" s="190"/>
      <c r="S104" s="112"/>
      <c r="T104" s="112"/>
      <c r="U104" s="112"/>
      <c r="V104" s="125"/>
      <c r="W104" s="112"/>
      <c r="X104" s="112"/>
      <c r="Y104" s="112"/>
      <c r="AA104" s="180"/>
      <c r="AB104" s="112"/>
      <c r="AC104" s="161"/>
      <c r="AD104" s="112"/>
      <c r="AE104" s="117"/>
      <c r="AF104" s="112"/>
    </row>
    <row r="105" spans="1:32">
      <c r="A105" s="123"/>
      <c r="B105" s="123"/>
      <c r="C105" s="123"/>
      <c r="D105" s="123"/>
      <c r="E105" s="123"/>
      <c r="F105" s="123"/>
      <c r="G105" s="112"/>
      <c r="H105" s="112"/>
      <c r="I105" s="112"/>
      <c r="J105" s="112"/>
      <c r="K105" s="276"/>
      <c r="L105" s="112"/>
      <c r="M105" s="161"/>
      <c r="N105" s="112"/>
      <c r="O105" s="112"/>
      <c r="P105" s="112"/>
      <c r="Q105" s="112"/>
      <c r="R105" s="190"/>
      <c r="S105" s="112"/>
      <c r="T105" s="112"/>
      <c r="U105" s="112"/>
      <c r="V105" s="125"/>
      <c r="W105" s="112"/>
      <c r="X105" s="112"/>
      <c r="Y105" s="112"/>
      <c r="AA105" s="180"/>
      <c r="AB105" s="112"/>
      <c r="AC105" s="161"/>
      <c r="AD105" s="112"/>
      <c r="AE105" s="117"/>
      <c r="AF105" s="112"/>
    </row>
    <row r="106" spans="1:32">
      <c r="A106" s="123"/>
      <c r="B106" s="123"/>
      <c r="C106" s="123"/>
      <c r="D106" s="123"/>
      <c r="E106" s="123"/>
      <c r="F106" s="123"/>
      <c r="G106" s="112"/>
      <c r="H106" s="112"/>
      <c r="I106" s="112"/>
      <c r="J106" s="112"/>
      <c r="K106" s="276"/>
      <c r="L106" s="112"/>
      <c r="M106" s="161"/>
      <c r="N106" s="112"/>
      <c r="O106" s="112"/>
      <c r="P106" s="112"/>
      <c r="Q106" s="112"/>
      <c r="R106" s="190"/>
      <c r="S106" s="112"/>
      <c r="T106" s="112"/>
      <c r="U106" s="112"/>
      <c r="V106" s="125"/>
      <c r="W106" s="112"/>
      <c r="X106" s="112"/>
      <c r="Y106" s="112"/>
      <c r="AA106" s="180"/>
      <c r="AB106" s="112"/>
      <c r="AC106" s="161"/>
      <c r="AD106" s="112"/>
      <c r="AE106" s="117"/>
      <c r="AF106" s="112"/>
    </row>
    <row r="107" spans="1:32">
      <c r="A107" s="123"/>
      <c r="B107" s="123"/>
      <c r="C107" s="123"/>
      <c r="D107" s="123"/>
      <c r="E107" s="123"/>
      <c r="F107" s="123"/>
      <c r="G107" s="112"/>
      <c r="H107" s="112"/>
      <c r="I107" s="112"/>
      <c r="J107" s="112"/>
      <c r="K107" s="276"/>
      <c r="L107" s="112"/>
      <c r="M107" s="161"/>
      <c r="N107" s="112"/>
      <c r="O107" s="112"/>
      <c r="P107" s="112"/>
      <c r="Q107" s="112"/>
      <c r="R107" s="190"/>
      <c r="S107" s="112"/>
      <c r="T107" s="112"/>
      <c r="U107" s="112"/>
      <c r="V107" s="125"/>
      <c r="W107" s="112"/>
      <c r="X107" s="112"/>
      <c r="Y107" s="112"/>
      <c r="AA107" s="180"/>
      <c r="AB107" s="112"/>
      <c r="AC107" s="161"/>
      <c r="AD107" s="112"/>
      <c r="AE107" s="117"/>
      <c r="AF107" s="112"/>
    </row>
    <row r="108" spans="1:32">
      <c r="A108" s="123"/>
      <c r="B108" s="123"/>
      <c r="C108" s="123"/>
      <c r="D108" s="123"/>
      <c r="E108" s="123"/>
      <c r="F108" s="123"/>
      <c r="G108" s="112"/>
      <c r="H108" s="112"/>
      <c r="I108" s="112"/>
      <c r="J108" s="112"/>
      <c r="K108" s="276"/>
      <c r="L108" s="112"/>
      <c r="M108" s="161"/>
      <c r="N108" s="112"/>
      <c r="O108" s="112"/>
      <c r="P108" s="112"/>
      <c r="Q108" s="112"/>
      <c r="R108" s="190"/>
      <c r="S108" s="112"/>
      <c r="T108" s="112"/>
      <c r="U108" s="112"/>
      <c r="V108" s="125"/>
      <c r="W108" s="112"/>
      <c r="X108" s="112"/>
      <c r="Y108" s="112"/>
      <c r="AA108" s="180"/>
      <c r="AB108" s="112"/>
      <c r="AC108" s="161"/>
      <c r="AD108" s="112"/>
      <c r="AE108" s="117"/>
      <c r="AF108" s="112"/>
    </row>
    <row r="109" spans="1:32">
      <c r="A109" s="123"/>
      <c r="B109" s="123"/>
      <c r="C109" s="123"/>
      <c r="D109" s="123"/>
      <c r="E109" s="123"/>
      <c r="F109" s="123"/>
      <c r="G109" s="112"/>
      <c r="H109" s="112"/>
      <c r="I109" s="112"/>
      <c r="J109" s="112"/>
      <c r="K109" s="276"/>
      <c r="L109" s="112"/>
      <c r="M109" s="161"/>
      <c r="N109" s="112"/>
      <c r="O109" s="112"/>
      <c r="P109" s="112"/>
      <c r="Q109" s="112"/>
      <c r="R109" s="190"/>
      <c r="S109" s="112"/>
      <c r="T109" s="112"/>
      <c r="U109" s="112"/>
      <c r="V109" s="125"/>
      <c r="W109" s="112"/>
      <c r="X109" s="112"/>
      <c r="Y109" s="112"/>
      <c r="AA109" s="180"/>
      <c r="AB109" s="112"/>
      <c r="AD109" s="112"/>
      <c r="AF109" s="112"/>
    </row>
    <row r="110" spans="1:32">
      <c r="A110" s="123"/>
      <c r="B110" s="123"/>
      <c r="C110" s="123"/>
      <c r="D110" s="123"/>
      <c r="E110" s="123"/>
      <c r="F110" s="123"/>
      <c r="G110" s="112"/>
      <c r="H110" s="112"/>
      <c r="I110" s="112"/>
      <c r="J110" s="112"/>
      <c r="K110" s="276"/>
      <c r="L110" s="112"/>
      <c r="M110" s="161"/>
      <c r="N110" s="112"/>
      <c r="O110" s="112"/>
      <c r="P110" s="112"/>
      <c r="Q110" s="112"/>
      <c r="R110" s="190"/>
      <c r="S110" s="112"/>
      <c r="T110" s="112"/>
      <c r="U110" s="112"/>
      <c r="V110" s="125"/>
      <c r="W110" s="112"/>
      <c r="X110" s="112"/>
      <c r="Y110" s="112"/>
      <c r="AA110" s="180"/>
      <c r="AB110" s="112"/>
      <c r="AD110" s="112"/>
      <c r="AF110" s="112"/>
    </row>
    <row r="111" spans="1:32">
      <c r="A111" s="130"/>
      <c r="B111" s="130"/>
      <c r="C111" s="130"/>
      <c r="D111" s="130"/>
      <c r="E111" s="130"/>
      <c r="F111" s="130"/>
    </row>
    <row r="112" spans="1:32">
      <c r="A112" s="130"/>
      <c r="B112" s="130"/>
      <c r="C112" s="130"/>
      <c r="D112" s="130"/>
      <c r="E112" s="130"/>
      <c r="F112" s="130"/>
    </row>
    <row r="113" spans="1:6">
      <c r="A113" s="130"/>
      <c r="B113" s="130"/>
      <c r="C113" s="130"/>
      <c r="D113" s="130"/>
      <c r="E113" s="130"/>
      <c r="F113" s="130"/>
    </row>
    <row r="114" spans="1:6">
      <c r="A114" s="136"/>
      <c r="B114" s="136"/>
      <c r="C114" s="136"/>
      <c r="D114" s="136"/>
      <c r="E114" s="136"/>
      <c r="F114" s="136"/>
    </row>
    <row r="115" spans="1:6">
      <c r="A115" s="136"/>
      <c r="B115" s="136"/>
      <c r="C115" s="136"/>
      <c r="D115" s="136"/>
      <c r="E115" s="136"/>
      <c r="F115" s="136"/>
    </row>
  </sheetData>
  <mergeCells count="4">
    <mergeCell ref="Q1:R1"/>
    <mergeCell ref="N7:Q7"/>
    <mergeCell ref="X7:Y7"/>
    <mergeCell ref="AE7:AF7"/>
  </mergeCells>
  <conditionalFormatting sqref="A66:F67 A87:F927">
    <cfRule type="expression" dxfId="144" priority="262">
      <formula>$AD66=1</formula>
    </cfRule>
    <cfRule type="expression" dxfId="143" priority="261">
      <formula>$AF66=1</formula>
    </cfRule>
    <cfRule type="expression" dxfId="142" priority="260">
      <formula>AND($AF66=1,$AD66=1)</formula>
    </cfRule>
    <cfRule type="expression" dxfId="141" priority="259">
      <formula>OR($AF66="X",$AD66="X")</formula>
    </cfRule>
  </conditionalFormatting>
  <conditionalFormatting sqref="C9:I9 K9:K64">
    <cfRule type="expression" dxfId="140" priority="1">
      <formula>$T9="X"</formula>
    </cfRule>
  </conditionalFormatting>
  <conditionalFormatting sqref="C18:J18">
    <cfRule type="expression" dxfId="139" priority="2">
      <formula>$T18="X"</formula>
    </cfRule>
  </conditionalFormatting>
  <conditionalFormatting sqref="J66:J67 J87:J927">
    <cfRule type="expression" dxfId="138" priority="258">
      <formula>$S66="X"</formula>
    </cfRule>
  </conditionalFormatting>
  <conditionalFormatting sqref="S9:S64">
    <cfRule type="cellIs" dxfId="137" priority="170" operator="equal">
      <formula>"0..1"</formula>
    </cfRule>
    <cfRule type="cellIs" dxfId="136" priority="169" operator="equal">
      <formula>"0..n"</formula>
    </cfRule>
    <cfRule type="cellIs" dxfId="135" priority="168" operator="equal">
      <formula>"1..1"</formula>
    </cfRule>
  </conditionalFormatting>
  <pageMargins left="0.7" right="0.7" top="0.75" bottom="0.75" header="0.3" footer="0.3"/>
  <legacyDrawing r:id="rId1"/>
  <tableParts count="1">
    <tablePart r:id="rId2"/>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XFB66"/>
  <sheetViews>
    <sheetView topLeftCell="A5" zoomScaleNormal="100" workbookViewId="0">
      <selection activeCell="L12" sqref="L12"/>
    </sheetView>
  </sheetViews>
  <sheetFormatPr baseColWidth="10" defaultColWidth="9.5" defaultRowHeight="15"/>
  <cols>
    <col min="1" max="1" width="4.6640625" style="128" customWidth="1"/>
    <col min="2" max="2" width="28.5" style="128" bestFit="1" customWidth="1"/>
    <col min="3" max="3" width="11" style="128" customWidth="1"/>
    <col min="4" max="4" width="13.6640625" style="128" customWidth="1"/>
    <col min="5" max="5" width="11.6640625" style="128" customWidth="1"/>
    <col min="6" max="6" width="8.6640625" style="128" customWidth="1"/>
    <col min="7" max="7" width="10.1640625" style="96" customWidth="1"/>
    <col min="8" max="8" width="27.6640625" style="96" customWidth="1"/>
    <col min="9" max="10" width="20.1640625" style="225" customWidth="1"/>
    <col min="11" max="11" width="12.1640625" style="159" customWidth="1"/>
    <col min="12" max="12" width="10.5" style="96" customWidth="1"/>
    <col min="13" max="13" width="11" style="277" customWidth="1"/>
    <col min="14" max="14" width="18.5" style="96" customWidth="1"/>
    <col min="15" max="15" width="12.6640625" style="277" customWidth="1"/>
    <col min="16" max="16" width="28.1640625" style="96" customWidth="1"/>
    <col min="17" max="17" width="8.83203125" style="96" hidden="1" customWidth="1"/>
    <col min="18" max="18" width="12.1640625" style="96" customWidth="1"/>
    <col min="19" max="19" width="2.33203125" hidden="1" customWidth="1"/>
    <col min="20" max="20" width="22.6640625" style="179" hidden="1" customWidth="1"/>
    <col min="21" max="21" width="24.33203125" style="96" hidden="1" customWidth="1"/>
    <col min="22" max="22" width="24.5" style="159" hidden="1" customWidth="1"/>
    <col min="23" max="23" width="17.5" style="96" hidden="1" customWidth="1"/>
    <col min="24" max="24" width="9.5" hidden="1" customWidth="1"/>
    <col min="25" max="25" width="8" style="96" hidden="1" customWidth="1"/>
    <col min="26" max="26" width="8.83203125" style="128" customWidth="1"/>
    <col min="28" max="1008" width="9.5" style="128"/>
    <col min="1009" max="1009" width="9" style="128" customWidth="1"/>
    <col min="1010" max="1011" width="9" customWidth="1"/>
  </cols>
  <sheetData>
    <row r="1" spans="1:16382" ht="13.5" customHeight="1">
      <c r="A1" s="228" t="s">
        <v>2591</v>
      </c>
      <c r="C1" s="129"/>
      <c r="E1" s="150"/>
      <c r="F1" s="157"/>
      <c r="G1" s="128"/>
      <c r="X1" s="96"/>
      <c r="Z1"/>
      <c r="AA1" s="128"/>
      <c r="ALU1"/>
    </row>
    <row r="2" spans="1:16382" ht="13.5" customHeight="1">
      <c r="C2" s="141"/>
      <c r="D2" s="284"/>
      <c r="E2" s="152"/>
      <c r="F2" s="157"/>
      <c r="G2" s="128"/>
      <c r="X2" s="96"/>
      <c r="Z2"/>
      <c r="AA2" s="128"/>
      <c r="ALU2"/>
    </row>
    <row r="3" spans="1:16382" ht="13.5" customHeight="1">
      <c r="C3" s="142"/>
      <c r="E3" s="151"/>
      <c r="G3" s="128"/>
      <c r="X3" s="96"/>
      <c r="Z3"/>
      <c r="AA3" s="128"/>
      <c r="ALU3"/>
    </row>
    <row r="4" spans="1:16382" ht="13.5" customHeight="1">
      <c r="C4" s="143"/>
      <c r="E4" s="153"/>
      <c r="G4" s="137"/>
      <c r="X4" s="96"/>
      <c r="Z4"/>
      <c r="AA4" s="128"/>
      <c r="ALU4"/>
    </row>
    <row r="5" spans="1:16382" s="149" customFormat="1" ht="13.5" customHeight="1">
      <c r="A5" s="128"/>
      <c r="B5" s="128"/>
      <c r="C5" s="145"/>
      <c r="D5" s="146"/>
      <c r="E5" s="290"/>
      <c r="F5" s="146"/>
      <c r="G5" s="148"/>
      <c r="H5" s="148"/>
      <c r="I5" s="275"/>
      <c r="J5" s="275"/>
      <c r="K5" s="160"/>
      <c r="L5" s="148"/>
      <c r="M5" s="279"/>
      <c r="N5" s="148"/>
      <c r="O5" s="279"/>
      <c r="P5" s="148"/>
      <c r="Q5" s="148"/>
      <c r="R5" s="148"/>
      <c r="S5"/>
      <c r="T5" s="181"/>
      <c r="U5" s="148"/>
      <c r="V5" s="160"/>
      <c r="W5" s="148"/>
      <c r="X5" s="148"/>
      <c r="Y5" s="148"/>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row>
    <row r="6" spans="1:16382" ht="13.5" customHeight="1">
      <c r="C6" s="144"/>
      <c r="D6" s="138"/>
      <c r="F6" s="138"/>
      <c r="X6" s="96"/>
      <c r="Z6"/>
      <c r="AA6" s="128"/>
      <c r="ALU6"/>
    </row>
    <row r="7" spans="1:16382" ht="13.5" customHeight="1">
      <c r="A7"/>
      <c r="B7"/>
      <c r="C7" s="138"/>
      <c r="D7" s="377"/>
      <c r="E7" s="138"/>
      <c r="F7" s="138"/>
      <c r="Q7" s="796" t="s">
        <v>829</v>
      </c>
      <c r="R7" s="796"/>
      <c r="X7" s="795" t="s">
        <v>830</v>
      </c>
      <c r="Y7" s="795"/>
      <c r="Z7"/>
      <c r="AA7" s="128"/>
      <c r="ALU7"/>
    </row>
    <row r="8" spans="1:16382" s="238" customFormat="1" ht="55.5" customHeight="1">
      <c r="A8" s="233" t="s">
        <v>831</v>
      </c>
      <c r="B8" s="381" t="s">
        <v>832</v>
      </c>
      <c r="C8" s="278" t="s">
        <v>833</v>
      </c>
      <c r="D8" s="278" t="s">
        <v>834</v>
      </c>
      <c r="E8" s="278" t="s">
        <v>835</v>
      </c>
      <c r="F8" s="278" t="s">
        <v>836</v>
      </c>
      <c r="G8" s="278" t="s">
        <v>837</v>
      </c>
      <c r="H8" s="234" t="s">
        <v>9</v>
      </c>
      <c r="I8" s="234" t="s">
        <v>838</v>
      </c>
      <c r="J8" s="234" t="s">
        <v>841</v>
      </c>
      <c r="K8" s="234" t="s">
        <v>842</v>
      </c>
      <c r="L8" s="234" t="s">
        <v>677</v>
      </c>
      <c r="M8" s="234" t="s">
        <v>3</v>
      </c>
      <c r="N8" s="234" t="s">
        <v>913</v>
      </c>
      <c r="O8" s="283" t="s">
        <v>914</v>
      </c>
      <c r="P8" s="234" t="s">
        <v>849</v>
      </c>
      <c r="Q8" s="229" t="s">
        <v>850</v>
      </c>
      <c r="R8" s="229" t="s">
        <v>851</v>
      </c>
      <c r="S8" s="230" t="s">
        <v>852</v>
      </c>
      <c r="T8" s="235" t="s">
        <v>853</v>
      </c>
      <c r="U8" s="235" t="s">
        <v>854</v>
      </c>
      <c r="V8" s="236" t="s">
        <v>855</v>
      </c>
      <c r="W8" s="235" t="s">
        <v>856</v>
      </c>
      <c r="X8" s="235" t="s">
        <v>857</v>
      </c>
      <c r="Y8" s="237" t="s">
        <v>915</v>
      </c>
    </row>
    <row r="9" spans="1:16382" s="224" customFormat="1" ht="13.5" customHeight="1">
      <c r="A9" s="225">
        <v>1</v>
      </c>
      <c r="B9" s="217" t="s">
        <v>916</v>
      </c>
      <c r="C9" s="240"/>
      <c r="D9" s="727"/>
      <c r="E9" s="727"/>
      <c r="F9" s="727"/>
      <c r="G9" s="727"/>
      <c r="H9" s="728" t="s">
        <v>950</v>
      </c>
      <c r="I9" s="316" t="s">
        <v>1612</v>
      </c>
      <c r="J9" s="672"/>
      <c r="K9" s="729" t="s">
        <v>919</v>
      </c>
      <c r="L9" s="728" t="s">
        <v>820</v>
      </c>
      <c r="M9" s="730"/>
      <c r="N9" s="263" t="s">
        <v>863</v>
      </c>
      <c r="O9" s="731"/>
      <c r="P9" s="728"/>
      <c r="Q9" s="732"/>
      <c r="R9" s="732" t="s">
        <v>864</v>
      </c>
      <c r="S9" s="232"/>
      <c r="T9" s="733"/>
      <c r="U9" s="728"/>
      <c r="V9" s="734"/>
      <c r="W9" s="728"/>
      <c r="X9" s="731"/>
    </row>
    <row r="10" spans="1:16382" ht="13.5" customHeight="1">
      <c r="A10" s="225">
        <v>2</v>
      </c>
      <c r="B10" s="219" t="s">
        <v>2191</v>
      </c>
      <c r="C10" s="217"/>
      <c r="D10" s="219"/>
      <c r="E10" s="219"/>
      <c r="F10" s="219"/>
      <c r="G10" s="219"/>
      <c r="H10" s="263" t="s">
        <v>2592</v>
      </c>
      <c r="I10" s="264" t="s">
        <v>2593</v>
      </c>
      <c r="J10" s="729"/>
      <c r="K10" s="729" t="s">
        <v>2194</v>
      </c>
      <c r="L10" s="263" t="s">
        <v>820</v>
      </c>
      <c r="M10" s="731"/>
      <c r="N10" s="263" t="s">
        <v>863</v>
      </c>
      <c r="O10" s="263"/>
      <c r="P10" s="260"/>
      <c r="Q10" s="232"/>
      <c r="R10" s="732" t="s">
        <v>864</v>
      </c>
      <c r="S10" s="263"/>
      <c r="T10" s="261"/>
      <c r="U10" s="263"/>
      <c r="V10" s="268"/>
      <c r="W10" s="158"/>
      <c r="X10" s="158"/>
      <c r="Y10" s="158"/>
      <c r="Z10" s="158"/>
      <c r="AA10" s="158"/>
      <c r="AB10" s="158"/>
      <c r="AC10" s="158"/>
      <c r="AD10" s="158"/>
      <c r="AE10" s="158"/>
      <c r="AF10" s="158"/>
      <c r="AG10" s="158"/>
      <c r="AH10" s="158"/>
      <c r="AI10" s="158"/>
      <c r="AJ10" s="158"/>
      <c r="AK10" s="158"/>
      <c r="AL10" s="158"/>
      <c r="AM10" s="158"/>
      <c r="AN10" s="158"/>
      <c r="AO10" s="158"/>
      <c r="AP10" s="158"/>
      <c r="AQ10" s="158"/>
      <c r="AR10" s="158"/>
      <c r="AS10" s="158"/>
      <c r="AT10" s="158"/>
      <c r="AU10" s="158"/>
      <c r="AV10" s="158"/>
      <c r="AW10" s="158"/>
      <c r="AX10" s="158"/>
      <c r="AY10" s="158"/>
      <c r="AZ10" s="158"/>
      <c r="BA10" s="158"/>
      <c r="BB10" s="158"/>
      <c r="BC10" s="158"/>
      <c r="BD10" s="158"/>
      <c r="BE10" s="158"/>
      <c r="BF10" s="158"/>
      <c r="BG10" s="158"/>
      <c r="BH10" s="158"/>
      <c r="BI10" s="158"/>
      <c r="BJ10" s="158"/>
      <c r="BK10" s="158"/>
      <c r="BL10" s="158"/>
      <c r="BM10" s="158"/>
      <c r="BN10" s="158"/>
      <c r="BO10" s="158"/>
      <c r="BP10" s="158"/>
      <c r="BQ10" s="158"/>
      <c r="BR10" s="158"/>
      <c r="BS10" s="158"/>
      <c r="BT10" s="158"/>
      <c r="BU10" s="158"/>
      <c r="BV10" s="158"/>
      <c r="BW10" s="158"/>
      <c r="BX10" s="158"/>
      <c r="BY10" s="158"/>
      <c r="BZ10" s="158"/>
      <c r="CA10" s="158"/>
      <c r="CB10" s="158"/>
      <c r="CC10" s="158"/>
      <c r="CD10" s="158"/>
      <c r="CE10" s="158"/>
      <c r="CF10" s="158"/>
      <c r="CG10" s="158"/>
      <c r="CH10" s="158"/>
      <c r="CI10" s="158"/>
      <c r="CJ10" s="158"/>
      <c r="CK10" s="158"/>
      <c r="CL10" s="158"/>
      <c r="CM10" s="158"/>
      <c r="CN10" s="158"/>
      <c r="CO10" s="158"/>
      <c r="CP10" s="158"/>
      <c r="CQ10" s="158"/>
      <c r="CR10" s="158"/>
      <c r="CS10" s="158"/>
      <c r="CT10" s="158"/>
      <c r="CU10" s="158"/>
      <c r="CV10" s="158"/>
      <c r="CW10" s="158"/>
      <c r="CX10" s="158"/>
      <c r="CY10" s="158"/>
      <c r="CZ10" s="158"/>
      <c r="DA10" s="158"/>
      <c r="DB10" s="158"/>
      <c r="DC10" s="158"/>
      <c r="DD10" s="158"/>
      <c r="DE10" s="158"/>
      <c r="DF10" s="158"/>
      <c r="DG10" s="158"/>
      <c r="DH10" s="158"/>
      <c r="DI10" s="158"/>
      <c r="DJ10" s="158"/>
      <c r="DK10" s="158"/>
      <c r="DL10" s="158"/>
      <c r="DM10" s="158"/>
      <c r="DN10" s="158"/>
      <c r="DO10" s="158"/>
      <c r="DP10" s="158"/>
      <c r="DQ10" s="158"/>
      <c r="DR10" s="158"/>
      <c r="DS10" s="158"/>
      <c r="DT10" s="158"/>
      <c r="DU10" s="158"/>
      <c r="DV10" s="158"/>
      <c r="DW10" s="158"/>
      <c r="DX10" s="158"/>
      <c r="DY10" s="158"/>
      <c r="DZ10" s="158"/>
      <c r="EA10" s="158"/>
      <c r="EB10" s="158"/>
      <c r="EC10" s="158"/>
      <c r="ED10" s="158"/>
      <c r="EE10" s="158"/>
      <c r="EF10" s="158"/>
      <c r="EG10" s="158"/>
      <c r="EH10" s="158"/>
      <c r="EI10" s="158"/>
      <c r="EJ10" s="158"/>
      <c r="EK10" s="158"/>
      <c r="EL10" s="158"/>
      <c r="EM10" s="158"/>
      <c r="EN10" s="158"/>
      <c r="EO10" s="158"/>
      <c r="EP10" s="158"/>
      <c r="EQ10" s="158"/>
      <c r="ER10" s="158"/>
      <c r="ES10" s="158"/>
      <c r="ET10" s="158"/>
      <c r="EU10" s="158"/>
      <c r="EV10" s="158"/>
      <c r="EW10" s="158"/>
      <c r="EX10" s="158"/>
      <c r="EY10" s="158"/>
      <c r="EZ10" s="158"/>
      <c r="FA10" s="158"/>
      <c r="FB10" s="158"/>
      <c r="FC10" s="158"/>
      <c r="FD10" s="158"/>
      <c r="FE10" s="158"/>
      <c r="FF10" s="158"/>
      <c r="FG10" s="158"/>
      <c r="FH10" s="158"/>
      <c r="FI10" s="158"/>
      <c r="FJ10" s="158"/>
      <c r="FK10" s="158"/>
      <c r="FL10" s="158"/>
      <c r="FM10" s="158"/>
      <c r="FN10" s="158"/>
      <c r="FO10" s="158"/>
      <c r="FP10" s="158"/>
      <c r="FQ10" s="158"/>
      <c r="FR10" s="158"/>
      <c r="FS10" s="158"/>
      <c r="FT10" s="158"/>
      <c r="FU10" s="158"/>
      <c r="FV10" s="158"/>
      <c r="FW10" s="158"/>
      <c r="FX10" s="158"/>
      <c r="FY10" s="158"/>
      <c r="FZ10" s="158"/>
      <c r="GA10" s="158"/>
      <c r="GB10" s="158"/>
      <c r="GC10" s="158"/>
      <c r="GD10" s="158"/>
      <c r="GE10" s="158"/>
      <c r="GF10" s="158"/>
      <c r="GG10" s="158"/>
      <c r="GH10" s="158"/>
      <c r="GI10" s="158"/>
      <c r="GJ10" s="158"/>
      <c r="GK10" s="158"/>
      <c r="GL10" s="158"/>
      <c r="GM10" s="158"/>
      <c r="GN10" s="158"/>
      <c r="GO10" s="158"/>
      <c r="GP10" s="158"/>
      <c r="GQ10" s="158"/>
      <c r="GR10" s="158"/>
      <c r="GS10" s="158"/>
      <c r="GT10" s="158"/>
      <c r="GU10" s="158"/>
      <c r="GV10" s="158"/>
      <c r="GW10" s="158"/>
      <c r="GX10" s="158"/>
      <c r="GY10" s="158"/>
      <c r="GZ10" s="158"/>
      <c r="HA10" s="158"/>
      <c r="HB10" s="158"/>
      <c r="HC10" s="158"/>
      <c r="HD10" s="158"/>
      <c r="HE10" s="158"/>
      <c r="HF10" s="158"/>
      <c r="HG10" s="158"/>
      <c r="HH10" s="158"/>
      <c r="HI10" s="158"/>
      <c r="HJ10" s="158"/>
      <c r="HK10" s="158"/>
      <c r="HL10" s="158"/>
      <c r="HM10" s="158"/>
      <c r="HN10" s="158"/>
      <c r="HO10" s="158"/>
      <c r="HP10" s="158"/>
      <c r="HQ10" s="158"/>
      <c r="HR10" s="158"/>
      <c r="HS10" s="158"/>
      <c r="HT10" s="158"/>
      <c r="HU10" s="158"/>
      <c r="HV10" s="158"/>
      <c r="HW10" s="158"/>
      <c r="HX10" s="158"/>
      <c r="HY10" s="158"/>
      <c r="HZ10" s="158"/>
      <c r="IA10" s="158"/>
      <c r="IB10" s="158"/>
      <c r="IC10" s="158"/>
      <c r="ID10" s="158"/>
      <c r="IE10" s="158"/>
      <c r="IF10" s="158"/>
      <c r="IG10" s="158"/>
      <c r="IH10" s="158"/>
      <c r="II10" s="158"/>
      <c r="IJ10" s="158"/>
      <c r="IK10" s="158"/>
      <c r="IL10" s="158"/>
      <c r="IM10" s="158"/>
      <c r="IN10" s="158"/>
      <c r="IO10" s="158"/>
      <c r="IP10" s="158"/>
      <c r="IQ10" s="158"/>
      <c r="IR10" s="158"/>
      <c r="IS10" s="158"/>
      <c r="IT10" s="158"/>
      <c r="IU10" s="158"/>
      <c r="IV10" s="158"/>
      <c r="IW10" s="158"/>
      <c r="IX10" s="158"/>
      <c r="IY10" s="158"/>
      <c r="IZ10" s="158"/>
      <c r="JA10" s="158"/>
      <c r="JB10" s="158"/>
      <c r="JC10" s="158"/>
      <c r="JD10" s="158"/>
      <c r="JE10" s="158"/>
      <c r="JF10" s="158"/>
      <c r="JG10" s="158"/>
      <c r="JH10" s="158"/>
      <c r="JI10" s="158"/>
      <c r="JJ10" s="158"/>
      <c r="JK10" s="158"/>
      <c r="JL10" s="158"/>
      <c r="JM10" s="158"/>
      <c r="JN10" s="158"/>
      <c r="JO10" s="158"/>
      <c r="JP10" s="158"/>
      <c r="JQ10" s="158"/>
      <c r="JR10" s="158"/>
      <c r="JS10" s="158"/>
      <c r="JT10" s="158"/>
      <c r="JU10" s="158"/>
      <c r="JV10" s="158"/>
      <c r="JW10" s="158"/>
      <c r="JX10" s="158"/>
      <c r="JY10" s="158"/>
      <c r="JZ10" s="158"/>
      <c r="KA10" s="158"/>
      <c r="KB10" s="158"/>
      <c r="KC10" s="158"/>
      <c r="KD10" s="158"/>
      <c r="KE10" s="158"/>
      <c r="KF10" s="158"/>
      <c r="KG10" s="158"/>
      <c r="KH10" s="158"/>
      <c r="KI10" s="158"/>
      <c r="KJ10" s="158"/>
      <c r="KK10" s="158"/>
      <c r="KL10" s="158"/>
      <c r="KM10" s="158"/>
      <c r="KN10" s="158"/>
      <c r="KO10" s="158"/>
      <c r="KP10" s="158"/>
      <c r="KQ10" s="158"/>
      <c r="KR10" s="158"/>
      <c r="KS10" s="158"/>
      <c r="KT10" s="158"/>
      <c r="KU10" s="158"/>
      <c r="KV10" s="158"/>
      <c r="KW10" s="158"/>
      <c r="KX10" s="158"/>
      <c r="KY10" s="158"/>
      <c r="KZ10" s="158"/>
      <c r="LA10" s="158"/>
      <c r="LB10" s="158"/>
      <c r="LC10" s="158"/>
      <c r="LD10" s="158"/>
      <c r="LE10" s="158"/>
      <c r="LF10" s="158"/>
      <c r="LG10" s="158"/>
      <c r="LH10" s="158"/>
      <c r="LI10" s="158"/>
      <c r="LJ10" s="158"/>
      <c r="LK10" s="158"/>
      <c r="LL10" s="158"/>
      <c r="LM10" s="158"/>
      <c r="LN10" s="158"/>
      <c r="LO10" s="158"/>
      <c r="LP10" s="158"/>
      <c r="LQ10" s="158"/>
      <c r="LR10" s="158"/>
      <c r="LS10" s="158"/>
      <c r="LT10" s="158"/>
      <c r="LU10" s="158"/>
      <c r="LV10" s="158"/>
      <c r="LW10" s="158"/>
      <c r="LX10" s="158"/>
      <c r="LY10" s="158"/>
      <c r="LZ10" s="158"/>
      <c r="MA10" s="158"/>
      <c r="MB10" s="158"/>
      <c r="MC10" s="158"/>
      <c r="MD10" s="158"/>
      <c r="ME10" s="158"/>
      <c r="MF10" s="158"/>
      <c r="MG10" s="158"/>
      <c r="MH10" s="158"/>
      <c r="MI10" s="158"/>
      <c r="MJ10" s="158"/>
      <c r="MK10" s="158"/>
      <c r="ML10" s="158"/>
      <c r="MM10" s="158"/>
      <c r="MN10" s="158"/>
      <c r="MO10" s="158"/>
      <c r="MP10" s="158"/>
      <c r="MQ10" s="158"/>
      <c r="MR10" s="158"/>
      <c r="MS10" s="158"/>
      <c r="MT10" s="158"/>
      <c r="MU10" s="158"/>
      <c r="MV10" s="158"/>
      <c r="MW10" s="158"/>
      <c r="MX10" s="158"/>
      <c r="MY10" s="158"/>
      <c r="MZ10" s="158"/>
      <c r="NA10" s="158"/>
      <c r="NB10" s="158"/>
      <c r="NC10" s="158"/>
      <c r="ND10" s="158"/>
      <c r="NE10" s="158"/>
      <c r="NF10" s="158"/>
      <c r="NG10" s="158"/>
      <c r="NH10" s="158"/>
      <c r="NI10" s="158"/>
      <c r="NJ10" s="158"/>
      <c r="NK10" s="158"/>
      <c r="NL10" s="158"/>
      <c r="NM10" s="158"/>
      <c r="NN10" s="158"/>
      <c r="NO10" s="158"/>
      <c r="NP10" s="158"/>
      <c r="NQ10" s="158"/>
      <c r="NR10" s="158"/>
      <c r="NS10" s="158"/>
      <c r="NT10" s="158"/>
      <c r="NU10" s="158"/>
      <c r="NV10" s="158"/>
      <c r="NW10" s="158"/>
      <c r="NX10" s="158"/>
      <c r="NY10" s="158"/>
      <c r="NZ10" s="158"/>
      <c r="OA10" s="158"/>
      <c r="OB10" s="158"/>
      <c r="OC10" s="158"/>
      <c r="OD10" s="158"/>
      <c r="OE10" s="158"/>
      <c r="OF10" s="158"/>
      <c r="OG10" s="158"/>
      <c r="OH10" s="158"/>
      <c r="OI10" s="158"/>
      <c r="OJ10" s="158"/>
      <c r="OK10" s="158"/>
      <c r="OL10" s="158"/>
      <c r="OM10" s="158"/>
      <c r="ON10" s="158"/>
      <c r="OO10" s="158"/>
      <c r="OP10" s="158"/>
      <c r="OQ10" s="158"/>
      <c r="OR10" s="158"/>
      <c r="OS10" s="158"/>
      <c r="OT10" s="158"/>
      <c r="OU10" s="158"/>
      <c r="OV10" s="158"/>
      <c r="OW10" s="158"/>
      <c r="OX10" s="158"/>
      <c r="OY10" s="158"/>
      <c r="OZ10" s="158"/>
      <c r="PA10" s="158"/>
      <c r="PB10" s="158"/>
      <c r="PC10" s="158"/>
      <c r="PD10" s="158"/>
      <c r="PE10" s="158"/>
      <c r="PF10" s="158"/>
      <c r="PG10" s="158"/>
      <c r="PH10" s="158"/>
      <c r="PI10" s="158"/>
      <c r="PJ10" s="158"/>
      <c r="PK10" s="158"/>
      <c r="PL10" s="158"/>
      <c r="PM10" s="158"/>
      <c r="PN10" s="158"/>
      <c r="PO10" s="158"/>
      <c r="PP10" s="158"/>
      <c r="PQ10" s="158"/>
      <c r="PR10" s="158"/>
      <c r="PS10" s="158"/>
      <c r="PT10" s="158"/>
      <c r="PU10" s="158"/>
      <c r="PV10" s="158"/>
      <c r="PW10" s="158"/>
      <c r="PX10" s="158"/>
      <c r="PY10" s="158"/>
      <c r="PZ10" s="158"/>
      <c r="QA10" s="158"/>
      <c r="QB10" s="158"/>
      <c r="QC10" s="158"/>
      <c r="QD10" s="158"/>
      <c r="QE10" s="158"/>
      <c r="QF10" s="158"/>
      <c r="QG10" s="158"/>
      <c r="QH10" s="158"/>
      <c r="QI10" s="158"/>
      <c r="QJ10" s="158"/>
      <c r="QK10" s="158"/>
      <c r="QL10" s="158"/>
      <c r="QM10" s="158"/>
      <c r="QN10" s="158"/>
      <c r="QO10" s="158"/>
      <c r="QP10" s="158"/>
      <c r="QQ10" s="158"/>
      <c r="QR10" s="158"/>
      <c r="QS10" s="158"/>
      <c r="QT10" s="158"/>
      <c r="QU10" s="158"/>
      <c r="QV10" s="158"/>
      <c r="QW10" s="158"/>
      <c r="QX10" s="158"/>
      <c r="QY10" s="158"/>
      <c r="QZ10" s="158"/>
      <c r="RA10" s="158"/>
      <c r="RB10" s="158"/>
      <c r="RC10" s="158"/>
      <c r="RD10" s="158"/>
      <c r="RE10" s="158"/>
      <c r="RF10" s="158"/>
      <c r="RG10" s="158"/>
      <c r="RH10" s="158"/>
      <c r="RI10" s="158"/>
      <c r="RJ10" s="158"/>
      <c r="RK10" s="158"/>
      <c r="RL10" s="158"/>
      <c r="RM10" s="158"/>
      <c r="RN10" s="158"/>
      <c r="RO10" s="158"/>
      <c r="RP10" s="158"/>
      <c r="RQ10" s="158"/>
      <c r="RR10" s="158"/>
      <c r="RS10" s="158"/>
      <c r="RT10" s="158"/>
      <c r="RU10" s="158"/>
      <c r="RV10" s="158"/>
      <c r="RW10" s="158"/>
      <c r="RX10" s="158"/>
      <c r="RY10" s="158"/>
      <c r="RZ10" s="158"/>
      <c r="SA10" s="158"/>
      <c r="SB10" s="158"/>
      <c r="SC10" s="158"/>
      <c r="SD10" s="158"/>
      <c r="SE10" s="158"/>
      <c r="SF10" s="158"/>
      <c r="SG10" s="158"/>
      <c r="SH10" s="158"/>
      <c r="SI10" s="158"/>
      <c r="SJ10" s="158"/>
      <c r="SK10" s="158"/>
      <c r="SL10" s="158"/>
      <c r="SM10" s="158"/>
      <c r="SN10" s="158"/>
      <c r="SO10" s="158"/>
      <c r="SP10" s="158"/>
      <c r="SQ10" s="158"/>
      <c r="SR10" s="158"/>
      <c r="SS10" s="158"/>
      <c r="ST10" s="158"/>
      <c r="SU10" s="158"/>
      <c r="SV10" s="158"/>
      <c r="SW10" s="158"/>
      <c r="SX10" s="158"/>
      <c r="SY10" s="158"/>
      <c r="SZ10" s="158"/>
      <c r="TA10" s="158"/>
      <c r="TB10" s="158"/>
      <c r="TC10" s="158"/>
      <c r="TD10" s="158"/>
      <c r="TE10" s="158"/>
      <c r="TF10" s="158"/>
      <c r="TG10" s="158"/>
      <c r="TH10" s="158"/>
      <c r="TI10" s="158"/>
      <c r="TJ10" s="158"/>
      <c r="TK10" s="158"/>
      <c r="TL10" s="158"/>
      <c r="TM10" s="158"/>
      <c r="TN10" s="158"/>
      <c r="TO10" s="158"/>
      <c r="TP10" s="158"/>
      <c r="TQ10" s="158"/>
      <c r="TR10" s="158"/>
      <c r="TS10" s="158"/>
      <c r="TT10" s="158"/>
      <c r="TU10" s="158"/>
      <c r="TV10" s="158"/>
      <c r="TW10" s="158"/>
      <c r="TX10" s="158"/>
      <c r="TY10" s="158"/>
      <c r="TZ10" s="158"/>
      <c r="UA10" s="158"/>
      <c r="UB10" s="158"/>
      <c r="UC10" s="158"/>
      <c r="UD10" s="158"/>
      <c r="UE10" s="158"/>
      <c r="UF10" s="158"/>
      <c r="UG10" s="158"/>
      <c r="UH10" s="158"/>
      <c r="UI10" s="158"/>
      <c r="UJ10" s="158"/>
      <c r="UK10" s="158"/>
      <c r="UL10" s="158"/>
      <c r="UM10" s="158"/>
      <c r="UN10" s="158"/>
      <c r="UO10" s="158"/>
      <c r="UP10" s="158"/>
      <c r="UQ10" s="158"/>
      <c r="UR10" s="158"/>
      <c r="US10" s="158"/>
      <c r="UT10" s="158"/>
      <c r="UU10" s="158"/>
      <c r="UV10" s="158"/>
      <c r="UW10" s="158"/>
      <c r="UX10" s="158"/>
      <c r="UY10" s="158"/>
      <c r="UZ10" s="158"/>
      <c r="VA10" s="158"/>
      <c r="VB10" s="158"/>
      <c r="VC10" s="158"/>
      <c r="VD10" s="158"/>
      <c r="VE10" s="158"/>
      <c r="VF10" s="158"/>
      <c r="VG10" s="158"/>
      <c r="VH10" s="158"/>
      <c r="VI10" s="158"/>
      <c r="VJ10" s="158"/>
      <c r="VK10" s="158"/>
      <c r="VL10" s="158"/>
      <c r="VM10" s="158"/>
      <c r="VN10" s="158"/>
      <c r="VO10" s="158"/>
      <c r="VP10" s="158"/>
      <c r="VQ10" s="158"/>
      <c r="VR10" s="158"/>
      <c r="VS10" s="158"/>
      <c r="VT10" s="158"/>
      <c r="VU10" s="158"/>
      <c r="VV10" s="158"/>
      <c r="VW10" s="158"/>
      <c r="VX10" s="158"/>
      <c r="VY10" s="158"/>
      <c r="VZ10" s="158"/>
      <c r="WA10" s="158"/>
      <c r="WB10" s="158"/>
      <c r="WC10" s="158"/>
      <c r="WD10" s="158"/>
      <c r="WE10" s="158"/>
      <c r="WF10" s="158"/>
      <c r="WG10" s="158"/>
      <c r="WH10" s="158"/>
      <c r="WI10" s="158"/>
      <c r="WJ10" s="158"/>
      <c r="WK10" s="158"/>
      <c r="WL10" s="158"/>
      <c r="WM10" s="158"/>
      <c r="WN10" s="158"/>
      <c r="WO10" s="158"/>
      <c r="WP10" s="158"/>
      <c r="WQ10" s="158"/>
      <c r="WR10" s="158"/>
      <c r="WS10" s="158"/>
      <c r="WT10" s="158"/>
      <c r="WU10" s="158"/>
      <c r="WV10" s="158"/>
      <c r="WW10" s="158"/>
      <c r="WX10" s="158"/>
      <c r="WY10" s="158"/>
      <c r="WZ10" s="158"/>
      <c r="XA10" s="158"/>
      <c r="XB10" s="158"/>
      <c r="XC10" s="158"/>
      <c r="XD10" s="158"/>
      <c r="XE10" s="158"/>
      <c r="XF10" s="158"/>
      <c r="XG10" s="158"/>
      <c r="XH10" s="158"/>
      <c r="XI10" s="158"/>
      <c r="XJ10" s="158"/>
      <c r="XK10" s="158"/>
      <c r="XL10" s="158"/>
      <c r="XM10" s="158"/>
      <c r="XN10" s="158"/>
      <c r="XO10" s="158"/>
      <c r="XP10" s="158"/>
      <c r="XQ10" s="158"/>
      <c r="XR10" s="158"/>
      <c r="XS10" s="158"/>
      <c r="XT10" s="158"/>
      <c r="XU10" s="158"/>
      <c r="XV10" s="158"/>
      <c r="XW10" s="158"/>
      <c r="XX10" s="158"/>
      <c r="XY10" s="158"/>
      <c r="XZ10" s="158"/>
      <c r="YA10" s="158"/>
      <c r="YB10" s="158"/>
      <c r="YC10" s="158"/>
      <c r="YD10" s="158"/>
      <c r="YE10" s="158"/>
      <c r="YF10" s="158"/>
      <c r="YG10" s="158"/>
      <c r="YH10" s="158"/>
      <c r="YI10" s="158"/>
      <c r="YJ10" s="158"/>
      <c r="YK10" s="158"/>
      <c r="YL10" s="158"/>
      <c r="YM10" s="158"/>
      <c r="YN10" s="158"/>
      <c r="YO10" s="158"/>
      <c r="YP10" s="158"/>
      <c r="YQ10" s="158"/>
      <c r="YR10" s="158"/>
      <c r="YS10" s="158"/>
      <c r="YT10" s="158"/>
      <c r="YU10" s="158"/>
      <c r="YV10" s="158"/>
      <c r="YW10" s="158"/>
      <c r="YX10" s="158"/>
      <c r="YY10" s="158"/>
      <c r="YZ10" s="158"/>
      <c r="ZA10" s="158"/>
      <c r="ZB10" s="158"/>
      <c r="ZC10" s="158"/>
      <c r="ZD10" s="158"/>
      <c r="ZE10" s="158"/>
      <c r="ZF10" s="158"/>
      <c r="ZG10" s="158"/>
      <c r="ZH10" s="158"/>
      <c r="ZI10" s="158"/>
      <c r="ZJ10" s="158"/>
      <c r="ZK10" s="158"/>
      <c r="ZL10" s="158"/>
      <c r="ZM10" s="158"/>
      <c r="ZN10" s="158"/>
      <c r="ZO10" s="158"/>
      <c r="ZP10" s="158"/>
      <c r="ZQ10" s="158"/>
      <c r="ZR10" s="158"/>
      <c r="ZS10" s="158"/>
      <c r="ZT10" s="158"/>
      <c r="ZU10" s="158"/>
      <c r="ZV10" s="158"/>
      <c r="ZW10" s="158"/>
      <c r="ZX10" s="158"/>
      <c r="ZY10" s="158"/>
      <c r="ZZ10" s="158"/>
      <c r="AAA10" s="158"/>
      <c r="AAB10" s="158"/>
      <c r="AAC10" s="158"/>
      <c r="AAD10" s="158"/>
      <c r="AAE10" s="158"/>
      <c r="AAF10" s="158"/>
      <c r="AAG10" s="158"/>
      <c r="AAH10" s="158"/>
      <c r="AAI10" s="158"/>
      <c r="AAJ10" s="158"/>
      <c r="AAK10" s="158"/>
      <c r="AAL10" s="158"/>
      <c r="AAM10" s="158"/>
      <c r="AAN10" s="158"/>
      <c r="AAO10" s="158"/>
      <c r="AAP10" s="158"/>
      <c r="AAQ10" s="158"/>
      <c r="AAR10" s="158"/>
      <c r="AAS10" s="158"/>
      <c r="AAT10" s="158"/>
      <c r="AAU10" s="158"/>
      <c r="AAV10" s="158"/>
      <c r="AAW10" s="158"/>
      <c r="AAX10" s="158"/>
      <c r="AAY10" s="158"/>
      <c r="AAZ10" s="158"/>
      <c r="ABA10" s="158"/>
      <c r="ABB10" s="158"/>
      <c r="ABC10" s="158"/>
      <c r="ABD10" s="158"/>
      <c r="ABE10" s="158"/>
      <c r="ABF10" s="158"/>
      <c r="ABG10" s="158"/>
      <c r="ABH10" s="158"/>
      <c r="ABI10" s="158"/>
      <c r="ABJ10" s="158"/>
      <c r="ABK10" s="158"/>
      <c r="ABL10" s="158"/>
      <c r="ABM10" s="158"/>
      <c r="ABN10" s="158"/>
      <c r="ABO10" s="158"/>
      <c r="ABP10" s="158"/>
      <c r="ABQ10" s="158"/>
      <c r="ABR10" s="158"/>
      <c r="ABS10" s="158"/>
      <c r="ABT10" s="158"/>
      <c r="ABU10" s="158"/>
      <c r="ABV10" s="158"/>
      <c r="ABW10" s="158"/>
      <c r="ABX10" s="158"/>
      <c r="ABY10" s="158"/>
      <c r="ABZ10" s="158"/>
      <c r="ACA10" s="158"/>
      <c r="ACB10" s="158"/>
      <c r="ACC10" s="158"/>
      <c r="ACD10" s="158"/>
      <c r="ACE10" s="158"/>
      <c r="ACF10" s="158"/>
      <c r="ACG10" s="158"/>
      <c r="ACH10" s="158"/>
      <c r="ACI10" s="158"/>
      <c r="ACJ10" s="158"/>
      <c r="ACK10" s="158"/>
      <c r="ACL10" s="158"/>
      <c r="ACM10" s="158"/>
      <c r="ACN10" s="158"/>
      <c r="ACO10" s="158"/>
      <c r="ACP10" s="158"/>
      <c r="ACQ10" s="158"/>
      <c r="ACR10" s="158"/>
      <c r="ACS10" s="158"/>
      <c r="ACT10" s="158"/>
      <c r="ACU10" s="158"/>
      <c r="ACV10" s="158"/>
      <c r="ACW10" s="158"/>
      <c r="ACX10" s="158"/>
      <c r="ACY10" s="158"/>
      <c r="ACZ10" s="158"/>
      <c r="ADA10" s="158"/>
      <c r="ADB10" s="158"/>
      <c r="ADC10" s="158"/>
      <c r="ADD10" s="158"/>
      <c r="ADE10" s="158"/>
      <c r="ADF10" s="158"/>
      <c r="ADG10" s="158"/>
      <c r="ADH10" s="158"/>
      <c r="ADI10" s="158"/>
      <c r="ADJ10" s="158"/>
      <c r="ADK10" s="158"/>
      <c r="ADL10" s="158"/>
      <c r="ADM10" s="158"/>
      <c r="ADN10" s="158"/>
      <c r="ADO10" s="158"/>
      <c r="ADP10" s="158"/>
      <c r="ADQ10" s="158"/>
      <c r="ADR10" s="158"/>
      <c r="ADS10" s="158"/>
      <c r="ADT10" s="158"/>
      <c r="ADU10" s="158"/>
      <c r="ADV10" s="158"/>
      <c r="ADW10" s="158"/>
      <c r="ADX10" s="158"/>
      <c r="ADY10" s="158"/>
      <c r="ADZ10" s="158"/>
      <c r="AEA10" s="158"/>
      <c r="AEB10" s="158"/>
      <c r="AEC10" s="158"/>
      <c r="AED10" s="158"/>
      <c r="AEE10" s="158"/>
      <c r="AEF10" s="158"/>
      <c r="AEG10" s="158"/>
      <c r="AEH10" s="158"/>
      <c r="AEI10" s="158"/>
      <c r="AEJ10" s="158"/>
      <c r="AEK10" s="158"/>
      <c r="AEL10" s="158"/>
      <c r="AEM10" s="158"/>
      <c r="AEN10" s="158"/>
      <c r="AEO10" s="158"/>
      <c r="AEP10" s="158"/>
      <c r="AEQ10" s="158"/>
      <c r="AER10" s="158"/>
      <c r="AES10" s="158"/>
      <c r="AET10" s="158"/>
      <c r="AEU10" s="158"/>
      <c r="AEV10" s="158"/>
      <c r="AEW10" s="158"/>
      <c r="AEX10" s="158"/>
      <c r="AEY10" s="158"/>
      <c r="AEZ10" s="158"/>
      <c r="AFA10" s="158"/>
      <c r="AFB10" s="158"/>
      <c r="AFC10" s="158"/>
      <c r="AFD10" s="158"/>
      <c r="AFE10" s="158"/>
      <c r="AFF10" s="158"/>
      <c r="AFG10" s="158"/>
      <c r="AFH10" s="158"/>
      <c r="AFI10" s="158"/>
      <c r="AFJ10" s="158"/>
      <c r="AFK10" s="158"/>
      <c r="AFL10" s="158"/>
      <c r="AFM10" s="158"/>
      <c r="AFN10" s="158"/>
      <c r="AFO10" s="158"/>
      <c r="AFP10" s="158"/>
      <c r="AFQ10" s="158"/>
      <c r="AFR10" s="158"/>
      <c r="AFS10" s="158"/>
      <c r="AFT10" s="158"/>
      <c r="AFU10" s="158"/>
      <c r="AFV10" s="158"/>
      <c r="AFW10" s="158"/>
      <c r="AFX10" s="158"/>
      <c r="AFY10" s="158"/>
      <c r="AFZ10" s="158"/>
      <c r="AGA10" s="158"/>
      <c r="AGB10" s="158"/>
      <c r="AGC10" s="158"/>
      <c r="AGD10" s="158"/>
      <c r="AGE10" s="158"/>
      <c r="AGF10" s="158"/>
      <c r="AGG10" s="158"/>
      <c r="AGH10" s="158"/>
      <c r="AGI10" s="158"/>
      <c r="AGJ10" s="158"/>
      <c r="AGK10" s="158"/>
      <c r="AGL10" s="158"/>
      <c r="AGM10" s="158"/>
      <c r="AGN10" s="158"/>
      <c r="AGO10" s="158"/>
      <c r="AGP10" s="158"/>
      <c r="AGQ10" s="158"/>
      <c r="AGR10" s="158"/>
      <c r="AGS10" s="158"/>
      <c r="AGT10" s="158"/>
      <c r="AGU10" s="158"/>
      <c r="AGV10" s="158"/>
      <c r="AGW10" s="158"/>
      <c r="AGX10" s="158"/>
      <c r="AGY10" s="158"/>
      <c r="AGZ10" s="158"/>
      <c r="AHA10" s="158"/>
      <c r="AHB10" s="158"/>
      <c r="AHC10" s="158"/>
      <c r="AHD10" s="158"/>
      <c r="AHE10" s="158"/>
      <c r="AHF10" s="158"/>
      <c r="AHG10" s="158"/>
      <c r="AHH10" s="158"/>
      <c r="AHI10" s="158"/>
      <c r="AHJ10" s="158"/>
      <c r="AHK10" s="158"/>
      <c r="AHL10" s="158"/>
      <c r="AHM10" s="158"/>
      <c r="AHN10" s="158"/>
      <c r="AHO10" s="158"/>
      <c r="AHP10" s="158"/>
      <c r="AHQ10" s="158"/>
      <c r="AHR10" s="158"/>
      <c r="AHS10" s="158"/>
      <c r="AHT10" s="158"/>
      <c r="AHU10" s="158"/>
      <c r="AHV10" s="158"/>
      <c r="AHW10" s="158"/>
      <c r="AHX10" s="158"/>
      <c r="AHY10" s="158"/>
      <c r="AHZ10" s="158"/>
      <c r="AIA10" s="158"/>
      <c r="AIB10" s="158"/>
      <c r="AIC10" s="158"/>
      <c r="AID10" s="158"/>
      <c r="AIE10" s="158"/>
      <c r="AIF10" s="158"/>
      <c r="AIG10" s="158"/>
      <c r="AIH10" s="158"/>
      <c r="AII10" s="158"/>
      <c r="AIJ10" s="158"/>
      <c r="AIK10" s="158"/>
      <c r="AIL10" s="158"/>
      <c r="AIM10" s="158"/>
      <c r="AIN10" s="158"/>
      <c r="AIO10" s="158"/>
      <c r="AIP10" s="158"/>
      <c r="AIQ10" s="158"/>
      <c r="AIR10" s="158"/>
      <c r="AIS10" s="158"/>
      <c r="AIT10" s="158"/>
      <c r="AIU10" s="158"/>
      <c r="AIV10" s="158"/>
      <c r="AIW10" s="158"/>
      <c r="AIX10" s="158"/>
      <c r="AIY10" s="158"/>
      <c r="AIZ10" s="158"/>
      <c r="AJA10" s="158"/>
      <c r="AJB10" s="158"/>
      <c r="AJC10" s="158"/>
      <c r="AJD10" s="158"/>
      <c r="AJE10" s="158"/>
      <c r="AJF10" s="158"/>
      <c r="AJG10" s="158"/>
      <c r="AJH10" s="158"/>
      <c r="AJI10" s="158"/>
      <c r="AJJ10" s="158"/>
      <c r="AJK10" s="158"/>
      <c r="AJL10" s="158"/>
      <c r="AJM10" s="158"/>
      <c r="AJN10" s="158"/>
      <c r="AJO10" s="158"/>
      <c r="AJP10" s="158"/>
      <c r="AJQ10" s="158"/>
      <c r="AJR10" s="158"/>
      <c r="AJS10" s="158"/>
      <c r="AJT10" s="158"/>
      <c r="AJU10" s="158"/>
      <c r="AJV10" s="158"/>
      <c r="AJW10" s="158"/>
      <c r="AJX10" s="158"/>
      <c r="AJY10" s="158"/>
      <c r="AJZ10" s="158"/>
      <c r="AKA10" s="158"/>
      <c r="AKB10" s="158"/>
      <c r="AKC10" s="158"/>
      <c r="AKD10" s="158"/>
      <c r="AKE10" s="158"/>
      <c r="AKF10" s="158"/>
      <c r="AKG10" s="158"/>
      <c r="AKH10" s="158"/>
      <c r="AKI10" s="158"/>
      <c r="AKJ10" s="158"/>
      <c r="AKK10" s="158"/>
      <c r="AKL10" s="158"/>
      <c r="AKM10" s="158"/>
      <c r="AKN10" s="158"/>
      <c r="AKO10" s="158"/>
      <c r="AKP10" s="158"/>
      <c r="AKQ10" s="158"/>
      <c r="AKR10" s="158"/>
      <c r="AKS10" s="158"/>
      <c r="AKT10" s="158"/>
      <c r="AKU10" s="158"/>
      <c r="AKV10" s="158"/>
      <c r="AKW10" s="158"/>
      <c r="AKX10" s="158"/>
      <c r="AKY10" s="158"/>
      <c r="AKZ10" s="158"/>
      <c r="ALA10" s="158"/>
      <c r="ALB10" s="158"/>
      <c r="ALC10" s="158"/>
      <c r="ALD10" s="158"/>
      <c r="ALE10" s="158"/>
      <c r="ALF10" s="158"/>
      <c r="ALG10" s="158"/>
      <c r="ALH10" s="158"/>
      <c r="ALI10" s="158"/>
      <c r="ALJ10" s="158"/>
      <c r="ALK10" s="158"/>
      <c r="ALL10" s="158"/>
      <c r="ALM10" s="158"/>
      <c r="ALN10" s="158"/>
      <c r="ALO10" s="158"/>
      <c r="ALP10" s="158"/>
      <c r="ALQ10" s="158"/>
      <c r="ALR10" s="158"/>
      <c r="ALS10" s="158"/>
      <c r="ALT10" s="158"/>
      <c r="ALU10" s="158"/>
      <c r="ALV10" s="158"/>
      <c r="ALW10" s="158"/>
      <c r="ALX10" s="158"/>
      <c r="ALY10" s="158"/>
      <c r="ALZ10" s="158"/>
      <c r="AMA10" s="158"/>
      <c r="AMB10" s="158"/>
      <c r="AMC10" s="158"/>
      <c r="AMD10" s="158"/>
      <c r="AME10" s="158"/>
      <c r="AMF10" s="158"/>
      <c r="AMG10" s="158"/>
      <c r="AMH10" s="158"/>
      <c r="AMI10" s="158"/>
      <c r="AMJ10" s="158"/>
      <c r="AMK10" s="158"/>
      <c r="AML10" s="158"/>
      <c r="AMM10" s="158"/>
      <c r="AMN10" s="158"/>
      <c r="AMO10" s="158"/>
      <c r="AMP10" s="158"/>
      <c r="AMQ10" s="158"/>
      <c r="AMR10" s="158"/>
      <c r="AMS10" s="158"/>
      <c r="AMT10" s="158"/>
      <c r="AMU10" s="158"/>
      <c r="AMV10" s="158"/>
      <c r="AMW10" s="158"/>
      <c r="AMX10" s="158"/>
      <c r="AMY10" s="158"/>
      <c r="AMZ10" s="158"/>
      <c r="ANA10" s="158"/>
      <c r="ANB10" s="158"/>
      <c r="ANC10" s="158"/>
      <c r="AND10" s="158"/>
      <c r="ANE10" s="158"/>
      <c r="ANF10" s="158"/>
      <c r="ANG10" s="158"/>
      <c r="ANH10" s="158"/>
      <c r="ANI10" s="158"/>
      <c r="ANJ10" s="158"/>
      <c r="ANK10" s="158"/>
      <c r="ANL10" s="158"/>
      <c r="ANM10" s="158"/>
      <c r="ANN10" s="158"/>
      <c r="ANO10" s="158"/>
      <c r="ANP10" s="158"/>
      <c r="ANQ10" s="158"/>
      <c r="ANR10" s="158"/>
      <c r="ANS10" s="158"/>
      <c r="ANT10" s="158"/>
      <c r="ANU10" s="158"/>
      <c r="ANV10" s="158"/>
      <c r="ANW10" s="158"/>
      <c r="ANX10" s="158"/>
      <c r="ANY10" s="158"/>
      <c r="ANZ10" s="158"/>
      <c r="AOA10" s="158"/>
      <c r="AOB10" s="158"/>
      <c r="AOC10" s="158"/>
      <c r="AOD10" s="158"/>
      <c r="AOE10" s="158"/>
      <c r="AOF10" s="158"/>
      <c r="AOG10" s="158"/>
      <c r="AOH10" s="158"/>
      <c r="AOI10" s="158"/>
      <c r="AOJ10" s="158"/>
      <c r="AOK10" s="158"/>
      <c r="AOL10" s="158"/>
      <c r="AOM10" s="158"/>
      <c r="AON10" s="158"/>
      <c r="AOO10" s="158"/>
      <c r="AOP10" s="158"/>
      <c r="AOQ10" s="158"/>
      <c r="AOR10" s="158"/>
      <c r="AOS10" s="158"/>
      <c r="AOT10" s="158"/>
      <c r="AOU10" s="158"/>
      <c r="AOV10" s="158"/>
      <c r="AOW10" s="158"/>
      <c r="AOX10" s="158"/>
      <c r="AOY10" s="158"/>
      <c r="AOZ10" s="158"/>
      <c r="APA10" s="158"/>
      <c r="APB10" s="158"/>
      <c r="APC10" s="158"/>
      <c r="APD10" s="158"/>
      <c r="APE10" s="158"/>
      <c r="APF10" s="158"/>
      <c r="APG10" s="158"/>
      <c r="APH10" s="158"/>
      <c r="API10" s="158"/>
      <c r="APJ10" s="158"/>
      <c r="APK10" s="158"/>
      <c r="APL10" s="158"/>
      <c r="APM10" s="158"/>
      <c r="APN10" s="158"/>
      <c r="APO10" s="158"/>
      <c r="APP10" s="158"/>
      <c r="APQ10" s="158"/>
      <c r="APR10" s="158"/>
      <c r="APS10" s="158"/>
      <c r="APT10" s="158"/>
      <c r="APU10" s="158"/>
      <c r="APV10" s="158"/>
      <c r="APW10" s="158"/>
      <c r="APX10" s="158"/>
      <c r="APY10" s="158"/>
      <c r="APZ10" s="158"/>
      <c r="AQA10" s="158"/>
      <c r="AQB10" s="158"/>
      <c r="AQC10" s="158"/>
      <c r="AQD10" s="158"/>
      <c r="AQE10" s="158"/>
      <c r="AQF10" s="158"/>
      <c r="AQG10" s="158"/>
      <c r="AQH10" s="158"/>
      <c r="AQI10" s="158"/>
      <c r="AQJ10" s="158"/>
      <c r="AQK10" s="158"/>
      <c r="AQL10" s="158"/>
      <c r="AQM10" s="158"/>
      <c r="AQN10" s="158"/>
      <c r="AQO10" s="158"/>
      <c r="AQP10" s="158"/>
      <c r="AQQ10" s="158"/>
      <c r="AQR10" s="158"/>
      <c r="AQS10" s="158"/>
      <c r="AQT10" s="158"/>
      <c r="AQU10" s="158"/>
      <c r="AQV10" s="158"/>
      <c r="AQW10" s="158"/>
      <c r="AQX10" s="158"/>
      <c r="AQY10" s="158"/>
      <c r="AQZ10" s="158"/>
      <c r="ARA10" s="158"/>
      <c r="ARB10" s="158"/>
      <c r="ARC10" s="158"/>
      <c r="ARD10" s="158"/>
      <c r="ARE10" s="158"/>
      <c r="ARF10" s="158"/>
      <c r="ARG10" s="158"/>
      <c r="ARH10" s="158"/>
      <c r="ARI10" s="158"/>
      <c r="ARJ10" s="158"/>
      <c r="ARK10" s="158"/>
      <c r="ARL10" s="158"/>
      <c r="ARM10" s="158"/>
      <c r="ARN10" s="158"/>
      <c r="ARO10" s="158"/>
      <c r="ARP10" s="158"/>
      <c r="ARQ10" s="158"/>
      <c r="ARR10" s="158"/>
      <c r="ARS10" s="158"/>
      <c r="ART10" s="158"/>
      <c r="ARU10" s="158"/>
      <c r="ARV10" s="158"/>
      <c r="ARW10" s="158"/>
      <c r="ARX10" s="158"/>
      <c r="ARY10" s="158"/>
      <c r="ARZ10" s="158"/>
      <c r="ASA10" s="158"/>
      <c r="ASB10" s="158"/>
      <c r="ASC10" s="158"/>
      <c r="ASD10" s="158"/>
      <c r="ASE10" s="158"/>
      <c r="ASF10" s="158"/>
      <c r="ASG10" s="158"/>
      <c r="ASH10" s="158"/>
      <c r="ASI10" s="158"/>
      <c r="ASJ10" s="158"/>
      <c r="ASK10" s="158"/>
      <c r="ASL10" s="158"/>
      <c r="ASM10" s="158"/>
      <c r="ASN10" s="158"/>
      <c r="ASO10" s="158"/>
      <c r="ASP10" s="158"/>
      <c r="ASQ10" s="158"/>
      <c r="ASR10" s="158"/>
      <c r="ASS10" s="158"/>
      <c r="AST10" s="158"/>
      <c r="ASU10" s="158"/>
      <c r="ASV10" s="158"/>
      <c r="ASW10" s="158"/>
      <c r="ASX10" s="158"/>
      <c r="ASY10" s="158"/>
      <c r="ASZ10" s="158"/>
      <c r="ATA10" s="158"/>
      <c r="ATB10" s="158"/>
      <c r="ATC10" s="158"/>
      <c r="ATD10" s="158"/>
      <c r="ATE10" s="158"/>
      <c r="ATF10" s="158"/>
      <c r="ATG10" s="158"/>
      <c r="ATH10" s="158"/>
      <c r="ATI10" s="158"/>
      <c r="ATJ10" s="158"/>
      <c r="ATK10" s="158"/>
      <c r="ATL10" s="158"/>
      <c r="ATM10" s="158"/>
      <c r="ATN10" s="158"/>
      <c r="ATO10" s="158"/>
      <c r="ATP10" s="158"/>
      <c r="ATQ10" s="158"/>
      <c r="ATR10" s="158"/>
      <c r="ATS10" s="158"/>
      <c r="ATT10" s="158"/>
      <c r="ATU10" s="158"/>
      <c r="ATV10" s="158"/>
      <c r="ATW10" s="158"/>
      <c r="ATX10" s="158"/>
      <c r="ATY10" s="158"/>
      <c r="ATZ10" s="158"/>
      <c r="AUA10" s="158"/>
      <c r="AUB10" s="158"/>
      <c r="AUC10" s="158"/>
      <c r="AUD10" s="158"/>
      <c r="AUE10" s="158"/>
      <c r="AUF10" s="158"/>
      <c r="AUG10" s="158"/>
      <c r="AUH10" s="158"/>
      <c r="AUI10" s="158"/>
      <c r="AUJ10" s="158"/>
      <c r="AUK10" s="158"/>
      <c r="AUL10" s="158"/>
      <c r="AUM10" s="158"/>
      <c r="AUN10" s="158"/>
      <c r="AUO10" s="158"/>
      <c r="AUP10" s="158"/>
      <c r="AUQ10" s="158"/>
      <c r="AUR10" s="158"/>
      <c r="AUS10" s="158"/>
      <c r="AUT10" s="158"/>
      <c r="AUU10" s="158"/>
      <c r="AUV10" s="158"/>
      <c r="AUW10" s="158"/>
      <c r="AUX10" s="158"/>
      <c r="AUY10" s="158"/>
      <c r="AUZ10" s="158"/>
      <c r="AVA10" s="158"/>
      <c r="AVB10" s="158"/>
      <c r="AVC10" s="158"/>
      <c r="AVD10" s="158"/>
      <c r="AVE10" s="158"/>
      <c r="AVF10" s="158"/>
      <c r="AVG10" s="158"/>
      <c r="AVH10" s="158"/>
      <c r="AVI10" s="158"/>
      <c r="AVJ10" s="158"/>
      <c r="AVK10" s="158"/>
      <c r="AVL10" s="158"/>
      <c r="AVM10" s="158"/>
      <c r="AVN10" s="158"/>
      <c r="AVO10" s="158"/>
      <c r="AVP10" s="158"/>
      <c r="AVQ10" s="158"/>
      <c r="AVR10" s="158"/>
      <c r="AVS10" s="158"/>
      <c r="AVT10" s="158"/>
      <c r="AVU10" s="158"/>
      <c r="AVV10" s="158"/>
      <c r="AVW10" s="158"/>
      <c r="AVX10" s="158"/>
      <c r="AVY10" s="158"/>
      <c r="AVZ10" s="158"/>
      <c r="AWA10" s="158"/>
      <c r="AWB10" s="158"/>
      <c r="AWC10" s="158"/>
      <c r="AWD10" s="158"/>
      <c r="AWE10" s="158"/>
      <c r="AWF10" s="158"/>
      <c r="AWG10" s="158"/>
      <c r="AWH10" s="158"/>
      <c r="AWI10" s="158"/>
      <c r="AWJ10" s="158"/>
      <c r="AWK10" s="158"/>
      <c r="AWL10" s="158"/>
      <c r="AWM10" s="158"/>
      <c r="AWN10" s="158"/>
      <c r="AWO10" s="158"/>
      <c r="AWP10" s="158"/>
      <c r="AWQ10" s="158"/>
      <c r="AWR10" s="158"/>
      <c r="AWS10" s="158"/>
      <c r="AWT10" s="158"/>
      <c r="AWU10" s="158"/>
      <c r="AWV10" s="158"/>
      <c r="AWW10" s="158"/>
      <c r="AWX10" s="158"/>
      <c r="AWY10" s="158"/>
      <c r="AWZ10" s="158"/>
      <c r="AXA10" s="158"/>
      <c r="AXB10" s="158"/>
      <c r="AXC10" s="158"/>
      <c r="AXD10" s="158"/>
      <c r="AXE10" s="158"/>
      <c r="AXF10" s="158"/>
      <c r="AXG10" s="158"/>
      <c r="AXH10" s="158"/>
      <c r="AXI10" s="158"/>
      <c r="AXJ10" s="158"/>
      <c r="AXK10" s="158"/>
      <c r="AXL10" s="158"/>
      <c r="AXM10" s="158"/>
      <c r="AXN10" s="158"/>
      <c r="AXO10" s="158"/>
      <c r="AXP10" s="158"/>
      <c r="AXQ10" s="158"/>
      <c r="AXR10" s="158"/>
      <c r="AXS10" s="158"/>
      <c r="AXT10" s="158"/>
      <c r="AXU10" s="158"/>
      <c r="AXV10" s="158"/>
      <c r="AXW10" s="158"/>
      <c r="AXX10" s="158"/>
      <c r="AXY10" s="158"/>
      <c r="AXZ10" s="158"/>
      <c r="AYA10" s="158"/>
      <c r="AYB10" s="158"/>
      <c r="AYC10" s="158"/>
      <c r="AYD10" s="158"/>
      <c r="AYE10" s="158"/>
      <c r="AYF10" s="158"/>
      <c r="AYG10" s="158"/>
      <c r="AYH10" s="158"/>
      <c r="AYI10" s="158"/>
      <c r="AYJ10" s="158"/>
      <c r="AYK10" s="158"/>
      <c r="AYL10" s="158"/>
      <c r="AYM10" s="158"/>
      <c r="AYN10" s="158"/>
      <c r="AYO10" s="158"/>
      <c r="AYP10" s="158"/>
      <c r="AYQ10" s="158"/>
      <c r="AYR10" s="158"/>
      <c r="AYS10" s="158"/>
      <c r="AYT10" s="158"/>
      <c r="AYU10" s="158"/>
      <c r="AYV10" s="158"/>
      <c r="AYW10" s="158"/>
      <c r="AYX10" s="158"/>
      <c r="AYY10" s="158"/>
      <c r="AYZ10" s="158"/>
      <c r="AZA10" s="158"/>
      <c r="AZB10" s="158"/>
      <c r="AZC10" s="158"/>
      <c r="AZD10" s="158"/>
      <c r="AZE10" s="158"/>
      <c r="AZF10" s="158"/>
      <c r="AZG10" s="158"/>
      <c r="AZH10" s="158"/>
      <c r="AZI10" s="158"/>
      <c r="AZJ10" s="158"/>
      <c r="AZK10" s="158"/>
      <c r="AZL10" s="158"/>
      <c r="AZM10" s="158"/>
      <c r="AZN10" s="158"/>
      <c r="AZO10" s="158"/>
      <c r="AZP10" s="158"/>
      <c r="AZQ10" s="158"/>
      <c r="AZR10" s="158"/>
      <c r="AZS10" s="158"/>
      <c r="AZT10" s="158"/>
      <c r="AZU10" s="158"/>
      <c r="AZV10" s="158"/>
      <c r="AZW10" s="158"/>
      <c r="AZX10" s="158"/>
      <c r="AZY10" s="158"/>
      <c r="AZZ10" s="158"/>
      <c r="BAA10" s="158"/>
      <c r="BAB10" s="158"/>
      <c r="BAC10" s="158"/>
      <c r="BAD10" s="158"/>
      <c r="BAE10" s="158"/>
      <c r="BAF10" s="158"/>
      <c r="BAG10" s="158"/>
      <c r="BAH10" s="158"/>
      <c r="BAI10" s="158"/>
      <c r="BAJ10" s="158"/>
      <c r="BAK10" s="158"/>
      <c r="BAL10" s="158"/>
      <c r="BAM10" s="158"/>
      <c r="BAN10" s="158"/>
      <c r="BAO10" s="158"/>
      <c r="BAP10" s="158"/>
      <c r="BAQ10" s="158"/>
      <c r="BAR10" s="158"/>
      <c r="BAS10" s="158"/>
      <c r="BAT10" s="158"/>
      <c r="BAU10" s="158"/>
      <c r="BAV10" s="158"/>
      <c r="BAW10" s="158"/>
      <c r="BAX10" s="158"/>
      <c r="BAY10" s="158"/>
      <c r="BAZ10" s="158"/>
      <c r="BBA10" s="158"/>
      <c r="BBB10" s="158"/>
      <c r="BBC10" s="158"/>
      <c r="BBD10" s="158"/>
      <c r="BBE10" s="158"/>
      <c r="BBF10" s="158"/>
      <c r="BBG10" s="158"/>
      <c r="BBH10" s="158"/>
      <c r="BBI10" s="158"/>
      <c r="BBJ10" s="158"/>
      <c r="BBK10" s="158"/>
      <c r="BBL10" s="158"/>
      <c r="BBM10" s="158"/>
      <c r="BBN10" s="158"/>
      <c r="BBO10" s="158"/>
      <c r="BBP10" s="158"/>
      <c r="BBQ10" s="158"/>
      <c r="BBR10" s="158"/>
      <c r="BBS10" s="158"/>
      <c r="BBT10" s="158"/>
      <c r="BBU10" s="158"/>
      <c r="BBV10" s="158"/>
      <c r="BBW10" s="158"/>
      <c r="BBX10" s="158"/>
      <c r="BBY10" s="158"/>
      <c r="BBZ10" s="158"/>
      <c r="BCA10" s="158"/>
      <c r="BCB10" s="158"/>
      <c r="BCC10" s="158"/>
      <c r="BCD10" s="158"/>
      <c r="BCE10" s="158"/>
      <c r="BCF10" s="158"/>
      <c r="BCG10" s="158"/>
      <c r="BCH10" s="158"/>
      <c r="BCI10" s="158"/>
      <c r="BCJ10" s="158"/>
      <c r="BCK10" s="158"/>
      <c r="BCL10" s="158"/>
      <c r="BCM10" s="158"/>
      <c r="BCN10" s="158"/>
      <c r="BCO10" s="158"/>
      <c r="BCP10" s="158"/>
      <c r="BCQ10" s="158"/>
      <c r="BCR10" s="158"/>
      <c r="BCS10" s="158"/>
      <c r="BCT10" s="158"/>
      <c r="BCU10" s="158"/>
      <c r="BCV10" s="158"/>
      <c r="BCW10" s="158"/>
      <c r="BCX10" s="158"/>
      <c r="BCY10" s="158"/>
      <c r="BCZ10" s="158"/>
      <c r="BDA10" s="158"/>
      <c r="BDB10" s="158"/>
      <c r="BDC10" s="158"/>
      <c r="BDD10" s="158"/>
      <c r="BDE10" s="158"/>
      <c r="BDF10" s="158"/>
      <c r="BDG10" s="158"/>
      <c r="BDH10" s="158"/>
      <c r="BDI10" s="158"/>
      <c r="BDJ10" s="158"/>
      <c r="BDK10" s="158"/>
      <c r="BDL10" s="158"/>
      <c r="BDM10" s="158"/>
      <c r="BDN10" s="158"/>
      <c r="BDO10" s="158"/>
      <c r="BDP10" s="158"/>
      <c r="BDQ10" s="158"/>
      <c r="BDR10" s="158"/>
      <c r="BDS10" s="158"/>
      <c r="BDT10" s="158"/>
      <c r="BDU10" s="158"/>
      <c r="BDV10" s="158"/>
      <c r="BDW10" s="158"/>
      <c r="BDX10" s="158"/>
      <c r="BDY10" s="158"/>
      <c r="BDZ10" s="158"/>
      <c r="BEA10" s="158"/>
      <c r="BEB10" s="158"/>
      <c r="BEC10" s="158"/>
      <c r="BED10" s="158"/>
      <c r="BEE10" s="158"/>
      <c r="BEF10" s="158"/>
      <c r="BEG10" s="158"/>
      <c r="BEH10" s="158"/>
      <c r="BEI10" s="158"/>
      <c r="BEJ10" s="158"/>
      <c r="BEK10" s="158"/>
      <c r="BEL10" s="158"/>
      <c r="BEM10" s="158"/>
      <c r="BEN10" s="158"/>
      <c r="BEO10" s="158"/>
      <c r="BEP10" s="158"/>
      <c r="BEQ10" s="158"/>
      <c r="BER10" s="158"/>
      <c r="BES10" s="158"/>
      <c r="BET10" s="158"/>
      <c r="BEU10" s="158"/>
      <c r="BEV10" s="158"/>
      <c r="BEW10" s="158"/>
      <c r="BEX10" s="158"/>
      <c r="BEY10" s="158"/>
      <c r="BEZ10" s="158"/>
      <c r="BFA10" s="158"/>
      <c r="BFB10" s="158"/>
      <c r="BFC10" s="158"/>
      <c r="BFD10" s="158"/>
      <c r="BFE10" s="158"/>
      <c r="BFF10" s="158"/>
      <c r="BFG10" s="158"/>
      <c r="BFH10" s="158"/>
      <c r="BFI10" s="158"/>
      <c r="BFJ10" s="158"/>
      <c r="BFK10" s="158"/>
      <c r="BFL10" s="158"/>
      <c r="BFM10" s="158"/>
      <c r="BFN10" s="158"/>
      <c r="BFO10" s="158"/>
      <c r="BFP10" s="158"/>
      <c r="BFQ10" s="158"/>
      <c r="BFR10" s="158"/>
      <c r="BFS10" s="158"/>
      <c r="BFT10" s="158"/>
      <c r="BFU10" s="158"/>
      <c r="BFV10" s="158"/>
      <c r="BFW10" s="158"/>
      <c r="BFX10" s="158"/>
      <c r="BFY10" s="158"/>
      <c r="BFZ10" s="158"/>
      <c r="BGA10" s="158"/>
      <c r="BGB10" s="158"/>
      <c r="BGC10" s="158"/>
      <c r="BGD10" s="158"/>
      <c r="BGE10" s="158"/>
      <c r="BGF10" s="158"/>
      <c r="BGG10" s="158"/>
      <c r="BGH10" s="158"/>
      <c r="BGI10" s="158"/>
      <c r="BGJ10" s="158"/>
      <c r="BGK10" s="158"/>
      <c r="BGL10" s="158"/>
      <c r="BGM10" s="158"/>
      <c r="BGN10" s="158"/>
      <c r="BGO10" s="158"/>
      <c r="BGP10" s="158"/>
      <c r="BGQ10" s="158"/>
      <c r="BGR10" s="158"/>
      <c r="BGS10" s="158"/>
      <c r="BGT10" s="158"/>
      <c r="BGU10" s="158"/>
      <c r="BGV10" s="158"/>
      <c r="BGW10" s="158"/>
      <c r="BGX10" s="158"/>
      <c r="BGY10" s="158"/>
      <c r="BGZ10" s="158"/>
      <c r="BHA10" s="158"/>
      <c r="BHB10" s="158"/>
      <c r="BHC10" s="158"/>
      <c r="BHD10" s="158"/>
      <c r="BHE10" s="158"/>
      <c r="BHF10" s="158"/>
      <c r="BHG10" s="158"/>
      <c r="BHH10" s="158"/>
      <c r="BHI10" s="158"/>
      <c r="BHJ10" s="158"/>
      <c r="BHK10" s="158"/>
      <c r="BHL10" s="158"/>
      <c r="BHM10" s="158"/>
      <c r="BHN10" s="158"/>
      <c r="BHO10" s="158"/>
      <c r="BHP10" s="158"/>
      <c r="BHQ10" s="158"/>
      <c r="BHR10" s="158"/>
      <c r="BHS10" s="158"/>
      <c r="BHT10" s="158"/>
      <c r="BHU10" s="158"/>
      <c r="BHV10" s="158"/>
      <c r="BHW10" s="158"/>
      <c r="BHX10" s="158"/>
      <c r="BHY10" s="158"/>
      <c r="BHZ10" s="158"/>
      <c r="BIA10" s="158"/>
      <c r="BIB10" s="158"/>
      <c r="BIC10" s="158"/>
      <c r="BID10" s="158"/>
      <c r="BIE10" s="158"/>
      <c r="BIF10" s="158"/>
      <c r="BIG10" s="158"/>
      <c r="BIH10" s="158"/>
      <c r="BII10" s="158"/>
      <c r="BIJ10" s="158"/>
      <c r="BIK10" s="158"/>
      <c r="BIL10" s="158"/>
      <c r="BIM10" s="158"/>
      <c r="BIN10" s="158"/>
      <c r="BIO10" s="158"/>
      <c r="BIP10" s="158"/>
      <c r="BIQ10" s="158"/>
      <c r="BIR10" s="158"/>
      <c r="BIS10" s="158"/>
      <c r="BIT10" s="158"/>
      <c r="BIU10" s="158"/>
      <c r="BIV10" s="158"/>
      <c r="BIW10" s="158"/>
      <c r="BIX10" s="158"/>
      <c r="BIY10" s="158"/>
      <c r="BIZ10" s="158"/>
      <c r="BJA10" s="158"/>
      <c r="BJB10" s="158"/>
      <c r="BJC10" s="158"/>
      <c r="BJD10" s="158"/>
      <c r="BJE10" s="158"/>
      <c r="BJF10" s="158"/>
      <c r="BJG10" s="158"/>
      <c r="BJH10" s="158"/>
      <c r="BJI10" s="158"/>
      <c r="BJJ10" s="158"/>
      <c r="BJK10" s="158"/>
      <c r="BJL10" s="158"/>
      <c r="BJM10" s="158"/>
      <c r="BJN10" s="158"/>
      <c r="BJO10" s="158"/>
      <c r="BJP10" s="158"/>
      <c r="BJQ10" s="158"/>
      <c r="BJR10" s="158"/>
      <c r="BJS10" s="158"/>
      <c r="BJT10" s="158"/>
      <c r="BJU10" s="158"/>
      <c r="BJV10" s="158"/>
      <c r="BJW10" s="158"/>
      <c r="BJX10" s="158"/>
      <c r="BJY10" s="158"/>
      <c r="BJZ10" s="158"/>
      <c r="BKA10" s="158"/>
      <c r="BKB10" s="158"/>
      <c r="BKC10" s="158"/>
      <c r="BKD10" s="158"/>
      <c r="BKE10" s="158"/>
      <c r="BKF10" s="158"/>
      <c r="BKG10" s="158"/>
      <c r="BKH10" s="158"/>
      <c r="BKI10" s="158"/>
      <c r="BKJ10" s="158"/>
      <c r="BKK10" s="158"/>
      <c r="BKL10" s="158"/>
      <c r="BKM10" s="158"/>
      <c r="BKN10" s="158"/>
      <c r="BKO10" s="158"/>
      <c r="BKP10" s="158"/>
      <c r="BKQ10" s="158"/>
      <c r="BKR10" s="158"/>
      <c r="BKS10" s="158"/>
      <c r="BKT10" s="158"/>
      <c r="BKU10" s="158"/>
      <c r="BKV10" s="158"/>
      <c r="BKW10" s="158"/>
      <c r="BKX10" s="158"/>
      <c r="BKY10" s="158"/>
      <c r="BKZ10" s="158"/>
      <c r="BLA10" s="158"/>
      <c r="BLB10" s="158"/>
      <c r="BLC10" s="158"/>
      <c r="BLD10" s="158"/>
      <c r="BLE10" s="158"/>
      <c r="BLF10" s="158"/>
      <c r="BLG10" s="158"/>
      <c r="BLH10" s="158"/>
      <c r="BLI10" s="158"/>
      <c r="BLJ10" s="158"/>
      <c r="BLK10" s="158"/>
      <c r="BLL10" s="158"/>
      <c r="BLM10" s="158"/>
      <c r="BLN10" s="158"/>
      <c r="BLO10" s="158"/>
      <c r="BLP10" s="158"/>
      <c r="BLQ10" s="158"/>
      <c r="BLR10" s="158"/>
      <c r="BLS10" s="158"/>
      <c r="BLT10" s="158"/>
      <c r="BLU10" s="158"/>
      <c r="BLV10" s="158"/>
      <c r="BLW10" s="158"/>
      <c r="BLX10" s="158"/>
      <c r="BLY10" s="158"/>
      <c r="BLZ10" s="158"/>
      <c r="BMA10" s="158"/>
      <c r="BMB10" s="158"/>
      <c r="BMC10" s="158"/>
      <c r="BMD10" s="158"/>
      <c r="BME10" s="158"/>
      <c r="BMF10" s="158"/>
      <c r="BMG10" s="158"/>
      <c r="BMH10" s="158"/>
      <c r="BMI10" s="158"/>
      <c r="BMJ10" s="158"/>
      <c r="BMK10" s="158"/>
      <c r="BML10" s="158"/>
      <c r="BMM10" s="158"/>
      <c r="BMN10" s="158"/>
      <c r="BMO10" s="158"/>
      <c r="BMP10" s="158"/>
      <c r="BMQ10" s="158"/>
      <c r="BMR10" s="158"/>
      <c r="BMS10" s="158"/>
      <c r="BMT10" s="158"/>
      <c r="BMU10" s="158"/>
      <c r="BMV10" s="158"/>
      <c r="BMW10" s="158"/>
      <c r="BMX10" s="158"/>
      <c r="BMY10" s="158"/>
      <c r="BMZ10" s="158"/>
      <c r="BNA10" s="158"/>
      <c r="BNB10" s="158"/>
      <c r="BNC10" s="158"/>
      <c r="BND10" s="158"/>
      <c r="BNE10" s="158"/>
      <c r="BNF10" s="158"/>
      <c r="BNG10" s="158"/>
      <c r="BNH10" s="158"/>
      <c r="BNI10" s="158"/>
      <c r="BNJ10" s="158"/>
      <c r="BNK10" s="158"/>
      <c r="BNL10" s="158"/>
      <c r="BNM10" s="158"/>
      <c r="BNN10" s="158"/>
      <c r="BNO10" s="158"/>
      <c r="BNP10" s="158"/>
      <c r="BNQ10" s="158"/>
      <c r="BNR10" s="158"/>
      <c r="BNS10" s="158"/>
      <c r="BNT10" s="158"/>
      <c r="BNU10" s="158"/>
      <c r="BNV10" s="158"/>
      <c r="BNW10" s="158"/>
      <c r="BNX10" s="158"/>
      <c r="BNY10" s="158"/>
      <c r="BNZ10" s="158"/>
      <c r="BOA10" s="158"/>
      <c r="BOB10" s="158"/>
      <c r="BOC10" s="158"/>
      <c r="BOD10" s="158"/>
      <c r="BOE10" s="158"/>
      <c r="BOF10" s="158"/>
      <c r="BOG10" s="158"/>
      <c r="BOH10" s="158"/>
      <c r="BOI10" s="158"/>
      <c r="BOJ10" s="158"/>
      <c r="BOK10" s="158"/>
      <c r="BOL10" s="158"/>
      <c r="BOM10" s="158"/>
      <c r="BON10" s="158"/>
      <c r="BOO10" s="158"/>
      <c r="BOP10" s="158"/>
      <c r="BOQ10" s="158"/>
      <c r="BOR10" s="158"/>
      <c r="BOS10" s="158"/>
      <c r="BOT10" s="158"/>
      <c r="BOU10" s="158"/>
      <c r="BOV10" s="158"/>
      <c r="BOW10" s="158"/>
      <c r="BOX10" s="158"/>
      <c r="BOY10" s="158"/>
      <c r="BOZ10" s="158"/>
      <c r="BPA10" s="158"/>
      <c r="BPB10" s="158"/>
      <c r="BPC10" s="158"/>
      <c r="BPD10" s="158"/>
      <c r="BPE10" s="158"/>
      <c r="BPF10" s="158"/>
      <c r="BPG10" s="158"/>
      <c r="BPH10" s="158"/>
      <c r="BPI10" s="158"/>
      <c r="BPJ10" s="158"/>
      <c r="BPK10" s="158"/>
      <c r="BPL10" s="158"/>
      <c r="BPM10" s="158"/>
      <c r="BPN10" s="158"/>
      <c r="BPO10" s="158"/>
      <c r="BPP10" s="158"/>
      <c r="BPQ10" s="158"/>
      <c r="BPR10" s="158"/>
      <c r="BPS10" s="158"/>
      <c r="BPT10" s="158"/>
      <c r="BPU10" s="158"/>
      <c r="BPV10" s="158"/>
      <c r="BPW10" s="158"/>
      <c r="BPX10" s="158"/>
      <c r="BPY10" s="158"/>
      <c r="BPZ10" s="158"/>
      <c r="BQA10" s="158"/>
      <c r="BQB10" s="158"/>
      <c r="BQC10" s="158"/>
      <c r="BQD10" s="158"/>
      <c r="BQE10" s="158"/>
      <c r="BQF10" s="158"/>
      <c r="BQG10" s="158"/>
      <c r="BQH10" s="158"/>
      <c r="BQI10" s="158"/>
      <c r="BQJ10" s="158"/>
      <c r="BQK10" s="158"/>
      <c r="BQL10" s="158"/>
      <c r="BQM10" s="158"/>
      <c r="BQN10" s="158"/>
      <c r="BQO10" s="158"/>
      <c r="BQP10" s="158"/>
      <c r="BQQ10" s="158"/>
      <c r="BQR10" s="158"/>
      <c r="BQS10" s="158"/>
      <c r="BQT10" s="158"/>
      <c r="BQU10" s="158"/>
      <c r="BQV10" s="158"/>
      <c r="BQW10" s="158"/>
      <c r="BQX10" s="158"/>
      <c r="BQY10" s="158"/>
      <c r="BQZ10" s="158"/>
      <c r="BRA10" s="158"/>
      <c r="BRB10" s="158"/>
      <c r="BRC10" s="158"/>
      <c r="BRD10" s="158"/>
      <c r="BRE10" s="158"/>
      <c r="BRF10" s="158"/>
      <c r="BRG10" s="158"/>
      <c r="BRH10" s="158"/>
      <c r="BRI10" s="158"/>
      <c r="BRJ10" s="158"/>
      <c r="BRK10" s="158"/>
      <c r="BRL10" s="158"/>
      <c r="BRM10" s="158"/>
      <c r="BRN10" s="158"/>
      <c r="BRO10" s="158"/>
      <c r="BRP10" s="158"/>
      <c r="BRQ10" s="158"/>
      <c r="BRR10" s="158"/>
      <c r="BRS10" s="158"/>
      <c r="BRT10" s="158"/>
      <c r="BRU10" s="158"/>
      <c r="BRV10" s="158"/>
      <c r="BRW10" s="158"/>
      <c r="BRX10" s="158"/>
      <c r="BRY10" s="158"/>
      <c r="BRZ10" s="158"/>
      <c r="BSA10" s="158"/>
      <c r="BSB10" s="158"/>
      <c r="BSC10" s="158"/>
      <c r="BSD10" s="158"/>
      <c r="BSE10" s="158"/>
      <c r="BSF10" s="158"/>
      <c r="BSG10" s="158"/>
      <c r="BSH10" s="158"/>
      <c r="BSI10" s="158"/>
      <c r="BSJ10" s="158"/>
      <c r="BSK10" s="158"/>
      <c r="BSL10" s="158"/>
      <c r="BSM10" s="158"/>
      <c r="BSN10" s="158"/>
      <c r="BSO10" s="158"/>
      <c r="BSP10" s="158"/>
      <c r="BSQ10" s="158"/>
      <c r="BSR10" s="158"/>
      <c r="BSS10" s="158"/>
      <c r="BST10" s="158"/>
      <c r="BSU10" s="158"/>
      <c r="BSV10" s="158"/>
      <c r="BSW10" s="158"/>
      <c r="BSX10" s="158"/>
      <c r="BSY10" s="158"/>
      <c r="BSZ10" s="158"/>
      <c r="BTA10" s="158"/>
      <c r="BTB10" s="158"/>
      <c r="BTC10" s="158"/>
      <c r="BTD10" s="158"/>
      <c r="BTE10" s="158"/>
      <c r="BTF10" s="158"/>
      <c r="BTG10" s="158"/>
      <c r="BTH10" s="158"/>
      <c r="BTI10" s="158"/>
      <c r="BTJ10" s="158"/>
      <c r="BTK10" s="158"/>
      <c r="BTL10" s="158"/>
      <c r="BTM10" s="158"/>
      <c r="BTN10" s="158"/>
      <c r="BTO10" s="158"/>
      <c r="BTP10" s="158"/>
      <c r="BTQ10" s="158"/>
      <c r="BTR10" s="158"/>
      <c r="BTS10" s="158"/>
      <c r="BTT10" s="158"/>
      <c r="BTU10" s="158"/>
      <c r="BTV10" s="158"/>
      <c r="BTW10" s="158"/>
      <c r="BTX10" s="158"/>
      <c r="BTY10" s="158"/>
      <c r="BTZ10" s="158"/>
      <c r="BUA10" s="158"/>
      <c r="BUB10" s="158"/>
      <c r="BUC10" s="158"/>
      <c r="BUD10" s="158"/>
      <c r="BUE10" s="158"/>
      <c r="BUF10" s="158"/>
      <c r="BUG10" s="158"/>
      <c r="BUH10" s="158"/>
      <c r="BUI10" s="158"/>
      <c r="BUJ10" s="158"/>
      <c r="BUK10" s="158"/>
      <c r="BUL10" s="158"/>
      <c r="BUM10" s="158"/>
      <c r="BUN10" s="158"/>
      <c r="BUO10" s="158"/>
      <c r="BUP10" s="158"/>
      <c r="BUQ10" s="158"/>
      <c r="BUR10" s="158"/>
      <c r="BUS10" s="158"/>
      <c r="BUT10" s="158"/>
      <c r="BUU10" s="158"/>
      <c r="BUV10" s="158"/>
      <c r="BUW10" s="158"/>
      <c r="BUX10" s="158"/>
      <c r="BUY10" s="158"/>
      <c r="BUZ10" s="158"/>
      <c r="BVA10" s="158"/>
      <c r="BVB10" s="158"/>
      <c r="BVC10" s="158"/>
      <c r="BVD10" s="158"/>
      <c r="BVE10" s="158"/>
      <c r="BVF10" s="158"/>
      <c r="BVG10" s="158"/>
      <c r="BVH10" s="158"/>
      <c r="BVI10" s="158"/>
      <c r="BVJ10" s="158"/>
      <c r="BVK10" s="158"/>
      <c r="BVL10" s="158"/>
      <c r="BVM10" s="158"/>
      <c r="BVN10" s="158"/>
      <c r="BVO10" s="158"/>
      <c r="BVP10" s="158"/>
      <c r="BVQ10" s="158"/>
      <c r="BVR10" s="158"/>
      <c r="BVS10" s="158"/>
      <c r="BVT10" s="158"/>
      <c r="BVU10" s="158"/>
      <c r="BVV10" s="158"/>
      <c r="BVW10" s="158"/>
      <c r="BVX10" s="158"/>
      <c r="BVY10" s="158"/>
      <c r="BVZ10" s="158"/>
      <c r="BWA10" s="158"/>
      <c r="BWB10" s="158"/>
      <c r="BWC10" s="158"/>
      <c r="BWD10" s="158"/>
      <c r="BWE10" s="158"/>
      <c r="BWF10" s="158"/>
      <c r="BWG10" s="158"/>
      <c r="BWH10" s="158"/>
      <c r="BWI10" s="158"/>
      <c r="BWJ10" s="158"/>
      <c r="BWK10" s="158"/>
      <c r="BWL10" s="158"/>
      <c r="BWM10" s="158"/>
      <c r="BWN10" s="158"/>
      <c r="BWO10" s="158"/>
      <c r="BWP10" s="158"/>
      <c r="BWQ10" s="158"/>
      <c r="BWR10" s="158"/>
      <c r="BWS10" s="158"/>
      <c r="BWT10" s="158"/>
      <c r="BWU10" s="158"/>
      <c r="BWV10" s="158"/>
      <c r="BWW10" s="158"/>
      <c r="BWX10" s="158"/>
      <c r="BWY10" s="158"/>
      <c r="BWZ10" s="158"/>
      <c r="BXA10" s="158"/>
      <c r="BXB10" s="158"/>
      <c r="BXC10" s="158"/>
      <c r="BXD10" s="158"/>
      <c r="BXE10" s="158"/>
      <c r="BXF10" s="158"/>
      <c r="BXG10" s="158"/>
      <c r="BXH10" s="158"/>
      <c r="BXI10" s="158"/>
      <c r="BXJ10" s="158"/>
      <c r="BXK10" s="158"/>
      <c r="BXL10" s="158"/>
      <c r="BXM10" s="158"/>
      <c r="BXN10" s="158"/>
      <c r="BXO10" s="158"/>
      <c r="BXP10" s="158"/>
      <c r="BXQ10" s="158"/>
      <c r="BXR10" s="158"/>
      <c r="BXS10" s="158"/>
      <c r="BXT10" s="158"/>
      <c r="BXU10" s="158"/>
      <c r="BXV10" s="158"/>
      <c r="BXW10" s="158"/>
      <c r="BXX10" s="158"/>
      <c r="BXY10" s="158"/>
      <c r="BXZ10" s="158"/>
      <c r="BYA10" s="158"/>
      <c r="BYB10" s="158"/>
      <c r="BYC10" s="158"/>
      <c r="BYD10" s="158"/>
      <c r="BYE10" s="158"/>
      <c r="BYF10" s="158"/>
      <c r="BYG10" s="158"/>
      <c r="BYH10" s="158"/>
      <c r="BYI10" s="158"/>
      <c r="BYJ10" s="158"/>
      <c r="BYK10" s="158"/>
      <c r="BYL10" s="158"/>
      <c r="BYM10" s="158"/>
      <c r="BYN10" s="158"/>
      <c r="BYO10" s="158"/>
      <c r="BYP10" s="158"/>
      <c r="BYQ10" s="158"/>
      <c r="BYR10" s="158"/>
      <c r="BYS10" s="158"/>
      <c r="BYT10" s="158"/>
      <c r="BYU10" s="158"/>
      <c r="BYV10" s="158"/>
      <c r="BYW10" s="158"/>
      <c r="BYX10" s="158"/>
      <c r="BYY10" s="158"/>
      <c r="BYZ10" s="158"/>
      <c r="BZA10" s="158"/>
      <c r="BZB10" s="158"/>
      <c r="BZC10" s="158"/>
      <c r="BZD10" s="158"/>
      <c r="BZE10" s="158"/>
      <c r="BZF10" s="158"/>
      <c r="BZG10" s="158"/>
      <c r="BZH10" s="158"/>
      <c r="BZI10" s="158"/>
      <c r="BZJ10" s="158"/>
      <c r="BZK10" s="158"/>
      <c r="BZL10" s="158"/>
      <c r="BZM10" s="158"/>
      <c r="BZN10" s="158"/>
      <c r="BZO10" s="158"/>
      <c r="BZP10" s="158"/>
      <c r="BZQ10" s="158"/>
      <c r="BZR10" s="158"/>
      <c r="BZS10" s="158"/>
      <c r="BZT10" s="158"/>
      <c r="BZU10" s="158"/>
      <c r="BZV10" s="158"/>
      <c r="BZW10" s="158"/>
      <c r="BZX10" s="158"/>
      <c r="BZY10" s="158"/>
      <c r="BZZ10" s="158"/>
      <c r="CAA10" s="158"/>
      <c r="CAB10" s="158"/>
      <c r="CAC10" s="158"/>
      <c r="CAD10" s="158"/>
      <c r="CAE10" s="158"/>
      <c r="CAF10" s="158"/>
      <c r="CAG10" s="158"/>
      <c r="CAH10" s="158"/>
      <c r="CAI10" s="158"/>
      <c r="CAJ10" s="158"/>
      <c r="CAK10" s="158"/>
      <c r="CAL10" s="158"/>
      <c r="CAM10" s="158"/>
      <c r="CAN10" s="158"/>
      <c r="CAO10" s="158"/>
      <c r="CAP10" s="158"/>
      <c r="CAQ10" s="158"/>
      <c r="CAR10" s="158"/>
      <c r="CAS10" s="158"/>
      <c r="CAT10" s="158"/>
      <c r="CAU10" s="158"/>
      <c r="CAV10" s="158"/>
      <c r="CAW10" s="158"/>
      <c r="CAX10" s="158"/>
      <c r="CAY10" s="158"/>
      <c r="CAZ10" s="158"/>
      <c r="CBA10" s="158"/>
      <c r="CBB10" s="158"/>
      <c r="CBC10" s="158"/>
      <c r="CBD10" s="158"/>
      <c r="CBE10" s="158"/>
      <c r="CBF10" s="158"/>
      <c r="CBG10" s="158"/>
      <c r="CBH10" s="158"/>
      <c r="CBI10" s="158"/>
      <c r="CBJ10" s="158"/>
      <c r="CBK10" s="158"/>
      <c r="CBL10" s="158"/>
      <c r="CBM10" s="158"/>
      <c r="CBN10" s="158"/>
      <c r="CBO10" s="158"/>
      <c r="CBP10" s="158"/>
      <c r="CBQ10" s="158"/>
      <c r="CBR10" s="158"/>
      <c r="CBS10" s="158"/>
      <c r="CBT10" s="158"/>
      <c r="CBU10" s="158"/>
      <c r="CBV10" s="158"/>
      <c r="CBW10" s="158"/>
      <c r="CBX10" s="158"/>
      <c r="CBY10" s="158"/>
      <c r="CBZ10" s="158"/>
      <c r="CCA10" s="158"/>
      <c r="CCB10" s="158"/>
      <c r="CCC10" s="158"/>
      <c r="CCD10" s="158"/>
      <c r="CCE10" s="158"/>
      <c r="CCF10" s="158"/>
      <c r="CCG10" s="158"/>
      <c r="CCH10" s="158"/>
      <c r="CCI10" s="158"/>
      <c r="CCJ10" s="158"/>
      <c r="CCK10" s="158"/>
      <c r="CCL10" s="158"/>
      <c r="CCM10" s="158"/>
      <c r="CCN10" s="158"/>
      <c r="CCO10" s="158"/>
      <c r="CCP10" s="158"/>
      <c r="CCQ10" s="158"/>
      <c r="CCR10" s="158"/>
      <c r="CCS10" s="158"/>
      <c r="CCT10" s="158"/>
      <c r="CCU10" s="158"/>
      <c r="CCV10" s="158"/>
      <c r="CCW10" s="158"/>
      <c r="CCX10" s="158"/>
      <c r="CCY10" s="158"/>
      <c r="CCZ10" s="158"/>
      <c r="CDA10" s="158"/>
      <c r="CDB10" s="158"/>
      <c r="CDC10" s="158"/>
      <c r="CDD10" s="158"/>
      <c r="CDE10" s="158"/>
      <c r="CDF10" s="158"/>
      <c r="CDG10" s="158"/>
      <c r="CDH10" s="158"/>
      <c r="CDI10" s="158"/>
      <c r="CDJ10" s="158"/>
      <c r="CDK10" s="158"/>
      <c r="CDL10" s="158"/>
      <c r="CDM10" s="158"/>
      <c r="CDN10" s="158"/>
      <c r="CDO10" s="158"/>
      <c r="CDP10" s="158"/>
      <c r="CDQ10" s="158"/>
      <c r="CDR10" s="158"/>
      <c r="CDS10" s="158"/>
      <c r="CDT10" s="158"/>
      <c r="CDU10" s="158"/>
      <c r="CDV10" s="158"/>
      <c r="CDW10" s="158"/>
      <c r="CDX10" s="158"/>
      <c r="CDY10" s="158"/>
      <c r="CDZ10" s="158"/>
      <c r="CEA10" s="158"/>
      <c r="CEB10" s="158"/>
      <c r="CEC10" s="158"/>
      <c r="CED10" s="158"/>
      <c r="CEE10" s="158"/>
      <c r="CEF10" s="158"/>
      <c r="CEG10" s="158"/>
      <c r="CEH10" s="158"/>
      <c r="CEI10" s="158"/>
      <c r="CEJ10" s="158"/>
      <c r="CEK10" s="158"/>
      <c r="CEL10" s="158"/>
      <c r="CEM10" s="158"/>
      <c r="CEN10" s="158"/>
      <c r="CEO10" s="158"/>
      <c r="CEP10" s="158"/>
      <c r="CEQ10" s="158"/>
      <c r="CER10" s="158"/>
      <c r="CES10" s="158"/>
      <c r="CET10" s="158"/>
      <c r="CEU10" s="158"/>
      <c r="CEV10" s="158"/>
      <c r="CEW10" s="158"/>
      <c r="CEX10" s="158"/>
      <c r="CEY10" s="158"/>
      <c r="CEZ10" s="158"/>
      <c r="CFA10" s="158"/>
      <c r="CFB10" s="158"/>
      <c r="CFC10" s="158"/>
      <c r="CFD10" s="158"/>
      <c r="CFE10" s="158"/>
      <c r="CFF10" s="158"/>
      <c r="CFG10" s="158"/>
      <c r="CFH10" s="158"/>
      <c r="CFI10" s="158"/>
      <c r="CFJ10" s="158"/>
      <c r="CFK10" s="158"/>
      <c r="CFL10" s="158"/>
      <c r="CFM10" s="158"/>
      <c r="CFN10" s="158"/>
      <c r="CFO10" s="158"/>
      <c r="CFP10" s="158"/>
      <c r="CFQ10" s="158"/>
      <c r="CFR10" s="158"/>
      <c r="CFS10" s="158"/>
      <c r="CFT10" s="158"/>
      <c r="CFU10" s="158"/>
      <c r="CFV10" s="158"/>
      <c r="CFW10" s="158"/>
      <c r="CFX10" s="158"/>
      <c r="CFY10" s="158"/>
      <c r="CFZ10" s="158"/>
      <c r="CGA10" s="158"/>
      <c r="CGB10" s="158"/>
      <c r="CGC10" s="158"/>
      <c r="CGD10" s="158"/>
      <c r="CGE10" s="158"/>
      <c r="CGF10" s="158"/>
      <c r="CGG10" s="158"/>
      <c r="CGH10" s="158"/>
      <c r="CGI10" s="158"/>
      <c r="CGJ10" s="158"/>
      <c r="CGK10" s="158"/>
      <c r="CGL10" s="158"/>
      <c r="CGM10" s="158"/>
      <c r="CGN10" s="158"/>
      <c r="CGO10" s="158"/>
      <c r="CGP10" s="158"/>
      <c r="CGQ10" s="158"/>
      <c r="CGR10" s="158"/>
      <c r="CGS10" s="158"/>
      <c r="CGT10" s="158"/>
      <c r="CGU10" s="158"/>
      <c r="CGV10" s="158"/>
      <c r="CGW10" s="158"/>
      <c r="CGX10" s="158"/>
      <c r="CGY10" s="158"/>
      <c r="CGZ10" s="158"/>
      <c r="CHA10" s="158"/>
      <c r="CHB10" s="158"/>
      <c r="CHC10" s="158"/>
      <c r="CHD10" s="158"/>
      <c r="CHE10" s="158"/>
      <c r="CHF10" s="158"/>
      <c r="CHG10" s="158"/>
      <c r="CHH10" s="158"/>
      <c r="CHI10" s="158"/>
      <c r="CHJ10" s="158"/>
      <c r="CHK10" s="158"/>
      <c r="CHL10" s="158"/>
      <c r="CHM10" s="158"/>
      <c r="CHN10" s="158"/>
      <c r="CHO10" s="158"/>
      <c r="CHP10" s="158"/>
      <c r="CHQ10" s="158"/>
      <c r="CHR10" s="158"/>
      <c r="CHS10" s="158"/>
      <c r="CHT10" s="158"/>
      <c r="CHU10" s="158"/>
      <c r="CHV10" s="158"/>
      <c r="CHW10" s="158"/>
      <c r="CHX10" s="158"/>
      <c r="CHY10" s="158"/>
      <c r="CHZ10" s="158"/>
      <c r="CIA10" s="158"/>
      <c r="CIB10" s="158"/>
      <c r="CIC10" s="158"/>
      <c r="CID10" s="158"/>
      <c r="CIE10" s="158"/>
      <c r="CIF10" s="158"/>
      <c r="CIG10" s="158"/>
      <c r="CIH10" s="158"/>
      <c r="CII10" s="158"/>
      <c r="CIJ10" s="158"/>
      <c r="CIK10" s="158"/>
      <c r="CIL10" s="158"/>
      <c r="CIM10" s="158"/>
      <c r="CIN10" s="158"/>
      <c r="CIO10" s="158"/>
      <c r="CIP10" s="158"/>
      <c r="CIQ10" s="158"/>
      <c r="CIR10" s="158"/>
      <c r="CIS10" s="158"/>
      <c r="CIT10" s="158"/>
      <c r="CIU10" s="158"/>
      <c r="CIV10" s="158"/>
      <c r="CIW10" s="158"/>
      <c r="CIX10" s="158"/>
      <c r="CIY10" s="158"/>
      <c r="CIZ10" s="158"/>
      <c r="CJA10" s="158"/>
      <c r="CJB10" s="158"/>
      <c r="CJC10" s="158"/>
      <c r="CJD10" s="158"/>
      <c r="CJE10" s="158"/>
      <c r="CJF10" s="158"/>
      <c r="CJG10" s="158"/>
      <c r="CJH10" s="158"/>
      <c r="CJI10" s="158"/>
      <c r="CJJ10" s="158"/>
      <c r="CJK10" s="158"/>
      <c r="CJL10" s="158"/>
      <c r="CJM10" s="158"/>
      <c r="CJN10" s="158"/>
      <c r="CJO10" s="158"/>
      <c r="CJP10" s="158"/>
      <c r="CJQ10" s="158"/>
      <c r="CJR10" s="158"/>
      <c r="CJS10" s="158"/>
      <c r="CJT10" s="158"/>
      <c r="CJU10" s="158"/>
      <c r="CJV10" s="158"/>
      <c r="CJW10" s="158"/>
      <c r="CJX10" s="158"/>
      <c r="CJY10" s="158"/>
      <c r="CJZ10" s="158"/>
      <c r="CKA10" s="158"/>
      <c r="CKB10" s="158"/>
      <c r="CKC10" s="158"/>
      <c r="CKD10" s="158"/>
      <c r="CKE10" s="158"/>
      <c r="CKF10" s="158"/>
      <c r="CKG10" s="158"/>
      <c r="CKH10" s="158"/>
      <c r="CKI10" s="158"/>
      <c r="CKJ10" s="158"/>
      <c r="CKK10" s="158"/>
      <c r="CKL10" s="158"/>
      <c r="CKM10" s="158"/>
      <c r="CKN10" s="158"/>
      <c r="CKO10" s="158"/>
      <c r="CKP10" s="158"/>
      <c r="CKQ10" s="158"/>
      <c r="CKR10" s="158"/>
      <c r="CKS10" s="158"/>
      <c r="CKT10" s="158"/>
      <c r="CKU10" s="158"/>
      <c r="CKV10" s="158"/>
      <c r="CKW10" s="158"/>
      <c r="CKX10" s="158"/>
      <c r="CKY10" s="158"/>
      <c r="CKZ10" s="158"/>
      <c r="CLA10" s="158"/>
      <c r="CLB10" s="158"/>
      <c r="CLC10" s="158"/>
      <c r="CLD10" s="158"/>
      <c r="CLE10" s="158"/>
      <c r="CLF10" s="158"/>
      <c r="CLG10" s="158"/>
      <c r="CLH10" s="158"/>
      <c r="CLI10" s="158"/>
      <c r="CLJ10" s="158"/>
      <c r="CLK10" s="158"/>
      <c r="CLL10" s="158"/>
      <c r="CLM10" s="158"/>
      <c r="CLN10" s="158"/>
      <c r="CLO10" s="158"/>
      <c r="CLP10" s="158"/>
      <c r="CLQ10" s="158"/>
      <c r="CLR10" s="158"/>
      <c r="CLS10" s="158"/>
      <c r="CLT10" s="158"/>
      <c r="CLU10" s="158"/>
      <c r="CLV10" s="158"/>
      <c r="CLW10" s="158"/>
      <c r="CLX10" s="158"/>
      <c r="CLY10" s="158"/>
      <c r="CLZ10" s="158"/>
      <c r="CMA10" s="158"/>
      <c r="CMB10" s="158"/>
      <c r="CMC10" s="158"/>
      <c r="CMD10" s="158"/>
      <c r="CME10" s="158"/>
      <c r="CMF10" s="158"/>
      <c r="CMG10" s="158"/>
      <c r="CMH10" s="158"/>
      <c r="CMI10" s="158"/>
      <c r="CMJ10" s="158"/>
      <c r="CMK10" s="158"/>
      <c r="CML10" s="158"/>
      <c r="CMM10" s="158"/>
      <c r="CMN10" s="158"/>
      <c r="CMO10" s="158"/>
      <c r="CMP10" s="158"/>
      <c r="CMQ10" s="158"/>
      <c r="CMR10" s="158"/>
      <c r="CMS10" s="158"/>
      <c r="CMT10" s="158"/>
      <c r="CMU10" s="158"/>
      <c r="CMV10" s="158"/>
      <c r="CMW10" s="158"/>
      <c r="CMX10" s="158"/>
      <c r="CMY10" s="158"/>
      <c r="CMZ10" s="158"/>
      <c r="CNA10" s="158"/>
      <c r="CNB10" s="158"/>
      <c r="CNC10" s="158"/>
      <c r="CND10" s="158"/>
      <c r="CNE10" s="158"/>
      <c r="CNF10" s="158"/>
      <c r="CNG10" s="158"/>
      <c r="CNH10" s="158"/>
      <c r="CNI10" s="158"/>
      <c r="CNJ10" s="158"/>
      <c r="CNK10" s="158"/>
      <c r="CNL10" s="158"/>
      <c r="CNM10" s="158"/>
      <c r="CNN10" s="158"/>
      <c r="CNO10" s="158"/>
      <c r="CNP10" s="158"/>
      <c r="CNQ10" s="158"/>
      <c r="CNR10" s="158"/>
      <c r="CNS10" s="158"/>
      <c r="CNT10" s="158"/>
      <c r="CNU10" s="158"/>
      <c r="CNV10" s="158"/>
      <c r="CNW10" s="158"/>
      <c r="CNX10" s="158"/>
      <c r="CNY10" s="158"/>
      <c r="CNZ10" s="158"/>
      <c r="COA10" s="158"/>
      <c r="COB10" s="158"/>
      <c r="COC10" s="158"/>
      <c r="COD10" s="158"/>
      <c r="COE10" s="158"/>
      <c r="COF10" s="158"/>
      <c r="COG10" s="158"/>
      <c r="COH10" s="158"/>
      <c r="COI10" s="158"/>
      <c r="COJ10" s="158"/>
      <c r="COK10" s="158"/>
      <c r="COL10" s="158"/>
      <c r="COM10" s="158"/>
      <c r="CON10" s="158"/>
      <c r="COO10" s="158"/>
      <c r="COP10" s="158"/>
      <c r="COQ10" s="158"/>
      <c r="COR10" s="158"/>
      <c r="COS10" s="158"/>
      <c r="COT10" s="158"/>
      <c r="COU10" s="158"/>
      <c r="COV10" s="158"/>
      <c r="COW10" s="158"/>
      <c r="COX10" s="158"/>
      <c r="COY10" s="158"/>
      <c r="COZ10" s="158"/>
      <c r="CPA10" s="158"/>
      <c r="CPB10" s="158"/>
      <c r="CPC10" s="158"/>
      <c r="CPD10" s="158"/>
      <c r="CPE10" s="158"/>
      <c r="CPF10" s="158"/>
      <c r="CPG10" s="158"/>
      <c r="CPH10" s="158"/>
      <c r="CPI10" s="158"/>
      <c r="CPJ10" s="158"/>
      <c r="CPK10" s="158"/>
      <c r="CPL10" s="158"/>
      <c r="CPM10" s="158"/>
      <c r="CPN10" s="158"/>
      <c r="CPO10" s="158"/>
      <c r="CPP10" s="158"/>
      <c r="CPQ10" s="158"/>
      <c r="CPR10" s="158"/>
      <c r="CPS10" s="158"/>
      <c r="CPT10" s="158"/>
      <c r="CPU10" s="158"/>
      <c r="CPV10" s="158"/>
      <c r="CPW10" s="158"/>
      <c r="CPX10" s="158"/>
      <c r="CPY10" s="158"/>
      <c r="CPZ10" s="158"/>
      <c r="CQA10" s="158"/>
      <c r="CQB10" s="158"/>
      <c r="CQC10" s="158"/>
      <c r="CQD10" s="158"/>
      <c r="CQE10" s="158"/>
      <c r="CQF10" s="158"/>
      <c r="CQG10" s="158"/>
      <c r="CQH10" s="158"/>
      <c r="CQI10" s="158"/>
      <c r="CQJ10" s="158"/>
      <c r="CQK10" s="158"/>
      <c r="CQL10" s="158"/>
      <c r="CQM10" s="158"/>
      <c r="CQN10" s="158"/>
      <c r="CQO10" s="158"/>
      <c r="CQP10" s="158"/>
      <c r="CQQ10" s="158"/>
      <c r="CQR10" s="158"/>
      <c r="CQS10" s="158"/>
      <c r="CQT10" s="158"/>
      <c r="CQU10" s="158"/>
      <c r="CQV10" s="158"/>
      <c r="CQW10" s="158"/>
      <c r="CQX10" s="158"/>
      <c r="CQY10" s="158"/>
      <c r="CQZ10" s="158"/>
      <c r="CRA10" s="158"/>
      <c r="CRB10" s="158"/>
      <c r="CRC10" s="158"/>
      <c r="CRD10" s="158"/>
      <c r="CRE10" s="158"/>
      <c r="CRF10" s="158"/>
      <c r="CRG10" s="158"/>
      <c r="CRH10" s="158"/>
      <c r="CRI10" s="158"/>
      <c r="CRJ10" s="158"/>
      <c r="CRK10" s="158"/>
      <c r="CRL10" s="158"/>
      <c r="CRM10" s="158"/>
      <c r="CRN10" s="158"/>
      <c r="CRO10" s="158"/>
      <c r="CRP10" s="158"/>
      <c r="CRQ10" s="158"/>
      <c r="CRR10" s="158"/>
      <c r="CRS10" s="158"/>
      <c r="CRT10" s="158"/>
      <c r="CRU10" s="158"/>
      <c r="CRV10" s="158"/>
      <c r="CRW10" s="158"/>
      <c r="CRX10" s="158"/>
      <c r="CRY10" s="158"/>
      <c r="CRZ10" s="158"/>
      <c r="CSA10" s="158"/>
      <c r="CSB10" s="158"/>
      <c r="CSC10" s="158"/>
      <c r="CSD10" s="158"/>
      <c r="CSE10" s="158"/>
      <c r="CSF10" s="158"/>
      <c r="CSG10" s="158"/>
      <c r="CSH10" s="158"/>
      <c r="CSI10" s="158"/>
      <c r="CSJ10" s="158"/>
      <c r="CSK10" s="158"/>
      <c r="CSL10" s="158"/>
      <c r="CSM10" s="158"/>
      <c r="CSN10" s="158"/>
      <c r="CSO10" s="158"/>
      <c r="CSP10" s="158"/>
      <c r="CSQ10" s="158"/>
      <c r="CSR10" s="158"/>
      <c r="CSS10" s="158"/>
      <c r="CST10" s="158"/>
      <c r="CSU10" s="158"/>
      <c r="CSV10" s="158"/>
      <c r="CSW10" s="158"/>
      <c r="CSX10" s="158"/>
      <c r="CSY10" s="158"/>
      <c r="CSZ10" s="158"/>
      <c r="CTA10" s="158"/>
      <c r="CTB10" s="158"/>
      <c r="CTC10" s="158"/>
      <c r="CTD10" s="158"/>
      <c r="CTE10" s="158"/>
      <c r="CTF10" s="158"/>
      <c r="CTG10" s="158"/>
      <c r="CTH10" s="158"/>
      <c r="CTI10" s="158"/>
      <c r="CTJ10" s="158"/>
      <c r="CTK10" s="158"/>
      <c r="CTL10" s="158"/>
      <c r="CTM10" s="158"/>
      <c r="CTN10" s="158"/>
      <c r="CTO10" s="158"/>
      <c r="CTP10" s="158"/>
      <c r="CTQ10" s="158"/>
      <c r="CTR10" s="158"/>
      <c r="CTS10" s="158"/>
      <c r="CTT10" s="158"/>
      <c r="CTU10" s="158"/>
      <c r="CTV10" s="158"/>
      <c r="CTW10" s="158"/>
      <c r="CTX10" s="158"/>
      <c r="CTY10" s="158"/>
      <c r="CTZ10" s="158"/>
      <c r="CUA10" s="158"/>
      <c r="CUB10" s="158"/>
      <c r="CUC10" s="158"/>
      <c r="CUD10" s="158"/>
      <c r="CUE10" s="158"/>
      <c r="CUF10" s="158"/>
      <c r="CUG10" s="158"/>
      <c r="CUH10" s="158"/>
      <c r="CUI10" s="158"/>
      <c r="CUJ10" s="158"/>
      <c r="CUK10" s="158"/>
      <c r="CUL10" s="158"/>
      <c r="CUM10" s="158"/>
      <c r="CUN10" s="158"/>
      <c r="CUO10" s="158"/>
      <c r="CUP10" s="158"/>
      <c r="CUQ10" s="158"/>
      <c r="CUR10" s="158"/>
      <c r="CUS10" s="158"/>
      <c r="CUT10" s="158"/>
      <c r="CUU10" s="158"/>
      <c r="CUV10" s="158"/>
      <c r="CUW10" s="158"/>
      <c r="CUX10" s="158"/>
      <c r="CUY10" s="158"/>
      <c r="CUZ10" s="158"/>
      <c r="CVA10" s="158"/>
      <c r="CVB10" s="158"/>
      <c r="CVC10" s="158"/>
      <c r="CVD10" s="158"/>
      <c r="CVE10" s="158"/>
      <c r="CVF10" s="158"/>
      <c r="CVG10" s="158"/>
      <c r="CVH10" s="158"/>
      <c r="CVI10" s="158"/>
      <c r="CVJ10" s="158"/>
      <c r="CVK10" s="158"/>
      <c r="CVL10" s="158"/>
      <c r="CVM10" s="158"/>
      <c r="CVN10" s="158"/>
      <c r="CVO10" s="158"/>
      <c r="CVP10" s="158"/>
      <c r="CVQ10" s="158"/>
      <c r="CVR10" s="158"/>
      <c r="CVS10" s="158"/>
      <c r="CVT10" s="158"/>
      <c r="CVU10" s="158"/>
      <c r="CVV10" s="158"/>
      <c r="CVW10" s="158"/>
      <c r="CVX10" s="158"/>
      <c r="CVY10" s="158"/>
      <c r="CVZ10" s="158"/>
      <c r="CWA10" s="158"/>
      <c r="CWB10" s="158"/>
      <c r="CWC10" s="158"/>
      <c r="CWD10" s="158"/>
      <c r="CWE10" s="158"/>
      <c r="CWF10" s="158"/>
      <c r="CWG10" s="158"/>
      <c r="CWH10" s="158"/>
      <c r="CWI10" s="158"/>
      <c r="CWJ10" s="158"/>
      <c r="CWK10" s="158"/>
      <c r="CWL10" s="158"/>
      <c r="CWM10" s="158"/>
      <c r="CWN10" s="158"/>
      <c r="CWO10" s="158"/>
      <c r="CWP10" s="158"/>
      <c r="CWQ10" s="158"/>
      <c r="CWR10" s="158"/>
      <c r="CWS10" s="158"/>
      <c r="CWT10" s="158"/>
      <c r="CWU10" s="158"/>
      <c r="CWV10" s="158"/>
      <c r="CWW10" s="158"/>
      <c r="CWX10" s="158"/>
      <c r="CWY10" s="158"/>
      <c r="CWZ10" s="158"/>
      <c r="CXA10" s="158"/>
      <c r="CXB10" s="158"/>
      <c r="CXC10" s="158"/>
      <c r="CXD10" s="158"/>
      <c r="CXE10" s="158"/>
      <c r="CXF10" s="158"/>
      <c r="CXG10" s="158"/>
      <c r="CXH10" s="158"/>
      <c r="CXI10" s="158"/>
      <c r="CXJ10" s="158"/>
      <c r="CXK10" s="158"/>
      <c r="CXL10" s="158"/>
      <c r="CXM10" s="158"/>
      <c r="CXN10" s="158"/>
      <c r="CXO10" s="158"/>
      <c r="CXP10" s="158"/>
      <c r="CXQ10" s="158"/>
      <c r="CXR10" s="158"/>
      <c r="CXS10" s="158"/>
      <c r="CXT10" s="158"/>
      <c r="CXU10" s="158"/>
      <c r="CXV10" s="158"/>
      <c r="CXW10" s="158"/>
      <c r="CXX10" s="158"/>
      <c r="CXY10" s="158"/>
      <c r="CXZ10" s="158"/>
      <c r="CYA10" s="158"/>
      <c r="CYB10" s="158"/>
      <c r="CYC10" s="158"/>
      <c r="CYD10" s="158"/>
      <c r="CYE10" s="158"/>
      <c r="CYF10" s="158"/>
      <c r="CYG10" s="158"/>
      <c r="CYH10" s="158"/>
      <c r="CYI10" s="158"/>
      <c r="CYJ10" s="158"/>
      <c r="CYK10" s="158"/>
      <c r="CYL10" s="158"/>
      <c r="CYM10" s="158"/>
      <c r="CYN10" s="158"/>
      <c r="CYO10" s="158"/>
      <c r="CYP10" s="158"/>
      <c r="CYQ10" s="158"/>
      <c r="CYR10" s="158"/>
      <c r="CYS10" s="158"/>
      <c r="CYT10" s="158"/>
      <c r="CYU10" s="158"/>
      <c r="CYV10" s="158"/>
      <c r="CYW10" s="158"/>
      <c r="CYX10" s="158"/>
      <c r="CYY10" s="158"/>
      <c r="CYZ10" s="158"/>
      <c r="CZA10" s="158"/>
      <c r="CZB10" s="158"/>
      <c r="CZC10" s="158"/>
      <c r="CZD10" s="158"/>
      <c r="CZE10" s="158"/>
      <c r="CZF10" s="158"/>
      <c r="CZG10" s="158"/>
      <c r="CZH10" s="158"/>
      <c r="CZI10" s="158"/>
      <c r="CZJ10" s="158"/>
      <c r="CZK10" s="158"/>
      <c r="CZL10" s="158"/>
      <c r="CZM10" s="158"/>
      <c r="CZN10" s="158"/>
      <c r="CZO10" s="158"/>
      <c r="CZP10" s="158"/>
      <c r="CZQ10" s="158"/>
      <c r="CZR10" s="158"/>
      <c r="CZS10" s="158"/>
      <c r="CZT10" s="158"/>
      <c r="CZU10" s="158"/>
      <c r="CZV10" s="158"/>
      <c r="CZW10" s="158"/>
      <c r="CZX10" s="158"/>
      <c r="CZY10" s="158"/>
      <c r="CZZ10" s="158"/>
      <c r="DAA10" s="158"/>
      <c r="DAB10" s="158"/>
      <c r="DAC10" s="158"/>
      <c r="DAD10" s="158"/>
      <c r="DAE10" s="158"/>
      <c r="DAF10" s="158"/>
      <c r="DAG10" s="158"/>
      <c r="DAH10" s="158"/>
      <c r="DAI10" s="158"/>
      <c r="DAJ10" s="158"/>
      <c r="DAK10" s="158"/>
      <c r="DAL10" s="158"/>
      <c r="DAM10" s="158"/>
      <c r="DAN10" s="158"/>
      <c r="DAO10" s="158"/>
      <c r="DAP10" s="158"/>
      <c r="DAQ10" s="158"/>
      <c r="DAR10" s="158"/>
      <c r="DAS10" s="158"/>
      <c r="DAT10" s="158"/>
      <c r="DAU10" s="158"/>
      <c r="DAV10" s="158"/>
      <c r="DAW10" s="158"/>
      <c r="DAX10" s="158"/>
      <c r="DAY10" s="158"/>
      <c r="DAZ10" s="158"/>
      <c r="DBA10" s="158"/>
      <c r="DBB10" s="158"/>
      <c r="DBC10" s="158"/>
      <c r="DBD10" s="158"/>
      <c r="DBE10" s="158"/>
      <c r="DBF10" s="158"/>
      <c r="DBG10" s="158"/>
      <c r="DBH10" s="158"/>
      <c r="DBI10" s="158"/>
      <c r="DBJ10" s="158"/>
      <c r="DBK10" s="158"/>
      <c r="DBL10" s="158"/>
      <c r="DBM10" s="158"/>
      <c r="DBN10" s="158"/>
      <c r="DBO10" s="158"/>
      <c r="DBP10" s="158"/>
      <c r="DBQ10" s="158"/>
      <c r="DBR10" s="158"/>
      <c r="DBS10" s="158"/>
      <c r="DBT10" s="158"/>
      <c r="DBU10" s="158"/>
      <c r="DBV10" s="158"/>
      <c r="DBW10" s="158"/>
      <c r="DBX10" s="158"/>
      <c r="DBY10" s="158"/>
      <c r="DBZ10" s="158"/>
      <c r="DCA10" s="158"/>
      <c r="DCB10" s="158"/>
      <c r="DCC10" s="158"/>
      <c r="DCD10" s="158"/>
      <c r="DCE10" s="158"/>
      <c r="DCF10" s="158"/>
      <c r="DCG10" s="158"/>
      <c r="DCH10" s="158"/>
      <c r="DCI10" s="158"/>
      <c r="DCJ10" s="158"/>
      <c r="DCK10" s="158"/>
      <c r="DCL10" s="158"/>
      <c r="DCM10" s="158"/>
      <c r="DCN10" s="158"/>
      <c r="DCO10" s="158"/>
      <c r="DCP10" s="158"/>
      <c r="DCQ10" s="158"/>
      <c r="DCR10" s="158"/>
      <c r="DCS10" s="158"/>
      <c r="DCT10" s="158"/>
      <c r="DCU10" s="158"/>
      <c r="DCV10" s="158"/>
      <c r="DCW10" s="158"/>
      <c r="DCX10" s="158"/>
      <c r="DCY10" s="158"/>
      <c r="DCZ10" s="158"/>
      <c r="DDA10" s="158"/>
      <c r="DDB10" s="158"/>
      <c r="DDC10" s="158"/>
      <c r="DDD10" s="158"/>
      <c r="DDE10" s="158"/>
      <c r="DDF10" s="158"/>
      <c r="DDG10" s="158"/>
      <c r="DDH10" s="158"/>
      <c r="DDI10" s="158"/>
      <c r="DDJ10" s="158"/>
      <c r="DDK10" s="158"/>
      <c r="DDL10" s="158"/>
      <c r="DDM10" s="158"/>
      <c r="DDN10" s="158"/>
      <c r="DDO10" s="158"/>
      <c r="DDP10" s="158"/>
      <c r="DDQ10" s="158"/>
      <c r="DDR10" s="158"/>
      <c r="DDS10" s="158"/>
      <c r="DDT10" s="158"/>
      <c r="DDU10" s="158"/>
      <c r="DDV10" s="158"/>
      <c r="DDW10" s="158"/>
      <c r="DDX10" s="158"/>
      <c r="DDY10" s="158"/>
      <c r="DDZ10" s="158"/>
      <c r="DEA10" s="158"/>
      <c r="DEB10" s="158"/>
      <c r="DEC10" s="158"/>
      <c r="DED10" s="158"/>
      <c r="DEE10" s="158"/>
      <c r="DEF10" s="158"/>
      <c r="DEG10" s="158"/>
      <c r="DEH10" s="158"/>
      <c r="DEI10" s="158"/>
      <c r="DEJ10" s="158"/>
      <c r="DEK10" s="158"/>
      <c r="DEL10" s="158"/>
      <c r="DEM10" s="158"/>
      <c r="DEN10" s="158"/>
      <c r="DEO10" s="158"/>
      <c r="DEP10" s="158"/>
      <c r="DEQ10" s="158"/>
      <c r="DER10" s="158"/>
      <c r="DES10" s="158"/>
      <c r="DET10" s="158"/>
      <c r="DEU10" s="158"/>
      <c r="DEV10" s="158"/>
      <c r="DEW10" s="158"/>
      <c r="DEX10" s="158"/>
      <c r="DEY10" s="158"/>
      <c r="DEZ10" s="158"/>
      <c r="DFA10" s="158"/>
      <c r="DFB10" s="158"/>
      <c r="DFC10" s="158"/>
      <c r="DFD10" s="158"/>
      <c r="DFE10" s="158"/>
      <c r="DFF10" s="158"/>
      <c r="DFG10" s="158"/>
      <c r="DFH10" s="158"/>
      <c r="DFI10" s="158"/>
      <c r="DFJ10" s="158"/>
      <c r="DFK10" s="158"/>
      <c r="DFL10" s="158"/>
      <c r="DFM10" s="158"/>
      <c r="DFN10" s="158"/>
      <c r="DFO10" s="158"/>
      <c r="DFP10" s="158"/>
      <c r="DFQ10" s="158"/>
      <c r="DFR10" s="158"/>
      <c r="DFS10" s="158"/>
      <c r="DFT10" s="158"/>
      <c r="DFU10" s="158"/>
      <c r="DFV10" s="158"/>
      <c r="DFW10" s="158"/>
      <c r="DFX10" s="158"/>
      <c r="DFY10" s="158"/>
      <c r="DFZ10" s="158"/>
      <c r="DGA10" s="158"/>
      <c r="DGB10" s="158"/>
      <c r="DGC10" s="158"/>
      <c r="DGD10" s="158"/>
      <c r="DGE10" s="158"/>
      <c r="DGF10" s="158"/>
      <c r="DGG10" s="158"/>
      <c r="DGH10" s="158"/>
      <c r="DGI10" s="158"/>
      <c r="DGJ10" s="158"/>
      <c r="DGK10" s="158"/>
      <c r="DGL10" s="158"/>
      <c r="DGM10" s="158"/>
      <c r="DGN10" s="158"/>
      <c r="DGO10" s="158"/>
      <c r="DGP10" s="158"/>
      <c r="DGQ10" s="158"/>
      <c r="DGR10" s="158"/>
      <c r="DGS10" s="158"/>
      <c r="DGT10" s="158"/>
      <c r="DGU10" s="158"/>
      <c r="DGV10" s="158"/>
      <c r="DGW10" s="158"/>
      <c r="DGX10" s="158"/>
      <c r="DGY10" s="158"/>
      <c r="DGZ10" s="158"/>
      <c r="DHA10" s="158"/>
      <c r="DHB10" s="158"/>
      <c r="DHC10" s="158"/>
      <c r="DHD10" s="158"/>
      <c r="DHE10" s="158"/>
      <c r="DHF10" s="158"/>
      <c r="DHG10" s="158"/>
      <c r="DHH10" s="158"/>
      <c r="DHI10" s="158"/>
      <c r="DHJ10" s="158"/>
      <c r="DHK10" s="158"/>
      <c r="DHL10" s="158"/>
      <c r="DHM10" s="158"/>
      <c r="DHN10" s="158"/>
      <c r="DHO10" s="158"/>
      <c r="DHP10" s="158"/>
      <c r="DHQ10" s="158"/>
      <c r="DHR10" s="158"/>
      <c r="DHS10" s="158"/>
      <c r="DHT10" s="158"/>
      <c r="DHU10" s="158"/>
      <c r="DHV10" s="158"/>
      <c r="DHW10" s="158"/>
      <c r="DHX10" s="158"/>
      <c r="DHY10" s="158"/>
      <c r="DHZ10" s="158"/>
      <c r="DIA10" s="158"/>
      <c r="DIB10" s="158"/>
      <c r="DIC10" s="158"/>
      <c r="DID10" s="158"/>
      <c r="DIE10" s="158"/>
      <c r="DIF10" s="158"/>
      <c r="DIG10" s="158"/>
      <c r="DIH10" s="158"/>
      <c r="DII10" s="158"/>
      <c r="DIJ10" s="158"/>
      <c r="DIK10" s="158"/>
      <c r="DIL10" s="158"/>
      <c r="DIM10" s="158"/>
      <c r="DIN10" s="158"/>
      <c r="DIO10" s="158"/>
      <c r="DIP10" s="158"/>
      <c r="DIQ10" s="158"/>
      <c r="DIR10" s="158"/>
      <c r="DIS10" s="158"/>
      <c r="DIT10" s="158"/>
      <c r="DIU10" s="158"/>
      <c r="DIV10" s="158"/>
      <c r="DIW10" s="158"/>
      <c r="DIX10" s="158"/>
      <c r="DIY10" s="158"/>
      <c r="DIZ10" s="158"/>
      <c r="DJA10" s="158"/>
      <c r="DJB10" s="158"/>
      <c r="DJC10" s="158"/>
      <c r="DJD10" s="158"/>
      <c r="DJE10" s="158"/>
      <c r="DJF10" s="158"/>
      <c r="DJG10" s="158"/>
      <c r="DJH10" s="158"/>
      <c r="DJI10" s="158"/>
      <c r="DJJ10" s="158"/>
      <c r="DJK10" s="158"/>
      <c r="DJL10" s="158"/>
      <c r="DJM10" s="158"/>
      <c r="DJN10" s="158"/>
      <c r="DJO10" s="158"/>
      <c r="DJP10" s="158"/>
      <c r="DJQ10" s="158"/>
      <c r="DJR10" s="158"/>
      <c r="DJS10" s="158"/>
      <c r="DJT10" s="158"/>
      <c r="DJU10" s="158"/>
      <c r="DJV10" s="158"/>
      <c r="DJW10" s="158"/>
      <c r="DJX10" s="158"/>
      <c r="DJY10" s="158"/>
      <c r="DJZ10" s="158"/>
      <c r="DKA10" s="158"/>
      <c r="DKB10" s="158"/>
      <c r="DKC10" s="158"/>
      <c r="DKD10" s="158"/>
      <c r="DKE10" s="158"/>
      <c r="DKF10" s="158"/>
      <c r="DKG10" s="158"/>
      <c r="DKH10" s="158"/>
      <c r="DKI10" s="158"/>
      <c r="DKJ10" s="158"/>
      <c r="DKK10" s="158"/>
      <c r="DKL10" s="158"/>
      <c r="DKM10" s="158"/>
      <c r="DKN10" s="158"/>
      <c r="DKO10" s="158"/>
      <c r="DKP10" s="158"/>
      <c r="DKQ10" s="158"/>
      <c r="DKR10" s="158"/>
      <c r="DKS10" s="158"/>
      <c r="DKT10" s="158"/>
      <c r="DKU10" s="158"/>
      <c r="DKV10" s="158"/>
      <c r="DKW10" s="158"/>
      <c r="DKX10" s="158"/>
      <c r="DKY10" s="158"/>
      <c r="DKZ10" s="158"/>
      <c r="DLA10" s="158"/>
      <c r="DLB10" s="158"/>
      <c r="DLC10" s="158"/>
      <c r="DLD10" s="158"/>
      <c r="DLE10" s="158"/>
      <c r="DLF10" s="158"/>
      <c r="DLG10" s="158"/>
      <c r="DLH10" s="158"/>
      <c r="DLI10" s="158"/>
      <c r="DLJ10" s="158"/>
      <c r="DLK10" s="158"/>
      <c r="DLL10" s="158"/>
      <c r="DLM10" s="158"/>
      <c r="DLN10" s="158"/>
      <c r="DLO10" s="158"/>
      <c r="DLP10" s="158"/>
      <c r="DLQ10" s="158"/>
      <c r="DLR10" s="158"/>
      <c r="DLS10" s="158"/>
      <c r="DLT10" s="158"/>
      <c r="DLU10" s="158"/>
      <c r="DLV10" s="158"/>
      <c r="DLW10" s="158"/>
      <c r="DLX10" s="158"/>
      <c r="DLY10" s="158"/>
      <c r="DLZ10" s="158"/>
      <c r="DMA10" s="158"/>
      <c r="DMB10" s="158"/>
      <c r="DMC10" s="158"/>
      <c r="DMD10" s="158"/>
      <c r="DME10" s="158"/>
      <c r="DMF10" s="158"/>
      <c r="DMG10" s="158"/>
      <c r="DMH10" s="158"/>
      <c r="DMI10" s="158"/>
      <c r="DMJ10" s="158"/>
      <c r="DMK10" s="158"/>
      <c r="DML10" s="158"/>
      <c r="DMM10" s="158"/>
      <c r="DMN10" s="158"/>
      <c r="DMO10" s="158"/>
      <c r="DMP10" s="158"/>
      <c r="DMQ10" s="158"/>
      <c r="DMR10" s="158"/>
      <c r="DMS10" s="158"/>
      <c r="DMT10" s="158"/>
      <c r="DMU10" s="158"/>
      <c r="DMV10" s="158"/>
      <c r="DMW10" s="158"/>
      <c r="DMX10" s="158"/>
      <c r="DMY10" s="158"/>
      <c r="DMZ10" s="158"/>
      <c r="DNA10" s="158"/>
      <c r="DNB10" s="158"/>
      <c r="DNC10" s="158"/>
      <c r="DND10" s="158"/>
      <c r="DNE10" s="158"/>
      <c r="DNF10" s="158"/>
      <c r="DNG10" s="158"/>
      <c r="DNH10" s="158"/>
      <c r="DNI10" s="158"/>
      <c r="DNJ10" s="158"/>
      <c r="DNK10" s="158"/>
      <c r="DNL10" s="158"/>
      <c r="DNM10" s="158"/>
      <c r="DNN10" s="158"/>
      <c r="DNO10" s="158"/>
      <c r="DNP10" s="158"/>
      <c r="DNQ10" s="158"/>
      <c r="DNR10" s="158"/>
      <c r="DNS10" s="158"/>
      <c r="DNT10" s="158"/>
      <c r="DNU10" s="158"/>
      <c r="DNV10" s="158"/>
      <c r="DNW10" s="158"/>
      <c r="DNX10" s="158"/>
      <c r="DNY10" s="158"/>
      <c r="DNZ10" s="158"/>
      <c r="DOA10" s="158"/>
      <c r="DOB10" s="158"/>
      <c r="DOC10" s="158"/>
      <c r="DOD10" s="158"/>
      <c r="DOE10" s="158"/>
      <c r="DOF10" s="158"/>
      <c r="DOG10" s="158"/>
      <c r="DOH10" s="158"/>
      <c r="DOI10" s="158"/>
      <c r="DOJ10" s="158"/>
      <c r="DOK10" s="158"/>
      <c r="DOL10" s="158"/>
      <c r="DOM10" s="158"/>
      <c r="DON10" s="158"/>
      <c r="DOO10" s="158"/>
      <c r="DOP10" s="158"/>
      <c r="DOQ10" s="158"/>
      <c r="DOR10" s="158"/>
      <c r="DOS10" s="158"/>
      <c r="DOT10" s="158"/>
      <c r="DOU10" s="158"/>
      <c r="DOV10" s="158"/>
      <c r="DOW10" s="158"/>
      <c r="DOX10" s="158"/>
      <c r="DOY10" s="158"/>
      <c r="DOZ10" s="158"/>
      <c r="DPA10" s="158"/>
      <c r="DPB10" s="158"/>
      <c r="DPC10" s="158"/>
      <c r="DPD10" s="158"/>
      <c r="DPE10" s="158"/>
      <c r="DPF10" s="158"/>
      <c r="DPG10" s="158"/>
      <c r="DPH10" s="158"/>
      <c r="DPI10" s="158"/>
      <c r="DPJ10" s="158"/>
      <c r="DPK10" s="158"/>
      <c r="DPL10" s="158"/>
      <c r="DPM10" s="158"/>
      <c r="DPN10" s="158"/>
      <c r="DPO10" s="158"/>
      <c r="DPP10" s="158"/>
      <c r="DPQ10" s="158"/>
      <c r="DPR10" s="158"/>
      <c r="DPS10" s="158"/>
      <c r="DPT10" s="158"/>
      <c r="DPU10" s="158"/>
      <c r="DPV10" s="158"/>
      <c r="DPW10" s="158"/>
      <c r="DPX10" s="158"/>
      <c r="DPY10" s="158"/>
      <c r="DPZ10" s="158"/>
      <c r="DQA10" s="158"/>
      <c r="DQB10" s="158"/>
      <c r="DQC10" s="158"/>
      <c r="DQD10" s="158"/>
      <c r="DQE10" s="158"/>
      <c r="DQF10" s="158"/>
      <c r="DQG10" s="158"/>
      <c r="DQH10" s="158"/>
      <c r="DQI10" s="158"/>
      <c r="DQJ10" s="158"/>
      <c r="DQK10" s="158"/>
      <c r="DQL10" s="158"/>
      <c r="DQM10" s="158"/>
      <c r="DQN10" s="158"/>
      <c r="DQO10" s="158"/>
      <c r="DQP10" s="158"/>
      <c r="DQQ10" s="158"/>
      <c r="DQR10" s="158"/>
      <c r="DQS10" s="158"/>
      <c r="DQT10" s="158"/>
      <c r="DQU10" s="158"/>
      <c r="DQV10" s="158"/>
      <c r="DQW10" s="158"/>
      <c r="DQX10" s="158"/>
      <c r="DQY10" s="158"/>
      <c r="DQZ10" s="158"/>
      <c r="DRA10" s="158"/>
      <c r="DRB10" s="158"/>
      <c r="DRC10" s="158"/>
      <c r="DRD10" s="158"/>
      <c r="DRE10" s="158"/>
      <c r="DRF10" s="158"/>
      <c r="DRG10" s="158"/>
      <c r="DRH10" s="158"/>
      <c r="DRI10" s="158"/>
      <c r="DRJ10" s="158"/>
      <c r="DRK10" s="158"/>
      <c r="DRL10" s="158"/>
      <c r="DRM10" s="158"/>
      <c r="DRN10" s="158"/>
      <c r="DRO10" s="158"/>
      <c r="DRP10" s="158"/>
      <c r="DRQ10" s="158"/>
      <c r="DRR10" s="158"/>
      <c r="DRS10" s="158"/>
      <c r="DRT10" s="158"/>
      <c r="DRU10" s="158"/>
      <c r="DRV10" s="158"/>
      <c r="DRW10" s="158"/>
      <c r="DRX10" s="158"/>
      <c r="DRY10" s="158"/>
      <c r="DRZ10" s="158"/>
      <c r="DSA10" s="158"/>
      <c r="DSB10" s="158"/>
      <c r="DSC10" s="158"/>
      <c r="DSD10" s="158"/>
      <c r="DSE10" s="158"/>
      <c r="DSF10" s="158"/>
      <c r="DSG10" s="158"/>
      <c r="DSH10" s="158"/>
      <c r="DSI10" s="158"/>
      <c r="DSJ10" s="158"/>
      <c r="DSK10" s="158"/>
      <c r="DSL10" s="158"/>
      <c r="DSM10" s="158"/>
      <c r="DSN10" s="158"/>
      <c r="DSO10" s="158"/>
      <c r="DSP10" s="158"/>
      <c r="DSQ10" s="158"/>
      <c r="DSR10" s="158"/>
      <c r="DSS10" s="158"/>
      <c r="DST10" s="158"/>
      <c r="DSU10" s="158"/>
      <c r="DSV10" s="158"/>
      <c r="DSW10" s="158"/>
      <c r="DSX10" s="158"/>
      <c r="DSY10" s="158"/>
      <c r="DSZ10" s="158"/>
      <c r="DTA10" s="158"/>
      <c r="DTB10" s="158"/>
      <c r="DTC10" s="158"/>
      <c r="DTD10" s="158"/>
      <c r="DTE10" s="158"/>
      <c r="DTF10" s="158"/>
      <c r="DTG10" s="158"/>
      <c r="DTH10" s="158"/>
      <c r="DTI10" s="158"/>
      <c r="DTJ10" s="158"/>
      <c r="DTK10" s="158"/>
      <c r="DTL10" s="158"/>
      <c r="DTM10" s="158"/>
      <c r="DTN10" s="158"/>
      <c r="DTO10" s="158"/>
      <c r="DTP10" s="158"/>
      <c r="DTQ10" s="158"/>
      <c r="DTR10" s="158"/>
      <c r="DTS10" s="158"/>
      <c r="DTT10" s="158"/>
      <c r="DTU10" s="158"/>
      <c r="DTV10" s="158"/>
      <c r="DTW10" s="158"/>
      <c r="DTX10" s="158"/>
      <c r="DTY10" s="158"/>
      <c r="DTZ10" s="158"/>
      <c r="DUA10" s="158"/>
      <c r="DUB10" s="158"/>
      <c r="DUC10" s="158"/>
      <c r="DUD10" s="158"/>
      <c r="DUE10" s="158"/>
      <c r="DUF10" s="158"/>
      <c r="DUG10" s="158"/>
      <c r="DUH10" s="158"/>
      <c r="DUI10" s="158"/>
      <c r="DUJ10" s="158"/>
      <c r="DUK10" s="158"/>
      <c r="DUL10" s="158"/>
      <c r="DUM10" s="158"/>
      <c r="DUN10" s="158"/>
      <c r="DUO10" s="158"/>
      <c r="DUP10" s="158"/>
      <c r="DUQ10" s="158"/>
      <c r="DUR10" s="158"/>
      <c r="DUS10" s="158"/>
      <c r="DUT10" s="158"/>
      <c r="DUU10" s="158"/>
      <c r="DUV10" s="158"/>
      <c r="DUW10" s="158"/>
      <c r="DUX10" s="158"/>
      <c r="DUY10" s="158"/>
      <c r="DUZ10" s="158"/>
      <c r="DVA10" s="158"/>
      <c r="DVB10" s="158"/>
      <c r="DVC10" s="158"/>
      <c r="DVD10" s="158"/>
      <c r="DVE10" s="158"/>
      <c r="DVF10" s="158"/>
      <c r="DVG10" s="158"/>
      <c r="DVH10" s="158"/>
      <c r="DVI10" s="158"/>
      <c r="DVJ10" s="158"/>
      <c r="DVK10" s="158"/>
      <c r="DVL10" s="158"/>
      <c r="DVM10" s="158"/>
      <c r="DVN10" s="158"/>
      <c r="DVO10" s="158"/>
      <c r="DVP10" s="158"/>
      <c r="DVQ10" s="158"/>
      <c r="DVR10" s="158"/>
      <c r="DVS10" s="158"/>
      <c r="DVT10" s="158"/>
      <c r="DVU10" s="158"/>
      <c r="DVV10" s="158"/>
      <c r="DVW10" s="158"/>
      <c r="DVX10" s="158"/>
      <c r="DVY10" s="158"/>
      <c r="DVZ10" s="158"/>
      <c r="DWA10" s="158"/>
      <c r="DWB10" s="158"/>
      <c r="DWC10" s="158"/>
      <c r="DWD10" s="158"/>
      <c r="DWE10" s="158"/>
      <c r="DWF10" s="158"/>
      <c r="DWG10" s="158"/>
      <c r="DWH10" s="158"/>
      <c r="DWI10" s="158"/>
      <c r="DWJ10" s="158"/>
      <c r="DWK10" s="158"/>
      <c r="DWL10" s="158"/>
      <c r="DWM10" s="158"/>
      <c r="DWN10" s="158"/>
      <c r="DWO10" s="158"/>
      <c r="DWP10" s="158"/>
      <c r="DWQ10" s="158"/>
      <c r="DWR10" s="158"/>
      <c r="DWS10" s="158"/>
      <c r="DWT10" s="158"/>
      <c r="DWU10" s="158"/>
      <c r="DWV10" s="158"/>
      <c r="DWW10" s="158"/>
      <c r="DWX10" s="158"/>
      <c r="DWY10" s="158"/>
      <c r="DWZ10" s="158"/>
      <c r="DXA10" s="158"/>
      <c r="DXB10" s="158"/>
      <c r="DXC10" s="158"/>
      <c r="DXD10" s="158"/>
      <c r="DXE10" s="158"/>
      <c r="DXF10" s="158"/>
      <c r="DXG10" s="158"/>
      <c r="DXH10" s="158"/>
      <c r="DXI10" s="158"/>
      <c r="DXJ10" s="158"/>
      <c r="DXK10" s="158"/>
      <c r="DXL10" s="158"/>
      <c r="DXM10" s="158"/>
      <c r="DXN10" s="158"/>
      <c r="DXO10" s="158"/>
      <c r="DXP10" s="158"/>
      <c r="DXQ10" s="158"/>
      <c r="DXR10" s="158"/>
      <c r="DXS10" s="158"/>
      <c r="DXT10" s="158"/>
      <c r="DXU10" s="158"/>
      <c r="DXV10" s="158"/>
      <c r="DXW10" s="158"/>
      <c r="DXX10" s="158"/>
      <c r="DXY10" s="158"/>
      <c r="DXZ10" s="158"/>
      <c r="DYA10" s="158"/>
      <c r="DYB10" s="158"/>
      <c r="DYC10" s="158"/>
      <c r="DYD10" s="158"/>
      <c r="DYE10" s="158"/>
      <c r="DYF10" s="158"/>
      <c r="DYG10" s="158"/>
      <c r="DYH10" s="158"/>
      <c r="DYI10" s="158"/>
      <c r="DYJ10" s="158"/>
      <c r="DYK10" s="158"/>
      <c r="DYL10" s="158"/>
      <c r="DYM10" s="158"/>
      <c r="DYN10" s="158"/>
      <c r="DYO10" s="158"/>
      <c r="DYP10" s="158"/>
      <c r="DYQ10" s="158"/>
      <c r="DYR10" s="158"/>
      <c r="DYS10" s="158"/>
      <c r="DYT10" s="158"/>
      <c r="DYU10" s="158"/>
      <c r="DYV10" s="158"/>
      <c r="DYW10" s="158"/>
      <c r="DYX10" s="158"/>
      <c r="DYY10" s="158"/>
      <c r="DYZ10" s="158"/>
      <c r="DZA10" s="158"/>
      <c r="DZB10" s="158"/>
      <c r="DZC10" s="158"/>
      <c r="DZD10" s="158"/>
      <c r="DZE10" s="158"/>
      <c r="DZF10" s="158"/>
      <c r="DZG10" s="158"/>
      <c r="DZH10" s="158"/>
      <c r="DZI10" s="158"/>
      <c r="DZJ10" s="158"/>
      <c r="DZK10" s="158"/>
      <c r="DZL10" s="158"/>
      <c r="DZM10" s="158"/>
      <c r="DZN10" s="158"/>
      <c r="DZO10" s="158"/>
      <c r="DZP10" s="158"/>
      <c r="DZQ10" s="158"/>
      <c r="DZR10" s="158"/>
      <c r="DZS10" s="158"/>
      <c r="DZT10" s="158"/>
      <c r="DZU10" s="158"/>
      <c r="DZV10" s="158"/>
      <c r="DZW10" s="158"/>
      <c r="DZX10" s="158"/>
      <c r="DZY10" s="158"/>
      <c r="DZZ10" s="158"/>
      <c r="EAA10" s="158"/>
      <c r="EAB10" s="158"/>
      <c r="EAC10" s="158"/>
      <c r="EAD10" s="158"/>
      <c r="EAE10" s="158"/>
      <c r="EAF10" s="158"/>
      <c r="EAG10" s="158"/>
      <c r="EAH10" s="158"/>
      <c r="EAI10" s="158"/>
      <c r="EAJ10" s="158"/>
      <c r="EAK10" s="158"/>
      <c r="EAL10" s="158"/>
      <c r="EAM10" s="158"/>
      <c r="EAN10" s="158"/>
      <c r="EAO10" s="158"/>
      <c r="EAP10" s="158"/>
      <c r="EAQ10" s="158"/>
      <c r="EAR10" s="158"/>
      <c r="EAS10" s="158"/>
      <c r="EAT10" s="158"/>
      <c r="EAU10" s="158"/>
      <c r="EAV10" s="158"/>
      <c r="EAW10" s="158"/>
      <c r="EAX10" s="158"/>
      <c r="EAY10" s="158"/>
      <c r="EAZ10" s="158"/>
      <c r="EBA10" s="158"/>
      <c r="EBB10" s="158"/>
      <c r="EBC10" s="158"/>
      <c r="EBD10" s="158"/>
      <c r="EBE10" s="158"/>
      <c r="EBF10" s="158"/>
      <c r="EBG10" s="158"/>
      <c r="EBH10" s="158"/>
      <c r="EBI10" s="158"/>
      <c r="EBJ10" s="158"/>
      <c r="EBK10" s="158"/>
      <c r="EBL10" s="158"/>
      <c r="EBM10" s="158"/>
      <c r="EBN10" s="158"/>
      <c r="EBO10" s="158"/>
      <c r="EBP10" s="158"/>
      <c r="EBQ10" s="158"/>
      <c r="EBR10" s="158"/>
      <c r="EBS10" s="158"/>
      <c r="EBT10" s="158"/>
      <c r="EBU10" s="158"/>
      <c r="EBV10" s="158"/>
      <c r="EBW10" s="158"/>
      <c r="EBX10" s="158"/>
      <c r="EBY10" s="158"/>
      <c r="EBZ10" s="158"/>
      <c r="ECA10" s="158"/>
      <c r="ECB10" s="158"/>
      <c r="ECC10" s="158"/>
      <c r="ECD10" s="158"/>
      <c r="ECE10" s="158"/>
      <c r="ECF10" s="158"/>
      <c r="ECG10" s="158"/>
      <c r="ECH10" s="158"/>
      <c r="ECI10" s="158"/>
      <c r="ECJ10" s="158"/>
      <c r="ECK10" s="158"/>
      <c r="ECL10" s="158"/>
      <c r="ECM10" s="158"/>
      <c r="ECN10" s="158"/>
      <c r="ECO10" s="158"/>
      <c r="ECP10" s="158"/>
      <c r="ECQ10" s="158"/>
      <c r="ECR10" s="158"/>
      <c r="ECS10" s="158"/>
      <c r="ECT10" s="158"/>
      <c r="ECU10" s="158"/>
      <c r="ECV10" s="158"/>
      <c r="ECW10" s="158"/>
      <c r="ECX10" s="158"/>
      <c r="ECY10" s="158"/>
      <c r="ECZ10" s="158"/>
      <c r="EDA10" s="158"/>
      <c r="EDB10" s="158"/>
      <c r="EDC10" s="158"/>
      <c r="EDD10" s="158"/>
      <c r="EDE10" s="158"/>
      <c r="EDF10" s="158"/>
      <c r="EDG10" s="158"/>
      <c r="EDH10" s="158"/>
      <c r="EDI10" s="158"/>
      <c r="EDJ10" s="158"/>
      <c r="EDK10" s="158"/>
      <c r="EDL10" s="158"/>
      <c r="EDM10" s="158"/>
      <c r="EDN10" s="158"/>
      <c r="EDO10" s="158"/>
      <c r="EDP10" s="158"/>
      <c r="EDQ10" s="158"/>
      <c r="EDR10" s="158"/>
      <c r="EDS10" s="158"/>
      <c r="EDT10" s="158"/>
      <c r="EDU10" s="158"/>
      <c r="EDV10" s="158"/>
      <c r="EDW10" s="158"/>
      <c r="EDX10" s="158"/>
      <c r="EDY10" s="158"/>
      <c r="EDZ10" s="158"/>
      <c r="EEA10" s="158"/>
      <c r="EEB10" s="158"/>
      <c r="EEC10" s="158"/>
      <c r="EED10" s="158"/>
      <c r="EEE10" s="158"/>
      <c r="EEF10" s="158"/>
      <c r="EEG10" s="158"/>
      <c r="EEH10" s="158"/>
      <c r="EEI10" s="158"/>
      <c r="EEJ10" s="158"/>
      <c r="EEK10" s="158"/>
      <c r="EEL10" s="158"/>
      <c r="EEM10" s="158"/>
      <c r="EEN10" s="158"/>
      <c r="EEO10" s="158"/>
      <c r="EEP10" s="158"/>
      <c r="EEQ10" s="158"/>
      <c r="EER10" s="158"/>
      <c r="EES10" s="158"/>
      <c r="EET10" s="158"/>
      <c r="EEU10" s="158"/>
      <c r="EEV10" s="158"/>
      <c r="EEW10" s="158"/>
      <c r="EEX10" s="158"/>
      <c r="EEY10" s="158"/>
      <c r="EEZ10" s="158"/>
      <c r="EFA10" s="158"/>
      <c r="EFB10" s="158"/>
      <c r="EFC10" s="158"/>
      <c r="EFD10" s="158"/>
      <c r="EFE10" s="158"/>
      <c r="EFF10" s="158"/>
      <c r="EFG10" s="158"/>
      <c r="EFH10" s="158"/>
      <c r="EFI10" s="158"/>
      <c r="EFJ10" s="158"/>
      <c r="EFK10" s="158"/>
      <c r="EFL10" s="158"/>
      <c r="EFM10" s="158"/>
      <c r="EFN10" s="158"/>
      <c r="EFO10" s="158"/>
      <c r="EFP10" s="158"/>
      <c r="EFQ10" s="158"/>
      <c r="EFR10" s="158"/>
      <c r="EFS10" s="158"/>
      <c r="EFT10" s="158"/>
      <c r="EFU10" s="158"/>
      <c r="EFV10" s="158"/>
      <c r="EFW10" s="158"/>
      <c r="EFX10" s="158"/>
      <c r="EFY10" s="158"/>
      <c r="EFZ10" s="158"/>
      <c r="EGA10" s="158"/>
      <c r="EGB10" s="158"/>
      <c r="EGC10" s="158"/>
      <c r="EGD10" s="158"/>
      <c r="EGE10" s="158"/>
      <c r="EGF10" s="158"/>
      <c r="EGG10" s="158"/>
      <c r="EGH10" s="158"/>
      <c r="EGI10" s="158"/>
      <c r="EGJ10" s="158"/>
      <c r="EGK10" s="158"/>
      <c r="EGL10" s="158"/>
      <c r="EGM10" s="158"/>
      <c r="EGN10" s="158"/>
      <c r="EGO10" s="158"/>
      <c r="EGP10" s="158"/>
      <c r="EGQ10" s="158"/>
      <c r="EGR10" s="158"/>
      <c r="EGS10" s="158"/>
      <c r="EGT10" s="158"/>
      <c r="EGU10" s="158"/>
      <c r="EGV10" s="158"/>
      <c r="EGW10" s="158"/>
      <c r="EGX10" s="158"/>
      <c r="EGY10" s="158"/>
      <c r="EGZ10" s="158"/>
      <c r="EHA10" s="158"/>
      <c r="EHB10" s="158"/>
      <c r="EHC10" s="158"/>
      <c r="EHD10" s="158"/>
      <c r="EHE10" s="158"/>
      <c r="EHF10" s="158"/>
      <c r="EHG10" s="158"/>
      <c r="EHH10" s="158"/>
      <c r="EHI10" s="158"/>
      <c r="EHJ10" s="158"/>
      <c r="EHK10" s="158"/>
      <c r="EHL10" s="158"/>
      <c r="EHM10" s="158"/>
      <c r="EHN10" s="158"/>
      <c r="EHO10" s="158"/>
      <c r="EHP10" s="158"/>
      <c r="EHQ10" s="158"/>
      <c r="EHR10" s="158"/>
      <c r="EHS10" s="158"/>
      <c r="EHT10" s="158"/>
      <c r="EHU10" s="158"/>
      <c r="EHV10" s="158"/>
      <c r="EHW10" s="158"/>
      <c r="EHX10" s="158"/>
      <c r="EHY10" s="158"/>
      <c r="EHZ10" s="158"/>
      <c r="EIA10" s="158"/>
      <c r="EIB10" s="158"/>
      <c r="EIC10" s="158"/>
      <c r="EID10" s="158"/>
      <c r="EIE10" s="158"/>
      <c r="EIF10" s="158"/>
      <c r="EIG10" s="158"/>
      <c r="EIH10" s="158"/>
      <c r="EII10" s="158"/>
      <c r="EIJ10" s="158"/>
      <c r="EIK10" s="158"/>
      <c r="EIL10" s="158"/>
      <c r="EIM10" s="158"/>
      <c r="EIN10" s="158"/>
      <c r="EIO10" s="158"/>
      <c r="EIP10" s="158"/>
      <c r="EIQ10" s="158"/>
      <c r="EIR10" s="158"/>
      <c r="EIS10" s="158"/>
      <c r="EIT10" s="158"/>
      <c r="EIU10" s="158"/>
      <c r="EIV10" s="158"/>
      <c r="EIW10" s="158"/>
      <c r="EIX10" s="158"/>
      <c r="EIY10" s="158"/>
      <c r="EIZ10" s="158"/>
      <c r="EJA10" s="158"/>
      <c r="EJB10" s="158"/>
      <c r="EJC10" s="158"/>
      <c r="EJD10" s="158"/>
      <c r="EJE10" s="158"/>
      <c r="EJF10" s="158"/>
      <c r="EJG10" s="158"/>
      <c r="EJH10" s="158"/>
      <c r="EJI10" s="158"/>
      <c r="EJJ10" s="158"/>
      <c r="EJK10" s="158"/>
      <c r="EJL10" s="158"/>
      <c r="EJM10" s="158"/>
      <c r="EJN10" s="158"/>
      <c r="EJO10" s="158"/>
      <c r="EJP10" s="158"/>
      <c r="EJQ10" s="158"/>
      <c r="EJR10" s="158"/>
      <c r="EJS10" s="158"/>
      <c r="EJT10" s="158"/>
      <c r="EJU10" s="158"/>
      <c r="EJV10" s="158"/>
      <c r="EJW10" s="158"/>
      <c r="EJX10" s="158"/>
      <c r="EJY10" s="158"/>
      <c r="EJZ10" s="158"/>
      <c r="EKA10" s="158"/>
      <c r="EKB10" s="158"/>
      <c r="EKC10" s="158"/>
      <c r="EKD10" s="158"/>
      <c r="EKE10" s="158"/>
      <c r="EKF10" s="158"/>
      <c r="EKG10" s="158"/>
      <c r="EKH10" s="158"/>
      <c r="EKI10" s="158"/>
      <c r="EKJ10" s="158"/>
      <c r="EKK10" s="158"/>
      <c r="EKL10" s="158"/>
      <c r="EKM10" s="158"/>
      <c r="EKN10" s="158"/>
      <c r="EKO10" s="158"/>
      <c r="EKP10" s="158"/>
      <c r="EKQ10" s="158"/>
      <c r="EKR10" s="158"/>
      <c r="EKS10" s="158"/>
      <c r="EKT10" s="158"/>
      <c r="EKU10" s="158"/>
      <c r="EKV10" s="158"/>
      <c r="EKW10" s="158"/>
      <c r="EKX10" s="158"/>
      <c r="EKY10" s="158"/>
      <c r="EKZ10" s="158"/>
      <c r="ELA10" s="158"/>
      <c r="ELB10" s="158"/>
      <c r="ELC10" s="158"/>
      <c r="ELD10" s="158"/>
      <c r="ELE10" s="158"/>
      <c r="ELF10" s="158"/>
      <c r="ELG10" s="158"/>
      <c r="ELH10" s="158"/>
      <c r="ELI10" s="158"/>
      <c r="ELJ10" s="158"/>
      <c r="ELK10" s="158"/>
      <c r="ELL10" s="158"/>
      <c r="ELM10" s="158"/>
      <c r="ELN10" s="158"/>
      <c r="ELO10" s="158"/>
      <c r="ELP10" s="158"/>
      <c r="ELQ10" s="158"/>
      <c r="ELR10" s="158"/>
      <c r="ELS10" s="158"/>
      <c r="ELT10" s="158"/>
      <c r="ELU10" s="158"/>
      <c r="ELV10" s="158"/>
      <c r="ELW10" s="158"/>
      <c r="ELX10" s="158"/>
      <c r="ELY10" s="158"/>
      <c r="ELZ10" s="158"/>
      <c r="EMA10" s="158"/>
      <c r="EMB10" s="158"/>
      <c r="EMC10" s="158"/>
      <c r="EMD10" s="158"/>
      <c r="EME10" s="158"/>
      <c r="EMF10" s="158"/>
      <c r="EMG10" s="158"/>
      <c r="EMH10" s="158"/>
      <c r="EMI10" s="158"/>
      <c r="EMJ10" s="158"/>
      <c r="EMK10" s="158"/>
      <c r="EML10" s="158"/>
      <c r="EMM10" s="158"/>
      <c r="EMN10" s="158"/>
      <c r="EMO10" s="158"/>
      <c r="EMP10" s="158"/>
      <c r="EMQ10" s="158"/>
      <c r="EMR10" s="158"/>
      <c r="EMS10" s="158"/>
      <c r="EMT10" s="158"/>
      <c r="EMU10" s="158"/>
      <c r="EMV10" s="158"/>
      <c r="EMW10" s="158"/>
      <c r="EMX10" s="158"/>
      <c r="EMY10" s="158"/>
      <c r="EMZ10" s="158"/>
      <c r="ENA10" s="158"/>
      <c r="ENB10" s="158"/>
      <c r="ENC10" s="158"/>
      <c r="END10" s="158"/>
      <c r="ENE10" s="158"/>
      <c r="ENF10" s="158"/>
      <c r="ENG10" s="158"/>
      <c r="ENH10" s="158"/>
      <c r="ENI10" s="158"/>
      <c r="ENJ10" s="158"/>
      <c r="ENK10" s="158"/>
      <c r="ENL10" s="158"/>
      <c r="ENM10" s="158"/>
      <c r="ENN10" s="158"/>
      <c r="ENO10" s="158"/>
      <c r="ENP10" s="158"/>
      <c r="ENQ10" s="158"/>
      <c r="ENR10" s="158"/>
      <c r="ENS10" s="158"/>
      <c r="ENT10" s="158"/>
      <c r="ENU10" s="158"/>
      <c r="ENV10" s="158"/>
      <c r="ENW10" s="158"/>
      <c r="ENX10" s="158"/>
      <c r="ENY10" s="158"/>
      <c r="ENZ10" s="158"/>
      <c r="EOA10" s="158"/>
      <c r="EOB10" s="158"/>
      <c r="EOC10" s="158"/>
      <c r="EOD10" s="158"/>
      <c r="EOE10" s="158"/>
      <c r="EOF10" s="158"/>
      <c r="EOG10" s="158"/>
      <c r="EOH10" s="158"/>
      <c r="EOI10" s="158"/>
      <c r="EOJ10" s="158"/>
      <c r="EOK10" s="158"/>
      <c r="EOL10" s="158"/>
      <c r="EOM10" s="158"/>
      <c r="EON10" s="158"/>
      <c r="EOO10" s="158"/>
      <c r="EOP10" s="158"/>
      <c r="EOQ10" s="158"/>
      <c r="EOR10" s="158"/>
      <c r="EOS10" s="158"/>
      <c r="EOT10" s="158"/>
      <c r="EOU10" s="158"/>
      <c r="EOV10" s="158"/>
      <c r="EOW10" s="158"/>
      <c r="EOX10" s="158"/>
      <c r="EOY10" s="158"/>
      <c r="EOZ10" s="158"/>
      <c r="EPA10" s="158"/>
      <c r="EPB10" s="158"/>
      <c r="EPC10" s="158"/>
      <c r="EPD10" s="158"/>
      <c r="EPE10" s="158"/>
      <c r="EPF10" s="158"/>
      <c r="EPG10" s="158"/>
      <c r="EPH10" s="158"/>
      <c r="EPI10" s="158"/>
      <c r="EPJ10" s="158"/>
      <c r="EPK10" s="158"/>
      <c r="EPL10" s="158"/>
      <c r="EPM10" s="158"/>
      <c r="EPN10" s="158"/>
      <c r="EPO10" s="158"/>
      <c r="EPP10" s="158"/>
      <c r="EPQ10" s="158"/>
      <c r="EPR10" s="158"/>
      <c r="EPS10" s="158"/>
      <c r="EPT10" s="158"/>
      <c r="EPU10" s="158"/>
      <c r="EPV10" s="158"/>
      <c r="EPW10" s="158"/>
      <c r="EPX10" s="158"/>
      <c r="EPY10" s="158"/>
      <c r="EPZ10" s="158"/>
      <c r="EQA10" s="158"/>
      <c r="EQB10" s="158"/>
      <c r="EQC10" s="158"/>
      <c r="EQD10" s="158"/>
      <c r="EQE10" s="158"/>
      <c r="EQF10" s="158"/>
      <c r="EQG10" s="158"/>
      <c r="EQH10" s="158"/>
      <c r="EQI10" s="158"/>
      <c r="EQJ10" s="158"/>
      <c r="EQK10" s="158"/>
      <c r="EQL10" s="158"/>
      <c r="EQM10" s="158"/>
      <c r="EQN10" s="158"/>
      <c r="EQO10" s="158"/>
      <c r="EQP10" s="158"/>
      <c r="EQQ10" s="158"/>
      <c r="EQR10" s="158"/>
      <c r="EQS10" s="158"/>
      <c r="EQT10" s="158"/>
      <c r="EQU10" s="158"/>
      <c r="EQV10" s="158"/>
      <c r="EQW10" s="158"/>
      <c r="EQX10" s="158"/>
      <c r="EQY10" s="158"/>
      <c r="EQZ10" s="158"/>
      <c r="ERA10" s="158"/>
      <c r="ERB10" s="158"/>
      <c r="ERC10" s="158"/>
      <c r="ERD10" s="158"/>
      <c r="ERE10" s="158"/>
      <c r="ERF10" s="158"/>
      <c r="ERG10" s="158"/>
      <c r="ERH10" s="158"/>
      <c r="ERI10" s="158"/>
      <c r="ERJ10" s="158"/>
      <c r="ERK10" s="158"/>
      <c r="ERL10" s="158"/>
      <c r="ERM10" s="158"/>
      <c r="ERN10" s="158"/>
      <c r="ERO10" s="158"/>
      <c r="ERP10" s="158"/>
      <c r="ERQ10" s="158"/>
      <c r="ERR10" s="158"/>
      <c r="ERS10" s="158"/>
      <c r="ERT10" s="158"/>
      <c r="ERU10" s="158"/>
      <c r="ERV10" s="158"/>
      <c r="ERW10" s="158"/>
      <c r="ERX10" s="158"/>
      <c r="ERY10" s="158"/>
      <c r="ERZ10" s="158"/>
      <c r="ESA10" s="158"/>
      <c r="ESB10" s="158"/>
      <c r="ESC10" s="158"/>
      <c r="ESD10" s="158"/>
      <c r="ESE10" s="158"/>
      <c r="ESF10" s="158"/>
      <c r="ESG10" s="158"/>
      <c r="ESH10" s="158"/>
      <c r="ESI10" s="158"/>
      <c r="ESJ10" s="158"/>
      <c r="ESK10" s="158"/>
      <c r="ESL10" s="158"/>
      <c r="ESM10" s="158"/>
      <c r="ESN10" s="158"/>
      <c r="ESO10" s="158"/>
      <c r="ESP10" s="158"/>
      <c r="ESQ10" s="158"/>
      <c r="ESR10" s="158"/>
      <c r="ESS10" s="158"/>
      <c r="EST10" s="158"/>
      <c r="ESU10" s="158"/>
      <c r="ESV10" s="158"/>
      <c r="ESW10" s="158"/>
      <c r="ESX10" s="158"/>
      <c r="ESY10" s="158"/>
      <c r="ESZ10" s="158"/>
      <c r="ETA10" s="158"/>
      <c r="ETB10" s="158"/>
      <c r="ETC10" s="158"/>
      <c r="ETD10" s="158"/>
      <c r="ETE10" s="158"/>
      <c r="ETF10" s="158"/>
      <c r="ETG10" s="158"/>
      <c r="ETH10" s="158"/>
      <c r="ETI10" s="158"/>
      <c r="ETJ10" s="158"/>
      <c r="ETK10" s="158"/>
      <c r="ETL10" s="158"/>
      <c r="ETM10" s="158"/>
      <c r="ETN10" s="158"/>
      <c r="ETO10" s="158"/>
      <c r="ETP10" s="158"/>
      <c r="ETQ10" s="158"/>
      <c r="ETR10" s="158"/>
      <c r="ETS10" s="158"/>
      <c r="ETT10" s="158"/>
      <c r="ETU10" s="158"/>
      <c r="ETV10" s="158"/>
      <c r="ETW10" s="158"/>
      <c r="ETX10" s="158"/>
      <c r="ETY10" s="158"/>
      <c r="ETZ10" s="158"/>
      <c r="EUA10" s="158"/>
      <c r="EUB10" s="158"/>
      <c r="EUC10" s="158"/>
      <c r="EUD10" s="158"/>
      <c r="EUE10" s="158"/>
      <c r="EUF10" s="158"/>
      <c r="EUG10" s="158"/>
      <c r="EUH10" s="158"/>
      <c r="EUI10" s="158"/>
      <c r="EUJ10" s="158"/>
      <c r="EUK10" s="158"/>
      <c r="EUL10" s="158"/>
      <c r="EUM10" s="158"/>
      <c r="EUN10" s="158"/>
      <c r="EUO10" s="158"/>
      <c r="EUP10" s="158"/>
      <c r="EUQ10" s="158"/>
      <c r="EUR10" s="158"/>
      <c r="EUS10" s="158"/>
      <c r="EUT10" s="158"/>
      <c r="EUU10" s="158"/>
      <c r="EUV10" s="158"/>
      <c r="EUW10" s="158"/>
      <c r="EUX10" s="158"/>
      <c r="EUY10" s="158"/>
      <c r="EUZ10" s="158"/>
      <c r="EVA10" s="158"/>
      <c r="EVB10" s="158"/>
      <c r="EVC10" s="158"/>
      <c r="EVD10" s="158"/>
      <c r="EVE10" s="158"/>
      <c r="EVF10" s="158"/>
      <c r="EVG10" s="158"/>
      <c r="EVH10" s="158"/>
      <c r="EVI10" s="158"/>
      <c r="EVJ10" s="158"/>
      <c r="EVK10" s="158"/>
      <c r="EVL10" s="158"/>
      <c r="EVM10" s="158"/>
      <c r="EVN10" s="158"/>
      <c r="EVO10" s="158"/>
      <c r="EVP10" s="158"/>
      <c r="EVQ10" s="158"/>
      <c r="EVR10" s="158"/>
      <c r="EVS10" s="158"/>
      <c r="EVT10" s="158"/>
      <c r="EVU10" s="158"/>
      <c r="EVV10" s="158"/>
      <c r="EVW10" s="158"/>
      <c r="EVX10" s="158"/>
      <c r="EVY10" s="158"/>
      <c r="EVZ10" s="158"/>
      <c r="EWA10" s="158"/>
      <c r="EWB10" s="158"/>
      <c r="EWC10" s="158"/>
      <c r="EWD10" s="158"/>
      <c r="EWE10" s="158"/>
      <c r="EWF10" s="158"/>
      <c r="EWG10" s="158"/>
      <c r="EWH10" s="158"/>
      <c r="EWI10" s="158"/>
      <c r="EWJ10" s="158"/>
      <c r="EWK10" s="158"/>
      <c r="EWL10" s="158"/>
      <c r="EWM10" s="158"/>
      <c r="EWN10" s="158"/>
      <c r="EWO10" s="158"/>
      <c r="EWP10" s="158"/>
      <c r="EWQ10" s="158"/>
      <c r="EWR10" s="158"/>
      <c r="EWS10" s="158"/>
      <c r="EWT10" s="158"/>
      <c r="EWU10" s="158"/>
      <c r="EWV10" s="158"/>
      <c r="EWW10" s="158"/>
      <c r="EWX10" s="158"/>
      <c r="EWY10" s="158"/>
      <c r="EWZ10" s="158"/>
      <c r="EXA10" s="158"/>
      <c r="EXB10" s="158"/>
      <c r="EXC10" s="158"/>
      <c r="EXD10" s="158"/>
      <c r="EXE10" s="158"/>
      <c r="EXF10" s="158"/>
      <c r="EXG10" s="158"/>
      <c r="EXH10" s="158"/>
      <c r="EXI10" s="158"/>
      <c r="EXJ10" s="158"/>
      <c r="EXK10" s="158"/>
      <c r="EXL10" s="158"/>
      <c r="EXM10" s="158"/>
      <c r="EXN10" s="158"/>
      <c r="EXO10" s="158"/>
      <c r="EXP10" s="158"/>
      <c r="EXQ10" s="158"/>
      <c r="EXR10" s="158"/>
      <c r="EXS10" s="158"/>
      <c r="EXT10" s="158"/>
      <c r="EXU10" s="158"/>
      <c r="EXV10" s="158"/>
      <c r="EXW10" s="158"/>
      <c r="EXX10" s="158"/>
      <c r="EXY10" s="158"/>
      <c r="EXZ10" s="158"/>
      <c r="EYA10" s="158"/>
      <c r="EYB10" s="158"/>
      <c r="EYC10" s="158"/>
      <c r="EYD10" s="158"/>
      <c r="EYE10" s="158"/>
      <c r="EYF10" s="158"/>
      <c r="EYG10" s="158"/>
      <c r="EYH10" s="158"/>
      <c r="EYI10" s="158"/>
      <c r="EYJ10" s="158"/>
      <c r="EYK10" s="158"/>
      <c r="EYL10" s="158"/>
      <c r="EYM10" s="158"/>
      <c r="EYN10" s="158"/>
      <c r="EYO10" s="158"/>
      <c r="EYP10" s="158"/>
      <c r="EYQ10" s="158"/>
      <c r="EYR10" s="158"/>
      <c r="EYS10" s="158"/>
      <c r="EYT10" s="158"/>
      <c r="EYU10" s="158"/>
      <c r="EYV10" s="158"/>
      <c r="EYW10" s="158"/>
      <c r="EYX10" s="158"/>
      <c r="EYY10" s="158"/>
      <c r="EYZ10" s="158"/>
      <c r="EZA10" s="158"/>
      <c r="EZB10" s="158"/>
      <c r="EZC10" s="158"/>
      <c r="EZD10" s="158"/>
      <c r="EZE10" s="158"/>
      <c r="EZF10" s="158"/>
      <c r="EZG10" s="158"/>
      <c r="EZH10" s="158"/>
      <c r="EZI10" s="158"/>
      <c r="EZJ10" s="158"/>
      <c r="EZK10" s="158"/>
      <c r="EZL10" s="158"/>
      <c r="EZM10" s="158"/>
      <c r="EZN10" s="158"/>
      <c r="EZO10" s="158"/>
      <c r="EZP10" s="158"/>
      <c r="EZQ10" s="158"/>
      <c r="EZR10" s="158"/>
      <c r="EZS10" s="158"/>
      <c r="EZT10" s="158"/>
      <c r="EZU10" s="158"/>
      <c r="EZV10" s="158"/>
      <c r="EZW10" s="158"/>
      <c r="EZX10" s="158"/>
      <c r="EZY10" s="158"/>
      <c r="EZZ10" s="158"/>
      <c r="FAA10" s="158"/>
      <c r="FAB10" s="158"/>
      <c r="FAC10" s="158"/>
      <c r="FAD10" s="158"/>
      <c r="FAE10" s="158"/>
      <c r="FAF10" s="158"/>
      <c r="FAG10" s="158"/>
      <c r="FAH10" s="158"/>
      <c r="FAI10" s="158"/>
      <c r="FAJ10" s="158"/>
      <c r="FAK10" s="158"/>
      <c r="FAL10" s="158"/>
      <c r="FAM10" s="158"/>
      <c r="FAN10" s="158"/>
      <c r="FAO10" s="158"/>
      <c r="FAP10" s="158"/>
      <c r="FAQ10" s="158"/>
      <c r="FAR10" s="158"/>
      <c r="FAS10" s="158"/>
      <c r="FAT10" s="158"/>
      <c r="FAU10" s="158"/>
      <c r="FAV10" s="158"/>
      <c r="FAW10" s="158"/>
      <c r="FAX10" s="158"/>
      <c r="FAY10" s="158"/>
      <c r="FAZ10" s="158"/>
      <c r="FBA10" s="158"/>
      <c r="FBB10" s="158"/>
      <c r="FBC10" s="158"/>
      <c r="FBD10" s="158"/>
      <c r="FBE10" s="158"/>
      <c r="FBF10" s="158"/>
      <c r="FBG10" s="158"/>
      <c r="FBH10" s="158"/>
      <c r="FBI10" s="158"/>
      <c r="FBJ10" s="158"/>
      <c r="FBK10" s="158"/>
      <c r="FBL10" s="158"/>
      <c r="FBM10" s="158"/>
      <c r="FBN10" s="158"/>
      <c r="FBO10" s="158"/>
      <c r="FBP10" s="158"/>
      <c r="FBQ10" s="158"/>
      <c r="FBR10" s="158"/>
      <c r="FBS10" s="158"/>
      <c r="FBT10" s="158"/>
      <c r="FBU10" s="158"/>
      <c r="FBV10" s="158"/>
      <c r="FBW10" s="158"/>
      <c r="FBX10" s="158"/>
      <c r="FBY10" s="158"/>
      <c r="FBZ10" s="158"/>
      <c r="FCA10" s="158"/>
      <c r="FCB10" s="158"/>
      <c r="FCC10" s="158"/>
      <c r="FCD10" s="158"/>
      <c r="FCE10" s="158"/>
      <c r="FCF10" s="158"/>
      <c r="FCG10" s="158"/>
      <c r="FCH10" s="158"/>
      <c r="FCI10" s="158"/>
      <c r="FCJ10" s="158"/>
      <c r="FCK10" s="158"/>
      <c r="FCL10" s="158"/>
      <c r="FCM10" s="158"/>
      <c r="FCN10" s="158"/>
      <c r="FCO10" s="158"/>
      <c r="FCP10" s="158"/>
      <c r="FCQ10" s="158"/>
      <c r="FCR10" s="158"/>
      <c r="FCS10" s="158"/>
      <c r="FCT10" s="158"/>
      <c r="FCU10" s="158"/>
      <c r="FCV10" s="158"/>
      <c r="FCW10" s="158"/>
      <c r="FCX10" s="158"/>
      <c r="FCY10" s="158"/>
      <c r="FCZ10" s="158"/>
      <c r="FDA10" s="158"/>
      <c r="FDB10" s="158"/>
      <c r="FDC10" s="158"/>
      <c r="FDD10" s="158"/>
      <c r="FDE10" s="158"/>
      <c r="FDF10" s="158"/>
      <c r="FDG10" s="158"/>
      <c r="FDH10" s="158"/>
      <c r="FDI10" s="158"/>
      <c r="FDJ10" s="158"/>
      <c r="FDK10" s="158"/>
      <c r="FDL10" s="158"/>
      <c r="FDM10" s="158"/>
      <c r="FDN10" s="158"/>
      <c r="FDO10" s="158"/>
      <c r="FDP10" s="158"/>
      <c r="FDQ10" s="158"/>
      <c r="FDR10" s="158"/>
      <c r="FDS10" s="158"/>
      <c r="FDT10" s="158"/>
      <c r="FDU10" s="158"/>
      <c r="FDV10" s="158"/>
      <c r="FDW10" s="158"/>
      <c r="FDX10" s="158"/>
      <c r="FDY10" s="158"/>
      <c r="FDZ10" s="158"/>
      <c r="FEA10" s="158"/>
      <c r="FEB10" s="158"/>
      <c r="FEC10" s="158"/>
      <c r="FED10" s="158"/>
      <c r="FEE10" s="158"/>
      <c r="FEF10" s="158"/>
      <c r="FEG10" s="158"/>
      <c r="FEH10" s="158"/>
      <c r="FEI10" s="158"/>
      <c r="FEJ10" s="158"/>
      <c r="FEK10" s="158"/>
      <c r="FEL10" s="158"/>
      <c r="FEM10" s="158"/>
      <c r="FEN10" s="158"/>
      <c r="FEO10" s="158"/>
      <c r="FEP10" s="158"/>
      <c r="FEQ10" s="158"/>
      <c r="FER10" s="158"/>
      <c r="FES10" s="158"/>
      <c r="FET10" s="158"/>
      <c r="FEU10" s="158"/>
      <c r="FEV10" s="158"/>
      <c r="FEW10" s="158"/>
      <c r="FEX10" s="158"/>
      <c r="FEY10" s="158"/>
      <c r="FEZ10" s="158"/>
      <c r="FFA10" s="158"/>
      <c r="FFB10" s="158"/>
      <c r="FFC10" s="158"/>
      <c r="FFD10" s="158"/>
      <c r="FFE10" s="158"/>
      <c r="FFF10" s="158"/>
      <c r="FFG10" s="158"/>
      <c r="FFH10" s="158"/>
      <c r="FFI10" s="158"/>
      <c r="FFJ10" s="158"/>
      <c r="FFK10" s="158"/>
      <c r="FFL10" s="158"/>
      <c r="FFM10" s="158"/>
      <c r="FFN10" s="158"/>
      <c r="FFO10" s="158"/>
      <c r="FFP10" s="158"/>
      <c r="FFQ10" s="158"/>
      <c r="FFR10" s="158"/>
      <c r="FFS10" s="158"/>
      <c r="FFT10" s="158"/>
      <c r="FFU10" s="158"/>
      <c r="FFV10" s="158"/>
      <c r="FFW10" s="158"/>
      <c r="FFX10" s="158"/>
      <c r="FFY10" s="158"/>
      <c r="FFZ10" s="158"/>
      <c r="FGA10" s="158"/>
      <c r="FGB10" s="158"/>
      <c r="FGC10" s="158"/>
      <c r="FGD10" s="158"/>
      <c r="FGE10" s="158"/>
      <c r="FGF10" s="158"/>
      <c r="FGG10" s="158"/>
      <c r="FGH10" s="158"/>
      <c r="FGI10" s="158"/>
      <c r="FGJ10" s="158"/>
      <c r="FGK10" s="158"/>
      <c r="FGL10" s="158"/>
      <c r="FGM10" s="158"/>
      <c r="FGN10" s="158"/>
      <c r="FGO10" s="158"/>
      <c r="FGP10" s="158"/>
      <c r="FGQ10" s="158"/>
      <c r="FGR10" s="158"/>
      <c r="FGS10" s="158"/>
      <c r="FGT10" s="158"/>
      <c r="FGU10" s="158"/>
      <c r="FGV10" s="158"/>
      <c r="FGW10" s="158"/>
      <c r="FGX10" s="158"/>
      <c r="FGY10" s="158"/>
      <c r="FGZ10" s="158"/>
      <c r="FHA10" s="158"/>
      <c r="FHB10" s="158"/>
      <c r="FHC10" s="158"/>
      <c r="FHD10" s="158"/>
      <c r="FHE10" s="158"/>
      <c r="FHF10" s="158"/>
      <c r="FHG10" s="158"/>
      <c r="FHH10" s="158"/>
      <c r="FHI10" s="158"/>
      <c r="FHJ10" s="158"/>
      <c r="FHK10" s="158"/>
      <c r="FHL10" s="158"/>
      <c r="FHM10" s="158"/>
      <c r="FHN10" s="158"/>
      <c r="FHO10" s="158"/>
      <c r="FHP10" s="158"/>
      <c r="FHQ10" s="158"/>
      <c r="FHR10" s="158"/>
      <c r="FHS10" s="158"/>
      <c r="FHT10" s="158"/>
      <c r="FHU10" s="158"/>
      <c r="FHV10" s="158"/>
      <c r="FHW10" s="158"/>
      <c r="FHX10" s="158"/>
      <c r="FHY10" s="158"/>
      <c r="FHZ10" s="158"/>
      <c r="FIA10" s="158"/>
      <c r="FIB10" s="158"/>
      <c r="FIC10" s="158"/>
      <c r="FID10" s="158"/>
      <c r="FIE10" s="158"/>
      <c r="FIF10" s="158"/>
      <c r="FIG10" s="158"/>
      <c r="FIH10" s="158"/>
      <c r="FII10" s="158"/>
      <c r="FIJ10" s="158"/>
      <c r="FIK10" s="158"/>
      <c r="FIL10" s="158"/>
      <c r="FIM10" s="158"/>
      <c r="FIN10" s="158"/>
      <c r="FIO10" s="158"/>
      <c r="FIP10" s="158"/>
      <c r="FIQ10" s="158"/>
      <c r="FIR10" s="158"/>
      <c r="FIS10" s="158"/>
      <c r="FIT10" s="158"/>
      <c r="FIU10" s="158"/>
      <c r="FIV10" s="158"/>
      <c r="FIW10" s="158"/>
      <c r="FIX10" s="158"/>
      <c r="FIY10" s="158"/>
      <c r="FIZ10" s="158"/>
      <c r="FJA10" s="158"/>
      <c r="FJB10" s="158"/>
      <c r="FJC10" s="158"/>
      <c r="FJD10" s="158"/>
      <c r="FJE10" s="158"/>
      <c r="FJF10" s="158"/>
      <c r="FJG10" s="158"/>
      <c r="FJH10" s="158"/>
      <c r="FJI10" s="158"/>
      <c r="FJJ10" s="158"/>
      <c r="FJK10" s="158"/>
      <c r="FJL10" s="158"/>
      <c r="FJM10" s="158"/>
      <c r="FJN10" s="158"/>
      <c r="FJO10" s="158"/>
      <c r="FJP10" s="158"/>
      <c r="FJQ10" s="158"/>
      <c r="FJR10" s="158"/>
      <c r="FJS10" s="158"/>
      <c r="FJT10" s="158"/>
      <c r="FJU10" s="158"/>
      <c r="FJV10" s="158"/>
      <c r="FJW10" s="158"/>
      <c r="FJX10" s="158"/>
      <c r="FJY10" s="158"/>
      <c r="FJZ10" s="158"/>
      <c r="FKA10" s="158"/>
      <c r="FKB10" s="158"/>
      <c r="FKC10" s="158"/>
      <c r="FKD10" s="158"/>
      <c r="FKE10" s="158"/>
      <c r="FKF10" s="158"/>
      <c r="FKG10" s="158"/>
      <c r="FKH10" s="158"/>
      <c r="FKI10" s="158"/>
      <c r="FKJ10" s="158"/>
      <c r="FKK10" s="158"/>
      <c r="FKL10" s="158"/>
      <c r="FKM10" s="158"/>
      <c r="FKN10" s="158"/>
      <c r="FKO10" s="158"/>
      <c r="FKP10" s="158"/>
      <c r="FKQ10" s="158"/>
      <c r="FKR10" s="158"/>
      <c r="FKS10" s="158"/>
      <c r="FKT10" s="158"/>
      <c r="FKU10" s="158"/>
      <c r="FKV10" s="158"/>
      <c r="FKW10" s="158"/>
      <c r="FKX10" s="158"/>
      <c r="FKY10" s="158"/>
      <c r="FKZ10" s="158"/>
      <c r="FLA10" s="158"/>
      <c r="FLB10" s="158"/>
      <c r="FLC10" s="158"/>
      <c r="FLD10" s="158"/>
      <c r="FLE10" s="158"/>
      <c r="FLF10" s="158"/>
      <c r="FLG10" s="158"/>
      <c r="FLH10" s="158"/>
      <c r="FLI10" s="158"/>
      <c r="FLJ10" s="158"/>
      <c r="FLK10" s="158"/>
      <c r="FLL10" s="158"/>
      <c r="FLM10" s="158"/>
      <c r="FLN10" s="158"/>
      <c r="FLO10" s="158"/>
      <c r="FLP10" s="158"/>
      <c r="FLQ10" s="158"/>
      <c r="FLR10" s="158"/>
      <c r="FLS10" s="158"/>
      <c r="FLT10" s="158"/>
      <c r="FLU10" s="158"/>
      <c r="FLV10" s="158"/>
      <c r="FLW10" s="158"/>
      <c r="FLX10" s="158"/>
      <c r="FLY10" s="158"/>
      <c r="FLZ10" s="158"/>
      <c r="FMA10" s="158"/>
      <c r="FMB10" s="158"/>
      <c r="FMC10" s="158"/>
      <c r="FMD10" s="158"/>
      <c r="FME10" s="158"/>
      <c r="FMF10" s="158"/>
      <c r="FMG10" s="158"/>
      <c r="FMH10" s="158"/>
      <c r="FMI10" s="158"/>
      <c r="FMJ10" s="158"/>
      <c r="FMK10" s="158"/>
      <c r="FML10" s="158"/>
      <c r="FMM10" s="158"/>
      <c r="FMN10" s="158"/>
      <c r="FMO10" s="158"/>
      <c r="FMP10" s="158"/>
      <c r="FMQ10" s="158"/>
      <c r="FMR10" s="158"/>
      <c r="FMS10" s="158"/>
      <c r="FMT10" s="158"/>
      <c r="FMU10" s="158"/>
      <c r="FMV10" s="158"/>
      <c r="FMW10" s="158"/>
      <c r="FMX10" s="158"/>
      <c r="FMY10" s="158"/>
      <c r="FMZ10" s="158"/>
      <c r="FNA10" s="158"/>
      <c r="FNB10" s="158"/>
      <c r="FNC10" s="158"/>
      <c r="FND10" s="158"/>
      <c r="FNE10" s="158"/>
      <c r="FNF10" s="158"/>
      <c r="FNG10" s="158"/>
      <c r="FNH10" s="158"/>
      <c r="FNI10" s="158"/>
      <c r="FNJ10" s="158"/>
      <c r="FNK10" s="158"/>
      <c r="FNL10" s="158"/>
      <c r="FNM10" s="158"/>
      <c r="FNN10" s="158"/>
      <c r="FNO10" s="158"/>
      <c r="FNP10" s="158"/>
      <c r="FNQ10" s="158"/>
      <c r="FNR10" s="158"/>
      <c r="FNS10" s="158"/>
      <c r="FNT10" s="158"/>
      <c r="FNU10" s="158"/>
      <c r="FNV10" s="158"/>
      <c r="FNW10" s="158"/>
      <c r="FNX10" s="158"/>
      <c r="FNY10" s="158"/>
      <c r="FNZ10" s="158"/>
      <c r="FOA10" s="158"/>
      <c r="FOB10" s="158"/>
      <c r="FOC10" s="158"/>
      <c r="FOD10" s="158"/>
      <c r="FOE10" s="158"/>
      <c r="FOF10" s="158"/>
      <c r="FOG10" s="158"/>
      <c r="FOH10" s="158"/>
      <c r="FOI10" s="158"/>
      <c r="FOJ10" s="158"/>
      <c r="FOK10" s="158"/>
      <c r="FOL10" s="158"/>
      <c r="FOM10" s="158"/>
      <c r="FON10" s="158"/>
      <c r="FOO10" s="158"/>
      <c r="FOP10" s="158"/>
      <c r="FOQ10" s="158"/>
      <c r="FOR10" s="158"/>
      <c r="FOS10" s="158"/>
      <c r="FOT10" s="158"/>
      <c r="FOU10" s="158"/>
      <c r="FOV10" s="158"/>
      <c r="FOW10" s="158"/>
      <c r="FOX10" s="158"/>
      <c r="FOY10" s="158"/>
      <c r="FOZ10" s="158"/>
      <c r="FPA10" s="158"/>
      <c r="FPB10" s="158"/>
      <c r="FPC10" s="158"/>
      <c r="FPD10" s="158"/>
      <c r="FPE10" s="158"/>
      <c r="FPF10" s="158"/>
      <c r="FPG10" s="158"/>
      <c r="FPH10" s="158"/>
      <c r="FPI10" s="158"/>
      <c r="FPJ10" s="158"/>
      <c r="FPK10" s="158"/>
      <c r="FPL10" s="158"/>
      <c r="FPM10" s="158"/>
      <c r="FPN10" s="158"/>
      <c r="FPO10" s="158"/>
      <c r="FPP10" s="158"/>
      <c r="FPQ10" s="158"/>
      <c r="FPR10" s="158"/>
      <c r="FPS10" s="158"/>
      <c r="FPT10" s="158"/>
      <c r="FPU10" s="158"/>
      <c r="FPV10" s="158"/>
      <c r="FPW10" s="158"/>
      <c r="FPX10" s="158"/>
      <c r="FPY10" s="158"/>
      <c r="FPZ10" s="158"/>
      <c r="FQA10" s="158"/>
      <c r="FQB10" s="158"/>
      <c r="FQC10" s="158"/>
      <c r="FQD10" s="158"/>
      <c r="FQE10" s="158"/>
      <c r="FQF10" s="158"/>
      <c r="FQG10" s="158"/>
      <c r="FQH10" s="158"/>
      <c r="FQI10" s="158"/>
      <c r="FQJ10" s="158"/>
      <c r="FQK10" s="158"/>
      <c r="FQL10" s="158"/>
      <c r="FQM10" s="158"/>
      <c r="FQN10" s="158"/>
      <c r="FQO10" s="158"/>
      <c r="FQP10" s="158"/>
      <c r="FQQ10" s="158"/>
      <c r="FQR10" s="158"/>
      <c r="FQS10" s="158"/>
      <c r="FQT10" s="158"/>
      <c r="FQU10" s="158"/>
      <c r="FQV10" s="158"/>
      <c r="FQW10" s="158"/>
      <c r="FQX10" s="158"/>
      <c r="FQY10" s="158"/>
      <c r="FQZ10" s="158"/>
      <c r="FRA10" s="158"/>
      <c r="FRB10" s="158"/>
      <c r="FRC10" s="158"/>
      <c r="FRD10" s="158"/>
      <c r="FRE10" s="158"/>
      <c r="FRF10" s="158"/>
      <c r="FRG10" s="158"/>
      <c r="FRH10" s="158"/>
      <c r="FRI10" s="158"/>
      <c r="FRJ10" s="158"/>
      <c r="FRK10" s="158"/>
      <c r="FRL10" s="158"/>
      <c r="FRM10" s="158"/>
      <c r="FRN10" s="158"/>
      <c r="FRO10" s="158"/>
      <c r="FRP10" s="158"/>
      <c r="FRQ10" s="158"/>
      <c r="FRR10" s="158"/>
      <c r="FRS10" s="158"/>
      <c r="FRT10" s="158"/>
      <c r="FRU10" s="158"/>
      <c r="FRV10" s="158"/>
      <c r="FRW10" s="158"/>
      <c r="FRX10" s="158"/>
      <c r="FRY10" s="158"/>
      <c r="FRZ10" s="158"/>
      <c r="FSA10" s="158"/>
      <c r="FSB10" s="158"/>
      <c r="FSC10" s="158"/>
      <c r="FSD10" s="158"/>
      <c r="FSE10" s="158"/>
      <c r="FSF10" s="158"/>
      <c r="FSG10" s="158"/>
      <c r="FSH10" s="158"/>
      <c r="FSI10" s="158"/>
      <c r="FSJ10" s="158"/>
      <c r="FSK10" s="158"/>
      <c r="FSL10" s="158"/>
      <c r="FSM10" s="158"/>
      <c r="FSN10" s="158"/>
      <c r="FSO10" s="158"/>
      <c r="FSP10" s="158"/>
      <c r="FSQ10" s="158"/>
      <c r="FSR10" s="158"/>
      <c r="FSS10" s="158"/>
      <c r="FST10" s="158"/>
      <c r="FSU10" s="158"/>
      <c r="FSV10" s="158"/>
      <c r="FSW10" s="158"/>
      <c r="FSX10" s="158"/>
      <c r="FSY10" s="158"/>
      <c r="FSZ10" s="158"/>
      <c r="FTA10" s="158"/>
      <c r="FTB10" s="158"/>
      <c r="FTC10" s="158"/>
      <c r="FTD10" s="158"/>
      <c r="FTE10" s="158"/>
      <c r="FTF10" s="158"/>
      <c r="FTG10" s="158"/>
      <c r="FTH10" s="158"/>
      <c r="FTI10" s="158"/>
      <c r="FTJ10" s="158"/>
      <c r="FTK10" s="158"/>
      <c r="FTL10" s="158"/>
      <c r="FTM10" s="158"/>
      <c r="FTN10" s="158"/>
      <c r="FTO10" s="158"/>
      <c r="FTP10" s="158"/>
      <c r="FTQ10" s="158"/>
      <c r="FTR10" s="158"/>
      <c r="FTS10" s="158"/>
      <c r="FTT10" s="158"/>
      <c r="FTU10" s="158"/>
      <c r="FTV10" s="158"/>
      <c r="FTW10" s="158"/>
      <c r="FTX10" s="158"/>
      <c r="FTY10" s="158"/>
      <c r="FTZ10" s="158"/>
      <c r="FUA10" s="158"/>
      <c r="FUB10" s="158"/>
      <c r="FUC10" s="158"/>
      <c r="FUD10" s="158"/>
      <c r="FUE10" s="158"/>
      <c r="FUF10" s="158"/>
      <c r="FUG10" s="158"/>
      <c r="FUH10" s="158"/>
      <c r="FUI10" s="158"/>
      <c r="FUJ10" s="158"/>
      <c r="FUK10" s="158"/>
      <c r="FUL10" s="158"/>
      <c r="FUM10" s="158"/>
      <c r="FUN10" s="158"/>
      <c r="FUO10" s="158"/>
      <c r="FUP10" s="158"/>
      <c r="FUQ10" s="158"/>
      <c r="FUR10" s="158"/>
      <c r="FUS10" s="158"/>
      <c r="FUT10" s="158"/>
      <c r="FUU10" s="158"/>
      <c r="FUV10" s="158"/>
      <c r="FUW10" s="158"/>
      <c r="FUX10" s="158"/>
      <c r="FUY10" s="158"/>
      <c r="FUZ10" s="158"/>
      <c r="FVA10" s="158"/>
      <c r="FVB10" s="158"/>
      <c r="FVC10" s="158"/>
      <c r="FVD10" s="158"/>
      <c r="FVE10" s="158"/>
      <c r="FVF10" s="158"/>
      <c r="FVG10" s="158"/>
      <c r="FVH10" s="158"/>
      <c r="FVI10" s="158"/>
      <c r="FVJ10" s="158"/>
      <c r="FVK10" s="158"/>
      <c r="FVL10" s="158"/>
      <c r="FVM10" s="158"/>
      <c r="FVN10" s="158"/>
      <c r="FVO10" s="158"/>
      <c r="FVP10" s="158"/>
      <c r="FVQ10" s="158"/>
      <c r="FVR10" s="158"/>
      <c r="FVS10" s="158"/>
      <c r="FVT10" s="158"/>
      <c r="FVU10" s="158"/>
      <c r="FVV10" s="158"/>
      <c r="FVW10" s="158"/>
      <c r="FVX10" s="158"/>
      <c r="FVY10" s="158"/>
      <c r="FVZ10" s="158"/>
      <c r="FWA10" s="158"/>
      <c r="FWB10" s="158"/>
      <c r="FWC10" s="158"/>
      <c r="FWD10" s="158"/>
      <c r="FWE10" s="158"/>
      <c r="FWF10" s="158"/>
      <c r="FWG10" s="158"/>
      <c r="FWH10" s="158"/>
      <c r="FWI10" s="158"/>
      <c r="FWJ10" s="158"/>
      <c r="FWK10" s="158"/>
      <c r="FWL10" s="158"/>
      <c r="FWM10" s="158"/>
      <c r="FWN10" s="158"/>
      <c r="FWO10" s="158"/>
      <c r="FWP10" s="158"/>
      <c r="FWQ10" s="158"/>
      <c r="FWR10" s="158"/>
      <c r="FWS10" s="158"/>
      <c r="FWT10" s="158"/>
      <c r="FWU10" s="158"/>
      <c r="FWV10" s="158"/>
      <c r="FWW10" s="158"/>
      <c r="FWX10" s="158"/>
      <c r="FWY10" s="158"/>
      <c r="FWZ10" s="158"/>
      <c r="FXA10" s="158"/>
      <c r="FXB10" s="158"/>
      <c r="FXC10" s="158"/>
      <c r="FXD10" s="158"/>
      <c r="FXE10" s="158"/>
      <c r="FXF10" s="158"/>
      <c r="FXG10" s="158"/>
      <c r="FXH10" s="158"/>
      <c r="FXI10" s="158"/>
      <c r="FXJ10" s="158"/>
      <c r="FXK10" s="158"/>
      <c r="FXL10" s="158"/>
      <c r="FXM10" s="158"/>
      <c r="FXN10" s="158"/>
      <c r="FXO10" s="158"/>
      <c r="FXP10" s="158"/>
      <c r="FXQ10" s="158"/>
      <c r="FXR10" s="158"/>
      <c r="FXS10" s="158"/>
      <c r="FXT10" s="158"/>
      <c r="FXU10" s="158"/>
      <c r="FXV10" s="158"/>
      <c r="FXW10" s="158"/>
      <c r="FXX10" s="158"/>
      <c r="FXY10" s="158"/>
      <c r="FXZ10" s="158"/>
      <c r="FYA10" s="158"/>
      <c r="FYB10" s="158"/>
      <c r="FYC10" s="158"/>
      <c r="FYD10" s="158"/>
      <c r="FYE10" s="158"/>
      <c r="FYF10" s="158"/>
      <c r="FYG10" s="158"/>
      <c r="FYH10" s="158"/>
      <c r="FYI10" s="158"/>
      <c r="FYJ10" s="158"/>
      <c r="FYK10" s="158"/>
      <c r="FYL10" s="158"/>
      <c r="FYM10" s="158"/>
      <c r="FYN10" s="158"/>
      <c r="FYO10" s="158"/>
      <c r="FYP10" s="158"/>
      <c r="FYQ10" s="158"/>
      <c r="FYR10" s="158"/>
      <c r="FYS10" s="158"/>
      <c r="FYT10" s="158"/>
      <c r="FYU10" s="158"/>
      <c r="FYV10" s="158"/>
      <c r="FYW10" s="158"/>
      <c r="FYX10" s="158"/>
      <c r="FYY10" s="158"/>
      <c r="FYZ10" s="158"/>
      <c r="FZA10" s="158"/>
      <c r="FZB10" s="158"/>
      <c r="FZC10" s="158"/>
      <c r="FZD10" s="158"/>
      <c r="FZE10" s="158"/>
      <c r="FZF10" s="158"/>
      <c r="FZG10" s="158"/>
      <c r="FZH10" s="158"/>
      <c r="FZI10" s="158"/>
      <c r="FZJ10" s="158"/>
      <c r="FZK10" s="158"/>
      <c r="FZL10" s="158"/>
      <c r="FZM10" s="158"/>
      <c r="FZN10" s="158"/>
      <c r="FZO10" s="158"/>
      <c r="FZP10" s="158"/>
      <c r="FZQ10" s="158"/>
      <c r="FZR10" s="158"/>
      <c r="FZS10" s="158"/>
      <c r="FZT10" s="158"/>
      <c r="FZU10" s="158"/>
      <c r="FZV10" s="158"/>
      <c r="FZW10" s="158"/>
      <c r="FZX10" s="158"/>
      <c r="FZY10" s="158"/>
      <c r="FZZ10" s="158"/>
      <c r="GAA10" s="158"/>
      <c r="GAB10" s="158"/>
      <c r="GAC10" s="158"/>
      <c r="GAD10" s="158"/>
      <c r="GAE10" s="158"/>
      <c r="GAF10" s="158"/>
      <c r="GAG10" s="158"/>
      <c r="GAH10" s="158"/>
      <c r="GAI10" s="158"/>
      <c r="GAJ10" s="158"/>
      <c r="GAK10" s="158"/>
      <c r="GAL10" s="158"/>
      <c r="GAM10" s="158"/>
      <c r="GAN10" s="158"/>
      <c r="GAO10" s="158"/>
      <c r="GAP10" s="158"/>
      <c r="GAQ10" s="158"/>
      <c r="GAR10" s="158"/>
      <c r="GAS10" s="158"/>
      <c r="GAT10" s="158"/>
      <c r="GAU10" s="158"/>
      <c r="GAV10" s="158"/>
      <c r="GAW10" s="158"/>
      <c r="GAX10" s="158"/>
      <c r="GAY10" s="158"/>
      <c r="GAZ10" s="158"/>
      <c r="GBA10" s="158"/>
      <c r="GBB10" s="158"/>
      <c r="GBC10" s="158"/>
      <c r="GBD10" s="158"/>
      <c r="GBE10" s="158"/>
      <c r="GBF10" s="158"/>
      <c r="GBG10" s="158"/>
      <c r="GBH10" s="158"/>
      <c r="GBI10" s="158"/>
      <c r="GBJ10" s="158"/>
      <c r="GBK10" s="158"/>
      <c r="GBL10" s="158"/>
      <c r="GBM10" s="158"/>
      <c r="GBN10" s="158"/>
      <c r="GBO10" s="158"/>
      <c r="GBP10" s="158"/>
      <c r="GBQ10" s="158"/>
      <c r="GBR10" s="158"/>
      <c r="GBS10" s="158"/>
      <c r="GBT10" s="158"/>
      <c r="GBU10" s="158"/>
      <c r="GBV10" s="158"/>
      <c r="GBW10" s="158"/>
      <c r="GBX10" s="158"/>
      <c r="GBY10" s="158"/>
      <c r="GBZ10" s="158"/>
      <c r="GCA10" s="158"/>
      <c r="GCB10" s="158"/>
      <c r="GCC10" s="158"/>
      <c r="GCD10" s="158"/>
      <c r="GCE10" s="158"/>
      <c r="GCF10" s="158"/>
      <c r="GCG10" s="158"/>
      <c r="GCH10" s="158"/>
      <c r="GCI10" s="158"/>
      <c r="GCJ10" s="158"/>
      <c r="GCK10" s="158"/>
      <c r="GCL10" s="158"/>
      <c r="GCM10" s="158"/>
      <c r="GCN10" s="158"/>
      <c r="GCO10" s="158"/>
      <c r="GCP10" s="158"/>
      <c r="GCQ10" s="158"/>
      <c r="GCR10" s="158"/>
      <c r="GCS10" s="158"/>
      <c r="GCT10" s="158"/>
      <c r="GCU10" s="158"/>
      <c r="GCV10" s="158"/>
      <c r="GCW10" s="158"/>
      <c r="GCX10" s="158"/>
      <c r="GCY10" s="158"/>
      <c r="GCZ10" s="158"/>
      <c r="GDA10" s="158"/>
      <c r="GDB10" s="158"/>
      <c r="GDC10" s="158"/>
      <c r="GDD10" s="158"/>
      <c r="GDE10" s="158"/>
      <c r="GDF10" s="158"/>
      <c r="GDG10" s="158"/>
      <c r="GDH10" s="158"/>
      <c r="GDI10" s="158"/>
      <c r="GDJ10" s="158"/>
      <c r="GDK10" s="158"/>
      <c r="GDL10" s="158"/>
      <c r="GDM10" s="158"/>
      <c r="GDN10" s="158"/>
      <c r="GDO10" s="158"/>
      <c r="GDP10" s="158"/>
      <c r="GDQ10" s="158"/>
      <c r="GDR10" s="158"/>
      <c r="GDS10" s="158"/>
      <c r="GDT10" s="158"/>
      <c r="GDU10" s="158"/>
      <c r="GDV10" s="158"/>
      <c r="GDW10" s="158"/>
      <c r="GDX10" s="158"/>
      <c r="GDY10" s="158"/>
      <c r="GDZ10" s="158"/>
      <c r="GEA10" s="158"/>
      <c r="GEB10" s="158"/>
      <c r="GEC10" s="158"/>
      <c r="GED10" s="158"/>
      <c r="GEE10" s="158"/>
      <c r="GEF10" s="158"/>
      <c r="GEG10" s="158"/>
      <c r="GEH10" s="158"/>
      <c r="GEI10" s="158"/>
      <c r="GEJ10" s="158"/>
      <c r="GEK10" s="158"/>
      <c r="GEL10" s="158"/>
      <c r="GEM10" s="158"/>
      <c r="GEN10" s="158"/>
      <c r="GEO10" s="158"/>
      <c r="GEP10" s="158"/>
      <c r="GEQ10" s="158"/>
      <c r="GER10" s="158"/>
      <c r="GES10" s="158"/>
      <c r="GET10" s="158"/>
      <c r="GEU10" s="158"/>
      <c r="GEV10" s="158"/>
      <c r="GEW10" s="158"/>
      <c r="GEX10" s="158"/>
      <c r="GEY10" s="158"/>
      <c r="GEZ10" s="158"/>
      <c r="GFA10" s="158"/>
      <c r="GFB10" s="158"/>
      <c r="GFC10" s="158"/>
      <c r="GFD10" s="158"/>
      <c r="GFE10" s="158"/>
      <c r="GFF10" s="158"/>
      <c r="GFG10" s="158"/>
      <c r="GFH10" s="158"/>
      <c r="GFI10" s="158"/>
      <c r="GFJ10" s="158"/>
      <c r="GFK10" s="158"/>
      <c r="GFL10" s="158"/>
      <c r="GFM10" s="158"/>
      <c r="GFN10" s="158"/>
      <c r="GFO10" s="158"/>
      <c r="GFP10" s="158"/>
      <c r="GFQ10" s="158"/>
      <c r="GFR10" s="158"/>
      <c r="GFS10" s="158"/>
      <c r="GFT10" s="158"/>
      <c r="GFU10" s="158"/>
      <c r="GFV10" s="158"/>
      <c r="GFW10" s="158"/>
      <c r="GFX10" s="158"/>
      <c r="GFY10" s="158"/>
      <c r="GFZ10" s="158"/>
      <c r="GGA10" s="158"/>
      <c r="GGB10" s="158"/>
      <c r="GGC10" s="158"/>
      <c r="GGD10" s="158"/>
      <c r="GGE10" s="158"/>
      <c r="GGF10" s="158"/>
      <c r="GGG10" s="158"/>
      <c r="GGH10" s="158"/>
      <c r="GGI10" s="158"/>
      <c r="GGJ10" s="158"/>
      <c r="GGK10" s="158"/>
      <c r="GGL10" s="158"/>
      <c r="GGM10" s="158"/>
      <c r="GGN10" s="158"/>
      <c r="GGO10" s="158"/>
      <c r="GGP10" s="158"/>
      <c r="GGQ10" s="158"/>
      <c r="GGR10" s="158"/>
      <c r="GGS10" s="158"/>
      <c r="GGT10" s="158"/>
      <c r="GGU10" s="158"/>
      <c r="GGV10" s="158"/>
      <c r="GGW10" s="158"/>
      <c r="GGX10" s="158"/>
      <c r="GGY10" s="158"/>
      <c r="GGZ10" s="158"/>
      <c r="GHA10" s="158"/>
      <c r="GHB10" s="158"/>
      <c r="GHC10" s="158"/>
      <c r="GHD10" s="158"/>
      <c r="GHE10" s="158"/>
      <c r="GHF10" s="158"/>
      <c r="GHG10" s="158"/>
      <c r="GHH10" s="158"/>
      <c r="GHI10" s="158"/>
      <c r="GHJ10" s="158"/>
      <c r="GHK10" s="158"/>
      <c r="GHL10" s="158"/>
      <c r="GHM10" s="158"/>
      <c r="GHN10" s="158"/>
      <c r="GHO10" s="158"/>
      <c r="GHP10" s="158"/>
      <c r="GHQ10" s="158"/>
      <c r="GHR10" s="158"/>
      <c r="GHS10" s="158"/>
      <c r="GHT10" s="158"/>
      <c r="GHU10" s="158"/>
      <c r="GHV10" s="158"/>
      <c r="GHW10" s="158"/>
      <c r="GHX10" s="158"/>
      <c r="GHY10" s="158"/>
      <c r="GHZ10" s="158"/>
      <c r="GIA10" s="158"/>
      <c r="GIB10" s="158"/>
      <c r="GIC10" s="158"/>
      <c r="GID10" s="158"/>
      <c r="GIE10" s="158"/>
      <c r="GIF10" s="158"/>
      <c r="GIG10" s="158"/>
      <c r="GIH10" s="158"/>
      <c r="GII10" s="158"/>
      <c r="GIJ10" s="158"/>
      <c r="GIK10" s="158"/>
      <c r="GIL10" s="158"/>
      <c r="GIM10" s="158"/>
      <c r="GIN10" s="158"/>
      <c r="GIO10" s="158"/>
      <c r="GIP10" s="158"/>
      <c r="GIQ10" s="158"/>
      <c r="GIR10" s="158"/>
      <c r="GIS10" s="158"/>
      <c r="GIT10" s="158"/>
      <c r="GIU10" s="158"/>
      <c r="GIV10" s="158"/>
      <c r="GIW10" s="158"/>
      <c r="GIX10" s="158"/>
      <c r="GIY10" s="158"/>
      <c r="GIZ10" s="158"/>
      <c r="GJA10" s="158"/>
      <c r="GJB10" s="158"/>
      <c r="GJC10" s="158"/>
      <c r="GJD10" s="158"/>
      <c r="GJE10" s="158"/>
      <c r="GJF10" s="158"/>
      <c r="GJG10" s="158"/>
      <c r="GJH10" s="158"/>
      <c r="GJI10" s="158"/>
      <c r="GJJ10" s="158"/>
      <c r="GJK10" s="158"/>
      <c r="GJL10" s="158"/>
      <c r="GJM10" s="158"/>
      <c r="GJN10" s="158"/>
      <c r="GJO10" s="158"/>
      <c r="GJP10" s="158"/>
      <c r="GJQ10" s="158"/>
      <c r="GJR10" s="158"/>
      <c r="GJS10" s="158"/>
      <c r="GJT10" s="158"/>
      <c r="GJU10" s="158"/>
      <c r="GJV10" s="158"/>
      <c r="GJW10" s="158"/>
      <c r="GJX10" s="158"/>
      <c r="GJY10" s="158"/>
      <c r="GJZ10" s="158"/>
      <c r="GKA10" s="158"/>
      <c r="GKB10" s="158"/>
      <c r="GKC10" s="158"/>
      <c r="GKD10" s="158"/>
      <c r="GKE10" s="158"/>
      <c r="GKF10" s="158"/>
      <c r="GKG10" s="158"/>
      <c r="GKH10" s="158"/>
      <c r="GKI10" s="158"/>
      <c r="GKJ10" s="158"/>
      <c r="GKK10" s="158"/>
      <c r="GKL10" s="158"/>
      <c r="GKM10" s="158"/>
      <c r="GKN10" s="158"/>
      <c r="GKO10" s="158"/>
      <c r="GKP10" s="158"/>
      <c r="GKQ10" s="158"/>
      <c r="GKR10" s="158"/>
      <c r="GKS10" s="158"/>
      <c r="GKT10" s="158"/>
      <c r="GKU10" s="158"/>
      <c r="GKV10" s="158"/>
      <c r="GKW10" s="158"/>
      <c r="GKX10" s="158"/>
      <c r="GKY10" s="158"/>
      <c r="GKZ10" s="158"/>
      <c r="GLA10" s="158"/>
      <c r="GLB10" s="158"/>
      <c r="GLC10" s="158"/>
      <c r="GLD10" s="158"/>
      <c r="GLE10" s="158"/>
      <c r="GLF10" s="158"/>
      <c r="GLG10" s="158"/>
      <c r="GLH10" s="158"/>
      <c r="GLI10" s="158"/>
      <c r="GLJ10" s="158"/>
      <c r="GLK10" s="158"/>
      <c r="GLL10" s="158"/>
      <c r="GLM10" s="158"/>
      <c r="GLN10" s="158"/>
      <c r="GLO10" s="158"/>
      <c r="GLP10" s="158"/>
      <c r="GLQ10" s="158"/>
      <c r="GLR10" s="158"/>
      <c r="GLS10" s="158"/>
      <c r="GLT10" s="158"/>
      <c r="GLU10" s="158"/>
      <c r="GLV10" s="158"/>
      <c r="GLW10" s="158"/>
      <c r="GLX10" s="158"/>
      <c r="GLY10" s="158"/>
      <c r="GLZ10" s="158"/>
      <c r="GMA10" s="158"/>
      <c r="GMB10" s="158"/>
      <c r="GMC10" s="158"/>
      <c r="GMD10" s="158"/>
      <c r="GME10" s="158"/>
      <c r="GMF10" s="158"/>
      <c r="GMG10" s="158"/>
      <c r="GMH10" s="158"/>
      <c r="GMI10" s="158"/>
      <c r="GMJ10" s="158"/>
      <c r="GMK10" s="158"/>
      <c r="GML10" s="158"/>
      <c r="GMM10" s="158"/>
      <c r="GMN10" s="158"/>
      <c r="GMO10" s="158"/>
      <c r="GMP10" s="158"/>
      <c r="GMQ10" s="158"/>
      <c r="GMR10" s="158"/>
      <c r="GMS10" s="158"/>
      <c r="GMT10" s="158"/>
      <c r="GMU10" s="158"/>
      <c r="GMV10" s="158"/>
      <c r="GMW10" s="158"/>
      <c r="GMX10" s="158"/>
      <c r="GMY10" s="158"/>
      <c r="GMZ10" s="158"/>
      <c r="GNA10" s="158"/>
      <c r="GNB10" s="158"/>
      <c r="GNC10" s="158"/>
      <c r="GND10" s="158"/>
      <c r="GNE10" s="158"/>
      <c r="GNF10" s="158"/>
      <c r="GNG10" s="158"/>
      <c r="GNH10" s="158"/>
      <c r="GNI10" s="158"/>
      <c r="GNJ10" s="158"/>
      <c r="GNK10" s="158"/>
      <c r="GNL10" s="158"/>
      <c r="GNM10" s="158"/>
      <c r="GNN10" s="158"/>
      <c r="GNO10" s="158"/>
      <c r="GNP10" s="158"/>
      <c r="GNQ10" s="158"/>
      <c r="GNR10" s="158"/>
      <c r="GNS10" s="158"/>
      <c r="GNT10" s="158"/>
      <c r="GNU10" s="158"/>
      <c r="GNV10" s="158"/>
      <c r="GNW10" s="158"/>
      <c r="GNX10" s="158"/>
      <c r="GNY10" s="158"/>
      <c r="GNZ10" s="158"/>
      <c r="GOA10" s="158"/>
      <c r="GOB10" s="158"/>
      <c r="GOC10" s="158"/>
      <c r="GOD10" s="158"/>
      <c r="GOE10" s="158"/>
      <c r="GOF10" s="158"/>
      <c r="GOG10" s="158"/>
      <c r="GOH10" s="158"/>
      <c r="GOI10" s="158"/>
      <c r="GOJ10" s="158"/>
      <c r="GOK10" s="158"/>
      <c r="GOL10" s="158"/>
      <c r="GOM10" s="158"/>
      <c r="GON10" s="158"/>
      <c r="GOO10" s="158"/>
      <c r="GOP10" s="158"/>
      <c r="GOQ10" s="158"/>
      <c r="GOR10" s="158"/>
      <c r="GOS10" s="158"/>
      <c r="GOT10" s="158"/>
      <c r="GOU10" s="158"/>
      <c r="GOV10" s="158"/>
      <c r="GOW10" s="158"/>
      <c r="GOX10" s="158"/>
      <c r="GOY10" s="158"/>
      <c r="GOZ10" s="158"/>
      <c r="GPA10" s="158"/>
      <c r="GPB10" s="158"/>
      <c r="GPC10" s="158"/>
      <c r="GPD10" s="158"/>
      <c r="GPE10" s="158"/>
      <c r="GPF10" s="158"/>
      <c r="GPG10" s="158"/>
      <c r="GPH10" s="158"/>
      <c r="GPI10" s="158"/>
      <c r="GPJ10" s="158"/>
      <c r="GPK10" s="158"/>
      <c r="GPL10" s="158"/>
      <c r="GPM10" s="158"/>
      <c r="GPN10" s="158"/>
      <c r="GPO10" s="158"/>
      <c r="GPP10" s="158"/>
      <c r="GPQ10" s="158"/>
      <c r="GPR10" s="158"/>
      <c r="GPS10" s="158"/>
      <c r="GPT10" s="158"/>
      <c r="GPU10" s="158"/>
      <c r="GPV10" s="158"/>
      <c r="GPW10" s="158"/>
      <c r="GPX10" s="158"/>
      <c r="GPY10" s="158"/>
      <c r="GPZ10" s="158"/>
      <c r="GQA10" s="158"/>
      <c r="GQB10" s="158"/>
      <c r="GQC10" s="158"/>
      <c r="GQD10" s="158"/>
      <c r="GQE10" s="158"/>
      <c r="GQF10" s="158"/>
      <c r="GQG10" s="158"/>
      <c r="GQH10" s="158"/>
      <c r="GQI10" s="158"/>
      <c r="GQJ10" s="158"/>
      <c r="GQK10" s="158"/>
      <c r="GQL10" s="158"/>
      <c r="GQM10" s="158"/>
      <c r="GQN10" s="158"/>
      <c r="GQO10" s="158"/>
      <c r="GQP10" s="158"/>
      <c r="GQQ10" s="158"/>
      <c r="GQR10" s="158"/>
      <c r="GQS10" s="158"/>
      <c r="GQT10" s="158"/>
      <c r="GQU10" s="158"/>
      <c r="GQV10" s="158"/>
      <c r="GQW10" s="158"/>
      <c r="GQX10" s="158"/>
      <c r="GQY10" s="158"/>
      <c r="GQZ10" s="158"/>
      <c r="GRA10" s="158"/>
      <c r="GRB10" s="158"/>
      <c r="GRC10" s="158"/>
      <c r="GRD10" s="158"/>
      <c r="GRE10" s="158"/>
      <c r="GRF10" s="158"/>
      <c r="GRG10" s="158"/>
      <c r="GRH10" s="158"/>
      <c r="GRI10" s="158"/>
      <c r="GRJ10" s="158"/>
      <c r="GRK10" s="158"/>
      <c r="GRL10" s="158"/>
      <c r="GRM10" s="158"/>
      <c r="GRN10" s="158"/>
      <c r="GRO10" s="158"/>
      <c r="GRP10" s="158"/>
      <c r="GRQ10" s="158"/>
      <c r="GRR10" s="158"/>
      <c r="GRS10" s="158"/>
      <c r="GRT10" s="158"/>
      <c r="GRU10" s="158"/>
      <c r="GRV10" s="158"/>
      <c r="GRW10" s="158"/>
      <c r="GRX10" s="158"/>
      <c r="GRY10" s="158"/>
      <c r="GRZ10" s="158"/>
      <c r="GSA10" s="158"/>
      <c r="GSB10" s="158"/>
      <c r="GSC10" s="158"/>
      <c r="GSD10" s="158"/>
      <c r="GSE10" s="158"/>
      <c r="GSF10" s="158"/>
      <c r="GSG10" s="158"/>
      <c r="GSH10" s="158"/>
      <c r="GSI10" s="158"/>
      <c r="GSJ10" s="158"/>
      <c r="GSK10" s="158"/>
      <c r="GSL10" s="158"/>
      <c r="GSM10" s="158"/>
      <c r="GSN10" s="158"/>
      <c r="GSO10" s="158"/>
      <c r="GSP10" s="158"/>
      <c r="GSQ10" s="158"/>
      <c r="GSR10" s="158"/>
      <c r="GSS10" s="158"/>
      <c r="GST10" s="158"/>
      <c r="GSU10" s="158"/>
      <c r="GSV10" s="158"/>
      <c r="GSW10" s="158"/>
      <c r="GSX10" s="158"/>
      <c r="GSY10" s="158"/>
      <c r="GSZ10" s="158"/>
      <c r="GTA10" s="158"/>
      <c r="GTB10" s="158"/>
      <c r="GTC10" s="158"/>
      <c r="GTD10" s="158"/>
      <c r="GTE10" s="158"/>
      <c r="GTF10" s="158"/>
      <c r="GTG10" s="158"/>
      <c r="GTH10" s="158"/>
      <c r="GTI10" s="158"/>
      <c r="GTJ10" s="158"/>
      <c r="GTK10" s="158"/>
      <c r="GTL10" s="158"/>
      <c r="GTM10" s="158"/>
      <c r="GTN10" s="158"/>
      <c r="GTO10" s="158"/>
      <c r="GTP10" s="158"/>
      <c r="GTQ10" s="158"/>
      <c r="GTR10" s="158"/>
      <c r="GTS10" s="158"/>
      <c r="GTT10" s="158"/>
      <c r="GTU10" s="158"/>
      <c r="GTV10" s="158"/>
      <c r="GTW10" s="158"/>
      <c r="GTX10" s="158"/>
      <c r="GTY10" s="158"/>
      <c r="GTZ10" s="158"/>
      <c r="GUA10" s="158"/>
      <c r="GUB10" s="158"/>
      <c r="GUC10" s="158"/>
      <c r="GUD10" s="158"/>
      <c r="GUE10" s="158"/>
      <c r="GUF10" s="158"/>
      <c r="GUG10" s="158"/>
      <c r="GUH10" s="158"/>
      <c r="GUI10" s="158"/>
      <c r="GUJ10" s="158"/>
      <c r="GUK10" s="158"/>
      <c r="GUL10" s="158"/>
      <c r="GUM10" s="158"/>
      <c r="GUN10" s="158"/>
      <c r="GUO10" s="158"/>
      <c r="GUP10" s="158"/>
      <c r="GUQ10" s="158"/>
      <c r="GUR10" s="158"/>
      <c r="GUS10" s="158"/>
      <c r="GUT10" s="158"/>
      <c r="GUU10" s="158"/>
      <c r="GUV10" s="158"/>
      <c r="GUW10" s="158"/>
      <c r="GUX10" s="158"/>
      <c r="GUY10" s="158"/>
      <c r="GUZ10" s="158"/>
      <c r="GVA10" s="158"/>
      <c r="GVB10" s="158"/>
      <c r="GVC10" s="158"/>
      <c r="GVD10" s="158"/>
      <c r="GVE10" s="158"/>
      <c r="GVF10" s="158"/>
      <c r="GVG10" s="158"/>
      <c r="GVH10" s="158"/>
      <c r="GVI10" s="158"/>
      <c r="GVJ10" s="158"/>
      <c r="GVK10" s="158"/>
      <c r="GVL10" s="158"/>
      <c r="GVM10" s="158"/>
      <c r="GVN10" s="158"/>
      <c r="GVO10" s="158"/>
      <c r="GVP10" s="158"/>
      <c r="GVQ10" s="158"/>
      <c r="GVR10" s="158"/>
      <c r="GVS10" s="158"/>
      <c r="GVT10" s="158"/>
      <c r="GVU10" s="158"/>
      <c r="GVV10" s="158"/>
      <c r="GVW10" s="158"/>
      <c r="GVX10" s="158"/>
      <c r="GVY10" s="158"/>
      <c r="GVZ10" s="158"/>
      <c r="GWA10" s="158"/>
      <c r="GWB10" s="158"/>
      <c r="GWC10" s="158"/>
      <c r="GWD10" s="158"/>
      <c r="GWE10" s="158"/>
      <c r="GWF10" s="158"/>
      <c r="GWG10" s="158"/>
      <c r="GWH10" s="158"/>
      <c r="GWI10" s="158"/>
      <c r="GWJ10" s="158"/>
      <c r="GWK10" s="158"/>
      <c r="GWL10" s="158"/>
      <c r="GWM10" s="158"/>
      <c r="GWN10" s="158"/>
      <c r="GWO10" s="158"/>
      <c r="GWP10" s="158"/>
      <c r="GWQ10" s="158"/>
      <c r="GWR10" s="158"/>
      <c r="GWS10" s="158"/>
      <c r="GWT10" s="158"/>
      <c r="GWU10" s="158"/>
      <c r="GWV10" s="158"/>
      <c r="GWW10" s="158"/>
      <c r="GWX10" s="158"/>
      <c r="GWY10" s="158"/>
      <c r="GWZ10" s="158"/>
      <c r="GXA10" s="158"/>
      <c r="GXB10" s="158"/>
      <c r="GXC10" s="158"/>
      <c r="GXD10" s="158"/>
      <c r="GXE10" s="158"/>
      <c r="GXF10" s="158"/>
      <c r="GXG10" s="158"/>
      <c r="GXH10" s="158"/>
      <c r="GXI10" s="158"/>
      <c r="GXJ10" s="158"/>
      <c r="GXK10" s="158"/>
      <c r="GXL10" s="158"/>
      <c r="GXM10" s="158"/>
      <c r="GXN10" s="158"/>
      <c r="GXO10" s="158"/>
      <c r="GXP10" s="158"/>
      <c r="GXQ10" s="158"/>
      <c r="GXR10" s="158"/>
      <c r="GXS10" s="158"/>
      <c r="GXT10" s="158"/>
      <c r="GXU10" s="158"/>
      <c r="GXV10" s="158"/>
      <c r="GXW10" s="158"/>
      <c r="GXX10" s="158"/>
      <c r="GXY10" s="158"/>
      <c r="GXZ10" s="158"/>
      <c r="GYA10" s="158"/>
      <c r="GYB10" s="158"/>
      <c r="GYC10" s="158"/>
      <c r="GYD10" s="158"/>
      <c r="GYE10" s="158"/>
      <c r="GYF10" s="158"/>
      <c r="GYG10" s="158"/>
      <c r="GYH10" s="158"/>
      <c r="GYI10" s="158"/>
      <c r="GYJ10" s="158"/>
      <c r="GYK10" s="158"/>
      <c r="GYL10" s="158"/>
      <c r="GYM10" s="158"/>
      <c r="GYN10" s="158"/>
      <c r="GYO10" s="158"/>
      <c r="GYP10" s="158"/>
      <c r="GYQ10" s="158"/>
      <c r="GYR10" s="158"/>
      <c r="GYS10" s="158"/>
      <c r="GYT10" s="158"/>
      <c r="GYU10" s="158"/>
      <c r="GYV10" s="158"/>
      <c r="GYW10" s="158"/>
      <c r="GYX10" s="158"/>
      <c r="GYY10" s="158"/>
      <c r="GYZ10" s="158"/>
      <c r="GZA10" s="158"/>
      <c r="GZB10" s="158"/>
      <c r="GZC10" s="158"/>
      <c r="GZD10" s="158"/>
      <c r="GZE10" s="158"/>
      <c r="GZF10" s="158"/>
      <c r="GZG10" s="158"/>
      <c r="GZH10" s="158"/>
      <c r="GZI10" s="158"/>
      <c r="GZJ10" s="158"/>
      <c r="GZK10" s="158"/>
      <c r="GZL10" s="158"/>
      <c r="GZM10" s="158"/>
      <c r="GZN10" s="158"/>
      <c r="GZO10" s="158"/>
      <c r="GZP10" s="158"/>
      <c r="GZQ10" s="158"/>
      <c r="GZR10" s="158"/>
      <c r="GZS10" s="158"/>
      <c r="GZT10" s="158"/>
      <c r="GZU10" s="158"/>
      <c r="GZV10" s="158"/>
      <c r="GZW10" s="158"/>
      <c r="GZX10" s="158"/>
      <c r="GZY10" s="158"/>
      <c r="GZZ10" s="158"/>
      <c r="HAA10" s="158"/>
      <c r="HAB10" s="158"/>
      <c r="HAC10" s="158"/>
      <c r="HAD10" s="158"/>
      <c r="HAE10" s="158"/>
      <c r="HAF10" s="158"/>
      <c r="HAG10" s="158"/>
      <c r="HAH10" s="158"/>
      <c r="HAI10" s="158"/>
      <c r="HAJ10" s="158"/>
      <c r="HAK10" s="158"/>
      <c r="HAL10" s="158"/>
      <c r="HAM10" s="158"/>
      <c r="HAN10" s="158"/>
      <c r="HAO10" s="158"/>
      <c r="HAP10" s="158"/>
      <c r="HAQ10" s="158"/>
      <c r="HAR10" s="158"/>
      <c r="HAS10" s="158"/>
      <c r="HAT10" s="158"/>
      <c r="HAU10" s="158"/>
      <c r="HAV10" s="158"/>
      <c r="HAW10" s="158"/>
      <c r="HAX10" s="158"/>
      <c r="HAY10" s="158"/>
      <c r="HAZ10" s="158"/>
      <c r="HBA10" s="158"/>
      <c r="HBB10" s="158"/>
      <c r="HBC10" s="158"/>
      <c r="HBD10" s="158"/>
      <c r="HBE10" s="158"/>
      <c r="HBF10" s="158"/>
      <c r="HBG10" s="158"/>
      <c r="HBH10" s="158"/>
      <c r="HBI10" s="158"/>
      <c r="HBJ10" s="158"/>
      <c r="HBK10" s="158"/>
      <c r="HBL10" s="158"/>
      <c r="HBM10" s="158"/>
      <c r="HBN10" s="158"/>
      <c r="HBO10" s="158"/>
      <c r="HBP10" s="158"/>
      <c r="HBQ10" s="158"/>
      <c r="HBR10" s="158"/>
      <c r="HBS10" s="158"/>
      <c r="HBT10" s="158"/>
      <c r="HBU10" s="158"/>
      <c r="HBV10" s="158"/>
      <c r="HBW10" s="158"/>
      <c r="HBX10" s="158"/>
      <c r="HBY10" s="158"/>
      <c r="HBZ10" s="158"/>
      <c r="HCA10" s="158"/>
      <c r="HCB10" s="158"/>
      <c r="HCC10" s="158"/>
      <c r="HCD10" s="158"/>
      <c r="HCE10" s="158"/>
      <c r="HCF10" s="158"/>
      <c r="HCG10" s="158"/>
      <c r="HCH10" s="158"/>
      <c r="HCI10" s="158"/>
      <c r="HCJ10" s="158"/>
      <c r="HCK10" s="158"/>
      <c r="HCL10" s="158"/>
      <c r="HCM10" s="158"/>
      <c r="HCN10" s="158"/>
      <c r="HCO10" s="158"/>
      <c r="HCP10" s="158"/>
      <c r="HCQ10" s="158"/>
      <c r="HCR10" s="158"/>
      <c r="HCS10" s="158"/>
      <c r="HCT10" s="158"/>
      <c r="HCU10" s="158"/>
      <c r="HCV10" s="158"/>
      <c r="HCW10" s="158"/>
      <c r="HCX10" s="158"/>
      <c r="HCY10" s="158"/>
      <c r="HCZ10" s="158"/>
      <c r="HDA10" s="158"/>
      <c r="HDB10" s="158"/>
      <c r="HDC10" s="158"/>
      <c r="HDD10" s="158"/>
      <c r="HDE10" s="158"/>
      <c r="HDF10" s="158"/>
      <c r="HDG10" s="158"/>
      <c r="HDH10" s="158"/>
      <c r="HDI10" s="158"/>
      <c r="HDJ10" s="158"/>
      <c r="HDK10" s="158"/>
      <c r="HDL10" s="158"/>
      <c r="HDM10" s="158"/>
      <c r="HDN10" s="158"/>
      <c r="HDO10" s="158"/>
      <c r="HDP10" s="158"/>
      <c r="HDQ10" s="158"/>
      <c r="HDR10" s="158"/>
      <c r="HDS10" s="158"/>
      <c r="HDT10" s="158"/>
      <c r="HDU10" s="158"/>
      <c r="HDV10" s="158"/>
      <c r="HDW10" s="158"/>
      <c r="HDX10" s="158"/>
      <c r="HDY10" s="158"/>
      <c r="HDZ10" s="158"/>
      <c r="HEA10" s="158"/>
      <c r="HEB10" s="158"/>
      <c r="HEC10" s="158"/>
      <c r="HED10" s="158"/>
      <c r="HEE10" s="158"/>
      <c r="HEF10" s="158"/>
      <c r="HEG10" s="158"/>
      <c r="HEH10" s="158"/>
      <c r="HEI10" s="158"/>
      <c r="HEJ10" s="158"/>
      <c r="HEK10" s="158"/>
      <c r="HEL10" s="158"/>
      <c r="HEM10" s="158"/>
      <c r="HEN10" s="158"/>
      <c r="HEO10" s="158"/>
      <c r="HEP10" s="158"/>
      <c r="HEQ10" s="158"/>
      <c r="HER10" s="158"/>
      <c r="HES10" s="158"/>
      <c r="HET10" s="158"/>
      <c r="HEU10" s="158"/>
      <c r="HEV10" s="158"/>
      <c r="HEW10" s="158"/>
      <c r="HEX10" s="158"/>
      <c r="HEY10" s="158"/>
      <c r="HEZ10" s="158"/>
      <c r="HFA10" s="158"/>
      <c r="HFB10" s="158"/>
      <c r="HFC10" s="158"/>
      <c r="HFD10" s="158"/>
      <c r="HFE10" s="158"/>
      <c r="HFF10" s="158"/>
      <c r="HFG10" s="158"/>
      <c r="HFH10" s="158"/>
      <c r="HFI10" s="158"/>
      <c r="HFJ10" s="158"/>
      <c r="HFK10" s="158"/>
      <c r="HFL10" s="158"/>
      <c r="HFM10" s="158"/>
      <c r="HFN10" s="158"/>
      <c r="HFO10" s="158"/>
      <c r="HFP10" s="158"/>
      <c r="HFQ10" s="158"/>
      <c r="HFR10" s="158"/>
      <c r="HFS10" s="158"/>
      <c r="HFT10" s="158"/>
      <c r="HFU10" s="158"/>
      <c r="HFV10" s="158"/>
      <c r="HFW10" s="158"/>
      <c r="HFX10" s="158"/>
      <c r="HFY10" s="158"/>
      <c r="HFZ10" s="158"/>
      <c r="HGA10" s="158"/>
      <c r="HGB10" s="158"/>
      <c r="HGC10" s="158"/>
      <c r="HGD10" s="158"/>
      <c r="HGE10" s="158"/>
      <c r="HGF10" s="158"/>
      <c r="HGG10" s="158"/>
      <c r="HGH10" s="158"/>
      <c r="HGI10" s="158"/>
      <c r="HGJ10" s="158"/>
      <c r="HGK10" s="158"/>
      <c r="HGL10" s="158"/>
      <c r="HGM10" s="158"/>
      <c r="HGN10" s="158"/>
      <c r="HGO10" s="158"/>
      <c r="HGP10" s="158"/>
      <c r="HGQ10" s="158"/>
      <c r="HGR10" s="158"/>
      <c r="HGS10" s="158"/>
      <c r="HGT10" s="158"/>
      <c r="HGU10" s="158"/>
      <c r="HGV10" s="158"/>
      <c r="HGW10" s="158"/>
      <c r="HGX10" s="158"/>
      <c r="HGY10" s="158"/>
      <c r="HGZ10" s="158"/>
      <c r="HHA10" s="158"/>
      <c r="HHB10" s="158"/>
      <c r="HHC10" s="158"/>
      <c r="HHD10" s="158"/>
      <c r="HHE10" s="158"/>
      <c r="HHF10" s="158"/>
      <c r="HHG10" s="158"/>
      <c r="HHH10" s="158"/>
      <c r="HHI10" s="158"/>
      <c r="HHJ10" s="158"/>
      <c r="HHK10" s="158"/>
      <c r="HHL10" s="158"/>
      <c r="HHM10" s="158"/>
      <c r="HHN10" s="158"/>
      <c r="HHO10" s="158"/>
      <c r="HHP10" s="158"/>
      <c r="HHQ10" s="158"/>
      <c r="HHR10" s="158"/>
      <c r="HHS10" s="158"/>
      <c r="HHT10" s="158"/>
      <c r="HHU10" s="158"/>
      <c r="HHV10" s="158"/>
      <c r="HHW10" s="158"/>
      <c r="HHX10" s="158"/>
      <c r="HHY10" s="158"/>
      <c r="HHZ10" s="158"/>
      <c r="HIA10" s="158"/>
      <c r="HIB10" s="158"/>
      <c r="HIC10" s="158"/>
      <c r="HID10" s="158"/>
      <c r="HIE10" s="158"/>
      <c r="HIF10" s="158"/>
      <c r="HIG10" s="158"/>
      <c r="HIH10" s="158"/>
      <c r="HII10" s="158"/>
      <c r="HIJ10" s="158"/>
      <c r="HIK10" s="158"/>
      <c r="HIL10" s="158"/>
      <c r="HIM10" s="158"/>
      <c r="HIN10" s="158"/>
      <c r="HIO10" s="158"/>
      <c r="HIP10" s="158"/>
      <c r="HIQ10" s="158"/>
      <c r="HIR10" s="158"/>
      <c r="HIS10" s="158"/>
      <c r="HIT10" s="158"/>
      <c r="HIU10" s="158"/>
      <c r="HIV10" s="158"/>
      <c r="HIW10" s="158"/>
      <c r="HIX10" s="158"/>
      <c r="HIY10" s="158"/>
      <c r="HIZ10" s="158"/>
      <c r="HJA10" s="158"/>
      <c r="HJB10" s="158"/>
      <c r="HJC10" s="158"/>
      <c r="HJD10" s="158"/>
      <c r="HJE10" s="158"/>
      <c r="HJF10" s="158"/>
      <c r="HJG10" s="158"/>
      <c r="HJH10" s="158"/>
      <c r="HJI10" s="158"/>
      <c r="HJJ10" s="158"/>
      <c r="HJK10" s="158"/>
      <c r="HJL10" s="158"/>
      <c r="HJM10" s="158"/>
      <c r="HJN10" s="158"/>
      <c r="HJO10" s="158"/>
      <c r="HJP10" s="158"/>
      <c r="HJQ10" s="158"/>
      <c r="HJR10" s="158"/>
      <c r="HJS10" s="158"/>
      <c r="HJT10" s="158"/>
      <c r="HJU10" s="158"/>
      <c r="HJV10" s="158"/>
      <c r="HJW10" s="158"/>
      <c r="HJX10" s="158"/>
      <c r="HJY10" s="158"/>
      <c r="HJZ10" s="158"/>
      <c r="HKA10" s="158"/>
      <c r="HKB10" s="158"/>
      <c r="HKC10" s="158"/>
      <c r="HKD10" s="158"/>
      <c r="HKE10" s="158"/>
      <c r="HKF10" s="158"/>
      <c r="HKG10" s="158"/>
      <c r="HKH10" s="158"/>
      <c r="HKI10" s="158"/>
      <c r="HKJ10" s="158"/>
      <c r="HKK10" s="158"/>
      <c r="HKL10" s="158"/>
      <c r="HKM10" s="158"/>
      <c r="HKN10" s="158"/>
      <c r="HKO10" s="158"/>
      <c r="HKP10" s="158"/>
      <c r="HKQ10" s="158"/>
      <c r="HKR10" s="158"/>
      <c r="HKS10" s="158"/>
      <c r="HKT10" s="158"/>
      <c r="HKU10" s="158"/>
      <c r="HKV10" s="158"/>
      <c r="HKW10" s="158"/>
      <c r="HKX10" s="158"/>
      <c r="HKY10" s="158"/>
      <c r="HKZ10" s="158"/>
      <c r="HLA10" s="158"/>
      <c r="HLB10" s="158"/>
      <c r="HLC10" s="158"/>
      <c r="HLD10" s="158"/>
      <c r="HLE10" s="158"/>
      <c r="HLF10" s="158"/>
      <c r="HLG10" s="158"/>
      <c r="HLH10" s="158"/>
      <c r="HLI10" s="158"/>
      <c r="HLJ10" s="158"/>
      <c r="HLK10" s="158"/>
      <c r="HLL10" s="158"/>
      <c r="HLM10" s="158"/>
      <c r="HLN10" s="158"/>
      <c r="HLO10" s="158"/>
      <c r="HLP10" s="158"/>
      <c r="HLQ10" s="158"/>
      <c r="HLR10" s="158"/>
      <c r="HLS10" s="158"/>
      <c r="HLT10" s="158"/>
      <c r="HLU10" s="158"/>
      <c r="HLV10" s="158"/>
      <c r="HLW10" s="158"/>
      <c r="HLX10" s="158"/>
      <c r="HLY10" s="158"/>
      <c r="HLZ10" s="158"/>
      <c r="HMA10" s="158"/>
      <c r="HMB10" s="158"/>
      <c r="HMC10" s="158"/>
      <c r="HMD10" s="158"/>
      <c r="HME10" s="158"/>
      <c r="HMF10" s="158"/>
      <c r="HMG10" s="158"/>
      <c r="HMH10" s="158"/>
      <c r="HMI10" s="158"/>
      <c r="HMJ10" s="158"/>
      <c r="HMK10" s="158"/>
      <c r="HML10" s="158"/>
      <c r="HMM10" s="158"/>
      <c r="HMN10" s="158"/>
      <c r="HMO10" s="158"/>
      <c r="HMP10" s="158"/>
      <c r="HMQ10" s="158"/>
      <c r="HMR10" s="158"/>
      <c r="HMS10" s="158"/>
      <c r="HMT10" s="158"/>
      <c r="HMU10" s="158"/>
      <c r="HMV10" s="158"/>
      <c r="HMW10" s="158"/>
      <c r="HMX10" s="158"/>
      <c r="HMY10" s="158"/>
      <c r="HMZ10" s="158"/>
      <c r="HNA10" s="158"/>
      <c r="HNB10" s="158"/>
      <c r="HNC10" s="158"/>
      <c r="HND10" s="158"/>
      <c r="HNE10" s="158"/>
      <c r="HNF10" s="158"/>
      <c r="HNG10" s="158"/>
      <c r="HNH10" s="158"/>
      <c r="HNI10" s="158"/>
      <c r="HNJ10" s="158"/>
      <c r="HNK10" s="158"/>
      <c r="HNL10" s="158"/>
      <c r="HNM10" s="158"/>
      <c r="HNN10" s="158"/>
      <c r="HNO10" s="158"/>
      <c r="HNP10" s="158"/>
      <c r="HNQ10" s="158"/>
      <c r="HNR10" s="158"/>
      <c r="HNS10" s="158"/>
      <c r="HNT10" s="158"/>
      <c r="HNU10" s="158"/>
      <c r="HNV10" s="158"/>
      <c r="HNW10" s="158"/>
      <c r="HNX10" s="158"/>
      <c r="HNY10" s="158"/>
      <c r="HNZ10" s="158"/>
      <c r="HOA10" s="158"/>
      <c r="HOB10" s="158"/>
      <c r="HOC10" s="158"/>
      <c r="HOD10" s="158"/>
      <c r="HOE10" s="158"/>
      <c r="HOF10" s="158"/>
      <c r="HOG10" s="158"/>
      <c r="HOH10" s="158"/>
      <c r="HOI10" s="158"/>
      <c r="HOJ10" s="158"/>
      <c r="HOK10" s="158"/>
      <c r="HOL10" s="158"/>
      <c r="HOM10" s="158"/>
      <c r="HON10" s="158"/>
      <c r="HOO10" s="158"/>
      <c r="HOP10" s="158"/>
      <c r="HOQ10" s="158"/>
      <c r="HOR10" s="158"/>
      <c r="HOS10" s="158"/>
      <c r="HOT10" s="158"/>
      <c r="HOU10" s="158"/>
      <c r="HOV10" s="158"/>
      <c r="HOW10" s="158"/>
      <c r="HOX10" s="158"/>
      <c r="HOY10" s="158"/>
      <c r="HOZ10" s="158"/>
      <c r="HPA10" s="158"/>
      <c r="HPB10" s="158"/>
      <c r="HPC10" s="158"/>
      <c r="HPD10" s="158"/>
      <c r="HPE10" s="158"/>
      <c r="HPF10" s="158"/>
      <c r="HPG10" s="158"/>
      <c r="HPH10" s="158"/>
      <c r="HPI10" s="158"/>
      <c r="HPJ10" s="158"/>
      <c r="HPK10" s="158"/>
      <c r="HPL10" s="158"/>
      <c r="HPM10" s="158"/>
      <c r="HPN10" s="158"/>
      <c r="HPO10" s="158"/>
      <c r="HPP10" s="158"/>
      <c r="HPQ10" s="158"/>
      <c r="HPR10" s="158"/>
      <c r="HPS10" s="158"/>
      <c r="HPT10" s="158"/>
      <c r="HPU10" s="158"/>
      <c r="HPV10" s="158"/>
      <c r="HPW10" s="158"/>
      <c r="HPX10" s="158"/>
      <c r="HPY10" s="158"/>
      <c r="HPZ10" s="158"/>
      <c r="HQA10" s="158"/>
      <c r="HQB10" s="158"/>
      <c r="HQC10" s="158"/>
      <c r="HQD10" s="158"/>
      <c r="HQE10" s="158"/>
      <c r="HQF10" s="158"/>
      <c r="HQG10" s="158"/>
      <c r="HQH10" s="158"/>
      <c r="HQI10" s="158"/>
      <c r="HQJ10" s="158"/>
      <c r="HQK10" s="158"/>
      <c r="HQL10" s="158"/>
      <c r="HQM10" s="158"/>
      <c r="HQN10" s="158"/>
      <c r="HQO10" s="158"/>
      <c r="HQP10" s="158"/>
      <c r="HQQ10" s="158"/>
      <c r="HQR10" s="158"/>
      <c r="HQS10" s="158"/>
      <c r="HQT10" s="158"/>
      <c r="HQU10" s="158"/>
      <c r="HQV10" s="158"/>
      <c r="HQW10" s="158"/>
      <c r="HQX10" s="158"/>
      <c r="HQY10" s="158"/>
      <c r="HQZ10" s="158"/>
      <c r="HRA10" s="158"/>
      <c r="HRB10" s="158"/>
      <c r="HRC10" s="158"/>
      <c r="HRD10" s="158"/>
      <c r="HRE10" s="158"/>
      <c r="HRF10" s="158"/>
      <c r="HRG10" s="158"/>
      <c r="HRH10" s="158"/>
      <c r="HRI10" s="158"/>
      <c r="HRJ10" s="158"/>
      <c r="HRK10" s="158"/>
      <c r="HRL10" s="158"/>
      <c r="HRM10" s="158"/>
      <c r="HRN10" s="158"/>
      <c r="HRO10" s="158"/>
      <c r="HRP10" s="158"/>
      <c r="HRQ10" s="158"/>
      <c r="HRR10" s="158"/>
      <c r="HRS10" s="158"/>
      <c r="HRT10" s="158"/>
      <c r="HRU10" s="158"/>
      <c r="HRV10" s="158"/>
      <c r="HRW10" s="158"/>
      <c r="HRX10" s="158"/>
      <c r="HRY10" s="158"/>
      <c r="HRZ10" s="158"/>
      <c r="HSA10" s="158"/>
      <c r="HSB10" s="158"/>
      <c r="HSC10" s="158"/>
      <c r="HSD10" s="158"/>
      <c r="HSE10" s="158"/>
      <c r="HSF10" s="158"/>
      <c r="HSG10" s="158"/>
      <c r="HSH10" s="158"/>
      <c r="HSI10" s="158"/>
      <c r="HSJ10" s="158"/>
      <c r="HSK10" s="158"/>
      <c r="HSL10" s="158"/>
      <c r="HSM10" s="158"/>
      <c r="HSN10" s="158"/>
      <c r="HSO10" s="158"/>
      <c r="HSP10" s="158"/>
      <c r="HSQ10" s="158"/>
      <c r="HSR10" s="158"/>
      <c r="HSS10" s="158"/>
      <c r="HST10" s="158"/>
      <c r="HSU10" s="158"/>
      <c r="HSV10" s="158"/>
      <c r="HSW10" s="158"/>
      <c r="HSX10" s="158"/>
      <c r="HSY10" s="158"/>
      <c r="HSZ10" s="158"/>
      <c r="HTA10" s="158"/>
      <c r="HTB10" s="158"/>
      <c r="HTC10" s="158"/>
      <c r="HTD10" s="158"/>
      <c r="HTE10" s="158"/>
      <c r="HTF10" s="158"/>
      <c r="HTG10" s="158"/>
      <c r="HTH10" s="158"/>
      <c r="HTI10" s="158"/>
      <c r="HTJ10" s="158"/>
      <c r="HTK10" s="158"/>
      <c r="HTL10" s="158"/>
      <c r="HTM10" s="158"/>
      <c r="HTN10" s="158"/>
      <c r="HTO10" s="158"/>
      <c r="HTP10" s="158"/>
      <c r="HTQ10" s="158"/>
      <c r="HTR10" s="158"/>
      <c r="HTS10" s="158"/>
      <c r="HTT10" s="158"/>
      <c r="HTU10" s="158"/>
      <c r="HTV10" s="158"/>
      <c r="HTW10" s="158"/>
      <c r="HTX10" s="158"/>
      <c r="HTY10" s="158"/>
      <c r="HTZ10" s="158"/>
      <c r="HUA10" s="158"/>
      <c r="HUB10" s="158"/>
      <c r="HUC10" s="158"/>
      <c r="HUD10" s="158"/>
      <c r="HUE10" s="158"/>
      <c r="HUF10" s="158"/>
      <c r="HUG10" s="158"/>
      <c r="HUH10" s="158"/>
      <c r="HUI10" s="158"/>
      <c r="HUJ10" s="158"/>
      <c r="HUK10" s="158"/>
      <c r="HUL10" s="158"/>
      <c r="HUM10" s="158"/>
      <c r="HUN10" s="158"/>
      <c r="HUO10" s="158"/>
      <c r="HUP10" s="158"/>
      <c r="HUQ10" s="158"/>
      <c r="HUR10" s="158"/>
      <c r="HUS10" s="158"/>
      <c r="HUT10" s="158"/>
      <c r="HUU10" s="158"/>
      <c r="HUV10" s="158"/>
      <c r="HUW10" s="158"/>
      <c r="HUX10" s="158"/>
      <c r="HUY10" s="158"/>
      <c r="HUZ10" s="158"/>
      <c r="HVA10" s="158"/>
      <c r="HVB10" s="158"/>
      <c r="HVC10" s="158"/>
      <c r="HVD10" s="158"/>
      <c r="HVE10" s="158"/>
      <c r="HVF10" s="158"/>
      <c r="HVG10" s="158"/>
      <c r="HVH10" s="158"/>
      <c r="HVI10" s="158"/>
      <c r="HVJ10" s="158"/>
      <c r="HVK10" s="158"/>
      <c r="HVL10" s="158"/>
      <c r="HVM10" s="158"/>
      <c r="HVN10" s="158"/>
      <c r="HVO10" s="158"/>
      <c r="HVP10" s="158"/>
      <c r="HVQ10" s="158"/>
      <c r="HVR10" s="158"/>
      <c r="HVS10" s="158"/>
      <c r="HVT10" s="158"/>
      <c r="HVU10" s="158"/>
      <c r="HVV10" s="158"/>
      <c r="HVW10" s="158"/>
      <c r="HVX10" s="158"/>
      <c r="HVY10" s="158"/>
      <c r="HVZ10" s="158"/>
      <c r="HWA10" s="158"/>
      <c r="HWB10" s="158"/>
      <c r="HWC10" s="158"/>
      <c r="HWD10" s="158"/>
      <c r="HWE10" s="158"/>
      <c r="HWF10" s="158"/>
      <c r="HWG10" s="158"/>
      <c r="HWH10" s="158"/>
      <c r="HWI10" s="158"/>
      <c r="HWJ10" s="158"/>
      <c r="HWK10" s="158"/>
      <c r="HWL10" s="158"/>
      <c r="HWM10" s="158"/>
      <c r="HWN10" s="158"/>
      <c r="HWO10" s="158"/>
      <c r="HWP10" s="158"/>
      <c r="HWQ10" s="158"/>
      <c r="HWR10" s="158"/>
      <c r="HWS10" s="158"/>
      <c r="HWT10" s="158"/>
      <c r="HWU10" s="158"/>
      <c r="HWV10" s="158"/>
      <c r="HWW10" s="158"/>
      <c r="HWX10" s="158"/>
      <c r="HWY10" s="158"/>
      <c r="HWZ10" s="158"/>
      <c r="HXA10" s="158"/>
      <c r="HXB10" s="158"/>
      <c r="HXC10" s="158"/>
      <c r="HXD10" s="158"/>
      <c r="HXE10" s="158"/>
      <c r="HXF10" s="158"/>
      <c r="HXG10" s="158"/>
      <c r="HXH10" s="158"/>
      <c r="HXI10" s="158"/>
      <c r="HXJ10" s="158"/>
      <c r="HXK10" s="158"/>
      <c r="HXL10" s="158"/>
      <c r="HXM10" s="158"/>
      <c r="HXN10" s="158"/>
      <c r="HXO10" s="158"/>
      <c r="HXP10" s="158"/>
      <c r="HXQ10" s="158"/>
      <c r="HXR10" s="158"/>
      <c r="HXS10" s="158"/>
      <c r="HXT10" s="158"/>
      <c r="HXU10" s="158"/>
      <c r="HXV10" s="158"/>
      <c r="HXW10" s="158"/>
      <c r="HXX10" s="158"/>
      <c r="HXY10" s="158"/>
      <c r="HXZ10" s="158"/>
      <c r="HYA10" s="158"/>
      <c r="HYB10" s="158"/>
      <c r="HYC10" s="158"/>
      <c r="HYD10" s="158"/>
      <c r="HYE10" s="158"/>
      <c r="HYF10" s="158"/>
      <c r="HYG10" s="158"/>
      <c r="HYH10" s="158"/>
      <c r="HYI10" s="158"/>
      <c r="HYJ10" s="158"/>
      <c r="HYK10" s="158"/>
      <c r="HYL10" s="158"/>
      <c r="HYM10" s="158"/>
      <c r="HYN10" s="158"/>
      <c r="HYO10" s="158"/>
      <c r="HYP10" s="158"/>
      <c r="HYQ10" s="158"/>
      <c r="HYR10" s="158"/>
      <c r="HYS10" s="158"/>
      <c r="HYT10" s="158"/>
      <c r="HYU10" s="158"/>
      <c r="HYV10" s="158"/>
      <c r="HYW10" s="158"/>
      <c r="HYX10" s="158"/>
      <c r="HYY10" s="158"/>
      <c r="HYZ10" s="158"/>
      <c r="HZA10" s="158"/>
      <c r="HZB10" s="158"/>
      <c r="HZC10" s="158"/>
      <c r="HZD10" s="158"/>
      <c r="HZE10" s="158"/>
      <c r="HZF10" s="158"/>
      <c r="HZG10" s="158"/>
      <c r="HZH10" s="158"/>
      <c r="HZI10" s="158"/>
      <c r="HZJ10" s="158"/>
      <c r="HZK10" s="158"/>
      <c r="HZL10" s="158"/>
      <c r="HZM10" s="158"/>
      <c r="HZN10" s="158"/>
      <c r="HZO10" s="158"/>
      <c r="HZP10" s="158"/>
      <c r="HZQ10" s="158"/>
      <c r="HZR10" s="158"/>
      <c r="HZS10" s="158"/>
      <c r="HZT10" s="158"/>
      <c r="HZU10" s="158"/>
      <c r="HZV10" s="158"/>
      <c r="HZW10" s="158"/>
      <c r="HZX10" s="158"/>
      <c r="HZY10" s="158"/>
      <c r="HZZ10" s="158"/>
      <c r="IAA10" s="158"/>
      <c r="IAB10" s="158"/>
      <c r="IAC10" s="158"/>
      <c r="IAD10" s="158"/>
      <c r="IAE10" s="158"/>
      <c r="IAF10" s="158"/>
      <c r="IAG10" s="158"/>
      <c r="IAH10" s="158"/>
      <c r="IAI10" s="158"/>
      <c r="IAJ10" s="158"/>
      <c r="IAK10" s="158"/>
      <c r="IAL10" s="158"/>
      <c r="IAM10" s="158"/>
      <c r="IAN10" s="158"/>
      <c r="IAO10" s="158"/>
      <c r="IAP10" s="158"/>
      <c r="IAQ10" s="158"/>
      <c r="IAR10" s="158"/>
      <c r="IAS10" s="158"/>
      <c r="IAT10" s="158"/>
      <c r="IAU10" s="158"/>
      <c r="IAV10" s="158"/>
      <c r="IAW10" s="158"/>
      <c r="IAX10" s="158"/>
      <c r="IAY10" s="158"/>
      <c r="IAZ10" s="158"/>
      <c r="IBA10" s="158"/>
      <c r="IBB10" s="158"/>
      <c r="IBC10" s="158"/>
      <c r="IBD10" s="158"/>
      <c r="IBE10" s="158"/>
      <c r="IBF10" s="158"/>
      <c r="IBG10" s="158"/>
      <c r="IBH10" s="158"/>
      <c r="IBI10" s="158"/>
      <c r="IBJ10" s="158"/>
      <c r="IBK10" s="158"/>
      <c r="IBL10" s="158"/>
      <c r="IBM10" s="158"/>
      <c r="IBN10" s="158"/>
      <c r="IBO10" s="158"/>
      <c r="IBP10" s="158"/>
      <c r="IBQ10" s="158"/>
      <c r="IBR10" s="158"/>
      <c r="IBS10" s="158"/>
      <c r="IBT10" s="158"/>
      <c r="IBU10" s="158"/>
      <c r="IBV10" s="158"/>
      <c r="IBW10" s="158"/>
      <c r="IBX10" s="158"/>
      <c r="IBY10" s="158"/>
      <c r="IBZ10" s="158"/>
      <c r="ICA10" s="158"/>
      <c r="ICB10" s="158"/>
      <c r="ICC10" s="158"/>
      <c r="ICD10" s="158"/>
      <c r="ICE10" s="158"/>
      <c r="ICF10" s="158"/>
      <c r="ICG10" s="158"/>
      <c r="ICH10" s="158"/>
      <c r="ICI10" s="158"/>
      <c r="ICJ10" s="158"/>
      <c r="ICK10" s="158"/>
      <c r="ICL10" s="158"/>
      <c r="ICM10" s="158"/>
      <c r="ICN10" s="158"/>
      <c r="ICO10" s="158"/>
      <c r="ICP10" s="158"/>
      <c r="ICQ10" s="158"/>
      <c r="ICR10" s="158"/>
      <c r="ICS10" s="158"/>
      <c r="ICT10" s="158"/>
      <c r="ICU10" s="158"/>
      <c r="ICV10" s="158"/>
      <c r="ICW10" s="158"/>
      <c r="ICX10" s="158"/>
      <c r="ICY10" s="158"/>
      <c r="ICZ10" s="158"/>
      <c r="IDA10" s="158"/>
      <c r="IDB10" s="158"/>
      <c r="IDC10" s="158"/>
      <c r="IDD10" s="158"/>
      <c r="IDE10" s="158"/>
      <c r="IDF10" s="158"/>
      <c r="IDG10" s="158"/>
      <c r="IDH10" s="158"/>
      <c r="IDI10" s="158"/>
      <c r="IDJ10" s="158"/>
      <c r="IDK10" s="158"/>
      <c r="IDL10" s="158"/>
      <c r="IDM10" s="158"/>
      <c r="IDN10" s="158"/>
      <c r="IDO10" s="158"/>
      <c r="IDP10" s="158"/>
      <c r="IDQ10" s="158"/>
      <c r="IDR10" s="158"/>
      <c r="IDS10" s="158"/>
      <c r="IDT10" s="158"/>
      <c r="IDU10" s="158"/>
      <c r="IDV10" s="158"/>
      <c r="IDW10" s="158"/>
      <c r="IDX10" s="158"/>
      <c r="IDY10" s="158"/>
      <c r="IDZ10" s="158"/>
      <c r="IEA10" s="158"/>
      <c r="IEB10" s="158"/>
      <c r="IEC10" s="158"/>
      <c r="IED10" s="158"/>
      <c r="IEE10" s="158"/>
      <c r="IEF10" s="158"/>
      <c r="IEG10" s="158"/>
      <c r="IEH10" s="158"/>
      <c r="IEI10" s="158"/>
      <c r="IEJ10" s="158"/>
      <c r="IEK10" s="158"/>
      <c r="IEL10" s="158"/>
      <c r="IEM10" s="158"/>
      <c r="IEN10" s="158"/>
      <c r="IEO10" s="158"/>
      <c r="IEP10" s="158"/>
      <c r="IEQ10" s="158"/>
      <c r="IER10" s="158"/>
      <c r="IES10" s="158"/>
      <c r="IET10" s="158"/>
      <c r="IEU10" s="158"/>
      <c r="IEV10" s="158"/>
      <c r="IEW10" s="158"/>
      <c r="IEX10" s="158"/>
      <c r="IEY10" s="158"/>
      <c r="IEZ10" s="158"/>
      <c r="IFA10" s="158"/>
      <c r="IFB10" s="158"/>
      <c r="IFC10" s="158"/>
      <c r="IFD10" s="158"/>
      <c r="IFE10" s="158"/>
      <c r="IFF10" s="158"/>
      <c r="IFG10" s="158"/>
      <c r="IFH10" s="158"/>
      <c r="IFI10" s="158"/>
      <c r="IFJ10" s="158"/>
      <c r="IFK10" s="158"/>
      <c r="IFL10" s="158"/>
      <c r="IFM10" s="158"/>
      <c r="IFN10" s="158"/>
      <c r="IFO10" s="158"/>
      <c r="IFP10" s="158"/>
      <c r="IFQ10" s="158"/>
      <c r="IFR10" s="158"/>
      <c r="IFS10" s="158"/>
      <c r="IFT10" s="158"/>
      <c r="IFU10" s="158"/>
      <c r="IFV10" s="158"/>
      <c r="IFW10" s="158"/>
      <c r="IFX10" s="158"/>
      <c r="IFY10" s="158"/>
      <c r="IFZ10" s="158"/>
      <c r="IGA10" s="158"/>
      <c r="IGB10" s="158"/>
      <c r="IGC10" s="158"/>
      <c r="IGD10" s="158"/>
      <c r="IGE10" s="158"/>
      <c r="IGF10" s="158"/>
      <c r="IGG10" s="158"/>
      <c r="IGH10" s="158"/>
      <c r="IGI10" s="158"/>
      <c r="IGJ10" s="158"/>
      <c r="IGK10" s="158"/>
      <c r="IGL10" s="158"/>
      <c r="IGM10" s="158"/>
      <c r="IGN10" s="158"/>
      <c r="IGO10" s="158"/>
      <c r="IGP10" s="158"/>
      <c r="IGQ10" s="158"/>
      <c r="IGR10" s="158"/>
      <c r="IGS10" s="158"/>
      <c r="IGT10" s="158"/>
      <c r="IGU10" s="158"/>
      <c r="IGV10" s="158"/>
      <c r="IGW10" s="158"/>
      <c r="IGX10" s="158"/>
      <c r="IGY10" s="158"/>
      <c r="IGZ10" s="158"/>
      <c r="IHA10" s="158"/>
      <c r="IHB10" s="158"/>
      <c r="IHC10" s="158"/>
      <c r="IHD10" s="158"/>
      <c r="IHE10" s="158"/>
      <c r="IHF10" s="158"/>
      <c r="IHG10" s="158"/>
      <c r="IHH10" s="158"/>
      <c r="IHI10" s="158"/>
      <c r="IHJ10" s="158"/>
      <c r="IHK10" s="158"/>
      <c r="IHL10" s="158"/>
      <c r="IHM10" s="158"/>
      <c r="IHN10" s="158"/>
      <c r="IHO10" s="158"/>
      <c r="IHP10" s="158"/>
      <c r="IHQ10" s="158"/>
      <c r="IHR10" s="158"/>
      <c r="IHS10" s="158"/>
      <c r="IHT10" s="158"/>
      <c r="IHU10" s="158"/>
      <c r="IHV10" s="158"/>
      <c r="IHW10" s="158"/>
      <c r="IHX10" s="158"/>
      <c r="IHY10" s="158"/>
      <c r="IHZ10" s="158"/>
      <c r="IIA10" s="158"/>
      <c r="IIB10" s="158"/>
      <c r="IIC10" s="158"/>
      <c r="IID10" s="158"/>
      <c r="IIE10" s="158"/>
      <c r="IIF10" s="158"/>
      <c r="IIG10" s="158"/>
      <c r="IIH10" s="158"/>
      <c r="III10" s="158"/>
      <c r="IIJ10" s="158"/>
      <c r="IIK10" s="158"/>
      <c r="IIL10" s="158"/>
      <c r="IIM10" s="158"/>
      <c r="IIN10" s="158"/>
      <c r="IIO10" s="158"/>
      <c r="IIP10" s="158"/>
      <c r="IIQ10" s="158"/>
      <c r="IIR10" s="158"/>
      <c r="IIS10" s="158"/>
      <c r="IIT10" s="158"/>
      <c r="IIU10" s="158"/>
      <c r="IIV10" s="158"/>
      <c r="IIW10" s="158"/>
      <c r="IIX10" s="158"/>
      <c r="IIY10" s="158"/>
      <c r="IIZ10" s="158"/>
      <c r="IJA10" s="158"/>
      <c r="IJB10" s="158"/>
      <c r="IJC10" s="158"/>
      <c r="IJD10" s="158"/>
      <c r="IJE10" s="158"/>
      <c r="IJF10" s="158"/>
      <c r="IJG10" s="158"/>
      <c r="IJH10" s="158"/>
      <c r="IJI10" s="158"/>
      <c r="IJJ10" s="158"/>
      <c r="IJK10" s="158"/>
      <c r="IJL10" s="158"/>
      <c r="IJM10" s="158"/>
      <c r="IJN10" s="158"/>
      <c r="IJO10" s="158"/>
      <c r="IJP10" s="158"/>
      <c r="IJQ10" s="158"/>
      <c r="IJR10" s="158"/>
      <c r="IJS10" s="158"/>
      <c r="IJT10" s="158"/>
      <c r="IJU10" s="158"/>
      <c r="IJV10" s="158"/>
      <c r="IJW10" s="158"/>
      <c r="IJX10" s="158"/>
      <c r="IJY10" s="158"/>
      <c r="IJZ10" s="158"/>
      <c r="IKA10" s="158"/>
      <c r="IKB10" s="158"/>
      <c r="IKC10" s="158"/>
      <c r="IKD10" s="158"/>
      <c r="IKE10" s="158"/>
      <c r="IKF10" s="158"/>
      <c r="IKG10" s="158"/>
      <c r="IKH10" s="158"/>
      <c r="IKI10" s="158"/>
      <c r="IKJ10" s="158"/>
      <c r="IKK10" s="158"/>
      <c r="IKL10" s="158"/>
      <c r="IKM10" s="158"/>
      <c r="IKN10" s="158"/>
      <c r="IKO10" s="158"/>
      <c r="IKP10" s="158"/>
      <c r="IKQ10" s="158"/>
      <c r="IKR10" s="158"/>
      <c r="IKS10" s="158"/>
      <c r="IKT10" s="158"/>
      <c r="IKU10" s="158"/>
      <c r="IKV10" s="158"/>
      <c r="IKW10" s="158"/>
      <c r="IKX10" s="158"/>
      <c r="IKY10" s="158"/>
      <c r="IKZ10" s="158"/>
      <c r="ILA10" s="158"/>
      <c r="ILB10" s="158"/>
      <c r="ILC10" s="158"/>
      <c r="ILD10" s="158"/>
      <c r="ILE10" s="158"/>
      <c r="ILF10" s="158"/>
      <c r="ILG10" s="158"/>
      <c r="ILH10" s="158"/>
      <c r="ILI10" s="158"/>
      <c r="ILJ10" s="158"/>
      <c r="ILK10" s="158"/>
      <c r="ILL10" s="158"/>
      <c r="ILM10" s="158"/>
      <c r="ILN10" s="158"/>
      <c r="ILO10" s="158"/>
      <c r="ILP10" s="158"/>
      <c r="ILQ10" s="158"/>
      <c r="ILR10" s="158"/>
      <c r="ILS10" s="158"/>
      <c r="ILT10" s="158"/>
      <c r="ILU10" s="158"/>
      <c r="ILV10" s="158"/>
      <c r="ILW10" s="158"/>
      <c r="ILX10" s="158"/>
      <c r="ILY10" s="158"/>
      <c r="ILZ10" s="158"/>
      <c r="IMA10" s="158"/>
      <c r="IMB10" s="158"/>
      <c r="IMC10" s="158"/>
      <c r="IMD10" s="158"/>
      <c r="IME10" s="158"/>
      <c r="IMF10" s="158"/>
      <c r="IMG10" s="158"/>
      <c r="IMH10" s="158"/>
      <c r="IMI10" s="158"/>
      <c r="IMJ10" s="158"/>
      <c r="IMK10" s="158"/>
      <c r="IML10" s="158"/>
      <c r="IMM10" s="158"/>
      <c r="IMN10" s="158"/>
      <c r="IMO10" s="158"/>
      <c r="IMP10" s="158"/>
      <c r="IMQ10" s="158"/>
      <c r="IMR10" s="158"/>
      <c r="IMS10" s="158"/>
      <c r="IMT10" s="158"/>
      <c r="IMU10" s="158"/>
      <c r="IMV10" s="158"/>
      <c r="IMW10" s="158"/>
      <c r="IMX10" s="158"/>
      <c r="IMY10" s="158"/>
      <c r="IMZ10" s="158"/>
      <c r="INA10" s="158"/>
      <c r="INB10" s="158"/>
      <c r="INC10" s="158"/>
      <c r="IND10" s="158"/>
      <c r="INE10" s="158"/>
      <c r="INF10" s="158"/>
      <c r="ING10" s="158"/>
      <c r="INH10" s="158"/>
      <c r="INI10" s="158"/>
      <c r="INJ10" s="158"/>
      <c r="INK10" s="158"/>
      <c r="INL10" s="158"/>
      <c r="INM10" s="158"/>
      <c r="INN10" s="158"/>
      <c r="INO10" s="158"/>
      <c r="INP10" s="158"/>
      <c r="INQ10" s="158"/>
      <c r="INR10" s="158"/>
      <c r="INS10" s="158"/>
      <c r="INT10" s="158"/>
      <c r="INU10" s="158"/>
      <c r="INV10" s="158"/>
      <c r="INW10" s="158"/>
      <c r="INX10" s="158"/>
      <c r="INY10" s="158"/>
      <c r="INZ10" s="158"/>
      <c r="IOA10" s="158"/>
      <c r="IOB10" s="158"/>
      <c r="IOC10" s="158"/>
      <c r="IOD10" s="158"/>
      <c r="IOE10" s="158"/>
      <c r="IOF10" s="158"/>
      <c r="IOG10" s="158"/>
      <c r="IOH10" s="158"/>
      <c r="IOI10" s="158"/>
      <c r="IOJ10" s="158"/>
      <c r="IOK10" s="158"/>
      <c r="IOL10" s="158"/>
      <c r="IOM10" s="158"/>
      <c r="ION10" s="158"/>
      <c r="IOO10" s="158"/>
      <c r="IOP10" s="158"/>
      <c r="IOQ10" s="158"/>
      <c r="IOR10" s="158"/>
      <c r="IOS10" s="158"/>
      <c r="IOT10" s="158"/>
      <c r="IOU10" s="158"/>
      <c r="IOV10" s="158"/>
      <c r="IOW10" s="158"/>
      <c r="IOX10" s="158"/>
      <c r="IOY10" s="158"/>
      <c r="IOZ10" s="158"/>
      <c r="IPA10" s="158"/>
      <c r="IPB10" s="158"/>
      <c r="IPC10" s="158"/>
      <c r="IPD10" s="158"/>
      <c r="IPE10" s="158"/>
      <c r="IPF10" s="158"/>
      <c r="IPG10" s="158"/>
      <c r="IPH10" s="158"/>
      <c r="IPI10" s="158"/>
      <c r="IPJ10" s="158"/>
      <c r="IPK10" s="158"/>
      <c r="IPL10" s="158"/>
      <c r="IPM10" s="158"/>
      <c r="IPN10" s="158"/>
      <c r="IPO10" s="158"/>
      <c r="IPP10" s="158"/>
      <c r="IPQ10" s="158"/>
      <c r="IPR10" s="158"/>
      <c r="IPS10" s="158"/>
      <c r="IPT10" s="158"/>
      <c r="IPU10" s="158"/>
      <c r="IPV10" s="158"/>
      <c r="IPW10" s="158"/>
      <c r="IPX10" s="158"/>
      <c r="IPY10" s="158"/>
      <c r="IPZ10" s="158"/>
      <c r="IQA10" s="158"/>
      <c r="IQB10" s="158"/>
      <c r="IQC10" s="158"/>
      <c r="IQD10" s="158"/>
      <c r="IQE10" s="158"/>
      <c r="IQF10" s="158"/>
      <c r="IQG10" s="158"/>
      <c r="IQH10" s="158"/>
      <c r="IQI10" s="158"/>
      <c r="IQJ10" s="158"/>
      <c r="IQK10" s="158"/>
      <c r="IQL10" s="158"/>
      <c r="IQM10" s="158"/>
      <c r="IQN10" s="158"/>
      <c r="IQO10" s="158"/>
      <c r="IQP10" s="158"/>
      <c r="IQQ10" s="158"/>
      <c r="IQR10" s="158"/>
      <c r="IQS10" s="158"/>
      <c r="IQT10" s="158"/>
      <c r="IQU10" s="158"/>
      <c r="IQV10" s="158"/>
      <c r="IQW10" s="158"/>
      <c r="IQX10" s="158"/>
      <c r="IQY10" s="158"/>
      <c r="IQZ10" s="158"/>
      <c r="IRA10" s="158"/>
      <c r="IRB10" s="158"/>
      <c r="IRC10" s="158"/>
      <c r="IRD10" s="158"/>
      <c r="IRE10" s="158"/>
      <c r="IRF10" s="158"/>
      <c r="IRG10" s="158"/>
      <c r="IRH10" s="158"/>
      <c r="IRI10" s="158"/>
      <c r="IRJ10" s="158"/>
      <c r="IRK10" s="158"/>
      <c r="IRL10" s="158"/>
      <c r="IRM10" s="158"/>
      <c r="IRN10" s="158"/>
      <c r="IRO10" s="158"/>
      <c r="IRP10" s="158"/>
      <c r="IRQ10" s="158"/>
      <c r="IRR10" s="158"/>
      <c r="IRS10" s="158"/>
      <c r="IRT10" s="158"/>
      <c r="IRU10" s="158"/>
      <c r="IRV10" s="158"/>
      <c r="IRW10" s="158"/>
      <c r="IRX10" s="158"/>
      <c r="IRY10" s="158"/>
      <c r="IRZ10" s="158"/>
      <c r="ISA10" s="158"/>
      <c r="ISB10" s="158"/>
      <c r="ISC10" s="158"/>
      <c r="ISD10" s="158"/>
      <c r="ISE10" s="158"/>
      <c r="ISF10" s="158"/>
      <c r="ISG10" s="158"/>
      <c r="ISH10" s="158"/>
      <c r="ISI10" s="158"/>
      <c r="ISJ10" s="158"/>
      <c r="ISK10" s="158"/>
      <c r="ISL10" s="158"/>
      <c r="ISM10" s="158"/>
      <c r="ISN10" s="158"/>
      <c r="ISO10" s="158"/>
      <c r="ISP10" s="158"/>
      <c r="ISQ10" s="158"/>
      <c r="ISR10" s="158"/>
      <c r="ISS10" s="158"/>
      <c r="IST10" s="158"/>
      <c r="ISU10" s="158"/>
      <c r="ISV10" s="158"/>
      <c r="ISW10" s="158"/>
      <c r="ISX10" s="158"/>
      <c r="ISY10" s="158"/>
      <c r="ISZ10" s="158"/>
      <c r="ITA10" s="158"/>
      <c r="ITB10" s="158"/>
      <c r="ITC10" s="158"/>
      <c r="ITD10" s="158"/>
      <c r="ITE10" s="158"/>
      <c r="ITF10" s="158"/>
      <c r="ITG10" s="158"/>
      <c r="ITH10" s="158"/>
      <c r="ITI10" s="158"/>
      <c r="ITJ10" s="158"/>
      <c r="ITK10" s="158"/>
      <c r="ITL10" s="158"/>
      <c r="ITM10" s="158"/>
      <c r="ITN10" s="158"/>
      <c r="ITO10" s="158"/>
      <c r="ITP10" s="158"/>
      <c r="ITQ10" s="158"/>
      <c r="ITR10" s="158"/>
      <c r="ITS10" s="158"/>
      <c r="ITT10" s="158"/>
      <c r="ITU10" s="158"/>
      <c r="ITV10" s="158"/>
      <c r="ITW10" s="158"/>
      <c r="ITX10" s="158"/>
      <c r="ITY10" s="158"/>
      <c r="ITZ10" s="158"/>
      <c r="IUA10" s="158"/>
      <c r="IUB10" s="158"/>
      <c r="IUC10" s="158"/>
      <c r="IUD10" s="158"/>
      <c r="IUE10" s="158"/>
      <c r="IUF10" s="158"/>
      <c r="IUG10" s="158"/>
      <c r="IUH10" s="158"/>
      <c r="IUI10" s="158"/>
      <c r="IUJ10" s="158"/>
      <c r="IUK10" s="158"/>
      <c r="IUL10" s="158"/>
      <c r="IUM10" s="158"/>
      <c r="IUN10" s="158"/>
      <c r="IUO10" s="158"/>
      <c r="IUP10" s="158"/>
      <c r="IUQ10" s="158"/>
      <c r="IUR10" s="158"/>
      <c r="IUS10" s="158"/>
      <c r="IUT10" s="158"/>
      <c r="IUU10" s="158"/>
      <c r="IUV10" s="158"/>
      <c r="IUW10" s="158"/>
      <c r="IUX10" s="158"/>
      <c r="IUY10" s="158"/>
      <c r="IUZ10" s="158"/>
      <c r="IVA10" s="158"/>
      <c r="IVB10" s="158"/>
      <c r="IVC10" s="158"/>
      <c r="IVD10" s="158"/>
      <c r="IVE10" s="158"/>
      <c r="IVF10" s="158"/>
      <c r="IVG10" s="158"/>
      <c r="IVH10" s="158"/>
      <c r="IVI10" s="158"/>
      <c r="IVJ10" s="158"/>
      <c r="IVK10" s="158"/>
      <c r="IVL10" s="158"/>
      <c r="IVM10" s="158"/>
      <c r="IVN10" s="158"/>
      <c r="IVO10" s="158"/>
      <c r="IVP10" s="158"/>
      <c r="IVQ10" s="158"/>
      <c r="IVR10" s="158"/>
      <c r="IVS10" s="158"/>
      <c r="IVT10" s="158"/>
      <c r="IVU10" s="158"/>
      <c r="IVV10" s="158"/>
      <c r="IVW10" s="158"/>
      <c r="IVX10" s="158"/>
      <c r="IVY10" s="158"/>
      <c r="IVZ10" s="158"/>
      <c r="IWA10" s="158"/>
      <c r="IWB10" s="158"/>
      <c r="IWC10" s="158"/>
      <c r="IWD10" s="158"/>
      <c r="IWE10" s="158"/>
      <c r="IWF10" s="158"/>
      <c r="IWG10" s="158"/>
      <c r="IWH10" s="158"/>
      <c r="IWI10" s="158"/>
      <c r="IWJ10" s="158"/>
      <c r="IWK10" s="158"/>
      <c r="IWL10" s="158"/>
      <c r="IWM10" s="158"/>
      <c r="IWN10" s="158"/>
      <c r="IWO10" s="158"/>
      <c r="IWP10" s="158"/>
      <c r="IWQ10" s="158"/>
      <c r="IWR10" s="158"/>
      <c r="IWS10" s="158"/>
      <c r="IWT10" s="158"/>
      <c r="IWU10" s="158"/>
      <c r="IWV10" s="158"/>
      <c r="IWW10" s="158"/>
      <c r="IWX10" s="158"/>
      <c r="IWY10" s="158"/>
      <c r="IWZ10" s="158"/>
      <c r="IXA10" s="158"/>
      <c r="IXB10" s="158"/>
      <c r="IXC10" s="158"/>
      <c r="IXD10" s="158"/>
      <c r="IXE10" s="158"/>
      <c r="IXF10" s="158"/>
      <c r="IXG10" s="158"/>
      <c r="IXH10" s="158"/>
      <c r="IXI10" s="158"/>
      <c r="IXJ10" s="158"/>
      <c r="IXK10" s="158"/>
      <c r="IXL10" s="158"/>
      <c r="IXM10" s="158"/>
      <c r="IXN10" s="158"/>
      <c r="IXO10" s="158"/>
      <c r="IXP10" s="158"/>
      <c r="IXQ10" s="158"/>
      <c r="IXR10" s="158"/>
      <c r="IXS10" s="158"/>
      <c r="IXT10" s="158"/>
      <c r="IXU10" s="158"/>
      <c r="IXV10" s="158"/>
      <c r="IXW10" s="158"/>
      <c r="IXX10" s="158"/>
      <c r="IXY10" s="158"/>
      <c r="IXZ10" s="158"/>
      <c r="IYA10" s="158"/>
      <c r="IYB10" s="158"/>
      <c r="IYC10" s="158"/>
      <c r="IYD10" s="158"/>
      <c r="IYE10" s="158"/>
      <c r="IYF10" s="158"/>
      <c r="IYG10" s="158"/>
      <c r="IYH10" s="158"/>
      <c r="IYI10" s="158"/>
      <c r="IYJ10" s="158"/>
      <c r="IYK10" s="158"/>
      <c r="IYL10" s="158"/>
      <c r="IYM10" s="158"/>
      <c r="IYN10" s="158"/>
      <c r="IYO10" s="158"/>
      <c r="IYP10" s="158"/>
      <c r="IYQ10" s="158"/>
      <c r="IYR10" s="158"/>
      <c r="IYS10" s="158"/>
      <c r="IYT10" s="158"/>
      <c r="IYU10" s="158"/>
      <c r="IYV10" s="158"/>
      <c r="IYW10" s="158"/>
      <c r="IYX10" s="158"/>
      <c r="IYY10" s="158"/>
      <c r="IYZ10" s="158"/>
      <c r="IZA10" s="158"/>
      <c r="IZB10" s="158"/>
      <c r="IZC10" s="158"/>
      <c r="IZD10" s="158"/>
      <c r="IZE10" s="158"/>
      <c r="IZF10" s="158"/>
      <c r="IZG10" s="158"/>
      <c r="IZH10" s="158"/>
      <c r="IZI10" s="158"/>
      <c r="IZJ10" s="158"/>
      <c r="IZK10" s="158"/>
      <c r="IZL10" s="158"/>
      <c r="IZM10" s="158"/>
      <c r="IZN10" s="158"/>
      <c r="IZO10" s="158"/>
      <c r="IZP10" s="158"/>
      <c r="IZQ10" s="158"/>
      <c r="IZR10" s="158"/>
      <c r="IZS10" s="158"/>
      <c r="IZT10" s="158"/>
      <c r="IZU10" s="158"/>
      <c r="IZV10" s="158"/>
      <c r="IZW10" s="158"/>
      <c r="IZX10" s="158"/>
      <c r="IZY10" s="158"/>
      <c r="IZZ10" s="158"/>
      <c r="JAA10" s="158"/>
      <c r="JAB10" s="158"/>
      <c r="JAC10" s="158"/>
      <c r="JAD10" s="158"/>
      <c r="JAE10" s="158"/>
      <c r="JAF10" s="158"/>
      <c r="JAG10" s="158"/>
      <c r="JAH10" s="158"/>
      <c r="JAI10" s="158"/>
      <c r="JAJ10" s="158"/>
      <c r="JAK10" s="158"/>
      <c r="JAL10" s="158"/>
      <c r="JAM10" s="158"/>
      <c r="JAN10" s="158"/>
      <c r="JAO10" s="158"/>
      <c r="JAP10" s="158"/>
      <c r="JAQ10" s="158"/>
      <c r="JAR10" s="158"/>
      <c r="JAS10" s="158"/>
      <c r="JAT10" s="158"/>
      <c r="JAU10" s="158"/>
      <c r="JAV10" s="158"/>
      <c r="JAW10" s="158"/>
      <c r="JAX10" s="158"/>
      <c r="JAY10" s="158"/>
      <c r="JAZ10" s="158"/>
      <c r="JBA10" s="158"/>
      <c r="JBB10" s="158"/>
      <c r="JBC10" s="158"/>
      <c r="JBD10" s="158"/>
      <c r="JBE10" s="158"/>
      <c r="JBF10" s="158"/>
      <c r="JBG10" s="158"/>
      <c r="JBH10" s="158"/>
      <c r="JBI10" s="158"/>
      <c r="JBJ10" s="158"/>
      <c r="JBK10" s="158"/>
      <c r="JBL10" s="158"/>
      <c r="JBM10" s="158"/>
      <c r="JBN10" s="158"/>
      <c r="JBO10" s="158"/>
      <c r="JBP10" s="158"/>
      <c r="JBQ10" s="158"/>
      <c r="JBR10" s="158"/>
      <c r="JBS10" s="158"/>
      <c r="JBT10" s="158"/>
      <c r="JBU10" s="158"/>
      <c r="JBV10" s="158"/>
      <c r="JBW10" s="158"/>
      <c r="JBX10" s="158"/>
      <c r="JBY10" s="158"/>
      <c r="JBZ10" s="158"/>
      <c r="JCA10" s="158"/>
      <c r="JCB10" s="158"/>
      <c r="JCC10" s="158"/>
      <c r="JCD10" s="158"/>
      <c r="JCE10" s="158"/>
      <c r="JCF10" s="158"/>
      <c r="JCG10" s="158"/>
      <c r="JCH10" s="158"/>
      <c r="JCI10" s="158"/>
      <c r="JCJ10" s="158"/>
      <c r="JCK10" s="158"/>
      <c r="JCL10" s="158"/>
      <c r="JCM10" s="158"/>
      <c r="JCN10" s="158"/>
      <c r="JCO10" s="158"/>
      <c r="JCP10" s="158"/>
      <c r="JCQ10" s="158"/>
      <c r="JCR10" s="158"/>
      <c r="JCS10" s="158"/>
      <c r="JCT10" s="158"/>
      <c r="JCU10" s="158"/>
      <c r="JCV10" s="158"/>
      <c r="JCW10" s="158"/>
      <c r="JCX10" s="158"/>
      <c r="JCY10" s="158"/>
      <c r="JCZ10" s="158"/>
      <c r="JDA10" s="158"/>
      <c r="JDB10" s="158"/>
      <c r="JDC10" s="158"/>
      <c r="JDD10" s="158"/>
      <c r="JDE10" s="158"/>
      <c r="JDF10" s="158"/>
      <c r="JDG10" s="158"/>
      <c r="JDH10" s="158"/>
      <c r="JDI10" s="158"/>
      <c r="JDJ10" s="158"/>
      <c r="JDK10" s="158"/>
      <c r="JDL10" s="158"/>
      <c r="JDM10" s="158"/>
      <c r="JDN10" s="158"/>
      <c r="JDO10" s="158"/>
      <c r="JDP10" s="158"/>
      <c r="JDQ10" s="158"/>
      <c r="JDR10" s="158"/>
      <c r="JDS10" s="158"/>
      <c r="JDT10" s="158"/>
      <c r="JDU10" s="158"/>
      <c r="JDV10" s="158"/>
      <c r="JDW10" s="158"/>
      <c r="JDX10" s="158"/>
      <c r="JDY10" s="158"/>
      <c r="JDZ10" s="158"/>
      <c r="JEA10" s="158"/>
      <c r="JEB10" s="158"/>
      <c r="JEC10" s="158"/>
      <c r="JED10" s="158"/>
      <c r="JEE10" s="158"/>
      <c r="JEF10" s="158"/>
      <c r="JEG10" s="158"/>
      <c r="JEH10" s="158"/>
      <c r="JEI10" s="158"/>
      <c r="JEJ10" s="158"/>
      <c r="JEK10" s="158"/>
      <c r="JEL10" s="158"/>
      <c r="JEM10" s="158"/>
      <c r="JEN10" s="158"/>
      <c r="JEO10" s="158"/>
      <c r="JEP10" s="158"/>
      <c r="JEQ10" s="158"/>
      <c r="JER10" s="158"/>
      <c r="JES10" s="158"/>
      <c r="JET10" s="158"/>
      <c r="JEU10" s="158"/>
      <c r="JEV10" s="158"/>
      <c r="JEW10" s="158"/>
      <c r="JEX10" s="158"/>
      <c r="JEY10" s="158"/>
      <c r="JEZ10" s="158"/>
      <c r="JFA10" s="158"/>
      <c r="JFB10" s="158"/>
      <c r="JFC10" s="158"/>
      <c r="JFD10" s="158"/>
      <c r="JFE10" s="158"/>
      <c r="JFF10" s="158"/>
      <c r="JFG10" s="158"/>
      <c r="JFH10" s="158"/>
      <c r="JFI10" s="158"/>
      <c r="JFJ10" s="158"/>
      <c r="JFK10" s="158"/>
      <c r="JFL10" s="158"/>
      <c r="JFM10" s="158"/>
      <c r="JFN10" s="158"/>
      <c r="JFO10" s="158"/>
      <c r="JFP10" s="158"/>
      <c r="JFQ10" s="158"/>
      <c r="JFR10" s="158"/>
      <c r="JFS10" s="158"/>
      <c r="JFT10" s="158"/>
      <c r="JFU10" s="158"/>
      <c r="JFV10" s="158"/>
      <c r="JFW10" s="158"/>
      <c r="JFX10" s="158"/>
      <c r="JFY10" s="158"/>
      <c r="JFZ10" s="158"/>
      <c r="JGA10" s="158"/>
      <c r="JGB10" s="158"/>
      <c r="JGC10" s="158"/>
      <c r="JGD10" s="158"/>
      <c r="JGE10" s="158"/>
      <c r="JGF10" s="158"/>
      <c r="JGG10" s="158"/>
      <c r="JGH10" s="158"/>
      <c r="JGI10" s="158"/>
      <c r="JGJ10" s="158"/>
      <c r="JGK10" s="158"/>
      <c r="JGL10" s="158"/>
      <c r="JGM10" s="158"/>
      <c r="JGN10" s="158"/>
      <c r="JGO10" s="158"/>
      <c r="JGP10" s="158"/>
      <c r="JGQ10" s="158"/>
      <c r="JGR10" s="158"/>
      <c r="JGS10" s="158"/>
      <c r="JGT10" s="158"/>
      <c r="JGU10" s="158"/>
      <c r="JGV10" s="158"/>
      <c r="JGW10" s="158"/>
      <c r="JGX10" s="158"/>
      <c r="JGY10" s="158"/>
      <c r="JGZ10" s="158"/>
      <c r="JHA10" s="158"/>
      <c r="JHB10" s="158"/>
      <c r="JHC10" s="158"/>
      <c r="JHD10" s="158"/>
      <c r="JHE10" s="158"/>
      <c r="JHF10" s="158"/>
      <c r="JHG10" s="158"/>
      <c r="JHH10" s="158"/>
      <c r="JHI10" s="158"/>
      <c r="JHJ10" s="158"/>
      <c r="JHK10" s="158"/>
      <c r="JHL10" s="158"/>
      <c r="JHM10" s="158"/>
      <c r="JHN10" s="158"/>
      <c r="JHO10" s="158"/>
      <c r="JHP10" s="158"/>
      <c r="JHQ10" s="158"/>
      <c r="JHR10" s="158"/>
      <c r="JHS10" s="158"/>
      <c r="JHT10" s="158"/>
      <c r="JHU10" s="158"/>
      <c r="JHV10" s="158"/>
      <c r="JHW10" s="158"/>
      <c r="JHX10" s="158"/>
      <c r="JHY10" s="158"/>
      <c r="JHZ10" s="158"/>
      <c r="JIA10" s="158"/>
      <c r="JIB10" s="158"/>
      <c r="JIC10" s="158"/>
      <c r="JID10" s="158"/>
      <c r="JIE10" s="158"/>
      <c r="JIF10" s="158"/>
      <c r="JIG10" s="158"/>
      <c r="JIH10" s="158"/>
      <c r="JII10" s="158"/>
      <c r="JIJ10" s="158"/>
      <c r="JIK10" s="158"/>
      <c r="JIL10" s="158"/>
      <c r="JIM10" s="158"/>
      <c r="JIN10" s="158"/>
      <c r="JIO10" s="158"/>
      <c r="JIP10" s="158"/>
      <c r="JIQ10" s="158"/>
      <c r="JIR10" s="158"/>
      <c r="JIS10" s="158"/>
      <c r="JIT10" s="158"/>
      <c r="JIU10" s="158"/>
      <c r="JIV10" s="158"/>
      <c r="JIW10" s="158"/>
      <c r="JIX10" s="158"/>
      <c r="JIY10" s="158"/>
      <c r="JIZ10" s="158"/>
      <c r="JJA10" s="158"/>
      <c r="JJB10" s="158"/>
      <c r="JJC10" s="158"/>
      <c r="JJD10" s="158"/>
      <c r="JJE10" s="158"/>
      <c r="JJF10" s="158"/>
      <c r="JJG10" s="158"/>
      <c r="JJH10" s="158"/>
      <c r="JJI10" s="158"/>
      <c r="JJJ10" s="158"/>
      <c r="JJK10" s="158"/>
      <c r="JJL10" s="158"/>
      <c r="JJM10" s="158"/>
      <c r="JJN10" s="158"/>
      <c r="JJO10" s="158"/>
      <c r="JJP10" s="158"/>
      <c r="JJQ10" s="158"/>
      <c r="JJR10" s="158"/>
      <c r="JJS10" s="158"/>
      <c r="JJT10" s="158"/>
      <c r="JJU10" s="158"/>
      <c r="JJV10" s="158"/>
      <c r="JJW10" s="158"/>
      <c r="JJX10" s="158"/>
      <c r="JJY10" s="158"/>
      <c r="JJZ10" s="158"/>
      <c r="JKA10" s="158"/>
      <c r="JKB10" s="158"/>
      <c r="JKC10" s="158"/>
      <c r="JKD10" s="158"/>
      <c r="JKE10" s="158"/>
      <c r="JKF10" s="158"/>
      <c r="JKG10" s="158"/>
      <c r="JKH10" s="158"/>
      <c r="JKI10" s="158"/>
      <c r="JKJ10" s="158"/>
      <c r="JKK10" s="158"/>
      <c r="JKL10" s="158"/>
      <c r="JKM10" s="158"/>
      <c r="JKN10" s="158"/>
      <c r="JKO10" s="158"/>
      <c r="JKP10" s="158"/>
      <c r="JKQ10" s="158"/>
      <c r="JKR10" s="158"/>
      <c r="JKS10" s="158"/>
      <c r="JKT10" s="158"/>
      <c r="JKU10" s="158"/>
      <c r="JKV10" s="158"/>
      <c r="JKW10" s="158"/>
      <c r="JKX10" s="158"/>
      <c r="JKY10" s="158"/>
      <c r="JKZ10" s="158"/>
      <c r="JLA10" s="158"/>
      <c r="JLB10" s="158"/>
      <c r="JLC10" s="158"/>
      <c r="JLD10" s="158"/>
      <c r="JLE10" s="158"/>
      <c r="JLF10" s="158"/>
      <c r="JLG10" s="158"/>
      <c r="JLH10" s="158"/>
      <c r="JLI10" s="158"/>
      <c r="JLJ10" s="158"/>
      <c r="JLK10" s="158"/>
      <c r="JLL10" s="158"/>
      <c r="JLM10" s="158"/>
      <c r="JLN10" s="158"/>
      <c r="JLO10" s="158"/>
      <c r="JLP10" s="158"/>
      <c r="JLQ10" s="158"/>
      <c r="JLR10" s="158"/>
      <c r="JLS10" s="158"/>
      <c r="JLT10" s="158"/>
      <c r="JLU10" s="158"/>
      <c r="JLV10" s="158"/>
      <c r="JLW10" s="158"/>
      <c r="JLX10" s="158"/>
      <c r="JLY10" s="158"/>
      <c r="JLZ10" s="158"/>
      <c r="JMA10" s="158"/>
      <c r="JMB10" s="158"/>
      <c r="JMC10" s="158"/>
      <c r="JMD10" s="158"/>
      <c r="JME10" s="158"/>
      <c r="JMF10" s="158"/>
      <c r="JMG10" s="158"/>
      <c r="JMH10" s="158"/>
      <c r="JMI10" s="158"/>
      <c r="JMJ10" s="158"/>
      <c r="JMK10" s="158"/>
      <c r="JML10" s="158"/>
      <c r="JMM10" s="158"/>
      <c r="JMN10" s="158"/>
      <c r="JMO10" s="158"/>
      <c r="JMP10" s="158"/>
      <c r="JMQ10" s="158"/>
      <c r="JMR10" s="158"/>
      <c r="JMS10" s="158"/>
      <c r="JMT10" s="158"/>
      <c r="JMU10" s="158"/>
      <c r="JMV10" s="158"/>
      <c r="JMW10" s="158"/>
      <c r="JMX10" s="158"/>
      <c r="JMY10" s="158"/>
      <c r="JMZ10" s="158"/>
      <c r="JNA10" s="158"/>
      <c r="JNB10" s="158"/>
      <c r="JNC10" s="158"/>
      <c r="JND10" s="158"/>
      <c r="JNE10" s="158"/>
      <c r="JNF10" s="158"/>
      <c r="JNG10" s="158"/>
      <c r="JNH10" s="158"/>
      <c r="JNI10" s="158"/>
      <c r="JNJ10" s="158"/>
      <c r="JNK10" s="158"/>
      <c r="JNL10" s="158"/>
      <c r="JNM10" s="158"/>
      <c r="JNN10" s="158"/>
      <c r="JNO10" s="158"/>
      <c r="JNP10" s="158"/>
      <c r="JNQ10" s="158"/>
      <c r="JNR10" s="158"/>
      <c r="JNS10" s="158"/>
      <c r="JNT10" s="158"/>
      <c r="JNU10" s="158"/>
      <c r="JNV10" s="158"/>
      <c r="JNW10" s="158"/>
      <c r="JNX10" s="158"/>
      <c r="JNY10" s="158"/>
      <c r="JNZ10" s="158"/>
      <c r="JOA10" s="158"/>
      <c r="JOB10" s="158"/>
      <c r="JOC10" s="158"/>
      <c r="JOD10" s="158"/>
      <c r="JOE10" s="158"/>
      <c r="JOF10" s="158"/>
      <c r="JOG10" s="158"/>
      <c r="JOH10" s="158"/>
      <c r="JOI10" s="158"/>
      <c r="JOJ10" s="158"/>
      <c r="JOK10" s="158"/>
      <c r="JOL10" s="158"/>
      <c r="JOM10" s="158"/>
      <c r="JON10" s="158"/>
      <c r="JOO10" s="158"/>
      <c r="JOP10" s="158"/>
      <c r="JOQ10" s="158"/>
      <c r="JOR10" s="158"/>
      <c r="JOS10" s="158"/>
      <c r="JOT10" s="158"/>
      <c r="JOU10" s="158"/>
      <c r="JOV10" s="158"/>
      <c r="JOW10" s="158"/>
      <c r="JOX10" s="158"/>
      <c r="JOY10" s="158"/>
      <c r="JOZ10" s="158"/>
      <c r="JPA10" s="158"/>
      <c r="JPB10" s="158"/>
      <c r="JPC10" s="158"/>
      <c r="JPD10" s="158"/>
      <c r="JPE10" s="158"/>
      <c r="JPF10" s="158"/>
      <c r="JPG10" s="158"/>
      <c r="JPH10" s="158"/>
      <c r="JPI10" s="158"/>
      <c r="JPJ10" s="158"/>
      <c r="JPK10" s="158"/>
      <c r="JPL10" s="158"/>
      <c r="JPM10" s="158"/>
      <c r="JPN10" s="158"/>
      <c r="JPO10" s="158"/>
      <c r="JPP10" s="158"/>
      <c r="JPQ10" s="158"/>
      <c r="JPR10" s="158"/>
      <c r="JPS10" s="158"/>
      <c r="JPT10" s="158"/>
      <c r="JPU10" s="158"/>
      <c r="JPV10" s="158"/>
      <c r="JPW10" s="158"/>
      <c r="JPX10" s="158"/>
      <c r="JPY10" s="158"/>
      <c r="JPZ10" s="158"/>
      <c r="JQA10" s="158"/>
      <c r="JQB10" s="158"/>
      <c r="JQC10" s="158"/>
      <c r="JQD10" s="158"/>
      <c r="JQE10" s="158"/>
      <c r="JQF10" s="158"/>
      <c r="JQG10" s="158"/>
      <c r="JQH10" s="158"/>
      <c r="JQI10" s="158"/>
      <c r="JQJ10" s="158"/>
      <c r="JQK10" s="158"/>
      <c r="JQL10" s="158"/>
      <c r="JQM10" s="158"/>
      <c r="JQN10" s="158"/>
      <c r="JQO10" s="158"/>
      <c r="JQP10" s="158"/>
      <c r="JQQ10" s="158"/>
      <c r="JQR10" s="158"/>
      <c r="JQS10" s="158"/>
      <c r="JQT10" s="158"/>
      <c r="JQU10" s="158"/>
      <c r="JQV10" s="158"/>
      <c r="JQW10" s="158"/>
      <c r="JQX10" s="158"/>
      <c r="JQY10" s="158"/>
      <c r="JQZ10" s="158"/>
      <c r="JRA10" s="158"/>
      <c r="JRB10" s="158"/>
      <c r="JRC10" s="158"/>
      <c r="JRD10" s="158"/>
      <c r="JRE10" s="158"/>
      <c r="JRF10" s="158"/>
      <c r="JRG10" s="158"/>
      <c r="JRH10" s="158"/>
      <c r="JRI10" s="158"/>
      <c r="JRJ10" s="158"/>
      <c r="JRK10" s="158"/>
      <c r="JRL10" s="158"/>
      <c r="JRM10" s="158"/>
      <c r="JRN10" s="158"/>
      <c r="JRO10" s="158"/>
      <c r="JRP10" s="158"/>
      <c r="JRQ10" s="158"/>
      <c r="JRR10" s="158"/>
      <c r="JRS10" s="158"/>
      <c r="JRT10" s="158"/>
      <c r="JRU10" s="158"/>
      <c r="JRV10" s="158"/>
      <c r="JRW10" s="158"/>
      <c r="JRX10" s="158"/>
      <c r="JRY10" s="158"/>
      <c r="JRZ10" s="158"/>
      <c r="JSA10" s="158"/>
      <c r="JSB10" s="158"/>
      <c r="JSC10" s="158"/>
      <c r="JSD10" s="158"/>
      <c r="JSE10" s="158"/>
      <c r="JSF10" s="158"/>
      <c r="JSG10" s="158"/>
      <c r="JSH10" s="158"/>
      <c r="JSI10" s="158"/>
      <c r="JSJ10" s="158"/>
      <c r="JSK10" s="158"/>
      <c r="JSL10" s="158"/>
      <c r="JSM10" s="158"/>
      <c r="JSN10" s="158"/>
      <c r="JSO10" s="158"/>
      <c r="JSP10" s="158"/>
      <c r="JSQ10" s="158"/>
      <c r="JSR10" s="158"/>
      <c r="JSS10" s="158"/>
      <c r="JST10" s="158"/>
      <c r="JSU10" s="158"/>
      <c r="JSV10" s="158"/>
      <c r="JSW10" s="158"/>
      <c r="JSX10" s="158"/>
      <c r="JSY10" s="158"/>
      <c r="JSZ10" s="158"/>
      <c r="JTA10" s="158"/>
      <c r="JTB10" s="158"/>
      <c r="JTC10" s="158"/>
      <c r="JTD10" s="158"/>
      <c r="JTE10" s="158"/>
      <c r="JTF10" s="158"/>
      <c r="JTG10" s="158"/>
      <c r="JTH10" s="158"/>
      <c r="JTI10" s="158"/>
      <c r="JTJ10" s="158"/>
      <c r="JTK10" s="158"/>
      <c r="JTL10" s="158"/>
      <c r="JTM10" s="158"/>
      <c r="JTN10" s="158"/>
      <c r="JTO10" s="158"/>
      <c r="JTP10" s="158"/>
      <c r="JTQ10" s="158"/>
      <c r="JTR10" s="158"/>
      <c r="JTS10" s="158"/>
      <c r="JTT10" s="158"/>
      <c r="JTU10" s="158"/>
      <c r="JTV10" s="158"/>
      <c r="JTW10" s="158"/>
      <c r="JTX10" s="158"/>
      <c r="JTY10" s="158"/>
      <c r="JTZ10" s="158"/>
      <c r="JUA10" s="158"/>
      <c r="JUB10" s="158"/>
      <c r="JUC10" s="158"/>
      <c r="JUD10" s="158"/>
      <c r="JUE10" s="158"/>
      <c r="JUF10" s="158"/>
      <c r="JUG10" s="158"/>
      <c r="JUH10" s="158"/>
      <c r="JUI10" s="158"/>
      <c r="JUJ10" s="158"/>
      <c r="JUK10" s="158"/>
      <c r="JUL10" s="158"/>
      <c r="JUM10" s="158"/>
      <c r="JUN10" s="158"/>
      <c r="JUO10" s="158"/>
      <c r="JUP10" s="158"/>
      <c r="JUQ10" s="158"/>
      <c r="JUR10" s="158"/>
      <c r="JUS10" s="158"/>
      <c r="JUT10" s="158"/>
      <c r="JUU10" s="158"/>
      <c r="JUV10" s="158"/>
      <c r="JUW10" s="158"/>
      <c r="JUX10" s="158"/>
      <c r="JUY10" s="158"/>
      <c r="JUZ10" s="158"/>
      <c r="JVA10" s="158"/>
      <c r="JVB10" s="158"/>
      <c r="JVC10" s="158"/>
      <c r="JVD10" s="158"/>
      <c r="JVE10" s="158"/>
      <c r="JVF10" s="158"/>
      <c r="JVG10" s="158"/>
      <c r="JVH10" s="158"/>
      <c r="JVI10" s="158"/>
      <c r="JVJ10" s="158"/>
      <c r="JVK10" s="158"/>
      <c r="JVL10" s="158"/>
      <c r="JVM10" s="158"/>
      <c r="JVN10" s="158"/>
      <c r="JVO10" s="158"/>
      <c r="JVP10" s="158"/>
      <c r="JVQ10" s="158"/>
      <c r="JVR10" s="158"/>
      <c r="JVS10" s="158"/>
      <c r="JVT10" s="158"/>
      <c r="JVU10" s="158"/>
      <c r="JVV10" s="158"/>
      <c r="JVW10" s="158"/>
      <c r="JVX10" s="158"/>
      <c r="JVY10" s="158"/>
      <c r="JVZ10" s="158"/>
      <c r="JWA10" s="158"/>
      <c r="JWB10" s="158"/>
      <c r="JWC10" s="158"/>
      <c r="JWD10" s="158"/>
      <c r="JWE10" s="158"/>
      <c r="JWF10" s="158"/>
      <c r="JWG10" s="158"/>
      <c r="JWH10" s="158"/>
      <c r="JWI10" s="158"/>
      <c r="JWJ10" s="158"/>
      <c r="JWK10" s="158"/>
      <c r="JWL10" s="158"/>
      <c r="JWM10" s="158"/>
      <c r="JWN10" s="158"/>
      <c r="JWO10" s="158"/>
      <c r="JWP10" s="158"/>
      <c r="JWQ10" s="158"/>
      <c r="JWR10" s="158"/>
      <c r="JWS10" s="158"/>
      <c r="JWT10" s="158"/>
      <c r="JWU10" s="158"/>
      <c r="JWV10" s="158"/>
      <c r="JWW10" s="158"/>
      <c r="JWX10" s="158"/>
      <c r="JWY10" s="158"/>
      <c r="JWZ10" s="158"/>
      <c r="JXA10" s="158"/>
      <c r="JXB10" s="158"/>
      <c r="JXC10" s="158"/>
      <c r="JXD10" s="158"/>
      <c r="JXE10" s="158"/>
      <c r="JXF10" s="158"/>
      <c r="JXG10" s="158"/>
      <c r="JXH10" s="158"/>
      <c r="JXI10" s="158"/>
      <c r="JXJ10" s="158"/>
      <c r="JXK10" s="158"/>
      <c r="JXL10" s="158"/>
      <c r="JXM10" s="158"/>
      <c r="JXN10" s="158"/>
      <c r="JXO10" s="158"/>
      <c r="JXP10" s="158"/>
      <c r="JXQ10" s="158"/>
      <c r="JXR10" s="158"/>
      <c r="JXS10" s="158"/>
      <c r="JXT10" s="158"/>
      <c r="JXU10" s="158"/>
      <c r="JXV10" s="158"/>
      <c r="JXW10" s="158"/>
      <c r="JXX10" s="158"/>
      <c r="JXY10" s="158"/>
      <c r="JXZ10" s="158"/>
      <c r="JYA10" s="158"/>
      <c r="JYB10" s="158"/>
      <c r="JYC10" s="158"/>
      <c r="JYD10" s="158"/>
      <c r="JYE10" s="158"/>
      <c r="JYF10" s="158"/>
      <c r="JYG10" s="158"/>
      <c r="JYH10" s="158"/>
      <c r="JYI10" s="158"/>
      <c r="JYJ10" s="158"/>
      <c r="JYK10" s="158"/>
      <c r="JYL10" s="158"/>
      <c r="JYM10" s="158"/>
      <c r="JYN10" s="158"/>
      <c r="JYO10" s="158"/>
      <c r="JYP10" s="158"/>
      <c r="JYQ10" s="158"/>
      <c r="JYR10" s="158"/>
      <c r="JYS10" s="158"/>
      <c r="JYT10" s="158"/>
      <c r="JYU10" s="158"/>
      <c r="JYV10" s="158"/>
      <c r="JYW10" s="158"/>
      <c r="JYX10" s="158"/>
      <c r="JYY10" s="158"/>
      <c r="JYZ10" s="158"/>
      <c r="JZA10" s="158"/>
      <c r="JZB10" s="158"/>
      <c r="JZC10" s="158"/>
      <c r="JZD10" s="158"/>
      <c r="JZE10" s="158"/>
      <c r="JZF10" s="158"/>
      <c r="JZG10" s="158"/>
      <c r="JZH10" s="158"/>
      <c r="JZI10" s="158"/>
      <c r="JZJ10" s="158"/>
      <c r="JZK10" s="158"/>
      <c r="JZL10" s="158"/>
      <c r="JZM10" s="158"/>
      <c r="JZN10" s="158"/>
      <c r="JZO10" s="158"/>
      <c r="JZP10" s="158"/>
      <c r="JZQ10" s="158"/>
      <c r="JZR10" s="158"/>
      <c r="JZS10" s="158"/>
      <c r="JZT10" s="158"/>
      <c r="JZU10" s="158"/>
      <c r="JZV10" s="158"/>
      <c r="JZW10" s="158"/>
      <c r="JZX10" s="158"/>
      <c r="JZY10" s="158"/>
      <c r="JZZ10" s="158"/>
      <c r="KAA10" s="158"/>
      <c r="KAB10" s="158"/>
      <c r="KAC10" s="158"/>
      <c r="KAD10" s="158"/>
      <c r="KAE10" s="158"/>
      <c r="KAF10" s="158"/>
      <c r="KAG10" s="158"/>
      <c r="KAH10" s="158"/>
      <c r="KAI10" s="158"/>
      <c r="KAJ10" s="158"/>
      <c r="KAK10" s="158"/>
      <c r="KAL10" s="158"/>
      <c r="KAM10" s="158"/>
      <c r="KAN10" s="158"/>
      <c r="KAO10" s="158"/>
      <c r="KAP10" s="158"/>
      <c r="KAQ10" s="158"/>
      <c r="KAR10" s="158"/>
      <c r="KAS10" s="158"/>
      <c r="KAT10" s="158"/>
      <c r="KAU10" s="158"/>
      <c r="KAV10" s="158"/>
      <c r="KAW10" s="158"/>
      <c r="KAX10" s="158"/>
      <c r="KAY10" s="158"/>
      <c r="KAZ10" s="158"/>
      <c r="KBA10" s="158"/>
      <c r="KBB10" s="158"/>
      <c r="KBC10" s="158"/>
      <c r="KBD10" s="158"/>
      <c r="KBE10" s="158"/>
      <c r="KBF10" s="158"/>
      <c r="KBG10" s="158"/>
      <c r="KBH10" s="158"/>
      <c r="KBI10" s="158"/>
      <c r="KBJ10" s="158"/>
      <c r="KBK10" s="158"/>
      <c r="KBL10" s="158"/>
      <c r="KBM10" s="158"/>
      <c r="KBN10" s="158"/>
      <c r="KBO10" s="158"/>
      <c r="KBP10" s="158"/>
      <c r="KBQ10" s="158"/>
      <c r="KBR10" s="158"/>
      <c r="KBS10" s="158"/>
      <c r="KBT10" s="158"/>
      <c r="KBU10" s="158"/>
      <c r="KBV10" s="158"/>
      <c r="KBW10" s="158"/>
      <c r="KBX10" s="158"/>
      <c r="KBY10" s="158"/>
      <c r="KBZ10" s="158"/>
      <c r="KCA10" s="158"/>
      <c r="KCB10" s="158"/>
      <c r="KCC10" s="158"/>
      <c r="KCD10" s="158"/>
      <c r="KCE10" s="158"/>
      <c r="KCF10" s="158"/>
      <c r="KCG10" s="158"/>
      <c r="KCH10" s="158"/>
      <c r="KCI10" s="158"/>
      <c r="KCJ10" s="158"/>
      <c r="KCK10" s="158"/>
      <c r="KCL10" s="158"/>
      <c r="KCM10" s="158"/>
      <c r="KCN10" s="158"/>
      <c r="KCO10" s="158"/>
      <c r="KCP10" s="158"/>
      <c r="KCQ10" s="158"/>
      <c r="KCR10" s="158"/>
      <c r="KCS10" s="158"/>
      <c r="KCT10" s="158"/>
      <c r="KCU10" s="158"/>
      <c r="KCV10" s="158"/>
      <c r="KCW10" s="158"/>
      <c r="KCX10" s="158"/>
      <c r="KCY10" s="158"/>
      <c r="KCZ10" s="158"/>
      <c r="KDA10" s="158"/>
      <c r="KDB10" s="158"/>
      <c r="KDC10" s="158"/>
      <c r="KDD10" s="158"/>
      <c r="KDE10" s="158"/>
      <c r="KDF10" s="158"/>
      <c r="KDG10" s="158"/>
      <c r="KDH10" s="158"/>
      <c r="KDI10" s="158"/>
      <c r="KDJ10" s="158"/>
      <c r="KDK10" s="158"/>
      <c r="KDL10" s="158"/>
      <c r="KDM10" s="158"/>
      <c r="KDN10" s="158"/>
      <c r="KDO10" s="158"/>
      <c r="KDP10" s="158"/>
      <c r="KDQ10" s="158"/>
      <c r="KDR10" s="158"/>
      <c r="KDS10" s="158"/>
      <c r="KDT10" s="158"/>
      <c r="KDU10" s="158"/>
      <c r="KDV10" s="158"/>
      <c r="KDW10" s="158"/>
      <c r="KDX10" s="158"/>
      <c r="KDY10" s="158"/>
      <c r="KDZ10" s="158"/>
      <c r="KEA10" s="158"/>
      <c r="KEB10" s="158"/>
      <c r="KEC10" s="158"/>
      <c r="KED10" s="158"/>
      <c r="KEE10" s="158"/>
      <c r="KEF10" s="158"/>
      <c r="KEG10" s="158"/>
      <c r="KEH10" s="158"/>
      <c r="KEI10" s="158"/>
      <c r="KEJ10" s="158"/>
      <c r="KEK10" s="158"/>
      <c r="KEL10" s="158"/>
      <c r="KEM10" s="158"/>
      <c r="KEN10" s="158"/>
      <c r="KEO10" s="158"/>
      <c r="KEP10" s="158"/>
      <c r="KEQ10" s="158"/>
      <c r="KER10" s="158"/>
      <c r="KES10" s="158"/>
      <c r="KET10" s="158"/>
      <c r="KEU10" s="158"/>
      <c r="KEV10" s="158"/>
      <c r="KEW10" s="158"/>
      <c r="KEX10" s="158"/>
      <c r="KEY10" s="158"/>
      <c r="KEZ10" s="158"/>
      <c r="KFA10" s="158"/>
      <c r="KFB10" s="158"/>
      <c r="KFC10" s="158"/>
      <c r="KFD10" s="158"/>
      <c r="KFE10" s="158"/>
      <c r="KFF10" s="158"/>
      <c r="KFG10" s="158"/>
      <c r="KFH10" s="158"/>
      <c r="KFI10" s="158"/>
      <c r="KFJ10" s="158"/>
      <c r="KFK10" s="158"/>
      <c r="KFL10" s="158"/>
      <c r="KFM10" s="158"/>
      <c r="KFN10" s="158"/>
      <c r="KFO10" s="158"/>
      <c r="KFP10" s="158"/>
      <c r="KFQ10" s="158"/>
      <c r="KFR10" s="158"/>
      <c r="KFS10" s="158"/>
      <c r="KFT10" s="158"/>
      <c r="KFU10" s="158"/>
      <c r="KFV10" s="158"/>
      <c r="KFW10" s="158"/>
      <c r="KFX10" s="158"/>
      <c r="KFY10" s="158"/>
      <c r="KFZ10" s="158"/>
      <c r="KGA10" s="158"/>
      <c r="KGB10" s="158"/>
      <c r="KGC10" s="158"/>
      <c r="KGD10" s="158"/>
      <c r="KGE10" s="158"/>
      <c r="KGF10" s="158"/>
      <c r="KGG10" s="158"/>
      <c r="KGH10" s="158"/>
      <c r="KGI10" s="158"/>
      <c r="KGJ10" s="158"/>
      <c r="KGK10" s="158"/>
      <c r="KGL10" s="158"/>
      <c r="KGM10" s="158"/>
      <c r="KGN10" s="158"/>
      <c r="KGO10" s="158"/>
      <c r="KGP10" s="158"/>
      <c r="KGQ10" s="158"/>
      <c r="KGR10" s="158"/>
      <c r="KGS10" s="158"/>
      <c r="KGT10" s="158"/>
      <c r="KGU10" s="158"/>
      <c r="KGV10" s="158"/>
      <c r="KGW10" s="158"/>
      <c r="KGX10" s="158"/>
      <c r="KGY10" s="158"/>
      <c r="KGZ10" s="158"/>
      <c r="KHA10" s="158"/>
      <c r="KHB10" s="158"/>
      <c r="KHC10" s="158"/>
      <c r="KHD10" s="158"/>
      <c r="KHE10" s="158"/>
      <c r="KHF10" s="158"/>
      <c r="KHG10" s="158"/>
      <c r="KHH10" s="158"/>
      <c r="KHI10" s="158"/>
      <c r="KHJ10" s="158"/>
      <c r="KHK10" s="158"/>
      <c r="KHL10" s="158"/>
      <c r="KHM10" s="158"/>
      <c r="KHN10" s="158"/>
      <c r="KHO10" s="158"/>
      <c r="KHP10" s="158"/>
      <c r="KHQ10" s="158"/>
      <c r="KHR10" s="158"/>
      <c r="KHS10" s="158"/>
      <c r="KHT10" s="158"/>
      <c r="KHU10" s="158"/>
      <c r="KHV10" s="158"/>
      <c r="KHW10" s="158"/>
      <c r="KHX10" s="158"/>
      <c r="KHY10" s="158"/>
      <c r="KHZ10" s="158"/>
      <c r="KIA10" s="158"/>
      <c r="KIB10" s="158"/>
      <c r="KIC10" s="158"/>
      <c r="KID10" s="158"/>
      <c r="KIE10" s="158"/>
      <c r="KIF10" s="158"/>
      <c r="KIG10" s="158"/>
      <c r="KIH10" s="158"/>
      <c r="KII10" s="158"/>
      <c r="KIJ10" s="158"/>
      <c r="KIK10" s="158"/>
      <c r="KIL10" s="158"/>
      <c r="KIM10" s="158"/>
      <c r="KIN10" s="158"/>
      <c r="KIO10" s="158"/>
      <c r="KIP10" s="158"/>
      <c r="KIQ10" s="158"/>
      <c r="KIR10" s="158"/>
      <c r="KIS10" s="158"/>
      <c r="KIT10" s="158"/>
      <c r="KIU10" s="158"/>
      <c r="KIV10" s="158"/>
      <c r="KIW10" s="158"/>
      <c r="KIX10" s="158"/>
      <c r="KIY10" s="158"/>
      <c r="KIZ10" s="158"/>
      <c r="KJA10" s="158"/>
      <c r="KJB10" s="158"/>
      <c r="KJC10" s="158"/>
      <c r="KJD10" s="158"/>
      <c r="KJE10" s="158"/>
      <c r="KJF10" s="158"/>
      <c r="KJG10" s="158"/>
      <c r="KJH10" s="158"/>
      <c r="KJI10" s="158"/>
      <c r="KJJ10" s="158"/>
      <c r="KJK10" s="158"/>
      <c r="KJL10" s="158"/>
      <c r="KJM10" s="158"/>
      <c r="KJN10" s="158"/>
      <c r="KJO10" s="158"/>
      <c r="KJP10" s="158"/>
      <c r="KJQ10" s="158"/>
      <c r="KJR10" s="158"/>
      <c r="KJS10" s="158"/>
      <c r="KJT10" s="158"/>
      <c r="KJU10" s="158"/>
      <c r="KJV10" s="158"/>
      <c r="KJW10" s="158"/>
      <c r="KJX10" s="158"/>
      <c r="KJY10" s="158"/>
      <c r="KJZ10" s="158"/>
      <c r="KKA10" s="158"/>
      <c r="KKB10" s="158"/>
      <c r="KKC10" s="158"/>
      <c r="KKD10" s="158"/>
      <c r="KKE10" s="158"/>
      <c r="KKF10" s="158"/>
      <c r="KKG10" s="158"/>
      <c r="KKH10" s="158"/>
      <c r="KKI10" s="158"/>
      <c r="KKJ10" s="158"/>
      <c r="KKK10" s="158"/>
      <c r="KKL10" s="158"/>
      <c r="KKM10" s="158"/>
      <c r="KKN10" s="158"/>
      <c r="KKO10" s="158"/>
      <c r="KKP10" s="158"/>
      <c r="KKQ10" s="158"/>
      <c r="KKR10" s="158"/>
      <c r="KKS10" s="158"/>
      <c r="KKT10" s="158"/>
      <c r="KKU10" s="158"/>
      <c r="KKV10" s="158"/>
      <c r="KKW10" s="158"/>
      <c r="KKX10" s="158"/>
      <c r="KKY10" s="158"/>
      <c r="KKZ10" s="158"/>
      <c r="KLA10" s="158"/>
      <c r="KLB10" s="158"/>
      <c r="KLC10" s="158"/>
      <c r="KLD10" s="158"/>
      <c r="KLE10" s="158"/>
      <c r="KLF10" s="158"/>
      <c r="KLG10" s="158"/>
      <c r="KLH10" s="158"/>
      <c r="KLI10" s="158"/>
      <c r="KLJ10" s="158"/>
      <c r="KLK10" s="158"/>
      <c r="KLL10" s="158"/>
      <c r="KLM10" s="158"/>
      <c r="KLN10" s="158"/>
      <c r="KLO10" s="158"/>
      <c r="KLP10" s="158"/>
      <c r="KLQ10" s="158"/>
      <c r="KLR10" s="158"/>
      <c r="KLS10" s="158"/>
      <c r="KLT10" s="158"/>
      <c r="KLU10" s="158"/>
      <c r="KLV10" s="158"/>
      <c r="KLW10" s="158"/>
      <c r="KLX10" s="158"/>
      <c r="KLY10" s="158"/>
      <c r="KLZ10" s="158"/>
      <c r="KMA10" s="158"/>
      <c r="KMB10" s="158"/>
      <c r="KMC10" s="158"/>
      <c r="KMD10" s="158"/>
      <c r="KME10" s="158"/>
      <c r="KMF10" s="158"/>
      <c r="KMG10" s="158"/>
      <c r="KMH10" s="158"/>
      <c r="KMI10" s="158"/>
      <c r="KMJ10" s="158"/>
      <c r="KMK10" s="158"/>
      <c r="KML10" s="158"/>
      <c r="KMM10" s="158"/>
      <c r="KMN10" s="158"/>
      <c r="KMO10" s="158"/>
      <c r="KMP10" s="158"/>
      <c r="KMQ10" s="158"/>
      <c r="KMR10" s="158"/>
      <c r="KMS10" s="158"/>
      <c r="KMT10" s="158"/>
      <c r="KMU10" s="158"/>
      <c r="KMV10" s="158"/>
      <c r="KMW10" s="158"/>
      <c r="KMX10" s="158"/>
      <c r="KMY10" s="158"/>
      <c r="KMZ10" s="158"/>
      <c r="KNA10" s="158"/>
      <c r="KNB10" s="158"/>
      <c r="KNC10" s="158"/>
      <c r="KND10" s="158"/>
      <c r="KNE10" s="158"/>
      <c r="KNF10" s="158"/>
      <c r="KNG10" s="158"/>
      <c r="KNH10" s="158"/>
      <c r="KNI10" s="158"/>
      <c r="KNJ10" s="158"/>
      <c r="KNK10" s="158"/>
      <c r="KNL10" s="158"/>
      <c r="KNM10" s="158"/>
      <c r="KNN10" s="158"/>
      <c r="KNO10" s="158"/>
      <c r="KNP10" s="158"/>
      <c r="KNQ10" s="158"/>
      <c r="KNR10" s="158"/>
      <c r="KNS10" s="158"/>
      <c r="KNT10" s="158"/>
      <c r="KNU10" s="158"/>
      <c r="KNV10" s="158"/>
      <c r="KNW10" s="158"/>
      <c r="KNX10" s="158"/>
      <c r="KNY10" s="158"/>
      <c r="KNZ10" s="158"/>
      <c r="KOA10" s="158"/>
      <c r="KOB10" s="158"/>
      <c r="KOC10" s="158"/>
      <c r="KOD10" s="158"/>
      <c r="KOE10" s="158"/>
      <c r="KOF10" s="158"/>
      <c r="KOG10" s="158"/>
      <c r="KOH10" s="158"/>
      <c r="KOI10" s="158"/>
      <c r="KOJ10" s="158"/>
      <c r="KOK10" s="158"/>
      <c r="KOL10" s="158"/>
      <c r="KOM10" s="158"/>
      <c r="KON10" s="158"/>
      <c r="KOO10" s="158"/>
      <c r="KOP10" s="158"/>
      <c r="KOQ10" s="158"/>
      <c r="KOR10" s="158"/>
      <c r="KOS10" s="158"/>
      <c r="KOT10" s="158"/>
      <c r="KOU10" s="158"/>
      <c r="KOV10" s="158"/>
      <c r="KOW10" s="158"/>
      <c r="KOX10" s="158"/>
      <c r="KOY10" s="158"/>
      <c r="KOZ10" s="158"/>
      <c r="KPA10" s="158"/>
      <c r="KPB10" s="158"/>
      <c r="KPC10" s="158"/>
      <c r="KPD10" s="158"/>
      <c r="KPE10" s="158"/>
      <c r="KPF10" s="158"/>
      <c r="KPG10" s="158"/>
      <c r="KPH10" s="158"/>
      <c r="KPI10" s="158"/>
      <c r="KPJ10" s="158"/>
      <c r="KPK10" s="158"/>
      <c r="KPL10" s="158"/>
      <c r="KPM10" s="158"/>
      <c r="KPN10" s="158"/>
      <c r="KPO10" s="158"/>
      <c r="KPP10" s="158"/>
      <c r="KPQ10" s="158"/>
      <c r="KPR10" s="158"/>
      <c r="KPS10" s="158"/>
      <c r="KPT10" s="158"/>
      <c r="KPU10" s="158"/>
      <c r="KPV10" s="158"/>
      <c r="KPW10" s="158"/>
      <c r="KPX10" s="158"/>
      <c r="KPY10" s="158"/>
      <c r="KPZ10" s="158"/>
      <c r="KQA10" s="158"/>
      <c r="KQB10" s="158"/>
      <c r="KQC10" s="158"/>
      <c r="KQD10" s="158"/>
      <c r="KQE10" s="158"/>
      <c r="KQF10" s="158"/>
      <c r="KQG10" s="158"/>
      <c r="KQH10" s="158"/>
      <c r="KQI10" s="158"/>
      <c r="KQJ10" s="158"/>
      <c r="KQK10" s="158"/>
      <c r="KQL10" s="158"/>
      <c r="KQM10" s="158"/>
      <c r="KQN10" s="158"/>
      <c r="KQO10" s="158"/>
      <c r="KQP10" s="158"/>
      <c r="KQQ10" s="158"/>
      <c r="KQR10" s="158"/>
      <c r="KQS10" s="158"/>
      <c r="KQT10" s="158"/>
      <c r="KQU10" s="158"/>
      <c r="KQV10" s="158"/>
      <c r="KQW10" s="158"/>
      <c r="KQX10" s="158"/>
      <c r="KQY10" s="158"/>
      <c r="KQZ10" s="158"/>
      <c r="KRA10" s="158"/>
      <c r="KRB10" s="158"/>
      <c r="KRC10" s="158"/>
      <c r="KRD10" s="158"/>
      <c r="KRE10" s="158"/>
      <c r="KRF10" s="158"/>
      <c r="KRG10" s="158"/>
      <c r="KRH10" s="158"/>
      <c r="KRI10" s="158"/>
      <c r="KRJ10" s="158"/>
      <c r="KRK10" s="158"/>
      <c r="KRL10" s="158"/>
      <c r="KRM10" s="158"/>
      <c r="KRN10" s="158"/>
      <c r="KRO10" s="158"/>
      <c r="KRP10" s="158"/>
      <c r="KRQ10" s="158"/>
      <c r="KRR10" s="158"/>
      <c r="KRS10" s="158"/>
      <c r="KRT10" s="158"/>
      <c r="KRU10" s="158"/>
      <c r="KRV10" s="158"/>
      <c r="KRW10" s="158"/>
      <c r="KRX10" s="158"/>
      <c r="KRY10" s="158"/>
      <c r="KRZ10" s="158"/>
      <c r="KSA10" s="158"/>
      <c r="KSB10" s="158"/>
      <c r="KSC10" s="158"/>
      <c r="KSD10" s="158"/>
      <c r="KSE10" s="158"/>
      <c r="KSF10" s="158"/>
      <c r="KSG10" s="158"/>
      <c r="KSH10" s="158"/>
      <c r="KSI10" s="158"/>
      <c r="KSJ10" s="158"/>
      <c r="KSK10" s="158"/>
      <c r="KSL10" s="158"/>
      <c r="KSM10" s="158"/>
      <c r="KSN10" s="158"/>
      <c r="KSO10" s="158"/>
      <c r="KSP10" s="158"/>
      <c r="KSQ10" s="158"/>
      <c r="KSR10" s="158"/>
      <c r="KSS10" s="158"/>
      <c r="KST10" s="158"/>
      <c r="KSU10" s="158"/>
      <c r="KSV10" s="158"/>
      <c r="KSW10" s="158"/>
      <c r="KSX10" s="158"/>
      <c r="KSY10" s="158"/>
      <c r="KSZ10" s="158"/>
      <c r="KTA10" s="158"/>
      <c r="KTB10" s="158"/>
      <c r="KTC10" s="158"/>
      <c r="KTD10" s="158"/>
      <c r="KTE10" s="158"/>
      <c r="KTF10" s="158"/>
      <c r="KTG10" s="158"/>
      <c r="KTH10" s="158"/>
      <c r="KTI10" s="158"/>
      <c r="KTJ10" s="158"/>
      <c r="KTK10" s="158"/>
      <c r="KTL10" s="158"/>
      <c r="KTM10" s="158"/>
      <c r="KTN10" s="158"/>
      <c r="KTO10" s="158"/>
      <c r="KTP10" s="158"/>
      <c r="KTQ10" s="158"/>
      <c r="KTR10" s="158"/>
      <c r="KTS10" s="158"/>
      <c r="KTT10" s="158"/>
      <c r="KTU10" s="158"/>
      <c r="KTV10" s="158"/>
      <c r="KTW10" s="158"/>
      <c r="KTX10" s="158"/>
      <c r="KTY10" s="158"/>
      <c r="KTZ10" s="158"/>
      <c r="KUA10" s="158"/>
      <c r="KUB10" s="158"/>
      <c r="KUC10" s="158"/>
      <c r="KUD10" s="158"/>
      <c r="KUE10" s="158"/>
      <c r="KUF10" s="158"/>
      <c r="KUG10" s="158"/>
      <c r="KUH10" s="158"/>
      <c r="KUI10" s="158"/>
      <c r="KUJ10" s="158"/>
      <c r="KUK10" s="158"/>
      <c r="KUL10" s="158"/>
      <c r="KUM10" s="158"/>
      <c r="KUN10" s="158"/>
      <c r="KUO10" s="158"/>
      <c r="KUP10" s="158"/>
      <c r="KUQ10" s="158"/>
      <c r="KUR10" s="158"/>
      <c r="KUS10" s="158"/>
      <c r="KUT10" s="158"/>
      <c r="KUU10" s="158"/>
      <c r="KUV10" s="158"/>
      <c r="KUW10" s="158"/>
      <c r="KUX10" s="158"/>
      <c r="KUY10" s="158"/>
      <c r="KUZ10" s="158"/>
      <c r="KVA10" s="158"/>
      <c r="KVB10" s="158"/>
      <c r="KVC10" s="158"/>
      <c r="KVD10" s="158"/>
      <c r="KVE10" s="158"/>
      <c r="KVF10" s="158"/>
      <c r="KVG10" s="158"/>
      <c r="KVH10" s="158"/>
      <c r="KVI10" s="158"/>
      <c r="KVJ10" s="158"/>
      <c r="KVK10" s="158"/>
      <c r="KVL10" s="158"/>
      <c r="KVM10" s="158"/>
      <c r="KVN10" s="158"/>
      <c r="KVO10" s="158"/>
      <c r="KVP10" s="158"/>
      <c r="KVQ10" s="158"/>
      <c r="KVR10" s="158"/>
      <c r="KVS10" s="158"/>
      <c r="KVT10" s="158"/>
      <c r="KVU10" s="158"/>
      <c r="KVV10" s="158"/>
      <c r="KVW10" s="158"/>
      <c r="KVX10" s="158"/>
      <c r="KVY10" s="158"/>
      <c r="KVZ10" s="158"/>
      <c r="KWA10" s="158"/>
      <c r="KWB10" s="158"/>
      <c r="KWC10" s="158"/>
      <c r="KWD10" s="158"/>
      <c r="KWE10" s="158"/>
      <c r="KWF10" s="158"/>
      <c r="KWG10" s="158"/>
      <c r="KWH10" s="158"/>
      <c r="KWI10" s="158"/>
      <c r="KWJ10" s="158"/>
      <c r="KWK10" s="158"/>
      <c r="KWL10" s="158"/>
      <c r="KWM10" s="158"/>
      <c r="KWN10" s="158"/>
      <c r="KWO10" s="158"/>
      <c r="KWP10" s="158"/>
      <c r="KWQ10" s="158"/>
      <c r="KWR10" s="158"/>
      <c r="KWS10" s="158"/>
      <c r="KWT10" s="158"/>
      <c r="KWU10" s="158"/>
      <c r="KWV10" s="158"/>
      <c r="KWW10" s="158"/>
      <c r="KWX10" s="158"/>
      <c r="KWY10" s="158"/>
      <c r="KWZ10" s="158"/>
      <c r="KXA10" s="158"/>
      <c r="KXB10" s="158"/>
      <c r="KXC10" s="158"/>
      <c r="KXD10" s="158"/>
      <c r="KXE10" s="158"/>
      <c r="KXF10" s="158"/>
      <c r="KXG10" s="158"/>
      <c r="KXH10" s="158"/>
      <c r="KXI10" s="158"/>
      <c r="KXJ10" s="158"/>
      <c r="KXK10" s="158"/>
      <c r="KXL10" s="158"/>
      <c r="KXM10" s="158"/>
      <c r="KXN10" s="158"/>
      <c r="KXO10" s="158"/>
      <c r="KXP10" s="158"/>
      <c r="KXQ10" s="158"/>
      <c r="KXR10" s="158"/>
      <c r="KXS10" s="158"/>
      <c r="KXT10" s="158"/>
      <c r="KXU10" s="158"/>
      <c r="KXV10" s="158"/>
      <c r="KXW10" s="158"/>
      <c r="KXX10" s="158"/>
      <c r="KXY10" s="158"/>
      <c r="KXZ10" s="158"/>
      <c r="KYA10" s="158"/>
      <c r="KYB10" s="158"/>
      <c r="KYC10" s="158"/>
      <c r="KYD10" s="158"/>
      <c r="KYE10" s="158"/>
      <c r="KYF10" s="158"/>
      <c r="KYG10" s="158"/>
      <c r="KYH10" s="158"/>
      <c r="KYI10" s="158"/>
      <c r="KYJ10" s="158"/>
      <c r="KYK10" s="158"/>
      <c r="KYL10" s="158"/>
      <c r="KYM10" s="158"/>
      <c r="KYN10" s="158"/>
      <c r="KYO10" s="158"/>
      <c r="KYP10" s="158"/>
      <c r="KYQ10" s="158"/>
      <c r="KYR10" s="158"/>
      <c r="KYS10" s="158"/>
      <c r="KYT10" s="158"/>
      <c r="KYU10" s="158"/>
      <c r="KYV10" s="158"/>
      <c r="KYW10" s="158"/>
      <c r="KYX10" s="158"/>
      <c r="KYY10" s="158"/>
      <c r="KYZ10" s="158"/>
      <c r="KZA10" s="158"/>
      <c r="KZB10" s="158"/>
      <c r="KZC10" s="158"/>
      <c r="KZD10" s="158"/>
      <c r="KZE10" s="158"/>
      <c r="KZF10" s="158"/>
      <c r="KZG10" s="158"/>
      <c r="KZH10" s="158"/>
      <c r="KZI10" s="158"/>
      <c r="KZJ10" s="158"/>
      <c r="KZK10" s="158"/>
      <c r="KZL10" s="158"/>
      <c r="KZM10" s="158"/>
      <c r="KZN10" s="158"/>
      <c r="KZO10" s="158"/>
      <c r="KZP10" s="158"/>
      <c r="KZQ10" s="158"/>
      <c r="KZR10" s="158"/>
      <c r="KZS10" s="158"/>
      <c r="KZT10" s="158"/>
      <c r="KZU10" s="158"/>
      <c r="KZV10" s="158"/>
      <c r="KZW10" s="158"/>
      <c r="KZX10" s="158"/>
      <c r="KZY10" s="158"/>
      <c r="KZZ10" s="158"/>
      <c r="LAA10" s="158"/>
      <c r="LAB10" s="158"/>
      <c r="LAC10" s="158"/>
      <c r="LAD10" s="158"/>
      <c r="LAE10" s="158"/>
      <c r="LAF10" s="158"/>
      <c r="LAG10" s="158"/>
      <c r="LAH10" s="158"/>
      <c r="LAI10" s="158"/>
      <c r="LAJ10" s="158"/>
      <c r="LAK10" s="158"/>
      <c r="LAL10" s="158"/>
      <c r="LAM10" s="158"/>
      <c r="LAN10" s="158"/>
      <c r="LAO10" s="158"/>
      <c r="LAP10" s="158"/>
      <c r="LAQ10" s="158"/>
      <c r="LAR10" s="158"/>
      <c r="LAS10" s="158"/>
      <c r="LAT10" s="158"/>
      <c r="LAU10" s="158"/>
      <c r="LAV10" s="158"/>
      <c r="LAW10" s="158"/>
      <c r="LAX10" s="158"/>
      <c r="LAY10" s="158"/>
      <c r="LAZ10" s="158"/>
      <c r="LBA10" s="158"/>
      <c r="LBB10" s="158"/>
      <c r="LBC10" s="158"/>
      <c r="LBD10" s="158"/>
      <c r="LBE10" s="158"/>
      <c r="LBF10" s="158"/>
      <c r="LBG10" s="158"/>
      <c r="LBH10" s="158"/>
      <c r="LBI10" s="158"/>
      <c r="LBJ10" s="158"/>
      <c r="LBK10" s="158"/>
      <c r="LBL10" s="158"/>
      <c r="LBM10" s="158"/>
      <c r="LBN10" s="158"/>
      <c r="LBO10" s="158"/>
      <c r="LBP10" s="158"/>
      <c r="LBQ10" s="158"/>
      <c r="LBR10" s="158"/>
      <c r="LBS10" s="158"/>
      <c r="LBT10" s="158"/>
      <c r="LBU10" s="158"/>
      <c r="LBV10" s="158"/>
      <c r="LBW10" s="158"/>
      <c r="LBX10" s="158"/>
      <c r="LBY10" s="158"/>
      <c r="LBZ10" s="158"/>
      <c r="LCA10" s="158"/>
      <c r="LCB10" s="158"/>
      <c r="LCC10" s="158"/>
      <c r="LCD10" s="158"/>
      <c r="LCE10" s="158"/>
      <c r="LCF10" s="158"/>
      <c r="LCG10" s="158"/>
      <c r="LCH10" s="158"/>
      <c r="LCI10" s="158"/>
      <c r="LCJ10" s="158"/>
      <c r="LCK10" s="158"/>
      <c r="LCL10" s="158"/>
      <c r="LCM10" s="158"/>
      <c r="LCN10" s="158"/>
      <c r="LCO10" s="158"/>
      <c r="LCP10" s="158"/>
      <c r="LCQ10" s="158"/>
      <c r="LCR10" s="158"/>
      <c r="LCS10" s="158"/>
      <c r="LCT10" s="158"/>
      <c r="LCU10" s="158"/>
      <c r="LCV10" s="158"/>
      <c r="LCW10" s="158"/>
      <c r="LCX10" s="158"/>
      <c r="LCY10" s="158"/>
      <c r="LCZ10" s="158"/>
      <c r="LDA10" s="158"/>
      <c r="LDB10" s="158"/>
      <c r="LDC10" s="158"/>
      <c r="LDD10" s="158"/>
      <c r="LDE10" s="158"/>
      <c r="LDF10" s="158"/>
      <c r="LDG10" s="158"/>
      <c r="LDH10" s="158"/>
      <c r="LDI10" s="158"/>
      <c r="LDJ10" s="158"/>
      <c r="LDK10" s="158"/>
      <c r="LDL10" s="158"/>
      <c r="LDM10" s="158"/>
      <c r="LDN10" s="158"/>
      <c r="LDO10" s="158"/>
      <c r="LDP10" s="158"/>
      <c r="LDQ10" s="158"/>
      <c r="LDR10" s="158"/>
      <c r="LDS10" s="158"/>
      <c r="LDT10" s="158"/>
      <c r="LDU10" s="158"/>
      <c r="LDV10" s="158"/>
      <c r="LDW10" s="158"/>
      <c r="LDX10" s="158"/>
      <c r="LDY10" s="158"/>
      <c r="LDZ10" s="158"/>
      <c r="LEA10" s="158"/>
      <c r="LEB10" s="158"/>
      <c r="LEC10" s="158"/>
      <c r="LED10" s="158"/>
      <c r="LEE10" s="158"/>
      <c r="LEF10" s="158"/>
      <c r="LEG10" s="158"/>
      <c r="LEH10" s="158"/>
      <c r="LEI10" s="158"/>
      <c r="LEJ10" s="158"/>
      <c r="LEK10" s="158"/>
      <c r="LEL10" s="158"/>
      <c r="LEM10" s="158"/>
      <c r="LEN10" s="158"/>
      <c r="LEO10" s="158"/>
      <c r="LEP10" s="158"/>
      <c r="LEQ10" s="158"/>
      <c r="LER10" s="158"/>
      <c r="LES10" s="158"/>
      <c r="LET10" s="158"/>
      <c r="LEU10" s="158"/>
      <c r="LEV10" s="158"/>
      <c r="LEW10" s="158"/>
      <c r="LEX10" s="158"/>
      <c r="LEY10" s="158"/>
      <c r="LEZ10" s="158"/>
      <c r="LFA10" s="158"/>
      <c r="LFB10" s="158"/>
      <c r="LFC10" s="158"/>
      <c r="LFD10" s="158"/>
      <c r="LFE10" s="158"/>
      <c r="LFF10" s="158"/>
      <c r="LFG10" s="158"/>
      <c r="LFH10" s="158"/>
      <c r="LFI10" s="158"/>
      <c r="LFJ10" s="158"/>
      <c r="LFK10" s="158"/>
      <c r="LFL10" s="158"/>
      <c r="LFM10" s="158"/>
      <c r="LFN10" s="158"/>
      <c r="LFO10" s="158"/>
      <c r="LFP10" s="158"/>
      <c r="LFQ10" s="158"/>
      <c r="LFR10" s="158"/>
      <c r="LFS10" s="158"/>
      <c r="LFT10" s="158"/>
      <c r="LFU10" s="158"/>
      <c r="LFV10" s="158"/>
      <c r="LFW10" s="158"/>
      <c r="LFX10" s="158"/>
      <c r="LFY10" s="158"/>
      <c r="LFZ10" s="158"/>
      <c r="LGA10" s="158"/>
      <c r="LGB10" s="158"/>
      <c r="LGC10" s="158"/>
      <c r="LGD10" s="158"/>
      <c r="LGE10" s="158"/>
      <c r="LGF10" s="158"/>
      <c r="LGG10" s="158"/>
      <c r="LGH10" s="158"/>
      <c r="LGI10" s="158"/>
      <c r="LGJ10" s="158"/>
      <c r="LGK10" s="158"/>
      <c r="LGL10" s="158"/>
      <c r="LGM10" s="158"/>
      <c r="LGN10" s="158"/>
      <c r="LGO10" s="158"/>
      <c r="LGP10" s="158"/>
      <c r="LGQ10" s="158"/>
      <c r="LGR10" s="158"/>
      <c r="LGS10" s="158"/>
      <c r="LGT10" s="158"/>
      <c r="LGU10" s="158"/>
      <c r="LGV10" s="158"/>
      <c r="LGW10" s="158"/>
      <c r="LGX10" s="158"/>
      <c r="LGY10" s="158"/>
      <c r="LGZ10" s="158"/>
      <c r="LHA10" s="158"/>
      <c r="LHB10" s="158"/>
      <c r="LHC10" s="158"/>
      <c r="LHD10" s="158"/>
      <c r="LHE10" s="158"/>
      <c r="LHF10" s="158"/>
      <c r="LHG10" s="158"/>
      <c r="LHH10" s="158"/>
      <c r="LHI10" s="158"/>
      <c r="LHJ10" s="158"/>
      <c r="LHK10" s="158"/>
      <c r="LHL10" s="158"/>
      <c r="LHM10" s="158"/>
      <c r="LHN10" s="158"/>
      <c r="LHO10" s="158"/>
      <c r="LHP10" s="158"/>
      <c r="LHQ10" s="158"/>
      <c r="LHR10" s="158"/>
      <c r="LHS10" s="158"/>
      <c r="LHT10" s="158"/>
      <c r="LHU10" s="158"/>
      <c r="LHV10" s="158"/>
      <c r="LHW10" s="158"/>
      <c r="LHX10" s="158"/>
      <c r="LHY10" s="158"/>
      <c r="LHZ10" s="158"/>
      <c r="LIA10" s="158"/>
      <c r="LIB10" s="158"/>
      <c r="LIC10" s="158"/>
      <c r="LID10" s="158"/>
      <c r="LIE10" s="158"/>
      <c r="LIF10" s="158"/>
      <c r="LIG10" s="158"/>
      <c r="LIH10" s="158"/>
      <c r="LII10" s="158"/>
      <c r="LIJ10" s="158"/>
      <c r="LIK10" s="158"/>
      <c r="LIL10" s="158"/>
      <c r="LIM10" s="158"/>
      <c r="LIN10" s="158"/>
      <c r="LIO10" s="158"/>
      <c r="LIP10" s="158"/>
      <c r="LIQ10" s="158"/>
      <c r="LIR10" s="158"/>
      <c r="LIS10" s="158"/>
      <c r="LIT10" s="158"/>
      <c r="LIU10" s="158"/>
      <c r="LIV10" s="158"/>
      <c r="LIW10" s="158"/>
      <c r="LIX10" s="158"/>
      <c r="LIY10" s="158"/>
      <c r="LIZ10" s="158"/>
      <c r="LJA10" s="158"/>
      <c r="LJB10" s="158"/>
      <c r="LJC10" s="158"/>
      <c r="LJD10" s="158"/>
      <c r="LJE10" s="158"/>
      <c r="LJF10" s="158"/>
      <c r="LJG10" s="158"/>
      <c r="LJH10" s="158"/>
      <c r="LJI10" s="158"/>
      <c r="LJJ10" s="158"/>
      <c r="LJK10" s="158"/>
      <c r="LJL10" s="158"/>
      <c r="LJM10" s="158"/>
      <c r="LJN10" s="158"/>
      <c r="LJO10" s="158"/>
      <c r="LJP10" s="158"/>
      <c r="LJQ10" s="158"/>
      <c r="LJR10" s="158"/>
      <c r="LJS10" s="158"/>
      <c r="LJT10" s="158"/>
      <c r="LJU10" s="158"/>
      <c r="LJV10" s="158"/>
      <c r="LJW10" s="158"/>
      <c r="LJX10" s="158"/>
      <c r="LJY10" s="158"/>
      <c r="LJZ10" s="158"/>
      <c r="LKA10" s="158"/>
      <c r="LKB10" s="158"/>
      <c r="LKC10" s="158"/>
      <c r="LKD10" s="158"/>
      <c r="LKE10" s="158"/>
      <c r="LKF10" s="158"/>
      <c r="LKG10" s="158"/>
      <c r="LKH10" s="158"/>
      <c r="LKI10" s="158"/>
      <c r="LKJ10" s="158"/>
      <c r="LKK10" s="158"/>
      <c r="LKL10" s="158"/>
      <c r="LKM10" s="158"/>
      <c r="LKN10" s="158"/>
      <c r="LKO10" s="158"/>
      <c r="LKP10" s="158"/>
      <c r="LKQ10" s="158"/>
      <c r="LKR10" s="158"/>
      <c r="LKS10" s="158"/>
      <c r="LKT10" s="158"/>
      <c r="LKU10" s="158"/>
      <c r="LKV10" s="158"/>
      <c r="LKW10" s="158"/>
      <c r="LKX10" s="158"/>
      <c r="LKY10" s="158"/>
      <c r="LKZ10" s="158"/>
      <c r="LLA10" s="158"/>
      <c r="LLB10" s="158"/>
      <c r="LLC10" s="158"/>
      <c r="LLD10" s="158"/>
      <c r="LLE10" s="158"/>
      <c r="LLF10" s="158"/>
      <c r="LLG10" s="158"/>
      <c r="LLH10" s="158"/>
      <c r="LLI10" s="158"/>
      <c r="LLJ10" s="158"/>
      <c r="LLK10" s="158"/>
      <c r="LLL10" s="158"/>
      <c r="LLM10" s="158"/>
      <c r="LLN10" s="158"/>
      <c r="LLO10" s="158"/>
      <c r="LLP10" s="158"/>
      <c r="LLQ10" s="158"/>
      <c r="LLR10" s="158"/>
      <c r="LLS10" s="158"/>
      <c r="LLT10" s="158"/>
      <c r="LLU10" s="158"/>
      <c r="LLV10" s="158"/>
      <c r="LLW10" s="158"/>
      <c r="LLX10" s="158"/>
      <c r="LLY10" s="158"/>
      <c r="LLZ10" s="158"/>
      <c r="LMA10" s="158"/>
      <c r="LMB10" s="158"/>
      <c r="LMC10" s="158"/>
      <c r="LMD10" s="158"/>
      <c r="LME10" s="158"/>
      <c r="LMF10" s="158"/>
      <c r="LMG10" s="158"/>
      <c r="LMH10" s="158"/>
      <c r="LMI10" s="158"/>
      <c r="LMJ10" s="158"/>
      <c r="LMK10" s="158"/>
      <c r="LML10" s="158"/>
      <c r="LMM10" s="158"/>
      <c r="LMN10" s="158"/>
      <c r="LMO10" s="158"/>
      <c r="LMP10" s="158"/>
      <c r="LMQ10" s="158"/>
      <c r="LMR10" s="158"/>
      <c r="LMS10" s="158"/>
      <c r="LMT10" s="158"/>
      <c r="LMU10" s="158"/>
      <c r="LMV10" s="158"/>
      <c r="LMW10" s="158"/>
      <c r="LMX10" s="158"/>
      <c r="LMY10" s="158"/>
      <c r="LMZ10" s="158"/>
      <c r="LNA10" s="158"/>
      <c r="LNB10" s="158"/>
      <c r="LNC10" s="158"/>
      <c r="LND10" s="158"/>
      <c r="LNE10" s="158"/>
      <c r="LNF10" s="158"/>
      <c r="LNG10" s="158"/>
      <c r="LNH10" s="158"/>
      <c r="LNI10" s="158"/>
      <c r="LNJ10" s="158"/>
      <c r="LNK10" s="158"/>
      <c r="LNL10" s="158"/>
      <c r="LNM10" s="158"/>
      <c r="LNN10" s="158"/>
      <c r="LNO10" s="158"/>
      <c r="LNP10" s="158"/>
      <c r="LNQ10" s="158"/>
      <c r="LNR10" s="158"/>
      <c r="LNS10" s="158"/>
      <c r="LNT10" s="158"/>
      <c r="LNU10" s="158"/>
      <c r="LNV10" s="158"/>
      <c r="LNW10" s="158"/>
      <c r="LNX10" s="158"/>
      <c r="LNY10" s="158"/>
      <c r="LNZ10" s="158"/>
      <c r="LOA10" s="158"/>
      <c r="LOB10" s="158"/>
      <c r="LOC10" s="158"/>
      <c r="LOD10" s="158"/>
      <c r="LOE10" s="158"/>
      <c r="LOF10" s="158"/>
      <c r="LOG10" s="158"/>
      <c r="LOH10" s="158"/>
      <c r="LOI10" s="158"/>
      <c r="LOJ10" s="158"/>
      <c r="LOK10" s="158"/>
      <c r="LOL10" s="158"/>
      <c r="LOM10" s="158"/>
      <c r="LON10" s="158"/>
      <c r="LOO10" s="158"/>
      <c r="LOP10" s="158"/>
      <c r="LOQ10" s="158"/>
      <c r="LOR10" s="158"/>
      <c r="LOS10" s="158"/>
      <c r="LOT10" s="158"/>
      <c r="LOU10" s="158"/>
      <c r="LOV10" s="158"/>
      <c r="LOW10" s="158"/>
      <c r="LOX10" s="158"/>
      <c r="LOY10" s="158"/>
      <c r="LOZ10" s="158"/>
      <c r="LPA10" s="158"/>
      <c r="LPB10" s="158"/>
      <c r="LPC10" s="158"/>
      <c r="LPD10" s="158"/>
      <c r="LPE10" s="158"/>
      <c r="LPF10" s="158"/>
      <c r="LPG10" s="158"/>
      <c r="LPH10" s="158"/>
      <c r="LPI10" s="158"/>
      <c r="LPJ10" s="158"/>
      <c r="LPK10" s="158"/>
      <c r="LPL10" s="158"/>
      <c r="LPM10" s="158"/>
      <c r="LPN10" s="158"/>
      <c r="LPO10" s="158"/>
      <c r="LPP10" s="158"/>
      <c r="LPQ10" s="158"/>
      <c r="LPR10" s="158"/>
      <c r="LPS10" s="158"/>
      <c r="LPT10" s="158"/>
      <c r="LPU10" s="158"/>
      <c r="LPV10" s="158"/>
      <c r="LPW10" s="158"/>
      <c r="LPX10" s="158"/>
      <c r="LPY10" s="158"/>
      <c r="LPZ10" s="158"/>
      <c r="LQA10" s="158"/>
      <c r="LQB10" s="158"/>
      <c r="LQC10" s="158"/>
      <c r="LQD10" s="158"/>
      <c r="LQE10" s="158"/>
      <c r="LQF10" s="158"/>
      <c r="LQG10" s="158"/>
      <c r="LQH10" s="158"/>
      <c r="LQI10" s="158"/>
      <c r="LQJ10" s="158"/>
      <c r="LQK10" s="158"/>
      <c r="LQL10" s="158"/>
      <c r="LQM10" s="158"/>
      <c r="LQN10" s="158"/>
      <c r="LQO10" s="158"/>
      <c r="LQP10" s="158"/>
      <c r="LQQ10" s="158"/>
      <c r="LQR10" s="158"/>
      <c r="LQS10" s="158"/>
      <c r="LQT10" s="158"/>
      <c r="LQU10" s="158"/>
      <c r="LQV10" s="158"/>
      <c r="LQW10" s="158"/>
      <c r="LQX10" s="158"/>
      <c r="LQY10" s="158"/>
      <c r="LQZ10" s="158"/>
      <c r="LRA10" s="158"/>
      <c r="LRB10" s="158"/>
      <c r="LRC10" s="158"/>
      <c r="LRD10" s="158"/>
      <c r="LRE10" s="158"/>
      <c r="LRF10" s="158"/>
      <c r="LRG10" s="158"/>
      <c r="LRH10" s="158"/>
      <c r="LRI10" s="158"/>
      <c r="LRJ10" s="158"/>
      <c r="LRK10" s="158"/>
      <c r="LRL10" s="158"/>
      <c r="LRM10" s="158"/>
      <c r="LRN10" s="158"/>
      <c r="LRO10" s="158"/>
      <c r="LRP10" s="158"/>
      <c r="LRQ10" s="158"/>
      <c r="LRR10" s="158"/>
      <c r="LRS10" s="158"/>
      <c r="LRT10" s="158"/>
      <c r="LRU10" s="158"/>
      <c r="LRV10" s="158"/>
      <c r="LRW10" s="158"/>
      <c r="LRX10" s="158"/>
      <c r="LRY10" s="158"/>
      <c r="LRZ10" s="158"/>
      <c r="LSA10" s="158"/>
      <c r="LSB10" s="158"/>
      <c r="LSC10" s="158"/>
      <c r="LSD10" s="158"/>
      <c r="LSE10" s="158"/>
      <c r="LSF10" s="158"/>
      <c r="LSG10" s="158"/>
      <c r="LSH10" s="158"/>
      <c r="LSI10" s="158"/>
      <c r="LSJ10" s="158"/>
      <c r="LSK10" s="158"/>
      <c r="LSL10" s="158"/>
      <c r="LSM10" s="158"/>
      <c r="LSN10" s="158"/>
      <c r="LSO10" s="158"/>
      <c r="LSP10" s="158"/>
      <c r="LSQ10" s="158"/>
      <c r="LSR10" s="158"/>
      <c r="LSS10" s="158"/>
      <c r="LST10" s="158"/>
      <c r="LSU10" s="158"/>
      <c r="LSV10" s="158"/>
      <c r="LSW10" s="158"/>
      <c r="LSX10" s="158"/>
      <c r="LSY10" s="158"/>
      <c r="LSZ10" s="158"/>
      <c r="LTA10" s="158"/>
      <c r="LTB10" s="158"/>
      <c r="LTC10" s="158"/>
      <c r="LTD10" s="158"/>
      <c r="LTE10" s="158"/>
      <c r="LTF10" s="158"/>
      <c r="LTG10" s="158"/>
      <c r="LTH10" s="158"/>
      <c r="LTI10" s="158"/>
      <c r="LTJ10" s="158"/>
      <c r="LTK10" s="158"/>
      <c r="LTL10" s="158"/>
      <c r="LTM10" s="158"/>
      <c r="LTN10" s="158"/>
      <c r="LTO10" s="158"/>
      <c r="LTP10" s="158"/>
      <c r="LTQ10" s="158"/>
      <c r="LTR10" s="158"/>
      <c r="LTS10" s="158"/>
      <c r="LTT10" s="158"/>
      <c r="LTU10" s="158"/>
      <c r="LTV10" s="158"/>
      <c r="LTW10" s="158"/>
      <c r="LTX10" s="158"/>
      <c r="LTY10" s="158"/>
      <c r="LTZ10" s="158"/>
      <c r="LUA10" s="158"/>
      <c r="LUB10" s="158"/>
      <c r="LUC10" s="158"/>
      <c r="LUD10" s="158"/>
      <c r="LUE10" s="158"/>
      <c r="LUF10" s="158"/>
      <c r="LUG10" s="158"/>
      <c r="LUH10" s="158"/>
      <c r="LUI10" s="158"/>
      <c r="LUJ10" s="158"/>
      <c r="LUK10" s="158"/>
      <c r="LUL10" s="158"/>
      <c r="LUM10" s="158"/>
      <c r="LUN10" s="158"/>
      <c r="LUO10" s="158"/>
      <c r="LUP10" s="158"/>
      <c r="LUQ10" s="158"/>
      <c r="LUR10" s="158"/>
      <c r="LUS10" s="158"/>
      <c r="LUT10" s="158"/>
      <c r="LUU10" s="158"/>
      <c r="LUV10" s="158"/>
      <c r="LUW10" s="158"/>
      <c r="LUX10" s="158"/>
      <c r="LUY10" s="158"/>
      <c r="LUZ10" s="158"/>
      <c r="LVA10" s="158"/>
      <c r="LVB10" s="158"/>
      <c r="LVC10" s="158"/>
      <c r="LVD10" s="158"/>
      <c r="LVE10" s="158"/>
      <c r="LVF10" s="158"/>
      <c r="LVG10" s="158"/>
      <c r="LVH10" s="158"/>
      <c r="LVI10" s="158"/>
      <c r="LVJ10" s="158"/>
      <c r="LVK10" s="158"/>
      <c r="LVL10" s="158"/>
      <c r="LVM10" s="158"/>
      <c r="LVN10" s="158"/>
      <c r="LVO10" s="158"/>
      <c r="LVP10" s="158"/>
      <c r="LVQ10" s="158"/>
      <c r="LVR10" s="158"/>
      <c r="LVS10" s="158"/>
      <c r="LVT10" s="158"/>
      <c r="LVU10" s="158"/>
      <c r="LVV10" s="158"/>
      <c r="LVW10" s="158"/>
      <c r="LVX10" s="158"/>
      <c r="LVY10" s="158"/>
      <c r="LVZ10" s="158"/>
      <c r="LWA10" s="158"/>
      <c r="LWB10" s="158"/>
      <c r="LWC10" s="158"/>
      <c r="LWD10" s="158"/>
      <c r="LWE10" s="158"/>
      <c r="LWF10" s="158"/>
      <c r="LWG10" s="158"/>
      <c r="LWH10" s="158"/>
      <c r="LWI10" s="158"/>
      <c r="LWJ10" s="158"/>
      <c r="LWK10" s="158"/>
      <c r="LWL10" s="158"/>
      <c r="LWM10" s="158"/>
      <c r="LWN10" s="158"/>
      <c r="LWO10" s="158"/>
      <c r="LWP10" s="158"/>
      <c r="LWQ10" s="158"/>
      <c r="LWR10" s="158"/>
      <c r="LWS10" s="158"/>
      <c r="LWT10" s="158"/>
      <c r="LWU10" s="158"/>
      <c r="LWV10" s="158"/>
      <c r="LWW10" s="158"/>
      <c r="LWX10" s="158"/>
      <c r="LWY10" s="158"/>
      <c r="LWZ10" s="158"/>
      <c r="LXA10" s="158"/>
      <c r="LXB10" s="158"/>
      <c r="LXC10" s="158"/>
      <c r="LXD10" s="158"/>
      <c r="LXE10" s="158"/>
      <c r="LXF10" s="158"/>
      <c r="LXG10" s="158"/>
      <c r="LXH10" s="158"/>
      <c r="LXI10" s="158"/>
      <c r="LXJ10" s="158"/>
      <c r="LXK10" s="158"/>
      <c r="LXL10" s="158"/>
      <c r="LXM10" s="158"/>
      <c r="LXN10" s="158"/>
      <c r="LXO10" s="158"/>
      <c r="LXP10" s="158"/>
      <c r="LXQ10" s="158"/>
      <c r="LXR10" s="158"/>
      <c r="LXS10" s="158"/>
      <c r="LXT10" s="158"/>
      <c r="LXU10" s="158"/>
      <c r="LXV10" s="158"/>
      <c r="LXW10" s="158"/>
      <c r="LXX10" s="158"/>
      <c r="LXY10" s="158"/>
      <c r="LXZ10" s="158"/>
      <c r="LYA10" s="158"/>
      <c r="LYB10" s="158"/>
      <c r="LYC10" s="158"/>
      <c r="LYD10" s="158"/>
      <c r="LYE10" s="158"/>
      <c r="LYF10" s="158"/>
      <c r="LYG10" s="158"/>
      <c r="LYH10" s="158"/>
      <c r="LYI10" s="158"/>
      <c r="LYJ10" s="158"/>
      <c r="LYK10" s="158"/>
      <c r="LYL10" s="158"/>
      <c r="LYM10" s="158"/>
      <c r="LYN10" s="158"/>
      <c r="LYO10" s="158"/>
      <c r="LYP10" s="158"/>
      <c r="LYQ10" s="158"/>
      <c r="LYR10" s="158"/>
      <c r="LYS10" s="158"/>
      <c r="LYT10" s="158"/>
      <c r="LYU10" s="158"/>
      <c r="LYV10" s="158"/>
      <c r="LYW10" s="158"/>
      <c r="LYX10" s="158"/>
      <c r="LYY10" s="158"/>
      <c r="LYZ10" s="158"/>
      <c r="LZA10" s="158"/>
      <c r="LZB10" s="158"/>
      <c r="LZC10" s="158"/>
      <c r="LZD10" s="158"/>
      <c r="LZE10" s="158"/>
      <c r="LZF10" s="158"/>
      <c r="LZG10" s="158"/>
      <c r="LZH10" s="158"/>
      <c r="LZI10" s="158"/>
      <c r="LZJ10" s="158"/>
      <c r="LZK10" s="158"/>
      <c r="LZL10" s="158"/>
      <c r="LZM10" s="158"/>
      <c r="LZN10" s="158"/>
      <c r="LZO10" s="158"/>
      <c r="LZP10" s="158"/>
      <c r="LZQ10" s="158"/>
      <c r="LZR10" s="158"/>
      <c r="LZS10" s="158"/>
      <c r="LZT10" s="158"/>
      <c r="LZU10" s="158"/>
      <c r="LZV10" s="158"/>
      <c r="LZW10" s="158"/>
      <c r="LZX10" s="158"/>
      <c r="LZY10" s="158"/>
      <c r="LZZ10" s="158"/>
      <c r="MAA10" s="158"/>
      <c r="MAB10" s="158"/>
      <c r="MAC10" s="158"/>
      <c r="MAD10" s="158"/>
      <c r="MAE10" s="158"/>
      <c r="MAF10" s="158"/>
      <c r="MAG10" s="158"/>
      <c r="MAH10" s="158"/>
      <c r="MAI10" s="158"/>
      <c r="MAJ10" s="158"/>
      <c r="MAK10" s="158"/>
      <c r="MAL10" s="158"/>
      <c r="MAM10" s="158"/>
      <c r="MAN10" s="158"/>
      <c r="MAO10" s="158"/>
      <c r="MAP10" s="158"/>
      <c r="MAQ10" s="158"/>
      <c r="MAR10" s="158"/>
      <c r="MAS10" s="158"/>
      <c r="MAT10" s="158"/>
      <c r="MAU10" s="158"/>
      <c r="MAV10" s="158"/>
      <c r="MAW10" s="158"/>
      <c r="MAX10" s="158"/>
      <c r="MAY10" s="158"/>
      <c r="MAZ10" s="158"/>
      <c r="MBA10" s="158"/>
      <c r="MBB10" s="158"/>
      <c r="MBC10" s="158"/>
      <c r="MBD10" s="158"/>
      <c r="MBE10" s="158"/>
      <c r="MBF10" s="158"/>
      <c r="MBG10" s="158"/>
      <c r="MBH10" s="158"/>
      <c r="MBI10" s="158"/>
      <c r="MBJ10" s="158"/>
      <c r="MBK10" s="158"/>
      <c r="MBL10" s="158"/>
      <c r="MBM10" s="158"/>
      <c r="MBN10" s="158"/>
      <c r="MBO10" s="158"/>
      <c r="MBP10" s="158"/>
      <c r="MBQ10" s="158"/>
      <c r="MBR10" s="158"/>
      <c r="MBS10" s="158"/>
      <c r="MBT10" s="158"/>
      <c r="MBU10" s="158"/>
      <c r="MBV10" s="158"/>
      <c r="MBW10" s="158"/>
      <c r="MBX10" s="158"/>
      <c r="MBY10" s="158"/>
      <c r="MBZ10" s="158"/>
      <c r="MCA10" s="158"/>
      <c r="MCB10" s="158"/>
      <c r="MCC10" s="158"/>
      <c r="MCD10" s="158"/>
      <c r="MCE10" s="158"/>
      <c r="MCF10" s="158"/>
      <c r="MCG10" s="158"/>
      <c r="MCH10" s="158"/>
      <c r="MCI10" s="158"/>
      <c r="MCJ10" s="158"/>
      <c r="MCK10" s="158"/>
      <c r="MCL10" s="158"/>
      <c r="MCM10" s="158"/>
      <c r="MCN10" s="158"/>
      <c r="MCO10" s="158"/>
      <c r="MCP10" s="158"/>
      <c r="MCQ10" s="158"/>
      <c r="MCR10" s="158"/>
      <c r="MCS10" s="158"/>
      <c r="MCT10" s="158"/>
      <c r="MCU10" s="158"/>
      <c r="MCV10" s="158"/>
      <c r="MCW10" s="158"/>
      <c r="MCX10" s="158"/>
      <c r="MCY10" s="158"/>
      <c r="MCZ10" s="158"/>
      <c r="MDA10" s="158"/>
      <c r="MDB10" s="158"/>
      <c r="MDC10" s="158"/>
      <c r="MDD10" s="158"/>
      <c r="MDE10" s="158"/>
      <c r="MDF10" s="158"/>
      <c r="MDG10" s="158"/>
      <c r="MDH10" s="158"/>
      <c r="MDI10" s="158"/>
      <c r="MDJ10" s="158"/>
      <c r="MDK10" s="158"/>
      <c r="MDL10" s="158"/>
      <c r="MDM10" s="158"/>
      <c r="MDN10" s="158"/>
      <c r="MDO10" s="158"/>
      <c r="MDP10" s="158"/>
      <c r="MDQ10" s="158"/>
      <c r="MDR10" s="158"/>
      <c r="MDS10" s="158"/>
      <c r="MDT10" s="158"/>
      <c r="MDU10" s="158"/>
      <c r="MDV10" s="158"/>
      <c r="MDW10" s="158"/>
      <c r="MDX10" s="158"/>
      <c r="MDY10" s="158"/>
      <c r="MDZ10" s="158"/>
      <c r="MEA10" s="158"/>
      <c r="MEB10" s="158"/>
      <c r="MEC10" s="158"/>
      <c r="MED10" s="158"/>
      <c r="MEE10" s="158"/>
      <c r="MEF10" s="158"/>
      <c r="MEG10" s="158"/>
      <c r="MEH10" s="158"/>
      <c r="MEI10" s="158"/>
      <c r="MEJ10" s="158"/>
      <c r="MEK10" s="158"/>
      <c r="MEL10" s="158"/>
      <c r="MEM10" s="158"/>
      <c r="MEN10" s="158"/>
      <c r="MEO10" s="158"/>
      <c r="MEP10" s="158"/>
      <c r="MEQ10" s="158"/>
      <c r="MER10" s="158"/>
      <c r="MES10" s="158"/>
      <c r="MET10" s="158"/>
      <c r="MEU10" s="158"/>
      <c r="MEV10" s="158"/>
      <c r="MEW10" s="158"/>
      <c r="MEX10" s="158"/>
      <c r="MEY10" s="158"/>
      <c r="MEZ10" s="158"/>
      <c r="MFA10" s="158"/>
      <c r="MFB10" s="158"/>
      <c r="MFC10" s="158"/>
      <c r="MFD10" s="158"/>
      <c r="MFE10" s="158"/>
      <c r="MFF10" s="158"/>
      <c r="MFG10" s="158"/>
      <c r="MFH10" s="158"/>
      <c r="MFI10" s="158"/>
      <c r="MFJ10" s="158"/>
      <c r="MFK10" s="158"/>
      <c r="MFL10" s="158"/>
      <c r="MFM10" s="158"/>
      <c r="MFN10" s="158"/>
      <c r="MFO10" s="158"/>
      <c r="MFP10" s="158"/>
      <c r="MFQ10" s="158"/>
      <c r="MFR10" s="158"/>
      <c r="MFS10" s="158"/>
      <c r="MFT10" s="158"/>
      <c r="MFU10" s="158"/>
      <c r="MFV10" s="158"/>
      <c r="MFW10" s="158"/>
      <c r="MFX10" s="158"/>
      <c r="MFY10" s="158"/>
      <c r="MFZ10" s="158"/>
      <c r="MGA10" s="158"/>
      <c r="MGB10" s="158"/>
      <c r="MGC10" s="158"/>
      <c r="MGD10" s="158"/>
      <c r="MGE10" s="158"/>
      <c r="MGF10" s="158"/>
      <c r="MGG10" s="158"/>
      <c r="MGH10" s="158"/>
      <c r="MGI10" s="158"/>
      <c r="MGJ10" s="158"/>
      <c r="MGK10" s="158"/>
      <c r="MGL10" s="158"/>
      <c r="MGM10" s="158"/>
      <c r="MGN10" s="158"/>
      <c r="MGO10" s="158"/>
      <c r="MGP10" s="158"/>
      <c r="MGQ10" s="158"/>
      <c r="MGR10" s="158"/>
      <c r="MGS10" s="158"/>
      <c r="MGT10" s="158"/>
      <c r="MGU10" s="158"/>
      <c r="MGV10" s="158"/>
      <c r="MGW10" s="158"/>
      <c r="MGX10" s="158"/>
      <c r="MGY10" s="158"/>
      <c r="MGZ10" s="158"/>
      <c r="MHA10" s="158"/>
      <c r="MHB10" s="158"/>
      <c r="MHC10" s="158"/>
      <c r="MHD10" s="158"/>
      <c r="MHE10" s="158"/>
      <c r="MHF10" s="158"/>
      <c r="MHG10" s="158"/>
      <c r="MHH10" s="158"/>
      <c r="MHI10" s="158"/>
      <c r="MHJ10" s="158"/>
      <c r="MHK10" s="158"/>
      <c r="MHL10" s="158"/>
      <c r="MHM10" s="158"/>
      <c r="MHN10" s="158"/>
      <c r="MHO10" s="158"/>
      <c r="MHP10" s="158"/>
      <c r="MHQ10" s="158"/>
      <c r="MHR10" s="158"/>
      <c r="MHS10" s="158"/>
      <c r="MHT10" s="158"/>
      <c r="MHU10" s="158"/>
      <c r="MHV10" s="158"/>
      <c r="MHW10" s="158"/>
      <c r="MHX10" s="158"/>
      <c r="MHY10" s="158"/>
      <c r="MHZ10" s="158"/>
      <c r="MIA10" s="158"/>
      <c r="MIB10" s="158"/>
      <c r="MIC10" s="158"/>
      <c r="MID10" s="158"/>
      <c r="MIE10" s="158"/>
      <c r="MIF10" s="158"/>
      <c r="MIG10" s="158"/>
      <c r="MIH10" s="158"/>
      <c r="MII10" s="158"/>
      <c r="MIJ10" s="158"/>
      <c r="MIK10" s="158"/>
      <c r="MIL10" s="158"/>
      <c r="MIM10" s="158"/>
      <c r="MIN10" s="158"/>
      <c r="MIO10" s="158"/>
      <c r="MIP10" s="158"/>
      <c r="MIQ10" s="158"/>
      <c r="MIR10" s="158"/>
      <c r="MIS10" s="158"/>
      <c r="MIT10" s="158"/>
      <c r="MIU10" s="158"/>
      <c r="MIV10" s="158"/>
      <c r="MIW10" s="158"/>
      <c r="MIX10" s="158"/>
      <c r="MIY10" s="158"/>
      <c r="MIZ10" s="158"/>
      <c r="MJA10" s="158"/>
      <c r="MJB10" s="158"/>
      <c r="MJC10" s="158"/>
      <c r="MJD10" s="158"/>
      <c r="MJE10" s="158"/>
      <c r="MJF10" s="158"/>
      <c r="MJG10" s="158"/>
      <c r="MJH10" s="158"/>
      <c r="MJI10" s="158"/>
      <c r="MJJ10" s="158"/>
      <c r="MJK10" s="158"/>
      <c r="MJL10" s="158"/>
      <c r="MJM10" s="158"/>
      <c r="MJN10" s="158"/>
      <c r="MJO10" s="158"/>
      <c r="MJP10" s="158"/>
      <c r="MJQ10" s="158"/>
      <c r="MJR10" s="158"/>
      <c r="MJS10" s="158"/>
      <c r="MJT10" s="158"/>
      <c r="MJU10" s="158"/>
      <c r="MJV10" s="158"/>
      <c r="MJW10" s="158"/>
      <c r="MJX10" s="158"/>
      <c r="MJY10" s="158"/>
      <c r="MJZ10" s="158"/>
      <c r="MKA10" s="158"/>
      <c r="MKB10" s="158"/>
      <c r="MKC10" s="158"/>
      <c r="MKD10" s="158"/>
      <c r="MKE10" s="158"/>
      <c r="MKF10" s="158"/>
      <c r="MKG10" s="158"/>
      <c r="MKH10" s="158"/>
      <c r="MKI10" s="158"/>
      <c r="MKJ10" s="158"/>
      <c r="MKK10" s="158"/>
      <c r="MKL10" s="158"/>
      <c r="MKM10" s="158"/>
      <c r="MKN10" s="158"/>
      <c r="MKO10" s="158"/>
      <c r="MKP10" s="158"/>
      <c r="MKQ10" s="158"/>
      <c r="MKR10" s="158"/>
      <c r="MKS10" s="158"/>
      <c r="MKT10" s="158"/>
      <c r="MKU10" s="158"/>
      <c r="MKV10" s="158"/>
      <c r="MKW10" s="158"/>
      <c r="MKX10" s="158"/>
      <c r="MKY10" s="158"/>
      <c r="MKZ10" s="158"/>
      <c r="MLA10" s="158"/>
      <c r="MLB10" s="158"/>
      <c r="MLC10" s="158"/>
      <c r="MLD10" s="158"/>
      <c r="MLE10" s="158"/>
      <c r="MLF10" s="158"/>
      <c r="MLG10" s="158"/>
      <c r="MLH10" s="158"/>
      <c r="MLI10" s="158"/>
      <c r="MLJ10" s="158"/>
      <c r="MLK10" s="158"/>
      <c r="MLL10" s="158"/>
      <c r="MLM10" s="158"/>
      <c r="MLN10" s="158"/>
      <c r="MLO10" s="158"/>
      <c r="MLP10" s="158"/>
      <c r="MLQ10" s="158"/>
      <c r="MLR10" s="158"/>
      <c r="MLS10" s="158"/>
      <c r="MLT10" s="158"/>
      <c r="MLU10" s="158"/>
      <c r="MLV10" s="158"/>
      <c r="MLW10" s="158"/>
      <c r="MLX10" s="158"/>
      <c r="MLY10" s="158"/>
      <c r="MLZ10" s="158"/>
      <c r="MMA10" s="158"/>
      <c r="MMB10" s="158"/>
      <c r="MMC10" s="158"/>
      <c r="MMD10" s="158"/>
      <c r="MME10" s="158"/>
      <c r="MMF10" s="158"/>
      <c r="MMG10" s="158"/>
      <c r="MMH10" s="158"/>
      <c r="MMI10" s="158"/>
      <c r="MMJ10" s="158"/>
      <c r="MMK10" s="158"/>
      <c r="MML10" s="158"/>
      <c r="MMM10" s="158"/>
      <c r="MMN10" s="158"/>
      <c r="MMO10" s="158"/>
      <c r="MMP10" s="158"/>
      <c r="MMQ10" s="158"/>
      <c r="MMR10" s="158"/>
      <c r="MMS10" s="158"/>
      <c r="MMT10" s="158"/>
      <c r="MMU10" s="158"/>
      <c r="MMV10" s="158"/>
      <c r="MMW10" s="158"/>
      <c r="MMX10" s="158"/>
      <c r="MMY10" s="158"/>
      <c r="MMZ10" s="158"/>
      <c r="MNA10" s="158"/>
      <c r="MNB10" s="158"/>
      <c r="MNC10" s="158"/>
      <c r="MND10" s="158"/>
      <c r="MNE10" s="158"/>
      <c r="MNF10" s="158"/>
      <c r="MNG10" s="158"/>
      <c r="MNH10" s="158"/>
      <c r="MNI10" s="158"/>
      <c r="MNJ10" s="158"/>
      <c r="MNK10" s="158"/>
      <c r="MNL10" s="158"/>
      <c r="MNM10" s="158"/>
      <c r="MNN10" s="158"/>
      <c r="MNO10" s="158"/>
      <c r="MNP10" s="158"/>
      <c r="MNQ10" s="158"/>
      <c r="MNR10" s="158"/>
      <c r="MNS10" s="158"/>
      <c r="MNT10" s="158"/>
      <c r="MNU10" s="158"/>
      <c r="MNV10" s="158"/>
      <c r="MNW10" s="158"/>
      <c r="MNX10" s="158"/>
      <c r="MNY10" s="158"/>
      <c r="MNZ10" s="158"/>
      <c r="MOA10" s="158"/>
      <c r="MOB10" s="158"/>
      <c r="MOC10" s="158"/>
      <c r="MOD10" s="158"/>
      <c r="MOE10" s="158"/>
      <c r="MOF10" s="158"/>
      <c r="MOG10" s="158"/>
      <c r="MOH10" s="158"/>
      <c r="MOI10" s="158"/>
      <c r="MOJ10" s="158"/>
      <c r="MOK10" s="158"/>
      <c r="MOL10" s="158"/>
      <c r="MOM10" s="158"/>
      <c r="MON10" s="158"/>
      <c r="MOO10" s="158"/>
      <c r="MOP10" s="158"/>
      <c r="MOQ10" s="158"/>
      <c r="MOR10" s="158"/>
      <c r="MOS10" s="158"/>
      <c r="MOT10" s="158"/>
      <c r="MOU10" s="158"/>
      <c r="MOV10" s="158"/>
      <c r="MOW10" s="158"/>
      <c r="MOX10" s="158"/>
      <c r="MOY10" s="158"/>
      <c r="MOZ10" s="158"/>
      <c r="MPA10" s="158"/>
      <c r="MPB10" s="158"/>
      <c r="MPC10" s="158"/>
      <c r="MPD10" s="158"/>
      <c r="MPE10" s="158"/>
      <c r="MPF10" s="158"/>
      <c r="MPG10" s="158"/>
      <c r="MPH10" s="158"/>
      <c r="MPI10" s="158"/>
      <c r="MPJ10" s="158"/>
      <c r="MPK10" s="158"/>
      <c r="MPL10" s="158"/>
      <c r="MPM10" s="158"/>
      <c r="MPN10" s="158"/>
      <c r="MPO10" s="158"/>
      <c r="MPP10" s="158"/>
      <c r="MPQ10" s="158"/>
      <c r="MPR10" s="158"/>
      <c r="MPS10" s="158"/>
      <c r="MPT10" s="158"/>
      <c r="MPU10" s="158"/>
      <c r="MPV10" s="158"/>
      <c r="MPW10" s="158"/>
      <c r="MPX10" s="158"/>
      <c r="MPY10" s="158"/>
      <c r="MPZ10" s="158"/>
      <c r="MQA10" s="158"/>
      <c r="MQB10" s="158"/>
      <c r="MQC10" s="158"/>
      <c r="MQD10" s="158"/>
      <c r="MQE10" s="158"/>
      <c r="MQF10" s="158"/>
      <c r="MQG10" s="158"/>
      <c r="MQH10" s="158"/>
      <c r="MQI10" s="158"/>
      <c r="MQJ10" s="158"/>
      <c r="MQK10" s="158"/>
      <c r="MQL10" s="158"/>
      <c r="MQM10" s="158"/>
      <c r="MQN10" s="158"/>
      <c r="MQO10" s="158"/>
      <c r="MQP10" s="158"/>
      <c r="MQQ10" s="158"/>
      <c r="MQR10" s="158"/>
      <c r="MQS10" s="158"/>
      <c r="MQT10" s="158"/>
      <c r="MQU10" s="158"/>
      <c r="MQV10" s="158"/>
      <c r="MQW10" s="158"/>
      <c r="MQX10" s="158"/>
      <c r="MQY10" s="158"/>
      <c r="MQZ10" s="158"/>
      <c r="MRA10" s="158"/>
      <c r="MRB10" s="158"/>
      <c r="MRC10" s="158"/>
      <c r="MRD10" s="158"/>
      <c r="MRE10" s="158"/>
      <c r="MRF10" s="158"/>
      <c r="MRG10" s="158"/>
      <c r="MRH10" s="158"/>
      <c r="MRI10" s="158"/>
      <c r="MRJ10" s="158"/>
      <c r="MRK10" s="158"/>
      <c r="MRL10" s="158"/>
      <c r="MRM10" s="158"/>
      <c r="MRN10" s="158"/>
      <c r="MRO10" s="158"/>
      <c r="MRP10" s="158"/>
      <c r="MRQ10" s="158"/>
      <c r="MRR10" s="158"/>
      <c r="MRS10" s="158"/>
      <c r="MRT10" s="158"/>
      <c r="MRU10" s="158"/>
      <c r="MRV10" s="158"/>
      <c r="MRW10" s="158"/>
      <c r="MRX10" s="158"/>
      <c r="MRY10" s="158"/>
      <c r="MRZ10" s="158"/>
      <c r="MSA10" s="158"/>
      <c r="MSB10" s="158"/>
      <c r="MSC10" s="158"/>
      <c r="MSD10" s="158"/>
      <c r="MSE10" s="158"/>
      <c r="MSF10" s="158"/>
      <c r="MSG10" s="158"/>
      <c r="MSH10" s="158"/>
      <c r="MSI10" s="158"/>
      <c r="MSJ10" s="158"/>
      <c r="MSK10" s="158"/>
      <c r="MSL10" s="158"/>
      <c r="MSM10" s="158"/>
      <c r="MSN10" s="158"/>
      <c r="MSO10" s="158"/>
      <c r="MSP10" s="158"/>
      <c r="MSQ10" s="158"/>
      <c r="MSR10" s="158"/>
      <c r="MSS10" s="158"/>
      <c r="MST10" s="158"/>
      <c r="MSU10" s="158"/>
      <c r="MSV10" s="158"/>
      <c r="MSW10" s="158"/>
      <c r="MSX10" s="158"/>
      <c r="MSY10" s="158"/>
      <c r="MSZ10" s="158"/>
      <c r="MTA10" s="158"/>
      <c r="MTB10" s="158"/>
      <c r="MTC10" s="158"/>
      <c r="MTD10" s="158"/>
      <c r="MTE10" s="158"/>
      <c r="MTF10" s="158"/>
      <c r="MTG10" s="158"/>
      <c r="MTH10" s="158"/>
      <c r="MTI10" s="158"/>
      <c r="MTJ10" s="158"/>
      <c r="MTK10" s="158"/>
      <c r="MTL10" s="158"/>
      <c r="MTM10" s="158"/>
      <c r="MTN10" s="158"/>
      <c r="MTO10" s="158"/>
      <c r="MTP10" s="158"/>
      <c r="MTQ10" s="158"/>
      <c r="MTR10" s="158"/>
      <c r="MTS10" s="158"/>
      <c r="MTT10" s="158"/>
      <c r="MTU10" s="158"/>
      <c r="MTV10" s="158"/>
      <c r="MTW10" s="158"/>
      <c r="MTX10" s="158"/>
      <c r="MTY10" s="158"/>
      <c r="MTZ10" s="158"/>
      <c r="MUA10" s="158"/>
      <c r="MUB10" s="158"/>
      <c r="MUC10" s="158"/>
      <c r="MUD10" s="158"/>
      <c r="MUE10" s="158"/>
      <c r="MUF10" s="158"/>
      <c r="MUG10" s="158"/>
      <c r="MUH10" s="158"/>
      <c r="MUI10" s="158"/>
      <c r="MUJ10" s="158"/>
      <c r="MUK10" s="158"/>
      <c r="MUL10" s="158"/>
      <c r="MUM10" s="158"/>
      <c r="MUN10" s="158"/>
      <c r="MUO10" s="158"/>
      <c r="MUP10" s="158"/>
      <c r="MUQ10" s="158"/>
      <c r="MUR10" s="158"/>
      <c r="MUS10" s="158"/>
      <c r="MUT10" s="158"/>
      <c r="MUU10" s="158"/>
      <c r="MUV10" s="158"/>
      <c r="MUW10" s="158"/>
      <c r="MUX10" s="158"/>
      <c r="MUY10" s="158"/>
      <c r="MUZ10" s="158"/>
      <c r="MVA10" s="158"/>
      <c r="MVB10" s="158"/>
      <c r="MVC10" s="158"/>
      <c r="MVD10" s="158"/>
      <c r="MVE10" s="158"/>
      <c r="MVF10" s="158"/>
      <c r="MVG10" s="158"/>
      <c r="MVH10" s="158"/>
      <c r="MVI10" s="158"/>
      <c r="MVJ10" s="158"/>
      <c r="MVK10" s="158"/>
      <c r="MVL10" s="158"/>
      <c r="MVM10" s="158"/>
      <c r="MVN10" s="158"/>
      <c r="MVO10" s="158"/>
      <c r="MVP10" s="158"/>
      <c r="MVQ10" s="158"/>
      <c r="MVR10" s="158"/>
      <c r="MVS10" s="158"/>
      <c r="MVT10" s="158"/>
      <c r="MVU10" s="158"/>
      <c r="MVV10" s="158"/>
      <c r="MVW10" s="158"/>
      <c r="MVX10" s="158"/>
      <c r="MVY10" s="158"/>
      <c r="MVZ10" s="158"/>
      <c r="MWA10" s="158"/>
      <c r="MWB10" s="158"/>
      <c r="MWC10" s="158"/>
      <c r="MWD10" s="158"/>
      <c r="MWE10" s="158"/>
      <c r="MWF10" s="158"/>
      <c r="MWG10" s="158"/>
      <c r="MWH10" s="158"/>
      <c r="MWI10" s="158"/>
      <c r="MWJ10" s="158"/>
      <c r="MWK10" s="158"/>
      <c r="MWL10" s="158"/>
      <c r="MWM10" s="158"/>
      <c r="MWN10" s="158"/>
      <c r="MWO10" s="158"/>
      <c r="MWP10" s="158"/>
      <c r="MWQ10" s="158"/>
      <c r="MWR10" s="158"/>
      <c r="MWS10" s="158"/>
      <c r="MWT10" s="158"/>
      <c r="MWU10" s="158"/>
      <c r="MWV10" s="158"/>
      <c r="MWW10" s="158"/>
      <c r="MWX10" s="158"/>
      <c r="MWY10" s="158"/>
      <c r="MWZ10" s="158"/>
      <c r="MXA10" s="158"/>
      <c r="MXB10" s="158"/>
      <c r="MXC10" s="158"/>
      <c r="MXD10" s="158"/>
      <c r="MXE10" s="158"/>
      <c r="MXF10" s="158"/>
      <c r="MXG10" s="158"/>
      <c r="MXH10" s="158"/>
      <c r="MXI10" s="158"/>
      <c r="MXJ10" s="158"/>
      <c r="MXK10" s="158"/>
      <c r="MXL10" s="158"/>
      <c r="MXM10" s="158"/>
      <c r="MXN10" s="158"/>
      <c r="MXO10" s="158"/>
      <c r="MXP10" s="158"/>
      <c r="MXQ10" s="158"/>
      <c r="MXR10" s="158"/>
      <c r="MXS10" s="158"/>
      <c r="MXT10" s="158"/>
      <c r="MXU10" s="158"/>
      <c r="MXV10" s="158"/>
      <c r="MXW10" s="158"/>
      <c r="MXX10" s="158"/>
      <c r="MXY10" s="158"/>
      <c r="MXZ10" s="158"/>
      <c r="MYA10" s="158"/>
      <c r="MYB10" s="158"/>
      <c r="MYC10" s="158"/>
      <c r="MYD10" s="158"/>
      <c r="MYE10" s="158"/>
      <c r="MYF10" s="158"/>
      <c r="MYG10" s="158"/>
      <c r="MYH10" s="158"/>
      <c r="MYI10" s="158"/>
      <c r="MYJ10" s="158"/>
      <c r="MYK10" s="158"/>
      <c r="MYL10" s="158"/>
      <c r="MYM10" s="158"/>
      <c r="MYN10" s="158"/>
      <c r="MYO10" s="158"/>
      <c r="MYP10" s="158"/>
      <c r="MYQ10" s="158"/>
      <c r="MYR10" s="158"/>
      <c r="MYS10" s="158"/>
      <c r="MYT10" s="158"/>
      <c r="MYU10" s="158"/>
      <c r="MYV10" s="158"/>
      <c r="MYW10" s="158"/>
      <c r="MYX10" s="158"/>
      <c r="MYY10" s="158"/>
      <c r="MYZ10" s="158"/>
      <c r="MZA10" s="158"/>
      <c r="MZB10" s="158"/>
      <c r="MZC10" s="158"/>
      <c r="MZD10" s="158"/>
      <c r="MZE10" s="158"/>
      <c r="MZF10" s="158"/>
      <c r="MZG10" s="158"/>
      <c r="MZH10" s="158"/>
      <c r="MZI10" s="158"/>
      <c r="MZJ10" s="158"/>
      <c r="MZK10" s="158"/>
      <c r="MZL10" s="158"/>
      <c r="MZM10" s="158"/>
      <c r="MZN10" s="158"/>
      <c r="MZO10" s="158"/>
      <c r="MZP10" s="158"/>
      <c r="MZQ10" s="158"/>
      <c r="MZR10" s="158"/>
      <c r="MZS10" s="158"/>
      <c r="MZT10" s="158"/>
      <c r="MZU10" s="158"/>
      <c r="MZV10" s="158"/>
      <c r="MZW10" s="158"/>
      <c r="MZX10" s="158"/>
      <c r="MZY10" s="158"/>
      <c r="MZZ10" s="158"/>
      <c r="NAA10" s="158"/>
      <c r="NAB10" s="158"/>
      <c r="NAC10" s="158"/>
      <c r="NAD10" s="158"/>
      <c r="NAE10" s="158"/>
      <c r="NAF10" s="158"/>
      <c r="NAG10" s="158"/>
      <c r="NAH10" s="158"/>
      <c r="NAI10" s="158"/>
      <c r="NAJ10" s="158"/>
      <c r="NAK10" s="158"/>
      <c r="NAL10" s="158"/>
      <c r="NAM10" s="158"/>
      <c r="NAN10" s="158"/>
      <c r="NAO10" s="158"/>
      <c r="NAP10" s="158"/>
      <c r="NAQ10" s="158"/>
      <c r="NAR10" s="158"/>
      <c r="NAS10" s="158"/>
      <c r="NAT10" s="158"/>
      <c r="NAU10" s="158"/>
      <c r="NAV10" s="158"/>
      <c r="NAW10" s="158"/>
      <c r="NAX10" s="158"/>
      <c r="NAY10" s="158"/>
      <c r="NAZ10" s="158"/>
      <c r="NBA10" s="158"/>
      <c r="NBB10" s="158"/>
      <c r="NBC10" s="158"/>
      <c r="NBD10" s="158"/>
      <c r="NBE10" s="158"/>
      <c r="NBF10" s="158"/>
      <c r="NBG10" s="158"/>
      <c r="NBH10" s="158"/>
      <c r="NBI10" s="158"/>
      <c r="NBJ10" s="158"/>
      <c r="NBK10" s="158"/>
      <c r="NBL10" s="158"/>
      <c r="NBM10" s="158"/>
      <c r="NBN10" s="158"/>
      <c r="NBO10" s="158"/>
      <c r="NBP10" s="158"/>
      <c r="NBQ10" s="158"/>
      <c r="NBR10" s="158"/>
      <c r="NBS10" s="158"/>
      <c r="NBT10" s="158"/>
      <c r="NBU10" s="158"/>
      <c r="NBV10" s="158"/>
      <c r="NBW10" s="158"/>
      <c r="NBX10" s="158"/>
      <c r="NBY10" s="158"/>
      <c r="NBZ10" s="158"/>
      <c r="NCA10" s="158"/>
      <c r="NCB10" s="158"/>
      <c r="NCC10" s="158"/>
      <c r="NCD10" s="158"/>
      <c r="NCE10" s="158"/>
      <c r="NCF10" s="158"/>
      <c r="NCG10" s="158"/>
      <c r="NCH10" s="158"/>
      <c r="NCI10" s="158"/>
      <c r="NCJ10" s="158"/>
      <c r="NCK10" s="158"/>
      <c r="NCL10" s="158"/>
      <c r="NCM10" s="158"/>
      <c r="NCN10" s="158"/>
      <c r="NCO10" s="158"/>
      <c r="NCP10" s="158"/>
      <c r="NCQ10" s="158"/>
      <c r="NCR10" s="158"/>
      <c r="NCS10" s="158"/>
      <c r="NCT10" s="158"/>
      <c r="NCU10" s="158"/>
      <c r="NCV10" s="158"/>
      <c r="NCW10" s="158"/>
      <c r="NCX10" s="158"/>
      <c r="NCY10" s="158"/>
      <c r="NCZ10" s="158"/>
      <c r="NDA10" s="158"/>
      <c r="NDB10" s="158"/>
      <c r="NDC10" s="158"/>
      <c r="NDD10" s="158"/>
      <c r="NDE10" s="158"/>
      <c r="NDF10" s="158"/>
      <c r="NDG10" s="158"/>
      <c r="NDH10" s="158"/>
      <c r="NDI10" s="158"/>
      <c r="NDJ10" s="158"/>
      <c r="NDK10" s="158"/>
      <c r="NDL10" s="158"/>
      <c r="NDM10" s="158"/>
      <c r="NDN10" s="158"/>
      <c r="NDO10" s="158"/>
      <c r="NDP10" s="158"/>
      <c r="NDQ10" s="158"/>
      <c r="NDR10" s="158"/>
      <c r="NDS10" s="158"/>
      <c r="NDT10" s="158"/>
      <c r="NDU10" s="158"/>
      <c r="NDV10" s="158"/>
      <c r="NDW10" s="158"/>
      <c r="NDX10" s="158"/>
      <c r="NDY10" s="158"/>
      <c r="NDZ10" s="158"/>
      <c r="NEA10" s="158"/>
      <c r="NEB10" s="158"/>
      <c r="NEC10" s="158"/>
      <c r="NED10" s="158"/>
      <c r="NEE10" s="158"/>
      <c r="NEF10" s="158"/>
      <c r="NEG10" s="158"/>
      <c r="NEH10" s="158"/>
      <c r="NEI10" s="158"/>
      <c r="NEJ10" s="158"/>
      <c r="NEK10" s="158"/>
      <c r="NEL10" s="158"/>
      <c r="NEM10" s="158"/>
      <c r="NEN10" s="158"/>
      <c r="NEO10" s="158"/>
      <c r="NEP10" s="158"/>
      <c r="NEQ10" s="158"/>
      <c r="NER10" s="158"/>
      <c r="NES10" s="158"/>
      <c r="NET10" s="158"/>
      <c r="NEU10" s="158"/>
      <c r="NEV10" s="158"/>
      <c r="NEW10" s="158"/>
      <c r="NEX10" s="158"/>
      <c r="NEY10" s="158"/>
      <c r="NEZ10" s="158"/>
      <c r="NFA10" s="158"/>
      <c r="NFB10" s="158"/>
      <c r="NFC10" s="158"/>
      <c r="NFD10" s="158"/>
      <c r="NFE10" s="158"/>
      <c r="NFF10" s="158"/>
      <c r="NFG10" s="158"/>
      <c r="NFH10" s="158"/>
      <c r="NFI10" s="158"/>
      <c r="NFJ10" s="158"/>
      <c r="NFK10" s="158"/>
      <c r="NFL10" s="158"/>
      <c r="NFM10" s="158"/>
      <c r="NFN10" s="158"/>
      <c r="NFO10" s="158"/>
      <c r="NFP10" s="158"/>
      <c r="NFQ10" s="158"/>
      <c r="NFR10" s="158"/>
      <c r="NFS10" s="158"/>
      <c r="NFT10" s="158"/>
      <c r="NFU10" s="158"/>
      <c r="NFV10" s="158"/>
      <c r="NFW10" s="158"/>
      <c r="NFX10" s="158"/>
      <c r="NFY10" s="158"/>
      <c r="NFZ10" s="158"/>
      <c r="NGA10" s="158"/>
      <c r="NGB10" s="158"/>
      <c r="NGC10" s="158"/>
      <c r="NGD10" s="158"/>
      <c r="NGE10" s="158"/>
      <c r="NGF10" s="158"/>
      <c r="NGG10" s="158"/>
      <c r="NGH10" s="158"/>
      <c r="NGI10" s="158"/>
      <c r="NGJ10" s="158"/>
      <c r="NGK10" s="158"/>
      <c r="NGL10" s="158"/>
      <c r="NGM10" s="158"/>
      <c r="NGN10" s="158"/>
      <c r="NGO10" s="158"/>
      <c r="NGP10" s="158"/>
      <c r="NGQ10" s="158"/>
      <c r="NGR10" s="158"/>
      <c r="NGS10" s="158"/>
      <c r="NGT10" s="158"/>
      <c r="NGU10" s="158"/>
      <c r="NGV10" s="158"/>
      <c r="NGW10" s="158"/>
      <c r="NGX10" s="158"/>
      <c r="NGY10" s="158"/>
      <c r="NGZ10" s="158"/>
      <c r="NHA10" s="158"/>
      <c r="NHB10" s="158"/>
      <c r="NHC10" s="158"/>
      <c r="NHD10" s="158"/>
      <c r="NHE10" s="158"/>
      <c r="NHF10" s="158"/>
      <c r="NHG10" s="158"/>
      <c r="NHH10" s="158"/>
      <c r="NHI10" s="158"/>
      <c r="NHJ10" s="158"/>
      <c r="NHK10" s="158"/>
      <c r="NHL10" s="158"/>
      <c r="NHM10" s="158"/>
      <c r="NHN10" s="158"/>
      <c r="NHO10" s="158"/>
      <c r="NHP10" s="158"/>
      <c r="NHQ10" s="158"/>
      <c r="NHR10" s="158"/>
      <c r="NHS10" s="158"/>
      <c r="NHT10" s="158"/>
      <c r="NHU10" s="158"/>
      <c r="NHV10" s="158"/>
      <c r="NHW10" s="158"/>
      <c r="NHX10" s="158"/>
      <c r="NHY10" s="158"/>
      <c r="NHZ10" s="158"/>
      <c r="NIA10" s="158"/>
      <c r="NIB10" s="158"/>
      <c r="NIC10" s="158"/>
      <c r="NID10" s="158"/>
      <c r="NIE10" s="158"/>
      <c r="NIF10" s="158"/>
      <c r="NIG10" s="158"/>
      <c r="NIH10" s="158"/>
      <c r="NII10" s="158"/>
      <c r="NIJ10" s="158"/>
      <c r="NIK10" s="158"/>
      <c r="NIL10" s="158"/>
      <c r="NIM10" s="158"/>
      <c r="NIN10" s="158"/>
      <c r="NIO10" s="158"/>
      <c r="NIP10" s="158"/>
      <c r="NIQ10" s="158"/>
      <c r="NIR10" s="158"/>
      <c r="NIS10" s="158"/>
      <c r="NIT10" s="158"/>
      <c r="NIU10" s="158"/>
      <c r="NIV10" s="158"/>
      <c r="NIW10" s="158"/>
      <c r="NIX10" s="158"/>
      <c r="NIY10" s="158"/>
      <c r="NIZ10" s="158"/>
      <c r="NJA10" s="158"/>
      <c r="NJB10" s="158"/>
      <c r="NJC10" s="158"/>
      <c r="NJD10" s="158"/>
      <c r="NJE10" s="158"/>
      <c r="NJF10" s="158"/>
      <c r="NJG10" s="158"/>
      <c r="NJH10" s="158"/>
      <c r="NJI10" s="158"/>
      <c r="NJJ10" s="158"/>
      <c r="NJK10" s="158"/>
      <c r="NJL10" s="158"/>
      <c r="NJM10" s="158"/>
      <c r="NJN10" s="158"/>
      <c r="NJO10" s="158"/>
      <c r="NJP10" s="158"/>
      <c r="NJQ10" s="158"/>
      <c r="NJR10" s="158"/>
      <c r="NJS10" s="158"/>
      <c r="NJT10" s="158"/>
      <c r="NJU10" s="158"/>
      <c r="NJV10" s="158"/>
      <c r="NJW10" s="158"/>
      <c r="NJX10" s="158"/>
      <c r="NJY10" s="158"/>
      <c r="NJZ10" s="158"/>
      <c r="NKA10" s="158"/>
      <c r="NKB10" s="158"/>
      <c r="NKC10" s="158"/>
      <c r="NKD10" s="158"/>
      <c r="NKE10" s="158"/>
      <c r="NKF10" s="158"/>
      <c r="NKG10" s="158"/>
      <c r="NKH10" s="158"/>
      <c r="NKI10" s="158"/>
      <c r="NKJ10" s="158"/>
      <c r="NKK10" s="158"/>
      <c r="NKL10" s="158"/>
      <c r="NKM10" s="158"/>
      <c r="NKN10" s="158"/>
      <c r="NKO10" s="158"/>
      <c r="NKP10" s="158"/>
      <c r="NKQ10" s="158"/>
      <c r="NKR10" s="158"/>
      <c r="NKS10" s="158"/>
      <c r="NKT10" s="158"/>
      <c r="NKU10" s="158"/>
      <c r="NKV10" s="158"/>
      <c r="NKW10" s="158"/>
      <c r="NKX10" s="158"/>
      <c r="NKY10" s="158"/>
      <c r="NKZ10" s="158"/>
      <c r="NLA10" s="158"/>
      <c r="NLB10" s="158"/>
      <c r="NLC10" s="158"/>
      <c r="NLD10" s="158"/>
      <c r="NLE10" s="158"/>
      <c r="NLF10" s="158"/>
      <c r="NLG10" s="158"/>
      <c r="NLH10" s="158"/>
      <c r="NLI10" s="158"/>
      <c r="NLJ10" s="158"/>
      <c r="NLK10" s="158"/>
      <c r="NLL10" s="158"/>
      <c r="NLM10" s="158"/>
      <c r="NLN10" s="158"/>
      <c r="NLO10" s="158"/>
      <c r="NLP10" s="158"/>
      <c r="NLQ10" s="158"/>
      <c r="NLR10" s="158"/>
      <c r="NLS10" s="158"/>
      <c r="NLT10" s="158"/>
      <c r="NLU10" s="158"/>
      <c r="NLV10" s="158"/>
      <c r="NLW10" s="158"/>
      <c r="NLX10" s="158"/>
      <c r="NLY10" s="158"/>
      <c r="NLZ10" s="158"/>
      <c r="NMA10" s="158"/>
      <c r="NMB10" s="158"/>
      <c r="NMC10" s="158"/>
      <c r="NMD10" s="158"/>
      <c r="NME10" s="158"/>
      <c r="NMF10" s="158"/>
      <c r="NMG10" s="158"/>
      <c r="NMH10" s="158"/>
      <c r="NMI10" s="158"/>
      <c r="NMJ10" s="158"/>
      <c r="NMK10" s="158"/>
      <c r="NML10" s="158"/>
      <c r="NMM10" s="158"/>
      <c r="NMN10" s="158"/>
      <c r="NMO10" s="158"/>
      <c r="NMP10" s="158"/>
      <c r="NMQ10" s="158"/>
      <c r="NMR10" s="158"/>
      <c r="NMS10" s="158"/>
      <c r="NMT10" s="158"/>
      <c r="NMU10" s="158"/>
      <c r="NMV10" s="158"/>
      <c r="NMW10" s="158"/>
      <c r="NMX10" s="158"/>
      <c r="NMY10" s="158"/>
      <c r="NMZ10" s="158"/>
      <c r="NNA10" s="158"/>
      <c r="NNB10" s="158"/>
      <c r="NNC10" s="158"/>
      <c r="NND10" s="158"/>
      <c r="NNE10" s="158"/>
      <c r="NNF10" s="158"/>
      <c r="NNG10" s="158"/>
      <c r="NNH10" s="158"/>
      <c r="NNI10" s="158"/>
      <c r="NNJ10" s="158"/>
      <c r="NNK10" s="158"/>
      <c r="NNL10" s="158"/>
      <c r="NNM10" s="158"/>
      <c r="NNN10" s="158"/>
      <c r="NNO10" s="158"/>
      <c r="NNP10" s="158"/>
      <c r="NNQ10" s="158"/>
      <c r="NNR10" s="158"/>
      <c r="NNS10" s="158"/>
      <c r="NNT10" s="158"/>
      <c r="NNU10" s="158"/>
      <c r="NNV10" s="158"/>
      <c r="NNW10" s="158"/>
      <c r="NNX10" s="158"/>
      <c r="NNY10" s="158"/>
      <c r="NNZ10" s="158"/>
      <c r="NOA10" s="158"/>
      <c r="NOB10" s="158"/>
      <c r="NOC10" s="158"/>
      <c r="NOD10" s="158"/>
      <c r="NOE10" s="158"/>
      <c r="NOF10" s="158"/>
      <c r="NOG10" s="158"/>
      <c r="NOH10" s="158"/>
      <c r="NOI10" s="158"/>
      <c r="NOJ10" s="158"/>
      <c r="NOK10" s="158"/>
      <c r="NOL10" s="158"/>
      <c r="NOM10" s="158"/>
      <c r="NON10" s="158"/>
      <c r="NOO10" s="158"/>
      <c r="NOP10" s="158"/>
      <c r="NOQ10" s="158"/>
      <c r="NOR10" s="158"/>
      <c r="NOS10" s="158"/>
      <c r="NOT10" s="158"/>
      <c r="NOU10" s="158"/>
      <c r="NOV10" s="158"/>
      <c r="NOW10" s="158"/>
      <c r="NOX10" s="158"/>
      <c r="NOY10" s="158"/>
      <c r="NOZ10" s="158"/>
      <c r="NPA10" s="158"/>
      <c r="NPB10" s="158"/>
      <c r="NPC10" s="158"/>
      <c r="NPD10" s="158"/>
      <c r="NPE10" s="158"/>
      <c r="NPF10" s="158"/>
      <c r="NPG10" s="158"/>
      <c r="NPH10" s="158"/>
      <c r="NPI10" s="158"/>
      <c r="NPJ10" s="158"/>
      <c r="NPK10" s="158"/>
      <c r="NPL10" s="158"/>
      <c r="NPM10" s="158"/>
      <c r="NPN10" s="158"/>
      <c r="NPO10" s="158"/>
      <c r="NPP10" s="158"/>
      <c r="NPQ10" s="158"/>
      <c r="NPR10" s="158"/>
      <c r="NPS10" s="158"/>
      <c r="NPT10" s="158"/>
      <c r="NPU10" s="158"/>
      <c r="NPV10" s="158"/>
      <c r="NPW10" s="158"/>
      <c r="NPX10" s="158"/>
      <c r="NPY10" s="158"/>
      <c r="NPZ10" s="158"/>
      <c r="NQA10" s="158"/>
      <c r="NQB10" s="158"/>
      <c r="NQC10" s="158"/>
      <c r="NQD10" s="158"/>
      <c r="NQE10" s="158"/>
      <c r="NQF10" s="158"/>
      <c r="NQG10" s="158"/>
      <c r="NQH10" s="158"/>
      <c r="NQI10" s="158"/>
      <c r="NQJ10" s="158"/>
      <c r="NQK10" s="158"/>
      <c r="NQL10" s="158"/>
      <c r="NQM10" s="158"/>
      <c r="NQN10" s="158"/>
      <c r="NQO10" s="158"/>
      <c r="NQP10" s="158"/>
      <c r="NQQ10" s="158"/>
      <c r="NQR10" s="158"/>
      <c r="NQS10" s="158"/>
      <c r="NQT10" s="158"/>
      <c r="NQU10" s="158"/>
      <c r="NQV10" s="158"/>
      <c r="NQW10" s="158"/>
      <c r="NQX10" s="158"/>
      <c r="NQY10" s="158"/>
      <c r="NQZ10" s="158"/>
      <c r="NRA10" s="158"/>
      <c r="NRB10" s="158"/>
      <c r="NRC10" s="158"/>
      <c r="NRD10" s="158"/>
      <c r="NRE10" s="158"/>
      <c r="NRF10" s="158"/>
      <c r="NRG10" s="158"/>
      <c r="NRH10" s="158"/>
      <c r="NRI10" s="158"/>
      <c r="NRJ10" s="158"/>
      <c r="NRK10" s="158"/>
      <c r="NRL10" s="158"/>
      <c r="NRM10" s="158"/>
      <c r="NRN10" s="158"/>
      <c r="NRO10" s="158"/>
      <c r="NRP10" s="158"/>
      <c r="NRQ10" s="158"/>
      <c r="NRR10" s="158"/>
      <c r="NRS10" s="158"/>
      <c r="NRT10" s="158"/>
      <c r="NRU10" s="158"/>
      <c r="NRV10" s="158"/>
      <c r="NRW10" s="158"/>
      <c r="NRX10" s="158"/>
      <c r="NRY10" s="158"/>
      <c r="NRZ10" s="158"/>
      <c r="NSA10" s="158"/>
      <c r="NSB10" s="158"/>
      <c r="NSC10" s="158"/>
      <c r="NSD10" s="158"/>
      <c r="NSE10" s="158"/>
      <c r="NSF10" s="158"/>
      <c r="NSG10" s="158"/>
      <c r="NSH10" s="158"/>
      <c r="NSI10" s="158"/>
      <c r="NSJ10" s="158"/>
      <c r="NSK10" s="158"/>
      <c r="NSL10" s="158"/>
      <c r="NSM10" s="158"/>
      <c r="NSN10" s="158"/>
      <c r="NSO10" s="158"/>
      <c r="NSP10" s="158"/>
      <c r="NSQ10" s="158"/>
      <c r="NSR10" s="158"/>
      <c r="NSS10" s="158"/>
      <c r="NST10" s="158"/>
      <c r="NSU10" s="158"/>
      <c r="NSV10" s="158"/>
      <c r="NSW10" s="158"/>
      <c r="NSX10" s="158"/>
      <c r="NSY10" s="158"/>
      <c r="NSZ10" s="158"/>
      <c r="NTA10" s="158"/>
      <c r="NTB10" s="158"/>
      <c r="NTC10" s="158"/>
      <c r="NTD10" s="158"/>
      <c r="NTE10" s="158"/>
      <c r="NTF10" s="158"/>
      <c r="NTG10" s="158"/>
      <c r="NTH10" s="158"/>
      <c r="NTI10" s="158"/>
      <c r="NTJ10" s="158"/>
      <c r="NTK10" s="158"/>
      <c r="NTL10" s="158"/>
      <c r="NTM10" s="158"/>
      <c r="NTN10" s="158"/>
      <c r="NTO10" s="158"/>
      <c r="NTP10" s="158"/>
      <c r="NTQ10" s="158"/>
      <c r="NTR10" s="158"/>
      <c r="NTS10" s="158"/>
      <c r="NTT10" s="158"/>
      <c r="NTU10" s="158"/>
      <c r="NTV10" s="158"/>
      <c r="NTW10" s="158"/>
      <c r="NTX10" s="158"/>
      <c r="NTY10" s="158"/>
      <c r="NTZ10" s="158"/>
      <c r="NUA10" s="158"/>
      <c r="NUB10" s="158"/>
      <c r="NUC10" s="158"/>
      <c r="NUD10" s="158"/>
      <c r="NUE10" s="158"/>
      <c r="NUF10" s="158"/>
      <c r="NUG10" s="158"/>
      <c r="NUH10" s="158"/>
      <c r="NUI10" s="158"/>
      <c r="NUJ10" s="158"/>
      <c r="NUK10" s="158"/>
      <c r="NUL10" s="158"/>
      <c r="NUM10" s="158"/>
      <c r="NUN10" s="158"/>
      <c r="NUO10" s="158"/>
      <c r="NUP10" s="158"/>
      <c r="NUQ10" s="158"/>
      <c r="NUR10" s="158"/>
      <c r="NUS10" s="158"/>
      <c r="NUT10" s="158"/>
      <c r="NUU10" s="158"/>
      <c r="NUV10" s="158"/>
      <c r="NUW10" s="158"/>
      <c r="NUX10" s="158"/>
      <c r="NUY10" s="158"/>
      <c r="NUZ10" s="158"/>
      <c r="NVA10" s="158"/>
      <c r="NVB10" s="158"/>
      <c r="NVC10" s="158"/>
      <c r="NVD10" s="158"/>
      <c r="NVE10" s="158"/>
      <c r="NVF10" s="158"/>
      <c r="NVG10" s="158"/>
      <c r="NVH10" s="158"/>
      <c r="NVI10" s="158"/>
      <c r="NVJ10" s="158"/>
      <c r="NVK10" s="158"/>
      <c r="NVL10" s="158"/>
      <c r="NVM10" s="158"/>
      <c r="NVN10" s="158"/>
      <c r="NVO10" s="158"/>
      <c r="NVP10" s="158"/>
      <c r="NVQ10" s="158"/>
      <c r="NVR10" s="158"/>
      <c r="NVS10" s="158"/>
      <c r="NVT10" s="158"/>
      <c r="NVU10" s="158"/>
      <c r="NVV10" s="158"/>
      <c r="NVW10" s="158"/>
      <c r="NVX10" s="158"/>
      <c r="NVY10" s="158"/>
      <c r="NVZ10" s="158"/>
      <c r="NWA10" s="158"/>
      <c r="NWB10" s="158"/>
      <c r="NWC10" s="158"/>
      <c r="NWD10" s="158"/>
      <c r="NWE10" s="158"/>
      <c r="NWF10" s="158"/>
      <c r="NWG10" s="158"/>
      <c r="NWH10" s="158"/>
      <c r="NWI10" s="158"/>
      <c r="NWJ10" s="158"/>
      <c r="NWK10" s="158"/>
      <c r="NWL10" s="158"/>
      <c r="NWM10" s="158"/>
      <c r="NWN10" s="158"/>
      <c r="NWO10" s="158"/>
      <c r="NWP10" s="158"/>
      <c r="NWQ10" s="158"/>
      <c r="NWR10" s="158"/>
      <c r="NWS10" s="158"/>
      <c r="NWT10" s="158"/>
      <c r="NWU10" s="158"/>
      <c r="NWV10" s="158"/>
      <c r="NWW10" s="158"/>
      <c r="NWX10" s="158"/>
      <c r="NWY10" s="158"/>
      <c r="NWZ10" s="158"/>
      <c r="NXA10" s="158"/>
      <c r="NXB10" s="158"/>
      <c r="NXC10" s="158"/>
      <c r="NXD10" s="158"/>
      <c r="NXE10" s="158"/>
      <c r="NXF10" s="158"/>
      <c r="NXG10" s="158"/>
      <c r="NXH10" s="158"/>
      <c r="NXI10" s="158"/>
      <c r="NXJ10" s="158"/>
      <c r="NXK10" s="158"/>
      <c r="NXL10" s="158"/>
      <c r="NXM10" s="158"/>
      <c r="NXN10" s="158"/>
      <c r="NXO10" s="158"/>
      <c r="NXP10" s="158"/>
      <c r="NXQ10" s="158"/>
      <c r="NXR10" s="158"/>
      <c r="NXS10" s="158"/>
      <c r="NXT10" s="158"/>
      <c r="NXU10" s="158"/>
      <c r="NXV10" s="158"/>
      <c r="NXW10" s="158"/>
      <c r="NXX10" s="158"/>
      <c r="NXY10" s="158"/>
      <c r="NXZ10" s="158"/>
      <c r="NYA10" s="158"/>
      <c r="NYB10" s="158"/>
      <c r="NYC10" s="158"/>
      <c r="NYD10" s="158"/>
      <c r="NYE10" s="158"/>
      <c r="NYF10" s="158"/>
      <c r="NYG10" s="158"/>
      <c r="NYH10" s="158"/>
      <c r="NYI10" s="158"/>
      <c r="NYJ10" s="158"/>
      <c r="NYK10" s="158"/>
      <c r="NYL10" s="158"/>
      <c r="NYM10" s="158"/>
      <c r="NYN10" s="158"/>
      <c r="NYO10" s="158"/>
      <c r="NYP10" s="158"/>
      <c r="NYQ10" s="158"/>
      <c r="NYR10" s="158"/>
      <c r="NYS10" s="158"/>
      <c r="NYT10" s="158"/>
      <c r="NYU10" s="158"/>
      <c r="NYV10" s="158"/>
      <c r="NYW10" s="158"/>
      <c r="NYX10" s="158"/>
      <c r="NYY10" s="158"/>
      <c r="NYZ10" s="158"/>
      <c r="NZA10" s="158"/>
      <c r="NZB10" s="158"/>
      <c r="NZC10" s="158"/>
      <c r="NZD10" s="158"/>
      <c r="NZE10" s="158"/>
      <c r="NZF10" s="158"/>
      <c r="NZG10" s="158"/>
      <c r="NZH10" s="158"/>
      <c r="NZI10" s="158"/>
      <c r="NZJ10" s="158"/>
      <c r="NZK10" s="158"/>
      <c r="NZL10" s="158"/>
      <c r="NZM10" s="158"/>
      <c r="NZN10" s="158"/>
      <c r="NZO10" s="158"/>
      <c r="NZP10" s="158"/>
      <c r="NZQ10" s="158"/>
      <c r="NZR10" s="158"/>
      <c r="NZS10" s="158"/>
      <c r="NZT10" s="158"/>
      <c r="NZU10" s="158"/>
      <c r="NZV10" s="158"/>
      <c r="NZW10" s="158"/>
      <c r="NZX10" s="158"/>
      <c r="NZY10" s="158"/>
      <c r="NZZ10" s="158"/>
      <c r="OAA10" s="158"/>
      <c r="OAB10" s="158"/>
      <c r="OAC10" s="158"/>
      <c r="OAD10" s="158"/>
      <c r="OAE10" s="158"/>
      <c r="OAF10" s="158"/>
      <c r="OAG10" s="158"/>
      <c r="OAH10" s="158"/>
      <c r="OAI10" s="158"/>
      <c r="OAJ10" s="158"/>
      <c r="OAK10" s="158"/>
      <c r="OAL10" s="158"/>
      <c r="OAM10" s="158"/>
      <c r="OAN10" s="158"/>
      <c r="OAO10" s="158"/>
      <c r="OAP10" s="158"/>
      <c r="OAQ10" s="158"/>
      <c r="OAR10" s="158"/>
      <c r="OAS10" s="158"/>
      <c r="OAT10" s="158"/>
      <c r="OAU10" s="158"/>
      <c r="OAV10" s="158"/>
      <c r="OAW10" s="158"/>
      <c r="OAX10" s="158"/>
      <c r="OAY10" s="158"/>
      <c r="OAZ10" s="158"/>
      <c r="OBA10" s="158"/>
      <c r="OBB10" s="158"/>
      <c r="OBC10" s="158"/>
      <c r="OBD10" s="158"/>
      <c r="OBE10" s="158"/>
      <c r="OBF10" s="158"/>
      <c r="OBG10" s="158"/>
      <c r="OBH10" s="158"/>
      <c r="OBI10" s="158"/>
      <c r="OBJ10" s="158"/>
      <c r="OBK10" s="158"/>
      <c r="OBL10" s="158"/>
      <c r="OBM10" s="158"/>
      <c r="OBN10" s="158"/>
      <c r="OBO10" s="158"/>
      <c r="OBP10" s="158"/>
      <c r="OBQ10" s="158"/>
      <c r="OBR10" s="158"/>
      <c r="OBS10" s="158"/>
      <c r="OBT10" s="158"/>
      <c r="OBU10" s="158"/>
      <c r="OBV10" s="158"/>
      <c r="OBW10" s="158"/>
      <c r="OBX10" s="158"/>
      <c r="OBY10" s="158"/>
      <c r="OBZ10" s="158"/>
      <c r="OCA10" s="158"/>
      <c r="OCB10" s="158"/>
      <c r="OCC10" s="158"/>
      <c r="OCD10" s="158"/>
      <c r="OCE10" s="158"/>
      <c r="OCF10" s="158"/>
      <c r="OCG10" s="158"/>
      <c r="OCH10" s="158"/>
      <c r="OCI10" s="158"/>
      <c r="OCJ10" s="158"/>
      <c r="OCK10" s="158"/>
      <c r="OCL10" s="158"/>
      <c r="OCM10" s="158"/>
      <c r="OCN10" s="158"/>
      <c r="OCO10" s="158"/>
      <c r="OCP10" s="158"/>
      <c r="OCQ10" s="158"/>
      <c r="OCR10" s="158"/>
      <c r="OCS10" s="158"/>
      <c r="OCT10" s="158"/>
      <c r="OCU10" s="158"/>
      <c r="OCV10" s="158"/>
      <c r="OCW10" s="158"/>
      <c r="OCX10" s="158"/>
      <c r="OCY10" s="158"/>
      <c r="OCZ10" s="158"/>
      <c r="ODA10" s="158"/>
      <c r="ODB10" s="158"/>
      <c r="ODC10" s="158"/>
      <c r="ODD10" s="158"/>
      <c r="ODE10" s="158"/>
      <c r="ODF10" s="158"/>
      <c r="ODG10" s="158"/>
      <c r="ODH10" s="158"/>
      <c r="ODI10" s="158"/>
      <c r="ODJ10" s="158"/>
      <c r="ODK10" s="158"/>
      <c r="ODL10" s="158"/>
      <c r="ODM10" s="158"/>
      <c r="ODN10" s="158"/>
      <c r="ODO10" s="158"/>
      <c r="ODP10" s="158"/>
      <c r="ODQ10" s="158"/>
      <c r="ODR10" s="158"/>
      <c r="ODS10" s="158"/>
      <c r="ODT10" s="158"/>
      <c r="ODU10" s="158"/>
      <c r="ODV10" s="158"/>
      <c r="ODW10" s="158"/>
      <c r="ODX10" s="158"/>
      <c r="ODY10" s="158"/>
      <c r="ODZ10" s="158"/>
      <c r="OEA10" s="158"/>
      <c r="OEB10" s="158"/>
      <c r="OEC10" s="158"/>
      <c r="OED10" s="158"/>
      <c r="OEE10" s="158"/>
      <c r="OEF10" s="158"/>
      <c r="OEG10" s="158"/>
      <c r="OEH10" s="158"/>
      <c r="OEI10" s="158"/>
      <c r="OEJ10" s="158"/>
      <c r="OEK10" s="158"/>
      <c r="OEL10" s="158"/>
      <c r="OEM10" s="158"/>
      <c r="OEN10" s="158"/>
      <c r="OEO10" s="158"/>
      <c r="OEP10" s="158"/>
      <c r="OEQ10" s="158"/>
      <c r="OER10" s="158"/>
      <c r="OES10" s="158"/>
      <c r="OET10" s="158"/>
      <c r="OEU10" s="158"/>
      <c r="OEV10" s="158"/>
      <c r="OEW10" s="158"/>
      <c r="OEX10" s="158"/>
      <c r="OEY10" s="158"/>
      <c r="OEZ10" s="158"/>
      <c r="OFA10" s="158"/>
      <c r="OFB10" s="158"/>
      <c r="OFC10" s="158"/>
      <c r="OFD10" s="158"/>
      <c r="OFE10" s="158"/>
      <c r="OFF10" s="158"/>
      <c r="OFG10" s="158"/>
      <c r="OFH10" s="158"/>
      <c r="OFI10" s="158"/>
      <c r="OFJ10" s="158"/>
      <c r="OFK10" s="158"/>
      <c r="OFL10" s="158"/>
      <c r="OFM10" s="158"/>
      <c r="OFN10" s="158"/>
      <c r="OFO10" s="158"/>
      <c r="OFP10" s="158"/>
      <c r="OFQ10" s="158"/>
      <c r="OFR10" s="158"/>
      <c r="OFS10" s="158"/>
      <c r="OFT10" s="158"/>
      <c r="OFU10" s="158"/>
      <c r="OFV10" s="158"/>
      <c r="OFW10" s="158"/>
      <c r="OFX10" s="158"/>
      <c r="OFY10" s="158"/>
      <c r="OFZ10" s="158"/>
      <c r="OGA10" s="158"/>
      <c r="OGB10" s="158"/>
      <c r="OGC10" s="158"/>
      <c r="OGD10" s="158"/>
      <c r="OGE10" s="158"/>
      <c r="OGF10" s="158"/>
      <c r="OGG10" s="158"/>
      <c r="OGH10" s="158"/>
      <c r="OGI10" s="158"/>
      <c r="OGJ10" s="158"/>
      <c r="OGK10" s="158"/>
      <c r="OGL10" s="158"/>
      <c r="OGM10" s="158"/>
      <c r="OGN10" s="158"/>
      <c r="OGO10" s="158"/>
      <c r="OGP10" s="158"/>
      <c r="OGQ10" s="158"/>
      <c r="OGR10" s="158"/>
      <c r="OGS10" s="158"/>
      <c r="OGT10" s="158"/>
      <c r="OGU10" s="158"/>
      <c r="OGV10" s="158"/>
      <c r="OGW10" s="158"/>
      <c r="OGX10" s="158"/>
      <c r="OGY10" s="158"/>
      <c r="OGZ10" s="158"/>
      <c r="OHA10" s="158"/>
      <c r="OHB10" s="158"/>
      <c r="OHC10" s="158"/>
      <c r="OHD10" s="158"/>
      <c r="OHE10" s="158"/>
      <c r="OHF10" s="158"/>
      <c r="OHG10" s="158"/>
      <c r="OHH10" s="158"/>
      <c r="OHI10" s="158"/>
      <c r="OHJ10" s="158"/>
      <c r="OHK10" s="158"/>
      <c r="OHL10" s="158"/>
      <c r="OHM10" s="158"/>
      <c r="OHN10" s="158"/>
      <c r="OHO10" s="158"/>
      <c r="OHP10" s="158"/>
      <c r="OHQ10" s="158"/>
      <c r="OHR10" s="158"/>
      <c r="OHS10" s="158"/>
      <c r="OHT10" s="158"/>
      <c r="OHU10" s="158"/>
      <c r="OHV10" s="158"/>
      <c r="OHW10" s="158"/>
      <c r="OHX10" s="158"/>
      <c r="OHY10" s="158"/>
      <c r="OHZ10" s="158"/>
      <c r="OIA10" s="158"/>
      <c r="OIB10" s="158"/>
      <c r="OIC10" s="158"/>
      <c r="OID10" s="158"/>
      <c r="OIE10" s="158"/>
      <c r="OIF10" s="158"/>
      <c r="OIG10" s="158"/>
      <c r="OIH10" s="158"/>
      <c r="OII10" s="158"/>
      <c r="OIJ10" s="158"/>
      <c r="OIK10" s="158"/>
      <c r="OIL10" s="158"/>
      <c r="OIM10" s="158"/>
      <c r="OIN10" s="158"/>
      <c r="OIO10" s="158"/>
      <c r="OIP10" s="158"/>
      <c r="OIQ10" s="158"/>
      <c r="OIR10" s="158"/>
      <c r="OIS10" s="158"/>
      <c r="OIT10" s="158"/>
      <c r="OIU10" s="158"/>
      <c r="OIV10" s="158"/>
      <c r="OIW10" s="158"/>
      <c r="OIX10" s="158"/>
      <c r="OIY10" s="158"/>
      <c r="OIZ10" s="158"/>
      <c r="OJA10" s="158"/>
      <c r="OJB10" s="158"/>
      <c r="OJC10" s="158"/>
      <c r="OJD10" s="158"/>
      <c r="OJE10" s="158"/>
      <c r="OJF10" s="158"/>
      <c r="OJG10" s="158"/>
      <c r="OJH10" s="158"/>
      <c r="OJI10" s="158"/>
      <c r="OJJ10" s="158"/>
      <c r="OJK10" s="158"/>
      <c r="OJL10" s="158"/>
      <c r="OJM10" s="158"/>
      <c r="OJN10" s="158"/>
      <c r="OJO10" s="158"/>
      <c r="OJP10" s="158"/>
      <c r="OJQ10" s="158"/>
      <c r="OJR10" s="158"/>
      <c r="OJS10" s="158"/>
      <c r="OJT10" s="158"/>
      <c r="OJU10" s="158"/>
      <c r="OJV10" s="158"/>
      <c r="OJW10" s="158"/>
      <c r="OJX10" s="158"/>
      <c r="OJY10" s="158"/>
      <c r="OJZ10" s="158"/>
      <c r="OKA10" s="158"/>
      <c r="OKB10" s="158"/>
      <c r="OKC10" s="158"/>
      <c r="OKD10" s="158"/>
      <c r="OKE10" s="158"/>
      <c r="OKF10" s="158"/>
      <c r="OKG10" s="158"/>
      <c r="OKH10" s="158"/>
      <c r="OKI10" s="158"/>
      <c r="OKJ10" s="158"/>
      <c r="OKK10" s="158"/>
      <c r="OKL10" s="158"/>
      <c r="OKM10" s="158"/>
      <c r="OKN10" s="158"/>
      <c r="OKO10" s="158"/>
      <c r="OKP10" s="158"/>
      <c r="OKQ10" s="158"/>
      <c r="OKR10" s="158"/>
      <c r="OKS10" s="158"/>
      <c r="OKT10" s="158"/>
      <c r="OKU10" s="158"/>
      <c r="OKV10" s="158"/>
      <c r="OKW10" s="158"/>
      <c r="OKX10" s="158"/>
      <c r="OKY10" s="158"/>
      <c r="OKZ10" s="158"/>
      <c r="OLA10" s="158"/>
      <c r="OLB10" s="158"/>
      <c r="OLC10" s="158"/>
      <c r="OLD10" s="158"/>
      <c r="OLE10" s="158"/>
      <c r="OLF10" s="158"/>
      <c r="OLG10" s="158"/>
      <c r="OLH10" s="158"/>
      <c r="OLI10" s="158"/>
      <c r="OLJ10" s="158"/>
      <c r="OLK10" s="158"/>
      <c r="OLL10" s="158"/>
      <c r="OLM10" s="158"/>
      <c r="OLN10" s="158"/>
      <c r="OLO10" s="158"/>
      <c r="OLP10" s="158"/>
      <c r="OLQ10" s="158"/>
      <c r="OLR10" s="158"/>
      <c r="OLS10" s="158"/>
      <c r="OLT10" s="158"/>
      <c r="OLU10" s="158"/>
      <c r="OLV10" s="158"/>
      <c r="OLW10" s="158"/>
      <c r="OLX10" s="158"/>
      <c r="OLY10" s="158"/>
      <c r="OLZ10" s="158"/>
      <c r="OMA10" s="158"/>
      <c r="OMB10" s="158"/>
      <c r="OMC10" s="158"/>
      <c r="OMD10" s="158"/>
      <c r="OME10" s="158"/>
      <c r="OMF10" s="158"/>
      <c r="OMG10" s="158"/>
      <c r="OMH10" s="158"/>
      <c r="OMI10" s="158"/>
      <c r="OMJ10" s="158"/>
      <c r="OMK10" s="158"/>
      <c r="OML10" s="158"/>
      <c r="OMM10" s="158"/>
      <c r="OMN10" s="158"/>
      <c r="OMO10" s="158"/>
      <c r="OMP10" s="158"/>
      <c r="OMQ10" s="158"/>
      <c r="OMR10" s="158"/>
      <c r="OMS10" s="158"/>
      <c r="OMT10" s="158"/>
      <c r="OMU10" s="158"/>
      <c r="OMV10" s="158"/>
      <c r="OMW10" s="158"/>
      <c r="OMX10" s="158"/>
      <c r="OMY10" s="158"/>
      <c r="OMZ10" s="158"/>
      <c r="ONA10" s="158"/>
      <c r="ONB10" s="158"/>
      <c r="ONC10" s="158"/>
      <c r="OND10" s="158"/>
      <c r="ONE10" s="158"/>
      <c r="ONF10" s="158"/>
      <c r="ONG10" s="158"/>
      <c r="ONH10" s="158"/>
      <c r="ONI10" s="158"/>
      <c r="ONJ10" s="158"/>
      <c r="ONK10" s="158"/>
      <c r="ONL10" s="158"/>
      <c r="ONM10" s="158"/>
      <c r="ONN10" s="158"/>
      <c r="ONO10" s="158"/>
      <c r="ONP10" s="158"/>
      <c r="ONQ10" s="158"/>
      <c r="ONR10" s="158"/>
      <c r="ONS10" s="158"/>
      <c r="ONT10" s="158"/>
      <c r="ONU10" s="158"/>
      <c r="ONV10" s="158"/>
      <c r="ONW10" s="158"/>
      <c r="ONX10" s="158"/>
      <c r="ONY10" s="158"/>
      <c r="ONZ10" s="158"/>
      <c r="OOA10" s="158"/>
      <c r="OOB10" s="158"/>
      <c r="OOC10" s="158"/>
      <c r="OOD10" s="158"/>
      <c r="OOE10" s="158"/>
      <c r="OOF10" s="158"/>
      <c r="OOG10" s="158"/>
      <c r="OOH10" s="158"/>
      <c r="OOI10" s="158"/>
      <c r="OOJ10" s="158"/>
      <c r="OOK10" s="158"/>
      <c r="OOL10" s="158"/>
      <c r="OOM10" s="158"/>
      <c r="OON10" s="158"/>
      <c r="OOO10" s="158"/>
      <c r="OOP10" s="158"/>
      <c r="OOQ10" s="158"/>
      <c r="OOR10" s="158"/>
      <c r="OOS10" s="158"/>
      <c r="OOT10" s="158"/>
      <c r="OOU10" s="158"/>
      <c r="OOV10" s="158"/>
      <c r="OOW10" s="158"/>
      <c r="OOX10" s="158"/>
      <c r="OOY10" s="158"/>
      <c r="OOZ10" s="158"/>
      <c r="OPA10" s="158"/>
      <c r="OPB10" s="158"/>
      <c r="OPC10" s="158"/>
      <c r="OPD10" s="158"/>
      <c r="OPE10" s="158"/>
      <c r="OPF10" s="158"/>
      <c r="OPG10" s="158"/>
      <c r="OPH10" s="158"/>
      <c r="OPI10" s="158"/>
      <c r="OPJ10" s="158"/>
      <c r="OPK10" s="158"/>
      <c r="OPL10" s="158"/>
      <c r="OPM10" s="158"/>
      <c r="OPN10" s="158"/>
      <c r="OPO10" s="158"/>
      <c r="OPP10" s="158"/>
      <c r="OPQ10" s="158"/>
      <c r="OPR10" s="158"/>
      <c r="OPS10" s="158"/>
      <c r="OPT10" s="158"/>
      <c r="OPU10" s="158"/>
      <c r="OPV10" s="158"/>
      <c r="OPW10" s="158"/>
      <c r="OPX10" s="158"/>
      <c r="OPY10" s="158"/>
      <c r="OPZ10" s="158"/>
      <c r="OQA10" s="158"/>
      <c r="OQB10" s="158"/>
      <c r="OQC10" s="158"/>
      <c r="OQD10" s="158"/>
      <c r="OQE10" s="158"/>
      <c r="OQF10" s="158"/>
      <c r="OQG10" s="158"/>
      <c r="OQH10" s="158"/>
      <c r="OQI10" s="158"/>
      <c r="OQJ10" s="158"/>
      <c r="OQK10" s="158"/>
      <c r="OQL10" s="158"/>
      <c r="OQM10" s="158"/>
      <c r="OQN10" s="158"/>
      <c r="OQO10" s="158"/>
      <c r="OQP10" s="158"/>
      <c r="OQQ10" s="158"/>
      <c r="OQR10" s="158"/>
      <c r="OQS10" s="158"/>
      <c r="OQT10" s="158"/>
      <c r="OQU10" s="158"/>
      <c r="OQV10" s="158"/>
      <c r="OQW10" s="158"/>
      <c r="OQX10" s="158"/>
      <c r="OQY10" s="158"/>
      <c r="OQZ10" s="158"/>
      <c r="ORA10" s="158"/>
      <c r="ORB10" s="158"/>
      <c r="ORC10" s="158"/>
      <c r="ORD10" s="158"/>
      <c r="ORE10" s="158"/>
      <c r="ORF10" s="158"/>
      <c r="ORG10" s="158"/>
      <c r="ORH10" s="158"/>
      <c r="ORI10" s="158"/>
      <c r="ORJ10" s="158"/>
      <c r="ORK10" s="158"/>
      <c r="ORL10" s="158"/>
      <c r="ORM10" s="158"/>
      <c r="ORN10" s="158"/>
      <c r="ORO10" s="158"/>
      <c r="ORP10" s="158"/>
      <c r="ORQ10" s="158"/>
      <c r="ORR10" s="158"/>
      <c r="ORS10" s="158"/>
      <c r="ORT10" s="158"/>
      <c r="ORU10" s="158"/>
      <c r="ORV10" s="158"/>
      <c r="ORW10" s="158"/>
      <c r="ORX10" s="158"/>
      <c r="ORY10" s="158"/>
      <c r="ORZ10" s="158"/>
      <c r="OSA10" s="158"/>
      <c r="OSB10" s="158"/>
      <c r="OSC10" s="158"/>
      <c r="OSD10" s="158"/>
      <c r="OSE10" s="158"/>
      <c r="OSF10" s="158"/>
      <c r="OSG10" s="158"/>
      <c r="OSH10" s="158"/>
      <c r="OSI10" s="158"/>
      <c r="OSJ10" s="158"/>
      <c r="OSK10" s="158"/>
      <c r="OSL10" s="158"/>
      <c r="OSM10" s="158"/>
      <c r="OSN10" s="158"/>
      <c r="OSO10" s="158"/>
      <c r="OSP10" s="158"/>
      <c r="OSQ10" s="158"/>
      <c r="OSR10" s="158"/>
      <c r="OSS10" s="158"/>
      <c r="OST10" s="158"/>
      <c r="OSU10" s="158"/>
      <c r="OSV10" s="158"/>
      <c r="OSW10" s="158"/>
      <c r="OSX10" s="158"/>
      <c r="OSY10" s="158"/>
      <c r="OSZ10" s="158"/>
      <c r="OTA10" s="158"/>
      <c r="OTB10" s="158"/>
      <c r="OTC10" s="158"/>
      <c r="OTD10" s="158"/>
      <c r="OTE10" s="158"/>
      <c r="OTF10" s="158"/>
      <c r="OTG10" s="158"/>
      <c r="OTH10" s="158"/>
      <c r="OTI10" s="158"/>
      <c r="OTJ10" s="158"/>
      <c r="OTK10" s="158"/>
      <c r="OTL10" s="158"/>
      <c r="OTM10" s="158"/>
      <c r="OTN10" s="158"/>
      <c r="OTO10" s="158"/>
      <c r="OTP10" s="158"/>
      <c r="OTQ10" s="158"/>
      <c r="OTR10" s="158"/>
      <c r="OTS10" s="158"/>
      <c r="OTT10" s="158"/>
      <c r="OTU10" s="158"/>
      <c r="OTV10" s="158"/>
      <c r="OTW10" s="158"/>
      <c r="OTX10" s="158"/>
      <c r="OTY10" s="158"/>
      <c r="OTZ10" s="158"/>
      <c r="OUA10" s="158"/>
      <c r="OUB10" s="158"/>
      <c r="OUC10" s="158"/>
      <c r="OUD10" s="158"/>
      <c r="OUE10" s="158"/>
      <c r="OUF10" s="158"/>
      <c r="OUG10" s="158"/>
      <c r="OUH10" s="158"/>
      <c r="OUI10" s="158"/>
      <c r="OUJ10" s="158"/>
      <c r="OUK10" s="158"/>
      <c r="OUL10" s="158"/>
      <c r="OUM10" s="158"/>
      <c r="OUN10" s="158"/>
      <c r="OUO10" s="158"/>
      <c r="OUP10" s="158"/>
      <c r="OUQ10" s="158"/>
      <c r="OUR10" s="158"/>
      <c r="OUS10" s="158"/>
      <c r="OUT10" s="158"/>
      <c r="OUU10" s="158"/>
      <c r="OUV10" s="158"/>
      <c r="OUW10" s="158"/>
      <c r="OUX10" s="158"/>
      <c r="OUY10" s="158"/>
      <c r="OUZ10" s="158"/>
      <c r="OVA10" s="158"/>
      <c r="OVB10" s="158"/>
      <c r="OVC10" s="158"/>
      <c r="OVD10" s="158"/>
      <c r="OVE10" s="158"/>
      <c r="OVF10" s="158"/>
      <c r="OVG10" s="158"/>
      <c r="OVH10" s="158"/>
      <c r="OVI10" s="158"/>
      <c r="OVJ10" s="158"/>
      <c r="OVK10" s="158"/>
      <c r="OVL10" s="158"/>
      <c r="OVM10" s="158"/>
      <c r="OVN10" s="158"/>
      <c r="OVO10" s="158"/>
      <c r="OVP10" s="158"/>
      <c r="OVQ10" s="158"/>
      <c r="OVR10" s="158"/>
      <c r="OVS10" s="158"/>
      <c r="OVT10" s="158"/>
      <c r="OVU10" s="158"/>
      <c r="OVV10" s="158"/>
      <c r="OVW10" s="158"/>
      <c r="OVX10" s="158"/>
      <c r="OVY10" s="158"/>
      <c r="OVZ10" s="158"/>
      <c r="OWA10" s="158"/>
      <c r="OWB10" s="158"/>
      <c r="OWC10" s="158"/>
      <c r="OWD10" s="158"/>
      <c r="OWE10" s="158"/>
      <c r="OWF10" s="158"/>
      <c r="OWG10" s="158"/>
      <c r="OWH10" s="158"/>
      <c r="OWI10" s="158"/>
      <c r="OWJ10" s="158"/>
      <c r="OWK10" s="158"/>
      <c r="OWL10" s="158"/>
      <c r="OWM10" s="158"/>
      <c r="OWN10" s="158"/>
      <c r="OWO10" s="158"/>
      <c r="OWP10" s="158"/>
      <c r="OWQ10" s="158"/>
      <c r="OWR10" s="158"/>
      <c r="OWS10" s="158"/>
      <c r="OWT10" s="158"/>
      <c r="OWU10" s="158"/>
      <c r="OWV10" s="158"/>
      <c r="OWW10" s="158"/>
      <c r="OWX10" s="158"/>
      <c r="OWY10" s="158"/>
      <c r="OWZ10" s="158"/>
      <c r="OXA10" s="158"/>
      <c r="OXB10" s="158"/>
      <c r="OXC10" s="158"/>
      <c r="OXD10" s="158"/>
      <c r="OXE10" s="158"/>
      <c r="OXF10" s="158"/>
      <c r="OXG10" s="158"/>
      <c r="OXH10" s="158"/>
      <c r="OXI10" s="158"/>
      <c r="OXJ10" s="158"/>
      <c r="OXK10" s="158"/>
      <c r="OXL10" s="158"/>
      <c r="OXM10" s="158"/>
      <c r="OXN10" s="158"/>
      <c r="OXO10" s="158"/>
      <c r="OXP10" s="158"/>
      <c r="OXQ10" s="158"/>
      <c r="OXR10" s="158"/>
      <c r="OXS10" s="158"/>
      <c r="OXT10" s="158"/>
      <c r="OXU10" s="158"/>
      <c r="OXV10" s="158"/>
      <c r="OXW10" s="158"/>
      <c r="OXX10" s="158"/>
      <c r="OXY10" s="158"/>
      <c r="OXZ10" s="158"/>
      <c r="OYA10" s="158"/>
      <c r="OYB10" s="158"/>
      <c r="OYC10" s="158"/>
      <c r="OYD10" s="158"/>
      <c r="OYE10" s="158"/>
      <c r="OYF10" s="158"/>
      <c r="OYG10" s="158"/>
      <c r="OYH10" s="158"/>
      <c r="OYI10" s="158"/>
      <c r="OYJ10" s="158"/>
      <c r="OYK10" s="158"/>
      <c r="OYL10" s="158"/>
      <c r="OYM10" s="158"/>
      <c r="OYN10" s="158"/>
      <c r="OYO10" s="158"/>
      <c r="OYP10" s="158"/>
      <c r="OYQ10" s="158"/>
      <c r="OYR10" s="158"/>
      <c r="OYS10" s="158"/>
      <c r="OYT10" s="158"/>
      <c r="OYU10" s="158"/>
      <c r="OYV10" s="158"/>
      <c r="OYW10" s="158"/>
      <c r="OYX10" s="158"/>
      <c r="OYY10" s="158"/>
      <c r="OYZ10" s="158"/>
      <c r="OZA10" s="158"/>
      <c r="OZB10" s="158"/>
      <c r="OZC10" s="158"/>
      <c r="OZD10" s="158"/>
      <c r="OZE10" s="158"/>
      <c r="OZF10" s="158"/>
      <c r="OZG10" s="158"/>
      <c r="OZH10" s="158"/>
      <c r="OZI10" s="158"/>
      <c r="OZJ10" s="158"/>
      <c r="OZK10" s="158"/>
      <c r="OZL10" s="158"/>
      <c r="OZM10" s="158"/>
      <c r="OZN10" s="158"/>
      <c r="OZO10" s="158"/>
      <c r="OZP10" s="158"/>
      <c r="OZQ10" s="158"/>
      <c r="OZR10" s="158"/>
      <c r="OZS10" s="158"/>
      <c r="OZT10" s="158"/>
      <c r="OZU10" s="158"/>
      <c r="OZV10" s="158"/>
      <c r="OZW10" s="158"/>
      <c r="OZX10" s="158"/>
      <c r="OZY10" s="158"/>
      <c r="OZZ10" s="158"/>
      <c r="PAA10" s="158"/>
      <c r="PAB10" s="158"/>
      <c r="PAC10" s="158"/>
      <c r="PAD10" s="158"/>
      <c r="PAE10" s="158"/>
      <c r="PAF10" s="158"/>
      <c r="PAG10" s="158"/>
      <c r="PAH10" s="158"/>
      <c r="PAI10" s="158"/>
      <c r="PAJ10" s="158"/>
      <c r="PAK10" s="158"/>
      <c r="PAL10" s="158"/>
      <c r="PAM10" s="158"/>
      <c r="PAN10" s="158"/>
      <c r="PAO10" s="158"/>
      <c r="PAP10" s="158"/>
      <c r="PAQ10" s="158"/>
      <c r="PAR10" s="158"/>
      <c r="PAS10" s="158"/>
      <c r="PAT10" s="158"/>
      <c r="PAU10" s="158"/>
      <c r="PAV10" s="158"/>
      <c r="PAW10" s="158"/>
      <c r="PAX10" s="158"/>
      <c r="PAY10" s="158"/>
      <c r="PAZ10" s="158"/>
      <c r="PBA10" s="158"/>
      <c r="PBB10" s="158"/>
      <c r="PBC10" s="158"/>
      <c r="PBD10" s="158"/>
      <c r="PBE10" s="158"/>
      <c r="PBF10" s="158"/>
      <c r="PBG10" s="158"/>
      <c r="PBH10" s="158"/>
      <c r="PBI10" s="158"/>
      <c r="PBJ10" s="158"/>
      <c r="PBK10" s="158"/>
      <c r="PBL10" s="158"/>
      <c r="PBM10" s="158"/>
      <c r="PBN10" s="158"/>
      <c r="PBO10" s="158"/>
      <c r="PBP10" s="158"/>
      <c r="PBQ10" s="158"/>
      <c r="PBR10" s="158"/>
      <c r="PBS10" s="158"/>
      <c r="PBT10" s="158"/>
      <c r="PBU10" s="158"/>
      <c r="PBV10" s="158"/>
      <c r="PBW10" s="158"/>
      <c r="PBX10" s="158"/>
      <c r="PBY10" s="158"/>
      <c r="PBZ10" s="158"/>
      <c r="PCA10" s="158"/>
      <c r="PCB10" s="158"/>
      <c r="PCC10" s="158"/>
      <c r="PCD10" s="158"/>
      <c r="PCE10" s="158"/>
      <c r="PCF10" s="158"/>
      <c r="PCG10" s="158"/>
      <c r="PCH10" s="158"/>
      <c r="PCI10" s="158"/>
      <c r="PCJ10" s="158"/>
      <c r="PCK10" s="158"/>
      <c r="PCL10" s="158"/>
      <c r="PCM10" s="158"/>
      <c r="PCN10" s="158"/>
      <c r="PCO10" s="158"/>
      <c r="PCP10" s="158"/>
      <c r="PCQ10" s="158"/>
      <c r="PCR10" s="158"/>
      <c r="PCS10" s="158"/>
      <c r="PCT10" s="158"/>
      <c r="PCU10" s="158"/>
      <c r="PCV10" s="158"/>
      <c r="PCW10" s="158"/>
      <c r="PCX10" s="158"/>
      <c r="PCY10" s="158"/>
      <c r="PCZ10" s="158"/>
      <c r="PDA10" s="158"/>
      <c r="PDB10" s="158"/>
      <c r="PDC10" s="158"/>
      <c r="PDD10" s="158"/>
      <c r="PDE10" s="158"/>
      <c r="PDF10" s="158"/>
      <c r="PDG10" s="158"/>
      <c r="PDH10" s="158"/>
      <c r="PDI10" s="158"/>
      <c r="PDJ10" s="158"/>
      <c r="PDK10" s="158"/>
      <c r="PDL10" s="158"/>
      <c r="PDM10" s="158"/>
      <c r="PDN10" s="158"/>
      <c r="PDO10" s="158"/>
      <c r="PDP10" s="158"/>
      <c r="PDQ10" s="158"/>
      <c r="PDR10" s="158"/>
      <c r="PDS10" s="158"/>
      <c r="PDT10" s="158"/>
      <c r="PDU10" s="158"/>
      <c r="PDV10" s="158"/>
      <c r="PDW10" s="158"/>
      <c r="PDX10" s="158"/>
      <c r="PDY10" s="158"/>
      <c r="PDZ10" s="158"/>
      <c r="PEA10" s="158"/>
      <c r="PEB10" s="158"/>
      <c r="PEC10" s="158"/>
      <c r="PED10" s="158"/>
      <c r="PEE10" s="158"/>
      <c r="PEF10" s="158"/>
      <c r="PEG10" s="158"/>
      <c r="PEH10" s="158"/>
      <c r="PEI10" s="158"/>
      <c r="PEJ10" s="158"/>
      <c r="PEK10" s="158"/>
      <c r="PEL10" s="158"/>
      <c r="PEM10" s="158"/>
      <c r="PEN10" s="158"/>
      <c r="PEO10" s="158"/>
      <c r="PEP10" s="158"/>
      <c r="PEQ10" s="158"/>
      <c r="PER10" s="158"/>
      <c r="PES10" s="158"/>
      <c r="PET10" s="158"/>
      <c r="PEU10" s="158"/>
      <c r="PEV10" s="158"/>
      <c r="PEW10" s="158"/>
      <c r="PEX10" s="158"/>
      <c r="PEY10" s="158"/>
      <c r="PEZ10" s="158"/>
      <c r="PFA10" s="158"/>
      <c r="PFB10" s="158"/>
      <c r="PFC10" s="158"/>
      <c r="PFD10" s="158"/>
      <c r="PFE10" s="158"/>
      <c r="PFF10" s="158"/>
      <c r="PFG10" s="158"/>
      <c r="PFH10" s="158"/>
      <c r="PFI10" s="158"/>
      <c r="PFJ10" s="158"/>
      <c r="PFK10" s="158"/>
      <c r="PFL10" s="158"/>
      <c r="PFM10" s="158"/>
      <c r="PFN10" s="158"/>
      <c r="PFO10" s="158"/>
      <c r="PFP10" s="158"/>
      <c r="PFQ10" s="158"/>
      <c r="PFR10" s="158"/>
      <c r="PFS10" s="158"/>
      <c r="PFT10" s="158"/>
      <c r="PFU10" s="158"/>
      <c r="PFV10" s="158"/>
      <c r="PFW10" s="158"/>
      <c r="PFX10" s="158"/>
      <c r="PFY10" s="158"/>
      <c r="PFZ10" s="158"/>
      <c r="PGA10" s="158"/>
      <c r="PGB10" s="158"/>
      <c r="PGC10" s="158"/>
      <c r="PGD10" s="158"/>
      <c r="PGE10" s="158"/>
      <c r="PGF10" s="158"/>
      <c r="PGG10" s="158"/>
      <c r="PGH10" s="158"/>
      <c r="PGI10" s="158"/>
      <c r="PGJ10" s="158"/>
      <c r="PGK10" s="158"/>
      <c r="PGL10" s="158"/>
      <c r="PGM10" s="158"/>
      <c r="PGN10" s="158"/>
      <c r="PGO10" s="158"/>
      <c r="PGP10" s="158"/>
      <c r="PGQ10" s="158"/>
      <c r="PGR10" s="158"/>
      <c r="PGS10" s="158"/>
      <c r="PGT10" s="158"/>
      <c r="PGU10" s="158"/>
      <c r="PGV10" s="158"/>
      <c r="PGW10" s="158"/>
      <c r="PGX10" s="158"/>
      <c r="PGY10" s="158"/>
      <c r="PGZ10" s="158"/>
      <c r="PHA10" s="158"/>
      <c r="PHB10" s="158"/>
      <c r="PHC10" s="158"/>
      <c r="PHD10" s="158"/>
      <c r="PHE10" s="158"/>
      <c r="PHF10" s="158"/>
      <c r="PHG10" s="158"/>
      <c r="PHH10" s="158"/>
      <c r="PHI10" s="158"/>
      <c r="PHJ10" s="158"/>
      <c r="PHK10" s="158"/>
      <c r="PHL10" s="158"/>
      <c r="PHM10" s="158"/>
      <c r="PHN10" s="158"/>
      <c r="PHO10" s="158"/>
      <c r="PHP10" s="158"/>
      <c r="PHQ10" s="158"/>
      <c r="PHR10" s="158"/>
      <c r="PHS10" s="158"/>
      <c r="PHT10" s="158"/>
      <c r="PHU10" s="158"/>
      <c r="PHV10" s="158"/>
      <c r="PHW10" s="158"/>
      <c r="PHX10" s="158"/>
      <c r="PHY10" s="158"/>
      <c r="PHZ10" s="158"/>
      <c r="PIA10" s="158"/>
      <c r="PIB10" s="158"/>
      <c r="PIC10" s="158"/>
      <c r="PID10" s="158"/>
      <c r="PIE10" s="158"/>
      <c r="PIF10" s="158"/>
      <c r="PIG10" s="158"/>
      <c r="PIH10" s="158"/>
      <c r="PII10" s="158"/>
      <c r="PIJ10" s="158"/>
      <c r="PIK10" s="158"/>
      <c r="PIL10" s="158"/>
      <c r="PIM10" s="158"/>
      <c r="PIN10" s="158"/>
      <c r="PIO10" s="158"/>
      <c r="PIP10" s="158"/>
      <c r="PIQ10" s="158"/>
      <c r="PIR10" s="158"/>
      <c r="PIS10" s="158"/>
      <c r="PIT10" s="158"/>
      <c r="PIU10" s="158"/>
      <c r="PIV10" s="158"/>
      <c r="PIW10" s="158"/>
      <c r="PIX10" s="158"/>
      <c r="PIY10" s="158"/>
      <c r="PIZ10" s="158"/>
      <c r="PJA10" s="158"/>
      <c r="PJB10" s="158"/>
      <c r="PJC10" s="158"/>
      <c r="PJD10" s="158"/>
      <c r="PJE10" s="158"/>
      <c r="PJF10" s="158"/>
      <c r="PJG10" s="158"/>
      <c r="PJH10" s="158"/>
      <c r="PJI10" s="158"/>
      <c r="PJJ10" s="158"/>
      <c r="PJK10" s="158"/>
      <c r="PJL10" s="158"/>
      <c r="PJM10" s="158"/>
      <c r="PJN10" s="158"/>
      <c r="PJO10" s="158"/>
      <c r="PJP10" s="158"/>
      <c r="PJQ10" s="158"/>
      <c r="PJR10" s="158"/>
      <c r="PJS10" s="158"/>
      <c r="PJT10" s="158"/>
      <c r="PJU10" s="158"/>
      <c r="PJV10" s="158"/>
      <c r="PJW10" s="158"/>
      <c r="PJX10" s="158"/>
      <c r="PJY10" s="158"/>
      <c r="PJZ10" s="158"/>
      <c r="PKA10" s="158"/>
      <c r="PKB10" s="158"/>
      <c r="PKC10" s="158"/>
      <c r="PKD10" s="158"/>
      <c r="PKE10" s="158"/>
      <c r="PKF10" s="158"/>
      <c r="PKG10" s="158"/>
      <c r="PKH10" s="158"/>
      <c r="PKI10" s="158"/>
      <c r="PKJ10" s="158"/>
      <c r="PKK10" s="158"/>
      <c r="PKL10" s="158"/>
      <c r="PKM10" s="158"/>
      <c r="PKN10" s="158"/>
      <c r="PKO10" s="158"/>
      <c r="PKP10" s="158"/>
      <c r="PKQ10" s="158"/>
      <c r="PKR10" s="158"/>
      <c r="PKS10" s="158"/>
      <c r="PKT10" s="158"/>
      <c r="PKU10" s="158"/>
      <c r="PKV10" s="158"/>
      <c r="PKW10" s="158"/>
      <c r="PKX10" s="158"/>
      <c r="PKY10" s="158"/>
      <c r="PKZ10" s="158"/>
      <c r="PLA10" s="158"/>
      <c r="PLB10" s="158"/>
      <c r="PLC10" s="158"/>
      <c r="PLD10" s="158"/>
      <c r="PLE10" s="158"/>
      <c r="PLF10" s="158"/>
      <c r="PLG10" s="158"/>
      <c r="PLH10" s="158"/>
      <c r="PLI10" s="158"/>
      <c r="PLJ10" s="158"/>
      <c r="PLK10" s="158"/>
      <c r="PLL10" s="158"/>
      <c r="PLM10" s="158"/>
      <c r="PLN10" s="158"/>
      <c r="PLO10" s="158"/>
      <c r="PLP10" s="158"/>
      <c r="PLQ10" s="158"/>
      <c r="PLR10" s="158"/>
      <c r="PLS10" s="158"/>
      <c r="PLT10" s="158"/>
      <c r="PLU10" s="158"/>
      <c r="PLV10" s="158"/>
      <c r="PLW10" s="158"/>
      <c r="PLX10" s="158"/>
      <c r="PLY10" s="158"/>
      <c r="PLZ10" s="158"/>
      <c r="PMA10" s="158"/>
      <c r="PMB10" s="158"/>
      <c r="PMC10" s="158"/>
      <c r="PMD10" s="158"/>
      <c r="PME10" s="158"/>
      <c r="PMF10" s="158"/>
      <c r="PMG10" s="158"/>
      <c r="PMH10" s="158"/>
      <c r="PMI10" s="158"/>
      <c r="PMJ10" s="158"/>
      <c r="PMK10" s="158"/>
      <c r="PML10" s="158"/>
      <c r="PMM10" s="158"/>
      <c r="PMN10" s="158"/>
      <c r="PMO10" s="158"/>
      <c r="PMP10" s="158"/>
      <c r="PMQ10" s="158"/>
      <c r="PMR10" s="158"/>
      <c r="PMS10" s="158"/>
      <c r="PMT10" s="158"/>
      <c r="PMU10" s="158"/>
      <c r="PMV10" s="158"/>
      <c r="PMW10" s="158"/>
      <c r="PMX10" s="158"/>
      <c r="PMY10" s="158"/>
      <c r="PMZ10" s="158"/>
      <c r="PNA10" s="158"/>
      <c r="PNB10" s="158"/>
      <c r="PNC10" s="158"/>
      <c r="PND10" s="158"/>
      <c r="PNE10" s="158"/>
      <c r="PNF10" s="158"/>
      <c r="PNG10" s="158"/>
      <c r="PNH10" s="158"/>
      <c r="PNI10" s="158"/>
      <c r="PNJ10" s="158"/>
      <c r="PNK10" s="158"/>
      <c r="PNL10" s="158"/>
      <c r="PNM10" s="158"/>
      <c r="PNN10" s="158"/>
      <c r="PNO10" s="158"/>
      <c r="PNP10" s="158"/>
      <c r="PNQ10" s="158"/>
      <c r="PNR10" s="158"/>
      <c r="PNS10" s="158"/>
      <c r="PNT10" s="158"/>
      <c r="PNU10" s="158"/>
      <c r="PNV10" s="158"/>
      <c r="PNW10" s="158"/>
      <c r="PNX10" s="158"/>
      <c r="PNY10" s="158"/>
      <c r="PNZ10" s="158"/>
      <c r="POA10" s="158"/>
      <c r="POB10" s="158"/>
      <c r="POC10" s="158"/>
      <c r="POD10" s="158"/>
      <c r="POE10" s="158"/>
      <c r="POF10" s="158"/>
      <c r="POG10" s="158"/>
      <c r="POH10" s="158"/>
      <c r="POI10" s="158"/>
      <c r="POJ10" s="158"/>
      <c r="POK10" s="158"/>
      <c r="POL10" s="158"/>
      <c r="POM10" s="158"/>
      <c r="PON10" s="158"/>
      <c r="POO10" s="158"/>
      <c r="POP10" s="158"/>
      <c r="POQ10" s="158"/>
      <c r="POR10" s="158"/>
      <c r="POS10" s="158"/>
      <c r="POT10" s="158"/>
      <c r="POU10" s="158"/>
      <c r="POV10" s="158"/>
      <c r="POW10" s="158"/>
      <c r="POX10" s="158"/>
      <c r="POY10" s="158"/>
      <c r="POZ10" s="158"/>
      <c r="PPA10" s="158"/>
      <c r="PPB10" s="158"/>
      <c r="PPC10" s="158"/>
      <c r="PPD10" s="158"/>
      <c r="PPE10" s="158"/>
      <c r="PPF10" s="158"/>
      <c r="PPG10" s="158"/>
      <c r="PPH10" s="158"/>
      <c r="PPI10" s="158"/>
      <c r="PPJ10" s="158"/>
      <c r="PPK10" s="158"/>
      <c r="PPL10" s="158"/>
      <c r="PPM10" s="158"/>
      <c r="PPN10" s="158"/>
      <c r="PPO10" s="158"/>
      <c r="PPP10" s="158"/>
      <c r="PPQ10" s="158"/>
      <c r="PPR10" s="158"/>
      <c r="PPS10" s="158"/>
      <c r="PPT10" s="158"/>
      <c r="PPU10" s="158"/>
      <c r="PPV10" s="158"/>
      <c r="PPW10" s="158"/>
      <c r="PPX10" s="158"/>
      <c r="PPY10" s="158"/>
      <c r="PPZ10" s="158"/>
      <c r="PQA10" s="158"/>
      <c r="PQB10" s="158"/>
      <c r="PQC10" s="158"/>
      <c r="PQD10" s="158"/>
      <c r="PQE10" s="158"/>
      <c r="PQF10" s="158"/>
      <c r="PQG10" s="158"/>
      <c r="PQH10" s="158"/>
      <c r="PQI10" s="158"/>
      <c r="PQJ10" s="158"/>
      <c r="PQK10" s="158"/>
      <c r="PQL10" s="158"/>
      <c r="PQM10" s="158"/>
      <c r="PQN10" s="158"/>
      <c r="PQO10" s="158"/>
      <c r="PQP10" s="158"/>
      <c r="PQQ10" s="158"/>
      <c r="PQR10" s="158"/>
      <c r="PQS10" s="158"/>
      <c r="PQT10" s="158"/>
      <c r="PQU10" s="158"/>
      <c r="PQV10" s="158"/>
      <c r="PQW10" s="158"/>
      <c r="PQX10" s="158"/>
      <c r="PQY10" s="158"/>
      <c r="PQZ10" s="158"/>
      <c r="PRA10" s="158"/>
      <c r="PRB10" s="158"/>
      <c r="PRC10" s="158"/>
      <c r="PRD10" s="158"/>
      <c r="PRE10" s="158"/>
      <c r="PRF10" s="158"/>
      <c r="PRG10" s="158"/>
      <c r="PRH10" s="158"/>
      <c r="PRI10" s="158"/>
      <c r="PRJ10" s="158"/>
      <c r="PRK10" s="158"/>
      <c r="PRL10" s="158"/>
      <c r="PRM10" s="158"/>
      <c r="PRN10" s="158"/>
      <c r="PRO10" s="158"/>
      <c r="PRP10" s="158"/>
      <c r="PRQ10" s="158"/>
      <c r="PRR10" s="158"/>
      <c r="PRS10" s="158"/>
      <c r="PRT10" s="158"/>
      <c r="PRU10" s="158"/>
      <c r="PRV10" s="158"/>
      <c r="PRW10" s="158"/>
      <c r="PRX10" s="158"/>
      <c r="PRY10" s="158"/>
      <c r="PRZ10" s="158"/>
      <c r="PSA10" s="158"/>
      <c r="PSB10" s="158"/>
      <c r="PSC10" s="158"/>
      <c r="PSD10" s="158"/>
      <c r="PSE10" s="158"/>
      <c r="PSF10" s="158"/>
      <c r="PSG10" s="158"/>
      <c r="PSH10" s="158"/>
      <c r="PSI10" s="158"/>
      <c r="PSJ10" s="158"/>
      <c r="PSK10" s="158"/>
      <c r="PSL10" s="158"/>
      <c r="PSM10" s="158"/>
      <c r="PSN10" s="158"/>
      <c r="PSO10" s="158"/>
      <c r="PSP10" s="158"/>
      <c r="PSQ10" s="158"/>
      <c r="PSR10" s="158"/>
      <c r="PSS10" s="158"/>
      <c r="PST10" s="158"/>
      <c r="PSU10" s="158"/>
      <c r="PSV10" s="158"/>
      <c r="PSW10" s="158"/>
      <c r="PSX10" s="158"/>
      <c r="PSY10" s="158"/>
      <c r="PSZ10" s="158"/>
      <c r="PTA10" s="158"/>
      <c r="PTB10" s="158"/>
      <c r="PTC10" s="158"/>
      <c r="PTD10" s="158"/>
      <c r="PTE10" s="158"/>
      <c r="PTF10" s="158"/>
      <c r="PTG10" s="158"/>
      <c r="PTH10" s="158"/>
      <c r="PTI10" s="158"/>
      <c r="PTJ10" s="158"/>
      <c r="PTK10" s="158"/>
      <c r="PTL10" s="158"/>
      <c r="PTM10" s="158"/>
      <c r="PTN10" s="158"/>
      <c r="PTO10" s="158"/>
      <c r="PTP10" s="158"/>
      <c r="PTQ10" s="158"/>
      <c r="PTR10" s="158"/>
      <c r="PTS10" s="158"/>
      <c r="PTT10" s="158"/>
      <c r="PTU10" s="158"/>
      <c r="PTV10" s="158"/>
      <c r="PTW10" s="158"/>
      <c r="PTX10" s="158"/>
      <c r="PTY10" s="158"/>
      <c r="PTZ10" s="158"/>
      <c r="PUA10" s="158"/>
      <c r="PUB10" s="158"/>
      <c r="PUC10" s="158"/>
      <c r="PUD10" s="158"/>
      <c r="PUE10" s="158"/>
      <c r="PUF10" s="158"/>
      <c r="PUG10" s="158"/>
      <c r="PUH10" s="158"/>
      <c r="PUI10" s="158"/>
      <c r="PUJ10" s="158"/>
      <c r="PUK10" s="158"/>
      <c r="PUL10" s="158"/>
      <c r="PUM10" s="158"/>
      <c r="PUN10" s="158"/>
      <c r="PUO10" s="158"/>
      <c r="PUP10" s="158"/>
      <c r="PUQ10" s="158"/>
      <c r="PUR10" s="158"/>
      <c r="PUS10" s="158"/>
      <c r="PUT10" s="158"/>
      <c r="PUU10" s="158"/>
      <c r="PUV10" s="158"/>
      <c r="PUW10" s="158"/>
      <c r="PUX10" s="158"/>
      <c r="PUY10" s="158"/>
      <c r="PUZ10" s="158"/>
      <c r="PVA10" s="158"/>
      <c r="PVB10" s="158"/>
      <c r="PVC10" s="158"/>
      <c r="PVD10" s="158"/>
      <c r="PVE10" s="158"/>
      <c r="PVF10" s="158"/>
      <c r="PVG10" s="158"/>
      <c r="PVH10" s="158"/>
      <c r="PVI10" s="158"/>
      <c r="PVJ10" s="158"/>
      <c r="PVK10" s="158"/>
      <c r="PVL10" s="158"/>
      <c r="PVM10" s="158"/>
      <c r="PVN10" s="158"/>
      <c r="PVO10" s="158"/>
      <c r="PVP10" s="158"/>
      <c r="PVQ10" s="158"/>
      <c r="PVR10" s="158"/>
      <c r="PVS10" s="158"/>
      <c r="PVT10" s="158"/>
      <c r="PVU10" s="158"/>
      <c r="PVV10" s="158"/>
      <c r="PVW10" s="158"/>
      <c r="PVX10" s="158"/>
      <c r="PVY10" s="158"/>
      <c r="PVZ10" s="158"/>
      <c r="PWA10" s="158"/>
      <c r="PWB10" s="158"/>
      <c r="PWC10" s="158"/>
      <c r="PWD10" s="158"/>
      <c r="PWE10" s="158"/>
      <c r="PWF10" s="158"/>
      <c r="PWG10" s="158"/>
      <c r="PWH10" s="158"/>
      <c r="PWI10" s="158"/>
      <c r="PWJ10" s="158"/>
      <c r="PWK10" s="158"/>
      <c r="PWL10" s="158"/>
      <c r="PWM10" s="158"/>
      <c r="PWN10" s="158"/>
      <c r="PWO10" s="158"/>
      <c r="PWP10" s="158"/>
      <c r="PWQ10" s="158"/>
      <c r="PWR10" s="158"/>
      <c r="PWS10" s="158"/>
      <c r="PWT10" s="158"/>
      <c r="PWU10" s="158"/>
      <c r="PWV10" s="158"/>
      <c r="PWW10" s="158"/>
      <c r="PWX10" s="158"/>
      <c r="PWY10" s="158"/>
      <c r="PWZ10" s="158"/>
      <c r="PXA10" s="158"/>
      <c r="PXB10" s="158"/>
      <c r="PXC10" s="158"/>
      <c r="PXD10" s="158"/>
      <c r="PXE10" s="158"/>
      <c r="PXF10" s="158"/>
      <c r="PXG10" s="158"/>
      <c r="PXH10" s="158"/>
      <c r="PXI10" s="158"/>
      <c r="PXJ10" s="158"/>
      <c r="PXK10" s="158"/>
      <c r="PXL10" s="158"/>
      <c r="PXM10" s="158"/>
      <c r="PXN10" s="158"/>
      <c r="PXO10" s="158"/>
      <c r="PXP10" s="158"/>
      <c r="PXQ10" s="158"/>
      <c r="PXR10" s="158"/>
      <c r="PXS10" s="158"/>
      <c r="PXT10" s="158"/>
      <c r="PXU10" s="158"/>
      <c r="PXV10" s="158"/>
      <c r="PXW10" s="158"/>
      <c r="PXX10" s="158"/>
      <c r="PXY10" s="158"/>
      <c r="PXZ10" s="158"/>
      <c r="PYA10" s="158"/>
      <c r="PYB10" s="158"/>
      <c r="PYC10" s="158"/>
      <c r="PYD10" s="158"/>
      <c r="PYE10" s="158"/>
      <c r="PYF10" s="158"/>
      <c r="PYG10" s="158"/>
      <c r="PYH10" s="158"/>
      <c r="PYI10" s="158"/>
      <c r="PYJ10" s="158"/>
      <c r="PYK10" s="158"/>
      <c r="PYL10" s="158"/>
      <c r="PYM10" s="158"/>
      <c r="PYN10" s="158"/>
      <c r="PYO10" s="158"/>
      <c r="PYP10" s="158"/>
      <c r="PYQ10" s="158"/>
      <c r="PYR10" s="158"/>
      <c r="PYS10" s="158"/>
      <c r="PYT10" s="158"/>
      <c r="PYU10" s="158"/>
      <c r="PYV10" s="158"/>
      <c r="PYW10" s="158"/>
      <c r="PYX10" s="158"/>
      <c r="PYY10" s="158"/>
      <c r="PYZ10" s="158"/>
      <c r="PZA10" s="158"/>
      <c r="PZB10" s="158"/>
      <c r="PZC10" s="158"/>
      <c r="PZD10" s="158"/>
      <c r="PZE10" s="158"/>
      <c r="PZF10" s="158"/>
      <c r="PZG10" s="158"/>
      <c r="PZH10" s="158"/>
      <c r="PZI10" s="158"/>
      <c r="PZJ10" s="158"/>
      <c r="PZK10" s="158"/>
      <c r="PZL10" s="158"/>
      <c r="PZM10" s="158"/>
      <c r="PZN10" s="158"/>
      <c r="PZO10" s="158"/>
      <c r="PZP10" s="158"/>
      <c r="PZQ10" s="158"/>
      <c r="PZR10" s="158"/>
      <c r="PZS10" s="158"/>
      <c r="PZT10" s="158"/>
      <c r="PZU10" s="158"/>
      <c r="PZV10" s="158"/>
      <c r="PZW10" s="158"/>
      <c r="PZX10" s="158"/>
      <c r="PZY10" s="158"/>
      <c r="PZZ10" s="158"/>
      <c r="QAA10" s="158"/>
      <c r="QAB10" s="158"/>
      <c r="QAC10" s="158"/>
      <c r="QAD10" s="158"/>
      <c r="QAE10" s="158"/>
      <c r="QAF10" s="158"/>
      <c r="QAG10" s="158"/>
      <c r="QAH10" s="158"/>
      <c r="QAI10" s="158"/>
      <c r="QAJ10" s="158"/>
      <c r="QAK10" s="158"/>
      <c r="QAL10" s="158"/>
      <c r="QAM10" s="158"/>
      <c r="QAN10" s="158"/>
      <c r="QAO10" s="158"/>
      <c r="QAP10" s="158"/>
      <c r="QAQ10" s="158"/>
      <c r="QAR10" s="158"/>
      <c r="QAS10" s="158"/>
      <c r="QAT10" s="158"/>
      <c r="QAU10" s="158"/>
      <c r="QAV10" s="158"/>
      <c r="QAW10" s="158"/>
      <c r="QAX10" s="158"/>
      <c r="QAY10" s="158"/>
      <c r="QAZ10" s="158"/>
      <c r="QBA10" s="158"/>
      <c r="QBB10" s="158"/>
      <c r="QBC10" s="158"/>
      <c r="QBD10" s="158"/>
      <c r="QBE10" s="158"/>
      <c r="QBF10" s="158"/>
      <c r="QBG10" s="158"/>
      <c r="QBH10" s="158"/>
      <c r="QBI10" s="158"/>
      <c r="QBJ10" s="158"/>
      <c r="QBK10" s="158"/>
      <c r="QBL10" s="158"/>
      <c r="QBM10" s="158"/>
      <c r="QBN10" s="158"/>
      <c r="QBO10" s="158"/>
      <c r="QBP10" s="158"/>
      <c r="QBQ10" s="158"/>
      <c r="QBR10" s="158"/>
      <c r="QBS10" s="158"/>
      <c r="QBT10" s="158"/>
      <c r="QBU10" s="158"/>
      <c r="QBV10" s="158"/>
      <c r="QBW10" s="158"/>
      <c r="QBX10" s="158"/>
      <c r="QBY10" s="158"/>
      <c r="QBZ10" s="158"/>
      <c r="QCA10" s="158"/>
      <c r="QCB10" s="158"/>
      <c r="QCC10" s="158"/>
      <c r="QCD10" s="158"/>
      <c r="QCE10" s="158"/>
      <c r="QCF10" s="158"/>
      <c r="QCG10" s="158"/>
      <c r="QCH10" s="158"/>
      <c r="QCI10" s="158"/>
      <c r="QCJ10" s="158"/>
      <c r="QCK10" s="158"/>
      <c r="QCL10" s="158"/>
      <c r="QCM10" s="158"/>
      <c r="QCN10" s="158"/>
      <c r="QCO10" s="158"/>
      <c r="QCP10" s="158"/>
      <c r="QCQ10" s="158"/>
      <c r="QCR10" s="158"/>
      <c r="QCS10" s="158"/>
      <c r="QCT10" s="158"/>
      <c r="QCU10" s="158"/>
      <c r="QCV10" s="158"/>
      <c r="QCW10" s="158"/>
      <c r="QCX10" s="158"/>
      <c r="QCY10" s="158"/>
      <c r="QCZ10" s="158"/>
      <c r="QDA10" s="158"/>
      <c r="QDB10" s="158"/>
      <c r="QDC10" s="158"/>
      <c r="QDD10" s="158"/>
      <c r="QDE10" s="158"/>
      <c r="QDF10" s="158"/>
      <c r="QDG10" s="158"/>
      <c r="QDH10" s="158"/>
      <c r="QDI10" s="158"/>
      <c r="QDJ10" s="158"/>
      <c r="QDK10" s="158"/>
      <c r="QDL10" s="158"/>
      <c r="QDM10" s="158"/>
      <c r="QDN10" s="158"/>
      <c r="QDO10" s="158"/>
      <c r="QDP10" s="158"/>
      <c r="QDQ10" s="158"/>
      <c r="QDR10" s="158"/>
      <c r="QDS10" s="158"/>
      <c r="QDT10" s="158"/>
      <c r="QDU10" s="158"/>
      <c r="QDV10" s="158"/>
      <c r="QDW10" s="158"/>
      <c r="QDX10" s="158"/>
      <c r="QDY10" s="158"/>
      <c r="QDZ10" s="158"/>
      <c r="QEA10" s="158"/>
      <c r="QEB10" s="158"/>
      <c r="QEC10" s="158"/>
      <c r="QED10" s="158"/>
      <c r="QEE10" s="158"/>
      <c r="QEF10" s="158"/>
      <c r="QEG10" s="158"/>
      <c r="QEH10" s="158"/>
      <c r="QEI10" s="158"/>
      <c r="QEJ10" s="158"/>
      <c r="QEK10" s="158"/>
      <c r="QEL10" s="158"/>
      <c r="QEM10" s="158"/>
      <c r="QEN10" s="158"/>
      <c r="QEO10" s="158"/>
      <c r="QEP10" s="158"/>
      <c r="QEQ10" s="158"/>
      <c r="QER10" s="158"/>
      <c r="QES10" s="158"/>
      <c r="QET10" s="158"/>
      <c r="QEU10" s="158"/>
      <c r="QEV10" s="158"/>
      <c r="QEW10" s="158"/>
      <c r="QEX10" s="158"/>
      <c r="QEY10" s="158"/>
      <c r="QEZ10" s="158"/>
      <c r="QFA10" s="158"/>
      <c r="QFB10" s="158"/>
      <c r="QFC10" s="158"/>
      <c r="QFD10" s="158"/>
      <c r="QFE10" s="158"/>
      <c r="QFF10" s="158"/>
      <c r="QFG10" s="158"/>
      <c r="QFH10" s="158"/>
      <c r="QFI10" s="158"/>
      <c r="QFJ10" s="158"/>
      <c r="QFK10" s="158"/>
      <c r="QFL10" s="158"/>
      <c r="QFM10" s="158"/>
      <c r="QFN10" s="158"/>
      <c r="QFO10" s="158"/>
      <c r="QFP10" s="158"/>
      <c r="QFQ10" s="158"/>
      <c r="QFR10" s="158"/>
      <c r="QFS10" s="158"/>
      <c r="QFT10" s="158"/>
      <c r="QFU10" s="158"/>
      <c r="QFV10" s="158"/>
      <c r="QFW10" s="158"/>
      <c r="QFX10" s="158"/>
      <c r="QFY10" s="158"/>
      <c r="QFZ10" s="158"/>
      <c r="QGA10" s="158"/>
      <c r="QGB10" s="158"/>
      <c r="QGC10" s="158"/>
      <c r="QGD10" s="158"/>
      <c r="QGE10" s="158"/>
      <c r="QGF10" s="158"/>
      <c r="QGG10" s="158"/>
      <c r="QGH10" s="158"/>
      <c r="QGI10" s="158"/>
      <c r="QGJ10" s="158"/>
      <c r="QGK10" s="158"/>
      <c r="QGL10" s="158"/>
      <c r="QGM10" s="158"/>
      <c r="QGN10" s="158"/>
      <c r="QGO10" s="158"/>
      <c r="QGP10" s="158"/>
      <c r="QGQ10" s="158"/>
      <c r="QGR10" s="158"/>
      <c r="QGS10" s="158"/>
      <c r="QGT10" s="158"/>
      <c r="QGU10" s="158"/>
      <c r="QGV10" s="158"/>
      <c r="QGW10" s="158"/>
      <c r="QGX10" s="158"/>
      <c r="QGY10" s="158"/>
      <c r="QGZ10" s="158"/>
      <c r="QHA10" s="158"/>
      <c r="QHB10" s="158"/>
      <c r="QHC10" s="158"/>
      <c r="QHD10" s="158"/>
      <c r="QHE10" s="158"/>
      <c r="QHF10" s="158"/>
      <c r="QHG10" s="158"/>
      <c r="QHH10" s="158"/>
      <c r="QHI10" s="158"/>
      <c r="QHJ10" s="158"/>
      <c r="QHK10" s="158"/>
      <c r="QHL10" s="158"/>
      <c r="QHM10" s="158"/>
      <c r="QHN10" s="158"/>
      <c r="QHO10" s="158"/>
      <c r="QHP10" s="158"/>
      <c r="QHQ10" s="158"/>
      <c r="QHR10" s="158"/>
      <c r="QHS10" s="158"/>
      <c r="QHT10" s="158"/>
      <c r="QHU10" s="158"/>
      <c r="QHV10" s="158"/>
      <c r="QHW10" s="158"/>
      <c r="QHX10" s="158"/>
      <c r="QHY10" s="158"/>
      <c r="QHZ10" s="158"/>
      <c r="QIA10" s="158"/>
      <c r="QIB10" s="158"/>
      <c r="QIC10" s="158"/>
      <c r="QID10" s="158"/>
      <c r="QIE10" s="158"/>
      <c r="QIF10" s="158"/>
      <c r="QIG10" s="158"/>
      <c r="QIH10" s="158"/>
      <c r="QII10" s="158"/>
      <c r="QIJ10" s="158"/>
      <c r="QIK10" s="158"/>
      <c r="QIL10" s="158"/>
      <c r="QIM10" s="158"/>
      <c r="QIN10" s="158"/>
      <c r="QIO10" s="158"/>
      <c r="QIP10" s="158"/>
      <c r="QIQ10" s="158"/>
      <c r="QIR10" s="158"/>
      <c r="QIS10" s="158"/>
      <c r="QIT10" s="158"/>
      <c r="QIU10" s="158"/>
      <c r="QIV10" s="158"/>
      <c r="QIW10" s="158"/>
      <c r="QIX10" s="158"/>
      <c r="QIY10" s="158"/>
      <c r="QIZ10" s="158"/>
      <c r="QJA10" s="158"/>
      <c r="QJB10" s="158"/>
      <c r="QJC10" s="158"/>
      <c r="QJD10" s="158"/>
      <c r="QJE10" s="158"/>
      <c r="QJF10" s="158"/>
      <c r="QJG10" s="158"/>
      <c r="QJH10" s="158"/>
      <c r="QJI10" s="158"/>
      <c r="QJJ10" s="158"/>
      <c r="QJK10" s="158"/>
      <c r="QJL10" s="158"/>
      <c r="QJM10" s="158"/>
      <c r="QJN10" s="158"/>
      <c r="QJO10" s="158"/>
      <c r="QJP10" s="158"/>
      <c r="QJQ10" s="158"/>
      <c r="QJR10" s="158"/>
      <c r="QJS10" s="158"/>
      <c r="QJT10" s="158"/>
      <c r="QJU10" s="158"/>
      <c r="QJV10" s="158"/>
      <c r="QJW10" s="158"/>
      <c r="QJX10" s="158"/>
      <c r="QJY10" s="158"/>
      <c r="QJZ10" s="158"/>
      <c r="QKA10" s="158"/>
      <c r="QKB10" s="158"/>
      <c r="QKC10" s="158"/>
      <c r="QKD10" s="158"/>
      <c r="QKE10" s="158"/>
      <c r="QKF10" s="158"/>
      <c r="QKG10" s="158"/>
      <c r="QKH10" s="158"/>
      <c r="QKI10" s="158"/>
      <c r="QKJ10" s="158"/>
      <c r="QKK10" s="158"/>
      <c r="QKL10" s="158"/>
      <c r="QKM10" s="158"/>
      <c r="QKN10" s="158"/>
      <c r="QKO10" s="158"/>
      <c r="QKP10" s="158"/>
      <c r="QKQ10" s="158"/>
      <c r="QKR10" s="158"/>
      <c r="QKS10" s="158"/>
      <c r="QKT10" s="158"/>
      <c r="QKU10" s="158"/>
      <c r="QKV10" s="158"/>
      <c r="QKW10" s="158"/>
      <c r="QKX10" s="158"/>
      <c r="QKY10" s="158"/>
      <c r="QKZ10" s="158"/>
      <c r="QLA10" s="158"/>
      <c r="QLB10" s="158"/>
      <c r="QLC10" s="158"/>
      <c r="QLD10" s="158"/>
      <c r="QLE10" s="158"/>
      <c r="QLF10" s="158"/>
      <c r="QLG10" s="158"/>
      <c r="QLH10" s="158"/>
      <c r="QLI10" s="158"/>
      <c r="QLJ10" s="158"/>
      <c r="QLK10" s="158"/>
      <c r="QLL10" s="158"/>
      <c r="QLM10" s="158"/>
      <c r="QLN10" s="158"/>
      <c r="QLO10" s="158"/>
      <c r="QLP10" s="158"/>
      <c r="QLQ10" s="158"/>
      <c r="QLR10" s="158"/>
      <c r="QLS10" s="158"/>
      <c r="QLT10" s="158"/>
      <c r="QLU10" s="158"/>
      <c r="QLV10" s="158"/>
      <c r="QLW10" s="158"/>
      <c r="QLX10" s="158"/>
      <c r="QLY10" s="158"/>
      <c r="QLZ10" s="158"/>
      <c r="QMA10" s="158"/>
      <c r="QMB10" s="158"/>
      <c r="QMC10" s="158"/>
      <c r="QMD10" s="158"/>
      <c r="QME10" s="158"/>
      <c r="QMF10" s="158"/>
      <c r="QMG10" s="158"/>
      <c r="QMH10" s="158"/>
      <c r="QMI10" s="158"/>
      <c r="QMJ10" s="158"/>
      <c r="QMK10" s="158"/>
      <c r="QML10" s="158"/>
      <c r="QMM10" s="158"/>
      <c r="QMN10" s="158"/>
      <c r="QMO10" s="158"/>
      <c r="QMP10" s="158"/>
      <c r="QMQ10" s="158"/>
      <c r="QMR10" s="158"/>
      <c r="QMS10" s="158"/>
      <c r="QMT10" s="158"/>
      <c r="QMU10" s="158"/>
      <c r="QMV10" s="158"/>
      <c r="QMW10" s="158"/>
      <c r="QMX10" s="158"/>
      <c r="QMY10" s="158"/>
      <c r="QMZ10" s="158"/>
      <c r="QNA10" s="158"/>
      <c r="QNB10" s="158"/>
      <c r="QNC10" s="158"/>
      <c r="QND10" s="158"/>
      <c r="QNE10" s="158"/>
      <c r="QNF10" s="158"/>
      <c r="QNG10" s="158"/>
      <c r="QNH10" s="158"/>
      <c r="QNI10" s="158"/>
      <c r="QNJ10" s="158"/>
      <c r="QNK10" s="158"/>
      <c r="QNL10" s="158"/>
      <c r="QNM10" s="158"/>
      <c r="QNN10" s="158"/>
      <c r="QNO10" s="158"/>
      <c r="QNP10" s="158"/>
      <c r="QNQ10" s="158"/>
      <c r="QNR10" s="158"/>
      <c r="QNS10" s="158"/>
      <c r="QNT10" s="158"/>
      <c r="QNU10" s="158"/>
      <c r="QNV10" s="158"/>
      <c r="QNW10" s="158"/>
      <c r="QNX10" s="158"/>
      <c r="QNY10" s="158"/>
      <c r="QNZ10" s="158"/>
      <c r="QOA10" s="158"/>
      <c r="QOB10" s="158"/>
      <c r="QOC10" s="158"/>
      <c r="QOD10" s="158"/>
      <c r="QOE10" s="158"/>
      <c r="QOF10" s="158"/>
      <c r="QOG10" s="158"/>
      <c r="QOH10" s="158"/>
      <c r="QOI10" s="158"/>
      <c r="QOJ10" s="158"/>
      <c r="QOK10" s="158"/>
      <c r="QOL10" s="158"/>
      <c r="QOM10" s="158"/>
      <c r="QON10" s="158"/>
      <c r="QOO10" s="158"/>
      <c r="QOP10" s="158"/>
      <c r="QOQ10" s="158"/>
      <c r="QOR10" s="158"/>
      <c r="QOS10" s="158"/>
      <c r="QOT10" s="158"/>
      <c r="QOU10" s="158"/>
      <c r="QOV10" s="158"/>
      <c r="QOW10" s="158"/>
      <c r="QOX10" s="158"/>
      <c r="QOY10" s="158"/>
      <c r="QOZ10" s="158"/>
      <c r="QPA10" s="158"/>
      <c r="QPB10" s="158"/>
      <c r="QPC10" s="158"/>
      <c r="QPD10" s="158"/>
      <c r="QPE10" s="158"/>
      <c r="QPF10" s="158"/>
      <c r="QPG10" s="158"/>
      <c r="QPH10" s="158"/>
      <c r="QPI10" s="158"/>
      <c r="QPJ10" s="158"/>
      <c r="QPK10" s="158"/>
      <c r="QPL10" s="158"/>
      <c r="QPM10" s="158"/>
      <c r="QPN10" s="158"/>
      <c r="QPO10" s="158"/>
      <c r="QPP10" s="158"/>
      <c r="QPQ10" s="158"/>
      <c r="QPR10" s="158"/>
      <c r="QPS10" s="158"/>
      <c r="QPT10" s="158"/>
      <c r="QPU10" s="158"/>
      <c r="QPV10" s="158"/>
      <c r="QPW10" s="158"/>
      <c r="QPX10" s="158"/>
      <c r="QPY10" s="158"/>
      <c r="QPZ10" s="158"/>
      <c r="QQA10" s="158"/>
      <c r="QQB10" s="158"/>
      <c r="QQC10" s="158"/>
      <c r="QQD10" s="158"/>
      <c r="QQE10" s="158"/>
      <c r="QQF10" s="158"/>
      <c r="QQG10" s="158"/>
      <c r="QQH10" s="158"/>
      <c r="QQI10" s="158"/>
      <c r="QQJ10" s="158"/>
      <c r="QQK10" s="158"/>
      <c r="QQL10" s="158"/>
      <c r="QQM10" s="158"/>
      <c r="QQN10" s="158"/>
      <c r="QQO10" s="158"/>
      <c r="QQP10" s="158"/>
      <c r="QQQ10" s="158"/>
      <c r="QQR10" s="158"/>
      <c r="QQS10" s="158"/>
      <c r="QQT10" s="158"/>
      <c r="QQU10" s="158"/>
      <c r="QQV10" s="158"/>
      <c r="QQW10" s="158"/>
      <c r="QQX10" s="158"/>
      <c r="QQY10" s="158"/>
      <c r="QQZ10" s="158"/>
      <c r="QRA10" s="158"/>
      <c r="QRB10" s="158"/>
      <c r="QRC10" s="158"/>
      <c r="QRD10" s="158"/>
      <c r="QRE10" s="158"/>
      <c r="QRF10" s="158"/>
      <c r="QRG10" s="158"/>
      <c r="QRH10" s="158"/>
      <c r="QRI10" s="158"/>
      <c r="QRJ10" s="158"/>
      <c r="QRK10" s="158"/>
      <c r="QRL10" s="158"/>
      <c r="QRM10" s="158"/>
      <c r="QRN10" s="158"/>
      <c r="QRO10" s="158"/>
      <c r="QRP10" s="158"/>
      <c r="QRQ10" s="158"/>
      <c r="QRR10" s="158"/>
      <c r="QRS10" s="158"/>
      <c r="QRT10" s="158"/>
      <c r="QRU10" s="158"/>
      <c r="QRV10" s="158"/>
      <c r="QRW10" s="158"/>
      <c r="QRX10" s="158"/>
      <c r="QRY10" s="158"/>
      <c r="QRZ10" s="158"/>
      <c r="QSA10" s="158"/>
      <c r="QSB10" s="158"/>
      <c r="QSC10" s="158"/>
      <c r="QSD10" s="158"/>
      <c r="QSE10" s="158"/>
      <c r="QSF10" s="158"/>
      <c r="QSG10" s="158"/>
      <c r="QSH10" s="158"/>
      <c r="QSI10" s="158"/>
      <c r="QSJ10" s="158"/>
      <c r="QSK10" s="158"/>
      <c r="QSL10" s="158"/>
      <c r="QSM10" s="158"/>
      <c r="QSN10" s="158"/>
      <c r="QSO10" s="158"/>
      <c r="QSP10" s="158"/>
      <c r="QSQ10" s="158"/>
      <c r="QSR10" s="158"/>
      <c r="QSS10" s="158"/>
      <c r="QST10" s="158"/>
      <c r="QSU10" s="158"/>
      <c r="QSV10" s="158"/>
      <c r="QSW10" s="158"/>
      <c r="QSX10" s="158"/>
      <c r="QSY10" s="158"/>
      <c r="QSZ10" s="158"/>
      <c r="QTA10" s="158"/>
      <c r="QTB10" s="158"/>
      <c r="QTC10" s="158"/>
      <c r="QTD10" s="158"/>
      <c r="QTE10" s="158"/>
      <c r="QTF10" s="158"/>
      <c r="QTG10" s="158"/>
      <c r="QTH10" s="158"/>
      <c r="QTI10" s="158"/>
      <c r="QTJ10" s="158"/>
      <c r="QTK10" s="158"/>
      <c r="QTL10" s="158"/>
      <c r="QTM10" s="158"/>
      <c r="QTN10" s="158"/>
      <c r="QTO10" s="158"/>
      <c r="QTP10" s="158"/>
      <c r="QTQ10" s="158"/>
      <c r="QTR10" s="158"/>
      <c r="QTS10" s="158"/>
      <c r="QTT10" s="158"/>
      <c r="QTU10" s="158"/>
      <c r="QTV10" s="158"/>
      <c r="QTW10" s="158"/>
      <c r="QTX10" s="158"/>
      <c r="QTY10" s="158"/>
      <c r="QTZ10" s="158"/>
      <c r="QUA10" s="158"/>
      <c r="QUB10" s="158"/>
      <c r="QUC10" s="158"/>
      <c r="QUD10" s="158"/>
      <c r="QUE10" s="158"/>
      <c r="QUF10" s="158"/>
      <c r="QUG10" s="158"/>
      <c r="QUH10" s="158"/>
      <c r="QUI10" s="158"/>
      <c r="QUJ10" s="158"/>
      <c r="QUK10" s="158"/>
      <c r="QUL10" s="158"/>
      <c r="QUM10" s="158"/>
      <c r="QUN10" s="158"/>
      <c r="QUO10" s="158"/>
      <c r="QUP10" s="158"/>
      <c r="QUQ10" s="158"/>
      <c r="QUR10" s="158"/>
      <c r="QUS10" s="158"/>
      <c r="QUT10" s="158"/>
      <c r="QUU10" s="158"/>
      <c r="QUV10" s="158"/>
      <c r="QUW10" s="158"/>
      <c r="QUX10" s="158"/>
      <c r="QUY10" s="158"/>
      <c r="QUZ10" s="158"/>
      <c r="QVA10" s="158"/>
      <c r="QVB10" s="158"/>
      <c r="QVC10" s="158"/>
      <c r="QVD10" s="158"/>
      <c r="QVE10" s="158"/>
      <c r="QVF10" s="158"/>
      <c r="QVG10" s="158"/>
      <c r="QVH10" s="158"/>
      <c r="QVI10" s="158"/>
      <c r="QVJ10" s="158"/>
      <c r="QVK10" s="158"/>
      <c r="QVL10" s="158"/>
      <c r="QVM10" s="158"/>
      <c r="QVN10" s="158"/>
      <c r="QVO10" s="158"/>
      <c r="QVP10" s="158"/>
      <c r="QVQ10" s="158"/>
      <c r="QVR10" s="158"/>
      <c r="QVS10" s="158"/>
      <c r="QVT10" s="158"/>
      <c r="QVU10" s="158"/>
      <c r="QVV10" s="158"/>
      <c r="QVW10" s="158"/>
      <c r="QVX10" s="158"/>
      <c r="QVY10" s="158"/>
      <c r="QVZ10" s="158"/>
      <c r="QWA10" s="158"/>
      <c r="QWB10" s="158"/>
      <c r="QWC10" s="158"/>
      <c r="QWD10" s="158"/>
      <c r="QWE10" s="158"/>
      <c r="QWF10" s="158"/>
      <c r="QWG10" s="158"/>
      <c r="QWH10" s="158"/>
      <c r="QWI10" s="158"/>
      <c r="QWJ10" s="158"/>
      <c r="QWK10" s="158"/>
      <c r="QWL10" s="158"/>
      <c r="QWM10" s="158"/>
      <c r="QWN10" s="158"/>
      <c r="QWO10" s="158"/>
      <c r="QWP10" s="158"/>
      <c r="QWQ10" s="158"/>
      <c r="QWR10" s="158"/>
      <c r="QWS10" s="158"/>
      <c r="QWT10" s="158"/>
      <c r="QWU10" s="158"/>
      <c r="QWV10" s="158"/>
      <c r="QWW10" s="158"/>
      <c r="QWX10" s="158"/>
      <c r="QWY10" s="158"/>
      <c r="QWZ10" s="158"/>
      <c r="QXA10" s="158"/>
      <c r="QXB10" s="158"/>
      <c r="QXC10" s="158"/>
      <c r="QXD10" s="158"/>
      <c r="QXE10" s="158"/>
      <c r="QXF10" s="158"/>
      <c r="QXG10" s="158"/>
      <c r="QXH10" s="158"/>
      <c r="QXI10" s="158"/>
      <c r="QXJ10" s="158"/>
      <c r="QXK10" s="158"/>
      <c r="QXL10" s="158"/>
      <c r="QXM10" s="158"/>
      <c r="QXN10" s="158"/>
      <c r="QXO10" s="158"/>
      <c r="QXP10" s="158"/>
      <c r="QXQ10" s="158"/>
      <c r="QXR10" s="158"/>
      <c r="QXS10" s="158"/>
      <c r="QXT10" s="158"/>
      <c r="QXU10" s="158"/>
      <c r="QXV10" s="158"/>
      <c r="QXW10" s="158"/>
      <c r="QXX10" s="158"/>
      <c r="QXY10" s="158"/>
      <c r="QXZ10" s="158"/>
      <c r="QYA10" s="158"/>
      <c r="QYB10" s="158"/>
      <c r="QYC10" s="158"/>
      <c r="QYD10" s="158"/>
      <c r="QYE10" s="158"/>
      <c r="QYF10" s="158"/>
      <c r="QYG10" s="158"/>
      <c r="QYH10" s="158"/>
      <c r="QYI10" s="158"/>
      <c r="QYJ10" s="158"/>
      <c r="QYK10" s="158"/>
      <c r="QYL10" s="158"/>
      <c r="QYM10" s="158"/>
      <c r="QYN10" s="158"/>
      <c r="QYO10" s="158"/>
      <c r="QYP10" s="158"/>
      <c r="QYQ10" s="158"/>
      <c r="QYR10" s="158"/>
      <c r="QYS10" s="158"/>
      <c r="QYT10" s="158"/>
      <c r="QYU10" s="158"/>
      <c r="QYV10" s="158"/>
      <c r="QYW10" s="158"/>
      <c r="QYX10" s="158"/>
      <c r="QYY10" s="158"/>
      <c r="QYZ10" s="158"/>
      <c r="QZA10" s="158"/>
      <c r="QZB10" s="158"/>
      <c r="QZC10" s="158"/>
      <c r="QZD10" s="158"/>
      <c r="QZE10" s="158"/>
      <c r="QZF10" s="158"/>
      <c r="QZG10" s="158"/>
      <c r="QZH10" s="158"/>
      <c r="QZI10" s="158"/>
      <c r="QZJ10" s="158"/>
      <c r="QZK10" s="158"/>
      <c r="QZL10" s="158"/>
      <c r="QZM10" s="158"/>
      <c r="QZN10" s="158"/>
      <c r="QZO10" s="158"/>
      <c r="QZP10" s="158"/>
      <c r="QZQ10" s="158"/>
      <c r="QZR10" s="158"/>
      <c r="QZS10" s="158"/>
      <c r="QZT10" s="158"/>
      <c r="QZU10" s="158"/>
      <c r="QZV10" s="158"/>
      <c r="QZW10" s="158"/>
      <c r="QZX10" s="158"/>
      <c r="QZY10" s="158"/>
      <c r="QZZ10" s="158"/>
      <c r="RAA10" s="158"/>
      <c r="RAB10" s="158"/>
      <c r="RAC10" s="158"/>
      <c r="RAD10" s="158"/>
      <c r="RAE10" s="158"/>
      <c r="RAF10" s="158"/>
      <c r="RAG10" s="158"/>
      <c r="RAH10" s="158"/>
      <c r="RAI10" s="158"/>
      <c r="RAJ10" s="158"/>
      <c r="RAK10" s="158"/>
      <c r="RAL10" s="158"/>
      <c r="RAM10" s="158"/>
      <c r="RAN10" s="158"/>
      <c r="RAO10" s="158"/>
      <c r="RAP10" s="158"/>
      <c r="RAQ10" s="158"/>
      <c r="RAR10" s="158"/>
      <c r="RAS10" s="158"/>
      <c r="RAT10" s="158"/>
      <c r="RAU10" s="158"/>
      <c r="RAV10" s="158"/>
      <c r="RAW10" s="158"/>
      <c r="RAX10" s="158"/>
      <c r="RAY10" s="158"/>
      <c r="RAZ10" s="158"/>
      <c r="RBA10" s="158"/>
      <c r="RBB10" s="158"/>
      <c r="RBC10" s="158"/>
      <c r="RBD10" s="158"/>
      <c r="RBE10" s="158"/>
      <c r="RBF10" s="158"/>
      <c r="RBG10" s="158"/>
      <c r="RBH10" s="158"/>
      <c r="RBI10" s="158"/>
      <c r="RBJ10" s="158"/>
      <c r="RBK10" s="158"/>
      <c r="RBL10" s="158"/>
      <c r="RBM10" s="158"/>
      <c r="RBN10" s="158"/>
      <c r="RBO10" s="158"/>
      <c r="RBP10" s="158"/>
      <c r="RBQ10" s="158"/>
      <c r="RBR10" s="158"/>
      <c r="RBS10" s="158"/>
      <c r="RBT10" s="158"/>
      <c r="RBU10" s="158"/>
      <c r="RBV10" s="158"/>
      <c r="RBW10" s="158"/>
      <c r="RBX10" s="158"/>
      <c r="RBY10" s="158"/>
      <c r="RBZ10" s="158"/>
      <c r="RCA10" s="158"/>
      <c r="RCB10" s="158"/>
      <c r="RCC10" s="158"/>
      <c r="RCD10" s="158"/>
      <c r="RCE10" s="158"/>
      <c r="RCF10" s="158"/>
      <c r="RCG10" s="158"/>
      <c r="RCH10" s="158"/>
      <c r="RCI10" s="158"/>
      <c r="RCJ10" s="158"/>
      <c r="RCK10" s="158"/>
      <c r="RCL10" s="158"/>
      <c r="RCM10" s="158"/>
      <c r="RCN10" s="158"/>
      <c r="RCO10" s="158"/>
      <c r="RCP10" s="158"/>
      <c r="RCQ10" s="158"/>
      <c r="RCR10" s="158"/>
      <c r="RCS10" s="158"/>
      <c r="RCT10" s="158"/>
      <c r="RCU10" s="158"/>
      <c r="RCV10" s="158"/>
      <c r="RCW10" s="158"/>
      <c r="RCX10" s="158"/>
      <c r="RCY10" s="158"/>
      <c r="RCZ10" s="158"/>
      <c r="RDA10" s="158"/>
      <c r="RDB10" s="158"/>
      <c r="RDC10" s="158"/>
      <c r="RDD10" s="158"/>
      <c r="RDE10" s="158"/>
      <c r="RDF10" s="158"/>
      <c r="RDG10" s="158"/>
      <c r="RDH10" s="158"/>
      <c r="RDI10" s="158"/>
      <c r="RDJ10" s="158"/>
      <c r="RDK10" s="158"/>
      <c r="RDL10" s="158"/>
      <c r="RDM10" s="158"/>
      <c r="RDN10" s="158"/>
      <c r="RDO10" s="158"/>
      <c r="RDP10" s="158"/>
      <c r="RDQ10" s="158"/>
      <c r="RDR10" s="158"/>
      <c r="RDS10" s="158"/>
      <c r="RDT10" s="158"/>
      <c r="RDU10" s="158"/>
      <c r="RDV10" s="158"/>
      <c r="RDW10" s="158"/>
      <c r="RDX10" s="158"/>
      <c r="RDY10" s="158"/>
      <c r="RDZ10" s="158"/>
      <c r="REA10" s="158"/>
      <c r="REB10" s="158"/>
      <c r="REC10" s="158"/>
      <c r="RED10" s="158"/>
      <c r="REE10" s="158"/>
      <c r="REF10" s="158"/>
      <c r="REG10" s="158"/>
      <c r="REH10" s="158"/>
      <c r="REI10" s="158"/>
      <c r="REJ10" s="158"/>
      <c r="REK10" s="158"/>
      <c r="REL10" s="158"/>
      <c r="REM10" s="158"/>
      <c r="REN10" s="158"/>
      <c r="REO10" s="158"/>
      <c r="REP10" s="158"/>
      <c r="REQ10" s="158"/>
      <c r="RER10" s="158"/>
      <c r="RES10" s="158"/>
      <c r="RET10" s="158"/>
      <c r="REU10" s="158"/>
      <c r="REV10" s="158"/>
      <c r="REW10" s="158"/>
      <c r="REX10" s="158"/>
      <c r="REY10" s="158"/>
      <c r="REZ10" s="158"/>
      <c r="RFA10" s="158"/>
      <c r="RFB10" s="158"/>
      <c r="RFC10" s="158"/>
      <c r="RFD10" s="158"/>
      <c r="RFE10" s="158"/>
      <c r="RFF10" s="158"/>
      <c r="RFG10" s="158"/>
      <c r="RFH10" s="158"/>
      <c r="RFI10" s="158"/>
      <c r="RFJ10" s="158"/>
      <c r="RFK10" s="158"/>
      <c r="RFL10" s="158"/>
      <c r="RFM10" s="158"/>
      <c r="RFN10" s="158"/>
      <c r="RFO10" s="158"/>
      <c r="RFP10" s="158"/>
      <c r="RFQ10" s="158"/>
      <c r="RFR10" s="158"/>
      <c r="RFS10" s="158"/>
      <c r="RFT10" s="158"/>
      <c r="RFU10" s="158"/>
      <c r="RFV10" s="158"/>
      <c r="RFW10" s="158"/>
      <c r="RFX10" s="158"/>
      <c r="RFY10" s="158"/>
      <c r="RFZ10" s="158"/>
      <c r="RGA10" s="158"/>
      <c r="RGB10" s="158"/>
      <c r="RGC10" s="158"/>
      <c r="RGD10" s="158"/>
      <c r="RGE10" s="158"/>
      <c r="RGF10" s="158"/>
      <c r="RGG10" s="158"/>
      <c r="RGH10" s="158"/>
      <c r="RGI10" s="158"/>
      <c r="RGJ10" s="158"/>
      <c r="RGK10" s="158"/>
      <c r="RGL10" s="158"/>
      <c r="RGM10" s="158"/>
      <c r="RGN10" s="158"/>
      <c r="RGO10" s="158"/>
      <c r="RGP10" s="158"/>
      <c r="RGQ10" s="158"/>
      <c r="RGR10" s="158"/>
      <c r="RGS10" s="158"/>
      <c r="RGT10" s="158"/>
      <c r="RGU10" s="158"/>
      <c r="RGV10" s="158"/>
      <c r="RGW10" s="158"/>
      <c r="RGX10" s="158"/>
      <c r="RGY10" s="158"/>
      <c r="RGZ10" s="158"/>
      <c r="RHA10" s="158"/>
      <c r="RHB10" s="158"/>
      <c r="RHC10" s="158"/>
      <c r="RHD10" s="158"/>
      <c r="RHE10" s="158"/>
      <c r="RHF10" s="158"/>
      <c r="RHG10" s="158"/>
      <c r="RHH10" s="158"/>
      <c r="RHI10" s="158"/>
      <c r="RHJ10" s="158"/>
      <c r="RHK10" s="158"/>
      <c r="RHL10" s="158"/>
      <c r="RHM10" s="158"/>
      <c r="RHN10" s="158"/>
      <c r="RHO10" s="158"/>
      <c r="RHP10" s="158"/>
      <c r="RHQ10" s="158"/>
      <c r="RHR10" s="158"/>
      <c r="RHS10" s="158"/>
      <c r="RHT10" s="158"/>
      <c r="RHU10" s="158"/>
      <c r="RHV10" s="158"/>
      <c r="RHW10" s="158"/>
      <c r="RHX10" s="158"/>
      <c r="RHY10" s="158"/>
      <c r="RHZ10" s="158"/>
      <c r="RIA10" s="158"/>
      <c r="RIB10" s="158"/>
      <c r="RIC10" s="158"/>
      <c r="RID10" s="158"/>
      <c r="RIE10" s="158"/>
      <c r="RIF10" s="158"/>
      <c r="RIG10" s="158"/>
      <c r="RIH10" s="158"/>
      <c r="RII10" s="158"/>
      <c r="RIJ10" s="158"/>
      <c r="RIK10" s="158"/>
      <c r="RIL10" s="158"/>
      <c r="RIM10" s="158"/>
      <c r="RIN10" s="158"/>
      <c r="RIO10" s="158"/>
      <c r="RIP10" s="158"/>
      <c r="RIQ10" s="158"/>
      <c r="RIR10" s="158"/>
      <c r="RIS10" s="158"/>
      <c r="RIT10" s="158"/>
      <c r="RIU10" s="158"/>
      <c r="RIV10" s="158"/>
      <c r="RIW10" s="158"/>
      <c r="RIX10" s="158"/>
      <c r="RIY10" s="158"/>
      <c r="RIZ10" s="158"/>
      <c r="RJA10" s="158"/>
      <c r="RJB10" s="158"/>
      <c r="RJC10" s="158"/>
      <c r="RJD10" s="158"/>
      <c r="RJE10" s="158"/>
      <c r="RJF10" s="158"/>
      <c r="RJG10" s="158"/>
      <c r="RJH10" s="158"/>
      <c r="RJI10" s="158"/>
      <c r="RJJ10" s="158"/>
      <c r="RJK10" s="158"/>
      <c r="RJL10" s="158"/>
      <c r="RJM10" s="158"/>
      <c r="RJN10" s="158"/>
      <c r="RJO10" s="158"/>
      <c r="RJP10" s="158"/>
      <c r="RJQ10" s="158"/>
      <c r="RJR10" s="158"/>
      <c r="RJS10" s="158"/>
      <c r="RJT10" s="158"/>
      <c r="RJU10" s="158"/>
      <c r="RJV10" s="158"/>
      <c r="RJW10" s="158"/>
      <c r="RJX10" s="158"/>
      <c r="RJY10" s="158"/>
      <c r="RJZ10" s="158"/>
      <c r="RKA10" s="158"/>
      <c r="RKB10" s="158"/>
      <c r="RKC10" s="158"/>
      <c r="RKD10" s="158"/>
      <c r="RKE10" s="158"/>
      <c r="RKF10" s="158"/>
      <c r="RKG10" s="158"/>
      <c r="RKH10" s="158"/>
      <c r="RKI10" s="158"/>
      <c r="RKJ10" s="158"/>
      <c r="RKK10" s="158"/>
      <c r="RKL10" s="158"/>
      <c r="RKM10" s="158"/>
      <c r="RKN10" s="158"/>
      <c r="RKO10" s="158"/>
      <c r="RKP10" s="158"/>
      <c r="RKQ10" s="158"/>
      <c r="RKR10" s="158"/>
      <c r="RKS10" s="158"/>
      <c r="RKT10" s="158"/>
      <c r="RKU10" s="158"/>
      <c r="RKV10" s="158"/>
      <c r="RKW10" s="158"/>
      <c r="RKX10" s="158"/>
      <c r="RKY10" s="158"/>
      <c r="RKZ10" s="158"/>
      <c r="RLA10" s="158"/>
      <c r="RLB10" s="158"/>
      <c r="RLC10" s="158"/>
      <c r="RLD10" s="158"/>
      <c r="RLE10" s="158"/>
      <c r="RLF10" s="158"/>
      <c r="RLG10" s="158"/>
      <c r="RLH10" s="158"/>
      <c r="RLI10" s="158"/>
      <c r="RLJ10" s="158"/>
      <c r="RLK10" s="158"/>
      <c r="RLL10" s="158"/>
      <c r="RLM10" s="158"/>
      <c r="RLN10" s="158"/>
      <c r="RLO10" s="158"/>
      <c r="RLP10" s="158"/>
      <c r="RLQ10" s="158"/>
      <c r="RLR10" s="158"/>
      <c r="RLS10" s="158"/>
      <c r="RLT10" s="158"/>
      <c r="RLU10" s="158"/>
      <c r="RLV10" s="158"/>
      <c r="RLW10" s="158"/>
      <c r="RLX10" s="158"/>
      <c r="RLY10" s="158"/>
      <c r="RLZ10" s="158"/>
      <c r="RMA10" s="158"/>
      <c r="RMB10" s="158"/>
      <c r="RMC10" s="158"/>
      <c r="RMD10" s="158"/>
      <c r="RME10" s="158"/>
      <c r="RMF10" s="158"/>
      <c r="RMG10" s="158"/>
      <c r="RMH10" s="158"/>
      <c r="RMI10" s="158"/>
      <c r="RMJ10" s="158"/>
      <c r="RMK10" s="158"/>
      <c r="RML10" s="158"/>
      <c r="RMM10" s="158"/>
      <c r="RMN10" s="158"/>
      <c r="RMO10" s="158"/>
      <c r="RMP10" s="158"/>
      <c r="RMQ10" s="158"/>
      <c r="RMR10" s="158"/>
      <c r="RMS10" s="158"/>
      <c r="RMT10" s="158"/>
      <c r="RMU10" s="158"/>
      <c r="RMV10" s="158"/>
      <c r="RMW10" s="158"/>
      <c r="RMX10" s="158"/>
      <c r="RMY10" s="158"/>
      <c r="RMZ10" s="158"/>
      <c r="RNA10" s="158"/>
      <c r="RNB10" s="158"/>
      <c r="RNC10" s="158"/>
      <c r="RND10" s="158"/>
      <c r="RNE10" s="158"/>
      <c r="RNF10" s="158"/>
      <c r="RNG10" s="158"/>
      <c r="RNH10" s="158"/>
      <c r="RNI10" s="158"/>
      <c r="RNJ10" s="158"/>
      <c r="RNK10" s="158"/>
      <c r="RNL10" s="158"/>
      <c r="RNM10" s="158"/>
      <c r="RNN10" s="158"/>
      <c r="RNO10" s="158"/>
      <c r="RNP10" s="158"/>
      <c r="RNQ10" s="158"/>
      <c r="RNR10" s="158"/>
      <c r="RNS10" s="158"/>
      <c r="RNT10" s="158"/>
      <c r="RNU10" s="158"/>
      <c r="RNV10" s="158"/>
      <c r="RNW10" s="158"/>
      <c r="RNX10" s="158"/>
      <c r="RNY10" s="158"/>
      <c r="RNZ10" s="158"/>
      <c r="ROA10" s="158"/>
      <c r="ROB10" s="158"/>
      <c r="ROC10" s="158"/>
      <c r="ROD10" s="158"/>
      <c r="ROE10" s="158"/>
      <c r="ROF10" s="158"/>
      <c r="ROG10" s="158"/>
      <c r="ROH10" s="158"/>
      <c r="ROI10" s="158"/>
      <c r="ROJ10" s="158"/>
      <c r="ROK10" s="158"/>
      <c r="ROL10" s="158"/>
      <c r="ROM10" s="158"/>
      <c r="RON10" s="158"/>
      <c r="ROO10" s="158"/>
      <c r="ROP10" s="158"/>
      <c r="ROQ10" s="158"/>
      <c r="ROR10" s="158"/>
      <c r="ROS10" s="158"/>
      <c r="ROT10" s="158"/>
      <c r="ROU10" s="158"/>
      <c r="ROV10" s="158"/>
      <c r="ROW10" s="158"/>
      <c r="ROX10" s="158"/>
      <c r="ROY10" s="158"/>
      <c r="ROZ10" s="158"/>
      <c r="RPA10" s="158"/>
      <c r="RPB10" s="158"/>
      <c r="RPC10" s="158"/>
      <c r="RPD10" s="158"/>
      <c r="RPE10" s="158"/>
      <c r="RPF10" s="158"/>
      <c r="RPG10" s="158"/>
      <c r="RPH10" s="158"/>
      <c r="RPI10" s="158"/>
      <c r="RPJ10" s="158"/>
      <c r="RPK10" s="158"/>
      <c r="RPL10" s="158"/>
      <c r="RPM10" s="158"/>
      <c r="RPN10" s="158"/>
      <c r="RPO10" s="158"/>
      <c r="RPP10" s="158"/>
      <c r="RPQ10" s="158"/>
      <c r="RPR10" s="158"/>
      <c r="RPS10" s="158"/>
      <c r="RPT10" s="158"/>
      <c r="RPU10" s="158"/>
      <c r="RPV10" s="158"/>
      <c r="RPW10" s="158"/>
      <c r="RPX10" s="158"/>
      <c r="RPY10" s="158"/>
      <c r="RPZ10" s="158"/>
      <c r="RQA10" s="158"/>
      <c r="RQB10" s="158"/>
      <c r="RQC10" s="158"/>
      <c r="RQD10" s="158"/>
      <c r="RQE10" s="158"/>
      <c r="RQF10" s="158"/>
      <c r="RQG10" s="158"/>
      <c r="RQH10" s="158"/>
      <c r="RQI10" s="158"/>
      <c r="RQJ10" s="158"/>
      <c r="RQK10" s="158"/>
      <c r="RQL10" s="158"/>
      <c r="RQM10" s="158"/>
      <c r="RQN10" s="158"/>
      <c r="RQO10" s="158"/>
      <c r="RQP10" s="158"/>
      <c r="RQQ10" s="158"/>
      <c r="RQR10" s="158"/>
      <c r="RQS10" s="158"/>
      <c r="RQT10" s="158"/>
      <c r="RQU10" s="158"/>
      <c r="RQV10" s="158"/>
      <c r="RQW10" s="158"/>
      <c r="RQX10" s="158"/>
      <c r="RQY10" s="158"/>
      <c r="RQZ10" s="158"/>
      <c r="RRA10" s="158"/>
      <c r="RRB10" s="158"/>
      <c r="RRC10" s="158"/>
      <c r="RRD10" s="158"/>
      <c r="RRE10" s="158"/>
      <c r="RRF10" s="158"/>
      <c r="RRG10" s="158"/>
      <c r="RRH10" s="158"/>
      <c r="RRI10" s="158"/>
      <c r="RRJ10" s="158"/>
      <c r="RRK10" s="158"/>
      <c r="RRL10" s="158"/>
      <c r="RRM10" s="158"/>
      <c r="RRN10" s="158"/>
      <c r="RRO10" s="158"/>
      <c r="RRP10" s="158"/>
      <c r="RRQ10" s="158"/>
      <c r="RRR10" s="158"/>
      <c r="RRS10" s="158"/>
      <c r="RRT10" s="158"/>
      <c r="RRU10" s="158"/>
      <c r="RRV10" s="158"/>
      <c r="RRW10" s="158"/>
      <c r="RRX10" s="158"/>
      <c r="RRY10" s="158"/>
      <c r="RRZ10" s="158"/>
      <c r="RSA10" s="158"/>
      <c r="RSB10" s="158"/>
      <c r="RSC10" s="158"/>
      <c r="RSD10" s="158"/>
      <c r="RSE10" s="158"/>
      <c r="RSF10" s="158"/>
      <c r="RSG10" s="158"/>
      <c r="RSH10" s="158"/>
      <c r="RSI10" s="158"/>
      <c r="RSJ10" s="158"/>
      <c r="RSK10" s="158"/>
      <c r="RSL10" s="158"/>
      <c r="RSM10" s="158"/>
      <c r="RSN10" s="158"/>
      <c r="RSO10" s="158"/>
      <c r="RSP10" s="158"/>
      <c r="RSQ10" s="158"/>
      <c r="RSR10" s="158"/>
      <c r="RSS10" s="158"/>
      <c r="RST10" s="158"/>
      <c r="RSU10" s="158"/>
      <c r="RSV10" s="158"/>
      <c r="RSW10" s="158"/>
      <c r="RSX10" s="158"/>
      <c r="RSY10" s="158"/>
      <c r="RSZ10" s="158"/>
      <c r="RTA10" s="158"/>
      <c r="RTB10" s="158"/>
      <c r="RTC10" s="158"/>
      <c r="RTD10" s="158"/>
      <c r="RTE10" s="158"/>
      <c r="RTF10" s="158"/>
      <c r="RTG10" s="158"/>
      <c r="RTH10" s="158"/>
      <c r="RTI10" s="158"/>
      <c r="RTJ10" s="158"/>
      <c r="RTK10" s="158"/>
      <c r="RTL10" s="158"/>
      <c r="RTM10" s="158"/>
      <c r="RTN10" s="158"/>
      <c r="RTO10" s="158"/>
      <c r="RTP10" s="158"/>
      <c r="RTQ10" s="158"/>
      <c r="RTR10" s="158"/>
      <c r="RTS10" s="158"/>
      <c r="RTT10" s="158"/>
      <c r="RTU10" s="158"/>
      <c r="RTV10" s="158"/>
      <c r="RTW10" s="158"/>
      <c r="RTX10" s="158"/>
      <c r="RTY10" s="158"/>
      <c r="RTZ10" s="158"/>
      <c r="RUA10" s="158"/>
      <c r="RUB10" s="158"/>
      <c r="RUC10" s="158"/>
      <c r="RUD10" s="158"/>
      <c r="RUE10" s="158"/>
      <c r="RUF10" s="158"/>
      <c r="RUG10" s="158"/>
      <c r="RUH10" s="158"/>
      <c r="RUI10" s="158"/>
      <c r="RUJ10" s="158"/>
      <c r="RUK10" s="158"/>
      <c r="RUL10" s="158"/>
      <c r="RUM10" s="158"/>
      <c r="RUN10" s="158"/>
      <c r="RUO10" s="158"/>
      <c r="RUP10" s="158"/>
      <c r="RUQ10" s="158"/>
      <c r="RUR10" s="158"/>
      <c r="RUS10" s="158"/>
      <c r="RUT10" s="158"/>
      <c r="RUU10" s="158"/>
      <c r="RUV10" s="158"/>
      <c r="RUW10" s="158"/>
      <c r="RUX10" s="158"/>
      <c r="RUY10" s="158"/>
      <c r="RUZ10" s="158"/>
      <c r="RVA10" s="158"/>
      <c r="RVB10" s="158"/>
      <c r="RVC10" s="158"/>
      <c r="RVD10" s="158"/>
      <c r="RVE10" s="158"/>
      <c r="RVF10" s="158"/>
      <c r="RVG10" s="158"/>
      <c r="RVH10" s="158"/>
      <c r="RVI10" s="158"/>
      <c r="RVJ10" s="158"/>
      <c r="RVK10" s="158"/>
      <c r="RVL10" s="158"/>
      <c r="RVM10" s="158"/>
      <c r="RVN10" s="158"/>
      <c r="RVO10" s="158"/>
      <c r="RVP10" s="158"/>
      <c r="RVQ10" s="158"/>
      <c r="RVR10" s="158"/>
      <c r="RVS10" s="158"/>
      <c r="RVT10" s="158"/>
      <c r="RVU10" s="158"/>
      <c r="RVV10" s="158"/>
      <c r="RVW10" s="158"/>
      <c r="RVX10" s="158"/>
      <c r="RVY10" s="158"/>
      <c r="RVZ10" s="158"/>
      <c r="RWA10" s="158"/>
      <c r="RWB10" s="158"/>
      <c r="RWC10" s="158"/>
      <c r="RWD10" s="158"/>
      <c r="RWE10" s="158"/>
      <c r="RWF10" s="158"/>
      <c r="RWG10" s="158"/>
      <c r="RWH10" s="158"/>
      <c r="RWI10" s="158"/>
      <c r="RWJ10" s="158"/>
      <c r="RWK10" s="158"/>
      <c r="RWL10" s="158"/>
      <c r="RWM10" s="158"/>
      <c r="RWN10" s="158"/>
      <c r="RWO10" s="158"/>
      <c r="RWP10" s="158"/>
      <c r="RWQ10" s="158"/>
      <c r="RWR10" s="158"/>
      <c r="RWS10" s="158"/>
      <c r="RWT10" s="158"/>
      <c r="RWU10" s="158"/>
      <c r="RWV10" s="158"/>
      <c r="RWW10" s="158"/>
      <c r="RWX10" s="158"/>
      <c r="RWY10" s="158"/>
      <c r="RWZ10" s="158"/>
      <c r="RXA10" s="158"/>
      <c r="RXB10" s="158"/>
      <c r="RXC10" s="158"/>
      <c r="RXD10" s="158"/>
      <c r="RXE10" s="158"/>
      <c r="RXF10" s="158"/>
      <c r="RXG10" s="158"/>
      <c r="RXH10" s="158"/>
      <c r="RXI10" s="158"/>
      <c r="RXJ10" s="158"/>
      <c r="RXK10" s="158"/>
      <c r="RXL10" s="158"/>
      <c r="RXM10" s="158"/>
      <c r="RXN10" s="158"/>
      <c r="RXO10" s="158"/>
      <c r="RXP10" s="158"/>
      <c r="RXQ10" s="158"/>
      <c r="RXR10" s="158"/>
      <c r="RXS10" s="158"/>
      <c r="RXT10" s="158"/>
      <c r="RXU10" s="158"/>
      <c r="RXV10" s="158"/>
      <c r="RXW10" s="158"/>
      <c r="RXX10" s="158"/>
      <c r="RXY10" s="158"/>
      <c r="RXZ10" s="158"/>
      <c r="RYA10" s="158"/>
      <c r="RYB10" s="158"/>
      <c r="RYC10" s="158"/>
      <c r="RYD10" s="158"/>
      <c r="RYE10" s="158"/>
      <c r="RYF10" s="158"/>
      <c r="RYG10" s="158"/>
      <c r="RYH10" s="158"/>
      <c r="RYI10" s="158"/>
      <c r="RYJ10" s="158"/>
      <c r="RYK10" s="158"/>
      <c r="RYL10" s="158"/>
      <c r="RYM10" s="158"/>
      <c r="RYN10" s="158"/>
      <c r="RYO10" s="158"/>
      <c r="RYP10" s="158"/>
      <c r="RYQ10" s="158"/>
      <c r="RYR10" s="158"/>
      <c r="RYS10" s="158"/>
      <c r="RYT10" s="158"/>
      <c r="RYU10" s="158"/>
      <c r="RYV10" s="158"/>
      <c r="RYW10" s="158"/>
      <c r="RYX10" s="158"/>
      <c r="RYY10" s="158"/>
      <c r="RYZ10" s="158"/>
      <c r="RZA10" s="158"/>
      <c r="RZB10" s="158"/>
      <c r="RZC10" s="158"/>
      <c r="RZD10" s="158"/>
      <c r="RZE10" s="158"/>
      <c r="RZF10" s="158"/>
      <c r="RZG10" s="158"/>
      <c r="RZH10" s="158"/>
      <c r="RZI10" s="158"/>
      <c r="RZJ10" s="158"/>
      <c r="RZK10" s="158"/>
      <c r="RZL10" s="158"/>
      <c r="RZM10" s="158"/>
      <c r="RZN10" s="158"/>
      <c r="RZO10" s="158"/>
      <c r="RZP10" s="158"/>
      <c r="RZQ10" s="158"/>
      <c r="RZR10" s="158"/>
      <c r="RZS10" s="158"/>
      <c r="RZT10" s="158"/>
      <c r="RZU10" s="158"/>
      <c r="RZV10" s="158"/>
      <c r="RZW10" s="158"/>
      <c r="RZX10" s="158"/>
      <c r="RZY10" s="158"/>
      <c r="RZZ10" s="158"/>
      <c r="SAA10" s="158"/>
      <c r="SAB10" s="158"/>
      <c r="SAC10" s="158"/>
      <c r="SAD10" s="158"/>
      <c r="SAE10" s="158"/>
      <c r="SAF10" s="158"/>
      <c r="SAG10" s="158"/>
      <c r="SAH10" s="158"/>
      <c r="SAI10" s="158"/>
      <c r="SAJ10" s="158"/>
      <c r="SAK10" s="158"/>
      <c r="SAL10" s="158"/>
      <c r="SAM10" s="158"/>
      <c r="SAN10" s="158"/>
      <c r="SAO10" s="158"/>
      <c r="SAP10" s="158"/>
      <c r="SAQ10" s="158"/>
      <c r="SAR10" s="158"/>
      <c r="SAS10" s="158"/>
      <c r="SAT10" s="158"/>
      <c r="SAU10" s="158"/>
      <c r="SAV10" s="158"/>
      <c r="SAW10" s="158"/>
      <c r="SAX10" s="158"/>
      <c r="SAY10" s="158"/>
      <c r="SAZ10" s="158"/>
      <c r="SBA10" s="158"/>
      <c r="SBB10" s="158"/>
      <c r="SBC10" s="158"/>
      <c r="SBD10" s="158"/>
      <c r="SBE10" s="158"/>
      <c r="SBF10" s="158"/>
      <c r="SBG10" s="158"/>
      <c r="SBH10" s="158"/>
      <c r="SBI10" s="158"/>
      <c r="SBJ10" s="158"/>
      <c r="SBK10" s="158"/>
      <c r="SBL10" s="158"/>
      <c r="SBM10" s="158"/>
      <c r="SBN10" s="158"/>
      <c r="SBO10" s="158"/>
      <c r="SBP10" s="158"/>
      <c r="SBQ10" s="158"/>
      <c r="SBR10" s="158"/>
      <c r="SBS10" s="158"/>
      <c r="SBT10" s="158"/>
      <c r="SBU10" s="158"/>
      <c r="SBV10" s="158"/>
      <c r="SBW10" s="158"/>
      <c r="SBX10" s="158"/>
      <c r="SBY10" s="158"/>
      <c r="SBZ10" s="158"/>
      <c r="SCA10" s="158"/>
      <c r="SCB10" s="158"/>
      <c r="SCC10" s="158"/>
      <c r="SCD10" s="158"/>
      <c r="SCE10" s="158"/>
      <c r="SCF10" s="158"/>
      <c r="SCG10" s="158"/>
      <c r="SCH10" s="158"/>
      <c r="SCI10" s="158"/>
      <c r="SCJ10" s="158"/>
      <c r="SCK10" s="158"/>
      <c r="SCL10" s="158"/>
      <c r="SCM10" s="158"/>
      <c r="SCN10" s="158"/>
      <c r="SCO10" s="158"/>
      <c r="SCP10" s="158"/>
      <c r="SCQ10" s="158"/>
      <c r="SCR10" s="158"/>
      <c r="SCS10" s="158"/>
      <c r="SCT10" s="158"/>
      <c r="SCU10" s="158"/>
      <c r="SCV10" s="158"/>
      <c r="SCW10" s="158"/>
      <c r="SCX10" s="158"/>
      <c r="SCY10" s="158"/>
      <c r="SCZ10" s="158"/>
      <c r="SDA10" s="158"/>
      <c r="SDB10" s="158"/>
      <c r="SDC10" s="158"/>
      <c r="SDD10" s="158"/>
      <c r="SDE10" s="158"/>
      <c r="SDF10" s="158"/>
      <c r="SDG10" s="158"/>
      <c r="SDH10" s="158"/>
      <c r="SDI10" s="158"/>
      <c r="SDJ10" s="158"/>
      <c r="SDK10" s="158"/>
      <c r="SDL10" s="158"/>
      <c r="SDM10" s="158"/>
      <c r="SDN10" s="158"/>
      <c r="SDO10" s="158"/>
      <c r="SDP10" s="158"/>
      <c r="SDQ10" s="158"/>
      <c r="SDR10" s="158"/>
      <c r="SDS10" s="158"/>
      <c r="SDT10" s="158"/>
      <c r="SDU10" s="158"/>
      <c r="SDV10" s="158"/>
      <c r="SDW10" s="158"/>
      <c r="SDX10" s="158"/>
      <c r="SDY10" s="158"/>
      <c r="SDZ10" s="158"/>
      <c r="SEA10" s="158"/>
      <c r="SEB10" s="158"/>
      <c r="SEC10" s="158"/>
      <c r="SED10" s="158"/>
      <c r="SEE10" s="158"/>
      <c r="SEF10" s="158"/>
      <c r="SEG10" s="158"/>
      <c r="SEH10" s="158"/>
      <c r="SEI10" s="158"/>
      <c r="SEJ10" s="158"/>
      <c r="SEK10" s="158"/>
      <c r="SEL10" s="158"/>
      <c r="SEM10" s="158"/>
      <c r="SEN10" s="158"/>
      <c r="SEO10" s="158"/>
      <c r="SEP10" s="158"/>
      <c r="SEQ10" s="158"/>
      <c r="SER10" s="158"/>
      <c r="SES10" s="158"/>
      <c r="SET10" s="158"/>
      <c r="SEU10" s="158"/>
      <c r="SEV10" s="158"/>
      <c r="SEW10" s="158"/>
      <c r="SEX10" s="158"/>
      <c r="SEY10" s="158"/>
      <c r="SEZ10" s="158"/>
      <c r="SFA10" s="158"/>
      <c r="SFB10" s="158"/>
      <c r="SFC10" s="158"/>
      <c r="SFD10" s="158"/>
      <c r="SFE10" s="158"/>
      <c r="SFF10" s="158"/>
      <c r="SFG10" s="158"/>
      <c r="SFH10" s="158"/>
      <c r="SFI10" s="158"/>
      <c r="SFJ10" s="158"/>
      <c r="SFK10" s="158"/>
      <c r="SFL10" s="158"/>
      <c r="SFM10" s="158"/>
      <c r="SFN10" s="158"/>
      <c r="SFO10" s="158"/>
      <c r="SFP10" s="158"/>
      <c r="SFQ10" s="158"/>
      <c r="SFR10" s="158"/>
      <c r="SFS10" s="158"/>
      <c r="SFT10" s="158"/>
      <c r="SFU10" s="158"/>
      <c r="SFV10" s="158"/>
      <c r="SFW10" s="158"/>
      <c r="SFX10" s="158"/>
      <c r="SFY10" s="158"/>
      <c r="SFZ10" s="158"/>
      <c r="SGA10" s="158"/>
      <c r="SGB10" s="158"/>
      <c r="SGC10" s="158"/>
      <c r="SGD10" s="158"/>
      <c r="SGE10" s="158"/>
      <c r="SGF10" s="158"/>
      <c r="SGG10" s="158"/>
      <c r="SGH10" s="158"/>
      <c r="SGI10" s="158"/>
      <c r="SGJ10" s="158"/>
      <c r="SGK10" s="158"/>
      <c r="SGL10" s="158"/>
      <c r="SGM10" s="158"/>
      <c r="SGN10" s="158"/>
      <c r="SGO10" s="158"/>
      <c r="SGP10" s="158"/>
      <c r="SGQ10" s="158"/>
      <c r="SGR10" s="158"/>
      <c r="SGS10" s="158"/>
      <c r="SGT10" s="158"/>
      <c r="SGU10" s="158"/>
      <c r="SGV10" s="158"/>
      <c r="SGW10" s="158"/>
      <c r="SGX10" s="158"/>
      <c r="SGY10" s="158"/>
      <c r="SGZ10" s="158"/>
      <c r="SHA10" s="158"/>
      <c r="SHB10" s="158"/>
      <c r="SHC10" s="158"/>
      <c r="SHD10" s="158"/>
      <c r="SHE10" s="158"/>
      <c r="SHF10" s="158"/>
      <c r="SHG10" s="158"/>
      <c r="SHH10" s="158"/>
      <c r="SHI10" s="158"/>
      <c r="SHJ10" s="158"/>
      <c r="SHK10" s="158"/>
      <c r="SHL10" s="158"/>
      <c r="SHM10" s="158"/>
      <c r="SHN10" s="158"/>
      <c r="SHO10" s="158"/>
      <c r="SHP10" s="158"/>
      <c r="SHQ10" s="158"/>
      <c r="SHR10" s="158"/>
      <c r="SHS10" s="158"/>
      <c r="SHT10" s="158"/>
      <c r="SHU10" s="158"/>
      <c r="SHV10" s="158"/>
      <c r="SHW10" s="158"/>
      <c r="SHX10" s="158"/>
      <c r="SHY10" s="158"/>
      <c r="SHZ10" s="158"/>
      <c r="SIA10" s="158"/>
      <c r="SIB10" s="158"/>
      <c r="SIC10" s="158"/>
      <c r="SID10" s="158"/>
      <c r="SIE10" s="158"/>
      <c r="SIF10" s="158"/>
      <c r="SIG10" s="158"/>
      <c r="SIH10" s="158"/>
      <c r="SII10" s="158"/>
      <c r="SIJ10" s="158"/>
      <c r="SIK10" s="158"/>
      <c r="SIL10" s="158"/>
      <c r="SIM10" s="158"/>
      <c r="SIN10" s="158"/>
      <c r="SIO10" s="158"/>
      <c r="SIP10" s="158"/>
      <c r="SIQ10" s="158"/>
      <c r="SIR10" s="158"/>
      <c r="SIS10" s="158"/>
      <c r="SIT10" s="158"/>
      <c r="SIU10" s="158"/>
      <c r="SIV10" s="158"/>
      <c r="SIW10" s="158"/>
      <c r="SIX10" s="158"/>
      <c r="SIY10" s="158"/>
      <c r="SIZ10" s="158"/>
      <c r="SJA10" s="158"/>
      <c r="SJB10" s="158"/>
      <c r="SJC10" s="158"/>
      <c r="SJD10" s="158"/>
      <c r="SJE10" s="158"/>
      <c r="SJF10" s="158"/>
      <c r="SJG10" s="158"/>
      <c r="SJH10" s="158"/>
      <c r="SJI10" s="158"/>
      <c r="SJJ10" s="158"/>
      <c r="SJK10" s="158"/>
      <c r="SJL10" s="158"/>
      <c r="SJM10" s="158"/>
      <c r="SJN10" s="158"/>
      <c r="SJO10" s="158"/>
      <c r="SJP10" s="158"/>
      <c r="SJQ10" s="158"/>
      <c r="SJR10" s="158"/>
      <c r="SJS10" s="158"/>
      <c r="SJT10" s="158"/>
      <c r="SJU10" s="158"/>
      <c r="SJV10" s="158"/>
      <c r="SJW10" s="158"/>
      <c r="SJX10" s="158"/>
      <c r="SJY10" s="158"/>
      <c r="SJZ10" s="158"/>
      <c r="SKA10" s="158"/>
      <c r="SKB10" s="158"/>
      <c r="SKC10" s="158"/>
      <c r="SKD10" s="158"/>
      <c r="SKE10" s="158"/>
      <c r="SKF10" s="158"/>
      <c r="SKG10" s="158"/>
      <c r="SKH10" s="158"/>
      <c r="SKI10" s="158"/>
      <c r="SKJ10" s="158"/>
      <c r="SKK10" s="158"/>
      <c r="SKL10" s="158"/>
      <c r="SKM10" s="158"/>
      <c r="SKN10" s="158"/>
      <c r="SKO10" s="158"/>
      <c r="SKP10" s="158"/>
      <c r="SKQ10" s="158"/>
      <c r="SKR10" s="158"/>
      <c r="SKS10" s="158"/>
      <c r="SKT10" s="158"/>
      <c r="SKU10" s="158"/>
      <c r="SKV10" s="158"/>
      <c r="SKW10" s="158"/>
      <c r="SKX10" s="158"/>
      <c r="SKY10" s="158"/>
      <c r="SKZ10" s="158"/>
      <c r="SLA10" s="158"/>
      <c r="SLB10" s="158"/>
      <c r="SLC10" s="158"/>
      <c r="SLD10" s="158"/>
      <c r="SLE10" s="158"/>
      <c r="SLF10" s="158"/>
      <c r="SLG10" s="158"/>
      <c r="SLH10" s="158"/>
      <c r="SLI10" s="158"/>
      <c r="SLJ10" s="158"/>
      <c r="SLK10" s="158"/>
      <c r="SLL10" s="158"/>
      <c r="SLM10" s="158"/>
      <c r="SLN10" s="158"/>
      <c r="SLO10" s="158"/>
      <c r="SLP10" s="158"/>
      <c r="SLQ10" s="158"/>
      <c r="SLR10" s="158"/>
      <c r="SLS10" s="158"/>
      <c r="SLT10" s="158"/>
      <c r="SLU10" s="158"/>
      <c r="SLV10" s="158"/>
      <c r="SLW10" s="158"/>
      <c r="SLX10" s="158"/>
      <c r="SLY10" s="158"/>
      <c r="SLZ10" s="158"/>
      <c r="SMA10" s="158"/>
      <c r="SMB10" s="158"/>
      <c r="SMC10" s="158"/>
      <c r="SMD10" s="158"/>
      <c r="SME10" s="158"/>
      <c r="SMF10" s="158"/>
      <c r="SMG10" s="158"/>
      <c r="SMH10" s="158"/>
      <c r="SMI10" s="158"/>
      <c r="SMJ10" s="158"/>
      <c r="SMK10" s="158"/>
      <c r="SML10" s="158"/>
      <c r="SMM10" s="158"/>
      <c r="SMN10" s="158"/>
      <c r="SMO10" s="158"/>
      <c r="SMP10" s="158"/>
      <c r="SMQ10" s="158"/>
      <c r="SMR10" s="158"/>
      <c r="SMS10" s="158"/>
      <c r="SMT10" s="158"/>
      <c r="SMU10" s="158"/>
      <c r="SMV10" s="158"/>
      <c r="SMW10" s="158"/>
      <c r="SMX10" s="158"/>
      <c r="SMY10" s="158"/>
      <c r="SMZ10" s="158"/>
      <c r="SNA10" s="158"/>
      <c r="SNB10" s="158"/>
      <c r="SNC10" s="158"/>
      <c r="SND10" s="158"/>
      <c r="SNE10" s="158"/>
      <c r="SNF10" s="158"/>
      <c r="SNG10" s="158"/>
      <c r="SNH10" s="158"/>
      <c r="SNI10" s="158"/>
      <c r="SNJ10" s="158"/>
      <c r="SNK10" s="158"/>
      <c r="SNL10" s="158"/>
      <c r="SNM10" s="158"/>
      <c r="SNN10" s="158"/>
      <c r="SNO10" s="158"/>
      <c r="SNP10" s="158"/>
      <c r="SNQ10" s="158"/>
      <c r="SNR10" s="158"/>
      <c r="SNS10" s="158"/>
      <c r="SNT10" s="158"/>
      <c r="SNU10" s="158"/>
      <c r="SNV10" s="158"/>
      <c r="SNW10" s="158"/>
      <c r="SNX10" s="158"/>
      <c r="SNY10" s="158"/>
      <c r="SNZ10" s="158"/>
      <c r="SOA10" s="158"/>
      <c r="SOB10" s="158"/>
      <c r="SOC10" s="158"/>
      <c r="SOD10" s="158"/>
      <c r="SOE10" s="158"/>
      <c r="SOF10" s="158"/>
      <c r="SOG10" s="158"/>
      <c r="SOH10" s="158"/>
      <c r="SOI10" s="158"/>
      <c r="SOJ10" s="158"/>
      <c r="SOK10" s="158"/>
      <c r="SOL10" s="158"/>
      <c r="SOM10" s="158"/>
      <c r="SON10" s="158"/>
      <c r="SOO10" s="158"/>
      <c r="SOP10" s="158"/>
      <c r="SOQ10" s="158"/>
      <c r="SOR10" s="158"/>
      <c r="SOS10" s="158"/>
      <c r="SOT10" s="158"/>
      <c r="SOU10" s="158"/>
      <c r="SOV10" s="158"/>
      <c r="SOW10" s="158"/>
      <c r="SOX10" s="158"/>
      <c r="SOY10" s="158"/>
      <c r="SOZ10" s="158"/>
      <c r="SPA10" s="158"/>
      <c r="SPB10" s="158"/>
      <c r="SPC10" s="158"/>
      <c r="SPD10" s="158"/>
      <c r="SPE10" s="158"/>
      <c r="SPF10" s="158"/>
      <c r="SPG10" s="158"/>
      <c r="SPH10" s="158"/>
      <c r="SPI10" s="158"/>
      <c r="SPJ10" s="158"/>
      <c r="SPK10" s="158"/>
      <c r="SPL10" s="158"/>
      <c r="SPM10" s="158"/>
      <c r="SPN10" s="158"/>
      <c r="SPO10" s="158"/>
      <c r="SPP10" s="158"/>
      <c r="SPQ10" s="158"/>
      <c r="SPR10" s="158"/>
      <c r="SPS10" s="158"/>
      <c r="SPT10" s="158"/>
      <c r="SPU10" s="158"/>
      <c r="SPV10" s="158"/>
      <c r="SPW10" s="158"/>
      <c r="SPX10" s="158"/>
      <c r="SPY10" s="158"/>
      <c r="SPZ10" s="158"/>
      <c r="SQA10" s="158"/>
      <c r="SQB10" s="158"/>
      <c r="SQC10" s="158"/>
      <c r="SQD10" s="158"/>
      <c r="SQE10" s="158"/>
      <c r="SQF10" s="158"/>
      <c r="SQG10" s="158"/>
      <c r="SQH10" s="158"/>
      <c r="SQI10" s="158"/>
      <c r="SQJ10" s="158"/>
      <c r="SQK10" s="158"/>
      <c r="SQL10" s="158"/>
      <c r="SQM10" s="158"/>
      <c r="SQN10" s="158"/>
      <c r="SQO10" s="158"/>
      <c r="SQP10" s="158"/>
      <c r="SQQ10" s="158"/>
      <c r="SQR10" s="158"/>
      <c r="SQS10" s="158"/>
      <c r="SQT10" s="158"/>
      <c r="SQU10" s="158"/>
      <c r="SQV10" s="158"/>
      <c r="SQW10" s="158"/>
      <c r="SQX10" s="158"/>
      <c r="SQY10" s="158"/>
      <c r="SQZ10" s="158"/>
      <c r="SRA10" s="158"/>
      <c r="SRB10" s="158"/>
      <c r="SRC10" s="158"/>
      <c r="SRD10" s="158"/>
      <c r="SRE10" s="158"/>
      <c r="SRF10" s="158"/>
      <c r="SRG10" s="158"/>
      <c r="SRH10" s="158"/>
      <c r="SRI10" s="158"/>
      <c r="SRJ10" s="158"/>
      <c r="SRK10" s="158"/>
      <c r="SRL10" s="158"/>
      <c r="SRM10" s="158"/>
      <c r="SRN10" s="158"/>
      <c r="SRO10" s="158"/>
      <c r="SRP10" s="158"/>
      <c r="SRQ10" s="158"/>
      <c r="SRR10" s="158"/>
      <c r="SRS10" s="158"/>
      <c r="SRT10" s="158"/>
      <c r="SRU10" s="158"/>
      <c r="SRV10" s="158"/>
      <c r="SRW10" s="158"/>
      <c r="SRX10" s="158"/>
      <c r="SRY10" s="158"/>
      <c r="SRZ10" s="158"/>
      <c r="SSA10" s="158"/>
      <c r="SSB10" s="158"/>
      <c r="SSC10" s="158"/>
      <c r="SSD10" s="158"/>
      <c r="SSE10" s="158"/>
      <c r="SSF10" s="158"/>
      <c r="SSG10" s="158"/>
      <c r="SSH10" s="158"/>
      <c r="SSI10" s="158"/>
      <c r="SSJ10" s="158"/>
      <c r="SSK10" s="158"/>
      <c r="SSL10" s="158"/>
      <c r="SSM10" s="158"/>
      <c r="SSN10" s="158"/>
      <c r="SSO10" s="158"/>
      <c r="SSP10" s="158"/>
      <c r="SSQ10" s="158"/>
      <c r="SSR10" s="158"/>
      <c r="SSS10" s="158"/>
      <c r="SST10" s="158"/>
      <c r="SSU10" s="158"/>
      <c r="SSV10" s="158"/>
      <c r="SSW10" s="158"/>
      <c r="SSX10" s="158"/>
      <c r="SSY10" s="158"/>
      <c r="SSZ10" s="158"/>
      <c r="STA10" s="158"/>
      <c r="STB10" s="158"/>
      <c r="STC10" s="158"/>
      <c r="STD10" s="158"/>
      <c r="STE10" s="158"/>
      <c r="STF10" s="158"/>
      <c r="STG10" s="158"/>
      <c r="STH10" s="158"/>
      <c r="STI10" s="158"/>
      <c r="STJ10" s="158"/>
      <c r="STK10" s="158"/>
      <c r="STL10" s="158"/>
      <c r="STM10" s="158"/>
      <c r="STN10" s="158"/>
      <c r="STO10" s="158"/>
      <c r="STP10" s="158"/>
      <c r="STQ10" s="158"/>
      <c r="STR10" s="158"/>
      <c r="STS10" s="158"/>
      <c r="STT10" s="158"/>
      <c r="STU10" s="158"/>
      <c r="STV10" s="158"/>
      <c r="STW10" s="158"/>
      <c r="STX10" s="158"/>
      <c r="STY10" s="158"/>
      <c r="STZ10" s="158"/>
      <c r="SUA10" s="158"/>
      <c r="SUB10" s="158"/>
      <c r="SUC10" s="158"/>
      <c r="SUD10" s="158"/>
      <c r="SUE10" s="158"/>
      <c r="SUF10" s="158"/>
      <c r="SUG10" s="158"/>
      <c r="SUH10" s="158"/>
      <c r="SUI10" s="158"/>
      <c r="SUJ10" s="158"/>
      <c r="SUK10" s="158"/>
      <c r="SUL10" s="158"/>
      <c r="SUM10" s="158"/>
      <c r="SUN10" s="158"/>
      <c r="SUO10" s="158"/>
      <c r="SUP10" s="158"/>
      <c r="SUQ10" s="158"/>
      <c r="SUR10" s="158"/>
      <c r="SUS10" s="158"/>
      <c r="SUT10" s="158"/>
      <c r="SUU10" s="158"/>
      <c r="SUV10" s="158"/>
      <c r="SUW10" s="158"/>
      <c r="SUX10" s="158"/>
      <c r="SUY10" s="158"/>
      <c r="SUZ10" s="158"/>
      <c r="SVA10" s="158"/>
      <c r="SVB10" s="158"/>
      <c r="SVC10" s="158"/>
      <c r="SVD10" s="158"/>
      <c r="SVE10" s="158"/>
      <c r="SVF10" s="158"/>
      <c r="SVG10" s="158"/>
      <c r="SVH10" s="158"/>
      <c r="SVI10" s="158"/>
      <c r="SVJ10" s="158"/>
      <c r="SVK10" s="158"/>
      <c r="SVL10" s="158"/>
      <c r="SVM10" s="158"/>
      <c r="SVN10" s="158"/>
      <c r="SVO10" s="158"/>
      <c r="SVP10" s="158"/>
      <c r="SVQ10" s="158"/>
      <c r="SVR10" s="158"/>
      <c r="SVS10" s="158"/>
      <c r="SVT10" s="158"/>
      <c r="SVU10" s="158"/>
      <c r="SVV10" s="158"/>
      <c r="SVW10" s="158"/>
      <c r="SVX10" s="158"/>
      <c r="SVY10" s="158"/>
      <c r="SVZ10" s="158"/>
      <c r="SWA10" s="158"/>
      <c r="SWB10" s="158"/>
      <c r="SWC10" s="158"/>
      <c r="SWD10" s="158"/>
      <c r="SWE10" s="158"/>
      <c r="SWF10" s="158"/>
      <c r="SWG10" s="158"/>
      <c r="SWH10" s="158"/>
      <c r="SWI10" s="158"/>
      <c r="SWJ10" s="158"/>
      <c r="SWK10" s="158"/>
      <c r="SWL10" s="158"/>
      <c r="SWM10" s="158"/>
      <c r="SWN10" s="158"/>
      <c r="SWO10" s="158"/>
      <c r="SWP10" s="158"/>
      <c r="SWQ10" s="158"/>
      <c r="SWR10" s="158"/>
      <c r="SWS10" s="158"/>
      <c r="SWT10" s="158"/>
      <c r="SWU10" s="158"/>
      <c r="SWV10" s="158"/>
      <c r="SWW10" s="158"/>
      <c r="SWX10" s="158"/>
      <c r="SWY10" s="158"/>
      <c r="SWZ10" s="158"/>
      <c r="SXA10" s="158"/>
      <c r="SXB10" s="158"/>
      <c r="SXC10" s="158"/>
      <c r="SXD10" s="158"/>
      <c r="SXE10" s="158"/>
      <c r="SXF10" s="158"/>
      <c r="SXG10" s="158"/>
      <c r="SXH10" s="158"/>
      <c r="SXI10" s="158"/>
      <c r="SXJ10" s="158"/>
      <c r="SXK10" s="158"/>
      <c r="SXL10" s="158"/>
      <c r="SXM10" s="158"/>
      <c r="SXN10" s="158"/>
      <c r="SXO10" s="158"/>
      <c r="SXP10" s="158"/>
      <c r="SXQ10" s="158"/>
      <c r="SXR10" s="158"/>
      <c r="SXS10" s="158"/>
      <c r="SXT10" s="158"/>
      <c r="SXU10" s="158"/>
      <c r="SXV10" s="158"/>
      <c r="SXW10" s="158"/>
      <c r="SXX10" s="158"/>
      <c r="SXY10" s="158"/>
      <c r="SXZ10" s="158"/>
      <c r="SYA10" s="158"/>
      <c r="SYB10" s="158"/>
      <c r="SYC10" s="158"/>
      <c r="SYD10" s="158"/>
      <c r="SYE10" s="158"/>
      <c r="SYF10" s="158"/>
      <c r="SYG10" s="158"/>
      <c r="SYH10" s="158"/>
      <c r="SYI10" s="158"/>
      <c r="SYJ10" s="158"/>
      <c r="SYK10" s="158"/>
      <c r="SYL10" s="158"/>
      <c r="SYM10" s="158"/>
      <c r="SYN10" s="158"/>
      <c r="SYO10" s="158"/>
      <c r="SYP10" s="158"/>
      <c r="SYQ10" s="158"/>
      <c r="SYR10" s="158"/>
      <c r="SYS10" s="158"/>
      <c r="SYT10" s="158"/>
      <c r="SYU10" s="158"/>
      <c r="SYV10" s="158"/>
      <c r="SYW10" s="158"/>
      <c r="SYX10" s="158"/>
      <c r="SYY10" s="158"/>
      <c r="SYZ10" s="158"/>
      <c r="SZA10" s="158"/>
      <c r="SZB10" s="158"/>
      <c r="SZC10" s="158"/>
      <c r="SZD10" s="158"/>
      <c r="SZE10" s="158"/>
      <c r="SZF10" s="158"/>
      <c r="SZG10" s="158"/>
      <c r="SZH10" s="158"/>
      <c r="SZI10" s="158"/>
      <c r="SZJ10" s="158"/>
      <c r="SZK10" s="158"/>
      <c r="SZL10" s="158"/>
      <c r="SZM10" s="158"/>
      <c r="SZN10" s="158"/>
      <c r="SZO10" s="158"/>
      <c r="SZP10" s="158"/>
      <c r="SZQ10" s="158"/>
      <c r="SZR10" s="158"/>
      <c r="SZS10" s="158"/>
      <c r="SZT10" s="158"/>
      <c r="SZU10" s="158"/>
      <c r="SZV10" s="158"/>
      <c r="SZW10" s="158"/>
      <c r="SZX10" s="158"/>
      <c r="SZY10" s="158"/>
      <c r="SZZ10" s="158"/>
      <c r="TAA10" s="158"/>
      <c r="TAB10" s="158"/>
      <c r="TAC10" s="158"/>
      <c r="TAD10" s="158"/>
      <c r="TAE10" s="158"/>
      <c r="TAF10" s="158"/>
      <c r="TAG10" s="158"/>
      <c r="TAH10" s="158"/>
      <c r="TAI10" s="158"/>
      <c r="TAJ10" s="158"/>
      <c r="TAK10" s="158"/>
      <c r="TAL10" s="158"/>
      <c r="TAM10" s="158"/>
      <c r="TAN10" s="158"/>
      <c r="TAO10" s="158"/>
      <c r="TAP10" s="158"/>
      <c r="TAQ10" s="158"/>
      <c r="TAR10" s="158"/>
      <c r="TAS10" s="158"/>
      <c r="TAT10" s="158"/>
      <c r="TAU10" s="158"/>
      <c r="TAV10" s="158"/>
      <c r="TAW10" s="158"/>
      <c r="TAX10" s="158"/>
      <c r="TAY10" s="158"/>
      <c r="TAZ10" s="158"/>
      <c r="TBA10" s="158"/>
      <c r="TBB10" s="158"/>
      <c r="TBC10" s="158"/>
      <c r="TBD10" s="158"/>
      <c r="TBE10" s="158"/>
      <c r="TBF10" s="158"/>
      <c r="TBG10" s="158"/>
      <c r="TBH10" s="158"/>
      <c r="TBI10" s="158"/>
      <c r="TBJ10" s="158"/>
      <c r="TBK10" s="158"/>
      <c r="TBL10" s="158"/>
      <c r="TBM10" s="158"/>
      <c r="TBN10" s="158"/>
      <c r="TBO10" s="158"/>
      <c r="TBP10" s="158"/>
      <c r="TBQ10" s="158"/>
      <c r="TBR10" s="158"/>
      <c r="TBS10" s="158"/>
      <c r="TBT10" s="158"/>
      <c r="TBU10" s="158"/>
      <c r="TBV10" s="158"/>
      <c r="TBW10" s="158"/>
      <c r="TBX10" s="158"/>
      <c r="TBY10" s="158"/>
      <c r="TBZ10" s="158"/>
      <c r="TCA10" s="158"/>
      <c r="TCB10" s="158"/>
      <c r="TCC10" s="158"/>
      <c r="TCD10" s="158"/>
      <c r="TCE10" s="158"/>
      <c r="TCF10" s="158"/>
      <c r="TCG10" s="158"/>
      <c r="TCH10" s="158"/>
      <c r="TCI10" s="158"/>
      <c r="TCJ10" s="158"/>
      <c r="TCK10" s="158"/>
      <c r="TCL10" s="158"/>
      <c r="TCM10" s="158"/>
      <c r="TCN10" s="158"/>
      <c r="TCO10" s="158"/>
      <c r="TCP10" s="158"/>
      <c r="TCQ10" s="158"/>
      <c r="TCR10" s="158"/>
      <c r="TCS10" s="158"/>
      <c r="TCT10" s="158"/>
      <c r="TCU10" s="158"/>
      <c r="TCV10" s="158"/>
      <c r="TCW10" s="158"/>
      <c r="TCX10" s="158"/>
      <c r="TCY10" s="158"/>
      <c r="TCZ10" s="158"/>
      <c r="TDA10" s="158"/>
      <c r="TDB10" s="158"/>
      <c r="TDC10" s="158"/>
      <c r="TDD10" s="158"/>
      <c r="TDE10" s="158"/>
      <c r="TDF10" s="158"/>
      <c r="TDG10" s="158"/>
      <c r="TDH10" s="158"/>
      <c r="TDI10" s="158"/>
      <c r="TDJ10" s="158"/>
      <c r="TDK10" s="158"/>
      <c r="TDL10" s="158"/>
      <c r="TDM10" s="158"/>
      <c r="TDN10" s="158"/>
      <c r="TDO10" s="158"/>
      <c r="TDP10" s="158"/>
      <c r="TDQ10" s="158"/>
      <c r="TDR10" s="158"/>
      <c r="TDS10" s="158"/>
      <c r="TDT10" s="158"/>
      <c r="TDU10" s="158"/>
      <c r="TDV10" s="158"/>
      <c r="TDW10" s="158"/>
      <c r="TDX10" s="158"/>
      <c r="TDY10" s="158"/>
      <c r="TDZ10" s="158"/>
      <c r="TEA10" s="158"/>
      <c r="TEB10" s="158"/>
      <c r="TEC10" s="158"/>
      <c r="TED10" s="158"/>
      <c r="TEE10" s="158"/>
      <c r="TEF10" s="158"/>
      <c r="TEG10" s="158"/>
      <c r="TEH10" s="158"/>
      <c r="TEI10" s="158"/>
      <c r="TEJ10" s="158"/>
      <c r="TEK10" s="158"/>
      <c r="TEL10" s="158"/>
      <c r="TEM10" s="158"/>
      <c r="TEN10" s="158"/>
      <c r="TEO10" s="158"/>
      <c r="TEP10" s="158"/>
      <c r="TEQ10" s="158"/>
      <c r="TER10" s="158"/>
      <c r="TES10" s="158"/>
      <c r="TET10" s="158"/>
      <c r="TEU10" s="158"/>
      <c r="TEV10" s="158"/>
      <c r="TEW10" s="158"/>
      <c r="TEX10" s="158"/>
      <c r="TEY10" s="158"/>
      <c r="TEZ10" s="158"/>
      <c r="TFA10" s="158"/>
      <c r="TFB10" s="158"/>
      <c r="TFC10" s="158"/>
      <c r="TFD10" s="158"/>
      <c r="TFE10" s="158"/>
      <c r="TFF10" s="158"/>
      <c r="TFG10" s="158"/>
      <c r="TFH10" s="158"/>
      <c r="TFI10" s="158"/>
      <c r="TFJ10" s="158"/>
      <c r="TFK10" s="158"/>
      <c r="TFL10" s="158"/>
      <c r="TFM10" s="158"/>
      <c r="TFN10" s="158"/>
      <c r="TFO10" s="158"/>
      <c r="TFP10" s="158"/>
      <c r="TFQ10" s="158"/>
      <c r="TFR10" s="158"/>
      <c r="TFS10" s="158"/>
      <c r="TFT10" s="158"/>
      <c r="TFU10" s="158"/>
      <c r="TFV10" s="158"/>
      <c r="TFW10" s="158"/>
      <c r="TFX10" s="158"/>
      <c r="TFY10" s="158"/>
      <c r="TFZ10" s="158"/>
      <c r="TGA10" s="158"/>
      <c r="TGB10" s="158"/>
      <c r="TGC10" s="158"/>
      <c r="TGD10" s="158"/>
      <c r="TGE10" s="158"/>
      <c r="TGF10" s="158"/>
      <c r="TGG10" s="158"/>
      <c r="TGH10" s="158"/>
      <c r="TGI10" s="158"/>
      <c r="TGJ10" s="158"/>
      <c r="TGK10" s="158"/>
      <c r="TGL10" s="158"/>
      <c r="TGM10" s="158"/>
      <c r="TGN10" s="158"/>
      <c r="TGO10" s="158"/>
      <c r="TGP10" s="158"/>
      <c r="TGQ10" s="158"/>
      <c r="TGR10" s="158"/>
      <c r="TGS10" s="158"/>
      <c r="TGT10" s="158"/>
      <c r="TGU10" s="158"/>
      <c r="TGV10" s="158"/>
      <c r="TGW10" s="158"/>
      <c r="TGX10" s="158"/>
      <c r="TGY10" s="158"/>
      <c r="TGZ10" s="158"/>
      <c r="THA10" s="158"/>
      <c r="THB10" s="158"/>
      <c r="THC10" s="158"/>
      <c r="THD10" s="158"/>
      <c r="THE10" s="158"/>
      <c r="THF10" s="158"/>
      <c r="THG10" s="158"/>
      <c r="THH10" s="158"/>
      <c r="THI10" s="158"/>
      <c r="THJ10" s="158"/>
      <c r="THK10" s="158"/>
      <c r="THL10" s="158"/>
      <c r="THM10" s="158"/>
      <c r="THN10" s="158"/>
      <c r="THO10" s="158"/>
      <c r="THP10" s="158"/>
      <c r="THQ10" s="158"/>
      <c r="THR10" s="158"/>
      <c r="THS10" s="158"/>
      <c r="THT10" s="158"/>
      <c r="THU10" s="158"/>
      <c r="THV10" s="158"/>
      <c r="THW10" s="158"/>
      <c r="THX10" s="158"/>
      <c r="THY10" s="158"/>
      <c r="THZ10" s="158"/>
      <c r="TIA10" s="158"/>
      <c r="TIB10" s="158"/>
      <c r="TIC10" s="158"/>
      <c r="TID10" s="158"/>
      <c r="TIE10" s="158"/>
      <c r="TIF10" s="158"/>
      <c r="TIG10" s="158"/>
      <c r="TIH10" s="158"/>
      <c r="TII10" s="158"/>
      <c r="TIJ10" s="158"/>
      <c r="TIK10" s="158"/>
      <c r="TIL10" s="158"/>
      <c r="TIM10" s="158"/>
      <c r="TIN10" s="158"/>
      <c r="TIO10" s="158"/>
      <c r="TIP10" s="158"/>
      <c r="TIQ10" s="158"/>
      <c r="TIR10" s="158"/>
      <c r="TIS10" s="158"/>
      <c r="TIT10" s="158"/>
      <c r="TIU10" s="158"/>
      <c r="TIV10" s="158"/>
      <c r="TIW10" s="158"/>
      <c r="TIX10" s="158"/>
      <c r="TIY10" s="158"/>
      <c r="TIZ10" s="158"/>
      <c r="TJA10" s="158"/>
      <c r="TJB10" s="158"/>
      <c r="TJC10" s="158"/>
      <c r="TJD10" s="158"/>
      <c r="TJE10" s="158"/>
      <c r="TJF10" s="158"/>
      <c r="TJG10" s="158"/>
      <c r="TJH10" s="158"/>
      <c r="TJI10" s="158"/>
      <c r="TJJ10" s="158"/>
      <c r="TJK10" s="158"/>
      <c r="TJL10" s="158"/>
      <c r="TJM10" s="158"/>
      <c r="TJN10" s="158"/>
      <c r="TJO10" s="158"/>
      <c r="TJP10" s="158"/>
      <c r="TJQ10" s="158"/>
      <c r="TJR10" s="158"/>
      <c r="TJS10" s="158"/>
      <c r="TJT10" s="158"/>
      <c r="TJU10" s="158"/>
      <c r="TJV10" s="158"/>
      <c r="TJW10" s="158"/>
      <c r="TJX10" s="158"/>
      <c r="TJY10" s="158"/>
      <c r="TJZ10" s="158"/>
      <c r="TKA10" s="158"/>
      <c r="TKB10" s="158"/>
      <c r="TKC10" s="158"/>
      <c r="TKD10" s="158"/>
      <c r="TKE10" s="158"/>
      <c r="TKF10" s="158"/>
      <c r="TKG10" s="158"/>
      <c r="TKH10" s="158"/>
      <c r="TKI10" s="158"/>
      <c r="TKJ10" s="158"/>
      <c r="TKK10" s="158"/>
      <c r="TKL10" s="158"/>
      <c r="TKM10" s="158"/>
      <c r="TKN10" s="158"/>
      <c r="TKO10" s="158"/>
      <c r="TKP10" s="158"/>
      <c r="TKQ10" s="158"/>
      <c r="TKR10" s="158"/>
      <c r="TKS10" s="158"/>
      <c r="TKT10" s="158"/>
      <c r="TKU10" s="158"/>
      <c r="TKV10" s="158"/>
      <c r="TKW10" s="158"/>
      <c r="TKX10" s="158"/>
      <c r="TKY10" s="158"/>
      <c r="TKZ10" s="158"/>
      <c r="TLA10" s="158"/>
      <c r="TLB10" s="158"/>
      <c r="TLC10" s="158"/>
      <c r="TLD10" s="158"/>
      <c r="TLE10" s="158"/>
      <c r="TLF10" s="158"/>
      <c r="TLG10" s="158"/>
      <c r="TLH10" s="158"/>
      <c r="TLI10" s="158"/>
      <c r="TLJ10" s="158"/>
      <c r="TLK10" s="158"/>
      <c r="TLL10" s="158"/>
      <c r="TLM10" s="158"/>
      <c r="TLN10" s="158"/>
      <c r="TLO10" s="158"/>
      <c r="TLP10" s="158"/>
      <c r="TLQ10" s="158"/>
      <c r="TLR10" s="158"/>
      <c r="TLS10" s="158"/>
      <c r="TLT10" s="158"/>
      <c r="TLU10" s="158"/>
      <c r="TLV10" s="158"/>
      <c r="TLW10" s="158"/>
      <c r="TLX10" s="158"/>
      <c r="TLY10" s="158"/>
      <c r="TLZ10" s="158"/>
      <c r="TMA10" s="158"/>
      <c r="TMB10" s="158"/>
      <c r="TMC10" s="158"/>
      <c r="TMD10" s="158"/>
      <c r="TME10" s="158"/>
      <c r="TMF10" s="158"/>
      <c r="TMG10" s="158"/>
      <c r="TMH10" s="158"/>
      <c r="TMI10" s="158"/>
      <c r="TMJ10" s="158"/>
      <c r="TMK10" s="158"/>
      <c r="TML10" s="158"/>
      <c r="TMM10" s="158"/>
      <c r="TMN10" s="158"/>
      <c r="TMO10" s="158"/>
      <c r="TMP10" s="158"/>
      <c r="TMQ10" s="158"/>
      <c r="TMR10" s="158"/>
      <c r="TMS10" s="158"/>
      <c r="TMT10" s="158"/>
      <c r="TMU10" s="158"/>
      <c r="TMV10" s="158"/>
      <c r="TMW10" s="158"/>
      <c r="TMX10" s="158"/>
      <c r="TMY10" s="158"/>
      <c r="TMZ10" s="158"/>
      <c r="TNA10" s="158"/>
      <c r="TNB10" s="158"/>
      <c r="TNC10" s="158"/>
      <c r="TND10" s="158"/>
      <c r="TNE10" s="158"/>
      <c r="TNF10" s="158"/>
      <c r="TNG10" s="158"/>
      <c r="TNH10" s="158"/>
      <c r="TNI10" s="158"/>
      <c r="TNJ10" s="158"/>
      <c r="TNK10" s="158"/>
      <c r="TNL10" s="158"/>
      <c r="TNM10" s="158"/>
      <c r="TNN10" s="158"/>
      <c r="TNO10" s="158"/>
      <c r="TNP10" s="158"/>
      <c r="TNQ10" s="158"/>
      <c r="TNR10" s="158"/>
      <c r="TNS10" s="158"/>
      <c r="TNT10" s="158"/>
      <c r="TNU10" s="158"/>
      <c r="TNV10" s="158"/>
      <c r="TNW10" s="158"/>
      <c r="TNX10" s="158"/>
      <c r="TNY10" s="158"/>
      <c r="TNZ10" s="158"/>
      <c r="TOA10" s="158"/>
      <c r="TOB10" s="158"/>
      <c r="TOC10" s="158"/>
      <c r="TOD10" s="158"/>
      <c r="TOE10" s="158"/>
      <c r="TOF10" s="158"/>
      <c r="TOG10" s="158"/>
      <c r="TOH10" s="158"/>
      <c r="TOI10" s="158"/>
      <c r="TOJ10" s="158"/>
      <c r="TOK10" s="158"/>
      <c r="TOL10" s="158"/>
      <c r="TOM10" s="158"/>
      <c r="TON10" s="158"/>
      <c r="TOO10" s="158"/>
      <c r="TOP10" s="158"/>
      <c r="TOQ10" s="158"/>
      <c r="TOR10" s="158"/>
      <c r="TOS10" s="158"/>
      <c r="TOT10" s="158"/>
      <c r="TOU10" s="158"/>
      <c r="TOV10" s="158"/>
      <c r="TOW10" s="158"/>
      <c r="TOX10" s="158"/>
      <c r="TOY10" s="158"/>
      <c r="TOZ10" s="158"/>
      <c r="TPA10" s="158"/>
      <c r="TPB10" s="158"/>
      <c r="TPC10" s="158"/>
      <c r="TPD10" s="158"/>
      <c r="TPE10" s="158"/>
      <c r="TPF10" s="158"/>
      <c r="TPG10" s="158"/>
      <c r="TPH10" s="158"/>
      <c r="TPI10" s="158"/>
      <c r="TPJ10" s="158"/>
      <c r="TPK10" s="158"/>
      <c r="TPL10" s="158"/>
      <c r="TPM10" s="158"/>
      <c r="TPN10" s="158"/>
      <c r="TPO10" s="158"/>
      <c r="TPP10" s="158"/>
      <c r="TPQ10" s="158"/>
      <c r="TPR10" s="158"/>
      <c r="TPS10" s="158"/>
      <c r="TPT10" s="158"/>
      <c r="TPU10" s="158"/>
      <c r="TPV10" s="158"/>
      <c r="TPW10" s="158"/>
      <c r="TPX10" s="158"/>
      <c r="TPY10" s="158"/>
      <c r="TPZ10" s="158"/>
      <c r="TQA10" s="158"/>
      <c r="TQB10" s="158"/>
      <c r="TQC10" s="158"/>
      <c r="TQD10" s="158"/>
      <c r="TQE10" s="158"/>
      <c r="TQF10" s="158"/>
      <c r="TQG10" s="158"/>
      <c r="TQH10" s="158"/>
      <c r="TQI10" s="158"/>
      <c r="TQJ10" s="158"/>
      <c r="TQK10" s="158"/>
      <c r="TQL10" s="158"/>
      <c r="TQM10" s="158"/>
      <c r="TQN10" s="158"/>
      <c r="TQO10" s="158"/>
      <c r="TQP10" s="158"/>
      <c r="TQQ10" s="158"/>
      <c r="TQR10" s="158"/>
      <c r="TQS10" s="158"/>
      <c r="TQT10" s="158"/>
      <c r="TQU10" s="158"/>
      <c r="TQV10" s="158"/>
      <c r="TQW10" s="158"/>
      <c r="TQX10" s="158"/>
      <c r="TQY10" s="158"/>
      <c r="TQZ10" s="158"/>
      <c r="TRA10" s="158"/>
      <c r="TRB10" s="158"/>
      <c r="TRC10" s="158"/>
      <c r="TRD10" s="158"/>
      <c r="TRE10" s="158"/>
      <c r="TRF10" s="158"/>
      <c r="TRG10" s="158"/>
      <c r="TRH10" s="158"/>
      <c r="TRI10" s="158"/>
      <c r="TRJ10" s="158"/>
      <c r="TRK10" s="158"/>
      <c r="TRL10" s="158"/>
      <c r="TRM10" s="158"/>
      <c r="TRN10" s="158"/>
      <c r="TRO10" s="158"/>
      <c r="TRP10" s="158"/>
      <c r="TRQ10" s="158"/>
      <c r="TRR10" s="158"/>
      <c r="TRS10" s="158"/>
      <c r="TRT10" s="158"/>
      <c r="TRU10" s="158"/>
      <c r="TRV10" s="158"/>
      <c r="TRW10" s="158"/>
      <c r="TRX10" s="158"/>
      <c r="TRY10" s="158"/>
      <c r="TRZ10" s="158"/>
      <c r="TSA10" s="158"/>
      <c r="TSB10" s="158"/>
      <c r="TSC10" s="158"/>
      <c r="TSD10" s="158"/>
      <c r="TSE10" s="158"/>
      <c r="TSF10" s="158"/>
      <c r="TSG10" s="158"/>
      <c r="TSH10" s="158"/>
      <c r="TSI10" s="158"/>
      <c r="TSJ10" s="158"/>
      <c r="TSK10" s="158"/>
      <c r="TSL10" s="158"/>
      <c r="TSM10" s="158"/>
      <c r="TSN10" s="158"/>
      <c r="TSO10" s="158"/>
      <c r="TSP10" s="158"/>
      <c r="TSQ10" s="158"/>
      <c r="TSR10" s="158"/>
      <c r="TSS10" s="158"/>
      <c r="TST10" s="158"/>
      <c r="TSU10" s="158"/>
      <c r="TSV10" s="158"/>
      <c r="TSW10" s="158"/>
      <c r="TSX10" s="158"/>
      <c r="TSY10" s="158"/>
      <c r="TSZ10" s="158"/>
      <c r="TTA10" s="158"/>
      <c r="TTB10" s="158"/>
      <c r="TTC10" s="158"/>
      <c r="TTD10" s="158"/>
      <c r="TTE10" s="158"/>
      <c r="TTF10" s="158"/>
      <c r="TTG10" s="158"/>
      <c r="TTH10" s="158"/>
      <c r="TTI10" s="158"/>
      <c r="TTJ10" s="158"/>
      <c r="TTK10" s="158"/>
      <c r="TTL10" s="158"/>
      <c r="TTM10" s="158"/>
      <c r="TTN10" s="158"/>
      <c r="TTO10" s="158"/>
      <c r="TTP10" s="158"/>
      <c r="TTQ10" s="158"/>
      <c r="TTR10" s="158"/>
      <c r="TTS10" s="158"/>
      <c r="TTT10" s="158"/>
      <c r="TTU10" s="158"/>
      <c r="TTV10" s="158"/>
      <c r="TTW10" s="158"/>
      <c r="TTX10" s="158"/>
      <c r="TTY10" s="158"/>
      <c r="TTZ10" s="158"/>
      <c r="TUA10" s="158"/>
      <c r="TUB10" s="158"/>
      <c r="TUC10" s="158"/>
      <c r="TUD10" s="158"/>
      <c r="TUE10" s="158"/>
      <c r="TUF10" s="158"/>
      <c r="TUG10" s="158"/>
      <c r="TUH10" s="158"/>
      <c r="TUI10" s="158"/>
      <c r="TUJ10" s="158"/>
      <c r="TUK10" s="158"/>
      <c r="TUL10" s="158"/>
      <c r="TUM10" s="158"/>
      <c r="TUN10" s="158"/>
      <c r="TUO10" s="158"/>
      <c r="TUP10" s="158"/>
      <c r="TUQ10" s="158"/>
      <c r="TUR10" s="158"/>
      <c r="TUS10" s="158"/>
      <c r="TUT10" s="158"/>
      <c r="TUU10" s="158"/>
      <c r="TUV10" s="158"/>
      <c r="TUW10" s="158"/>
      <c r="TUX10" s="158"/>
      <c r="TUY10" s="158"/>
      <c r="TUZ10" s="158"/>
      <c r="TVA10" s="158"/>
      <c r="TVB10" s="158"/>
      <c r="TVC10" s="158"/>
      <c r="TVD10" s="158"/>
      <c r="TVE10" s="158"/>
      <c r="TVF10" s="158"/>
      <c r="TVG10" s="158"/>
      <c r="TVH10" s="158"/>
      <c r="TVI10" s="158"/>
      <c r="TVJ10" s="158"/>
      <c r="TVK10" s="158"/>
      <c r="TVL10" s="158"/>
      <c r="TVM10" s="158"/>
      <c r="TVN10" s="158"/>
      <c r="TVO10" s="158"/>
      <c r="TVP10" s="158"/>
      <c r="TVQ10" s="158"/>
      <c r="TVR10" s="158"/>
      <c r="TVS10" s="158"/>
      <c r="TVT10" s="158"/>
      <c r="TVU10" s="158"/>
      <c r="TVV10" s="158"/>
      <c r="TVW10" s="158"/>
      <c r="TVX10" s="158"/>
      <c r="TVY10" s="158"/>
      <c r="TVZ10" s="158"/>
      <c r="TWA10" s="158"/>
      <c r="TWB10" s="158"/>
      <c r="TWC10" s="158"/>
      <c r="TWD10" s="158"/>
      <c r="TWE10" s="158"/>
      <c r="TWF10" s="158"/>
      <c r="TWG10" s="158"/>
      <c r="TWH10" s="158"/>
      <c r="TWI10" s="158"/>
      <c r="TWJ10" s="158"/>
      <c r="TWK10" s="158"/>
      <c r="TWL10" s="158"/>
      <c r="TWM10" s="158"/>
      <c r="TWN10" s="158"/>
      <c r="TWO10" s="158"/>
      <c r="TWP10" s="158"/>
      <c r="TWQ10" s="158"/>
      <c r="TWR10" s="158"/>
      <c r="TWS10" s="158"/>
      <c r="TWT10" s="158"/>
      <c r="TWU10" s="158"/>
      <c r="TWV10" s="158"/>
      <c r="TWW10" s="158"/>
      <c r="TWX10" s="158"/>
      <c r="TWY10" s="158"/>
      <c r="TWZ10" s="158"/>
      <c r="TXA10" s="158"/>
      <c r="TXB10" s="158"/>
      <c r="TXC10" s="158"/>
      <c r="TXD10" s="158"/>
      <c r="TXE10" s="158"/>
      <c r="TXF10" s="158"/>
      <c r="TXG10" s="158"/>
      <c r="TXH10" s="158"/>
      <c r="TXI10" s="158"/>
      <c r="TXJ10" s="158"/>
      <c r="TXK10" s="158"/>
      <c r="TXL10" s="158"/>
      <c r="TXM10" s="158"/>
      <c r="TXN10" s="158"/>
      <c r="TXO10" s="158"/>
      <c r="TXP10" s="158"/>
      <c r="TXQ10" s="158"/>
      <c r="TXR10" s="158"/>
      <c r="TXS10" s="158"/>
      <c r="TXT10" s="158"/>
      <c r="TXU10" s="158"/>
      <c r="TXV10" s="158"/>
      <c r="TXW10" s="158"/>
      <c r="TXX10" s="158"/>
      <c r="TXY10" s="158"/>
      <c r="TXZ10" s="158"/>
      <c r="TYA10" s="158"/>
      <c r="TYB10" s="158"/>
      <c r="TYC10" s="158"/>
      <c r="TYD10" s="158"/>
      <c r="TYE10" s="158"/>
      <c r="TYF10" s="158"/>
      <c r="TYG10" s="158"/>
      <c r="TYH10" s="158"/>
      <c r="TYI10" s="158"/>
      <c r="TYJ10" s="158"/>
      <c r="TYK10" s="158"/>
      <c r="TYL10" s="158"/>
      <c r="TYM10" s="158"/>
      <c r="TYN10" s="158"/>
      <c r="TYO10" s="158"/>
      <c r="TYP10" s="158"/>
      <c r="TYQ10" s="158"/>
      <c r="TYR10" s="158"/>
      <c r="TYS10" s="158"/>
      <c r="TYT10" s="158"/>
      <c r="TYU10" s="158"/>
      <c r="TYV10" s="158"/>
      <c r="TYW10" s="158"/>
      <c r="TYX10" s="158"/>
      <c r="TYY10" s="158"/>
      <c r="TYZ10" s="158"/>
      <c r="TZA10" s="158"/>
      <c r="TZB10" s="158"/>
      <c r="TZC10" s="158"/>
      <c r="TZD10" s="158"/>
      <c r="TZE10" s="158"/>
      <c r="TZF10" s="158"/>
      <c r="TZG10" s="158"/>
      <c r="TZH10" s="158"/>
      <c r="TZI10" s="158"/>
      <c r="TZJ10" s="158"/>
      <c r="TZK10" s="158"/>
      <c r="TZL10" s="158"/>
      <c r="TZM10" s="158"/>
      <c r="TZN10" s="158"/>
      <c r="TZO10" s="158"/>
      <c r="TZP10" s="158"/>
      <c r="TZQ10" s="158"/>
      <c r="TZR10" s="158"/>
      <c r="TZS10" s="158"/>
      <c r="TZT10" s="158"/>
      <c r="TZU10" s="158"/>
      <c r="TZV10" s="158"/>
      <c r="TZW10" s="158"/>
      <c r="TZX10" s="158"/>
      <c r="TZY10" s="158"/>
      <c r="TZZ10" s="158"/>
      <c r="UAA10" s="158"/>
      <c r="UAB10" s="158"/>
      <c r="UAC10" s="158"/>
      <c r="UAD10" s="158"/>
      <c r="UAE10" s="158"/>
      <c r="UAF10" s="158"/>
      <c r="UAG10" s="158"/>
      <c r="UAH10" s="158"/>
      <c r="UAI10" s="158"/>
      <c r="UAJ10" s="158"/>
      <c r="UAK10" s="158"/>
      <c r="UAL10" s="158"/>
      <c r="UAM10" s="158"/>
      <c r="UAN10" s="158"/>
      <c r="UAO10" s="158"/>
      <c r="UAP10" s="158"/>
      <c r="UAQ10" s="158"/>
      <c r="UAR10" s="158"/>
      <c r="UAS10" s="158"/>
      <c r="UAT10" s="158"/>
      <c r="UAU10" s="158"/>
      <c r="UAV10" s="158"/>
      <c r="UAW10" s="158"/>
      <c r="UAX10" s="158"/>
      <c r="UAY10" s="158"/>
      <c r="UAZ10" s="158"/>
      <c r="UBA10" s="158"/>
      <c r="UBB10" s="158"/>
      <c r="UBC10" s="158"/>
      <c r="UBD10" s="158"/>
      <c r="UBE10" s="158"/>
      <c r="UBF10" s="158"/>
      <c r="UBG10" s="158"/>
      <c r="UBH10" s="158"/>
      <c r="UBI10" s="158"/>
      <c r="UBJ10" s="158"/>
      <c r="UBK10" s="158"/>
      <c r="UBL10" s="158"/>
      <c r="UBM10" s="158"/>
      <c r="UBN10" s="158"/>
      <c r="UBO10" s="158"/>
      <c r="UBP10" s="158"/>
      <c r="UBQ10" s="158"/>
      <c r="UBR10" s="158"/>
      <c r="UBS10" s="158"/>
      <c r="UBT10" s="158"/>
      <c r="UBU10" s="158"/>
      <c r="UBV10" s="158"/>
      <c r="UBW10" s="158"/>
      <c r="UBX10" s="158"/>
      <c r="UBY10" s="158"/>
      <c r="UBZ10" s="158"/>
      <c r="UCA10" s="158"/>
      <c r="UCB10" s="158"/>
      <c r="UCC10" s="158"/>
      <c r="UCD10" s="158"/>
      <c r="UCE10" s="158"/>
      <c r="UCF10" s="158"/>
      <c r="UCG10" s="158"/>
      <c r="UCH10" s="158"/>
      <c r="UCI10" s="158"/>
      <c r="UCJ10" s="158"/>
      <c r="UCK10" s="158"/>
      <c r="UCL10" s="158"/>
      <c r="UCM10" s="158"/>
      <c r="UCN10" s="158"/>
      <c r="UCO10" s="158"/>
      <c r="UCP10" s="158"/>
      <c r="UCQ10" s="158"/>
      <c r="UCR10" s="158"/>
      <c r="UCS10" s="158"/>
      <c r="UCT10" s="158"/>
      <c r="UCU10" s="158"/>
      <c r="UCV10" s="158"/>
      <c r="UCW10" s="158"/>
      <c r="UCX10" s="158"/>
      <c r="UCY10" s="158"/>
      <c r="UCZ10" s="158"/>
      <c r="UDA10" s="158"/>
      <c r="UDB10" s="158"/>
      <c r="UDC10" s="158"/>
      <c r="UDD10" s="158"/>
      <c r="UDE10" s="158"/>
      <c r="UDF10" s="158"/>
      <c r="UDG10" s="158"/>
      <c r="UDH10" s="158"/>
      <c r="UDI10" s="158"/>
      <c r="UDJ10" s="158"/>
      <c r="UDK10" s="158"/>
      <c r="UDL10" s="158"/>
      <c r="UDM10" s="158"/>
      <c r="UDN10" s="158"/>
      <c r="UDO10" s="158"/>
      <c r="UDP10" s="158"/>
      <c r="UDQ10" s="158"/>
      <c r="UDR10" s="158"/>
      <c r="UDS10" s="158"/>
      <c r="UDT10" s="158"/>
      <c r="UDU10" s="158"/>
      <c r="UDV10" s="158"/>
      <c r="UDW10" s="158"/>
      <c r="UDX10" s="158"/>
      <c r="UDY10" s="158"/>
      <c r="UDZ10" s="158"/>
      <c r="UEA10" s="158"/>
      <c r="UEB10" s="158"/>
      <c r="UEC10" s="158"/>
      <c r="UED10" s="158"/>
      <c r="UEE10" s="158"/>
      <c r="UEF10" s="158"/>
      <c r="UEG10" s="158"/>
      <c r="UEH10" s="158"/>
      <c r="UEI10" s="158"/>
      <c r="UEJ10" s="158"/>
      <c r="UEK10" s="158"/>
      <c r="UEL10" s="158"/>
      <c r="UEM10" s="158"/>
      <c r="UEN10" s="158"/>
      <c r="UEO10" s="158"/>
      <c r="UEP10" s="158"/>
      <c r="UEQ10" s="158"/>
      <c r="UER10" s="158"/>
      <c r="UES10" s="158"/>
      <c r="UET10" s="158"/>
      <c r="UEU10" s="158"/>
      <c r="UEV10" s="158"/>
      <c r="UEW10" s="158"/>
      <c r="UEX10" s="158"/>
      <c r="UEY10" s="158"/>
      <c r="UEZ10" s="158"/>
      <c r="UFA10" s="158"/>
      <c r="UFB10" s="158"/>
      <c r="UFC10" s="158"/>
      <c r="UFD10" s="158"/>
      <c r="UFE10" s="158"/>
      <c r="UFF10" s="158"/>
      <c r="UFG10" s="158"/>
      <c r="UFH10" s="158"/>
      <c r="UFI10" s="158"/>
      <c r="UFJ10" s="158"/>
      <c r="UFK10" s="158"/>
      <c r="UFL10" s="158"/>
      <c r="UFM10" s="158"/>
      <c r="UFN10" s="158"/>
      <c r="UFO10" s="158"/>
      <c r="UFP10" s="158"/>
      <c r="UFQ10" s="158"/>
      <c r="UFR10" s="158"/>
      <c r="UFS10" s="158"/>
      <c r="UFT10" s="158"/>
      <c r="UFU10" s="158"/>
      <c r="UFV10" s="158"/>
      <c r="UFW10" s="158"/>
      <c r="UFX10" s="158"/>
      <c r="UFY10" s="158"/>
      <c r="UFZ10" s="158"/>
      <c r="UGA10" s="158"/>
      <c r="UGB10" s="158"/>
      <c r="UGC10" s="158"/>
      <c r="UGD10" s="158"/>
      <c r="UGE10" s="158"/>
      <c r="UGF10" s="158"/>
      <c r="UGG10" s="158"/>
      <c r="UGH10" s="158"/>
      <c r="UGI10" s="158"/>
      <c r="UGJ10" s="158"/>
      <c r="UGK10" s="158"/>
      <c r="UGL10" s="158"/>
      <c r="UGM10" s="158"/>
      <c r="UGN10" s="158"/>
      <c r="UGO10" s="158"/>
      <c r="UGP10" s="158"/>
      <c r="UGQ10" s="158"/>
      <c r="UGR10" s="158"/>
      <c r="UGS10" s="158"/>
      <c r="UGT10" s="158"/>
      <c r="UGU10" s="158"/>
      <c r="UGV10" s="158"/>
      <c r="UGW10" s="158"/>
      <c r="UGX10" s="158"/>
      <c r="UGY10" s="158"/>
      <c r="UGZ10" s="158"/>
      <c r="UHA10" s="158"/>
      <c r="UHB10" s="158"/>
      <c r="UHC10" s="158"/>
      <c r="UHD10" s="158"/>
      <c r="UHE10" s="158"/>
      <c r="UHF10" s="158"/>
      <c r="UHG10" s="158"/>
      <c r="UHH10" s="158"/>
      <c r="UHI10" s="158"/>
      <c r="UHJ10" s="158"/>
      <c r="UHK10" s="158"/>
      <c r="UHL10" s="158"/>
      <c r="UHM10" s="158"/>
      <c r="UHN10" s="158"/>
      <c r="UHO10" s="158"/>
      <c r="UHP10" s="158"/>
      <c r="UHQ10" s="158"/>
      <c r="UHR10" s="158"/>
      <c r="UHS10" s="158"/>
      <c r="UHT10" s="158"/>
      <c r="UHU10" s="158"/>
      <c r="UHV10" s="158"/>
      <c r="UHW10" s="158"/>
      <c r="UHX10" s="158"/>
      <c r="UHY10" s="158"/>
      <c r="UHZ10" s="158"/>
      <c r="UIA10" s="158"/>
      <c r="UIB10" s="158"/>
      <c r="UIC10" s="158"/>
      <c r="UID10" s="158"/>
      <c r="UIE10" s="158"/>
      <c r="UIF10" s="158"/>
      <c r="UIG10" s="158"/>
      <c r="UIH10" s="158"/>
      <c r="UII10" s="158"/>
      <c r="UIJ10" s="158"/>
      <c r="UIK10" s="158"/>
      <c r="UIL10" s="158"/>
      <c r="UIM10" s="158"/>
      <c r="UIN10" s="158"/>
      <c r="UIO10" s="158"/>
      <c r="UIP10" s="158"/>
      <c r="UIQ10" s="158"/>
      <c r="UIR10" s="158"/>
      <c r="UIS10" s="158"/>
      <c r="UIT10" s="158"/>
      <c r="UIU10" s="158"/>
      <c r="UIV10" s="158"/>
      <c r="UIW10" s="158"/>
      <c r="UIX10" s="158"/>
      <c r="UIY10" s="158"/>
      <c r="UIZ10" s="158"/>
      <c r="UJA10" s="158"/>
      <c r="UJB10" s="158"/>
      <c r="UJC10" s="158"/>
      <c r="UJD10" s="158"/>
      <c r="UJE10" s="158"/>
      <c r="UJF10" s="158"/>
      <c r="UJG10" s="158"/>
      <c r="UJH10" s="158"/>
      <c r="UJI10" s="158"/>
      <c r="UJJ10" s="158"/>
      <c r="UJK10" s="158"/>
      <c r="UJL10" s="158"/>
      <c r="UJM10" s="158"/>
      <c r="UJN10" s="158"/>
      <c r="UJO10" s="158"/>
      <c r="UJP10" s="158"/>
      <c r="UJQ10" s="158"/>
      <c r="UJR10" s="158"/>
      <c r="UJS10" s="158"/>
      <c r="UJT10" s="158"/>
      <c r="UJU10" s="158"/>
      <c r="UJV10" s="158"/>
      <c r="UJW10" s="158"/>
      <c r="UJX10" s="158"/>
      <c r="UJY10" s="158"/>
      <c r="UJZ10" s="158"/>
      <c r="UKA10" s="158"/>
      <c r="UKB10" s="158"/>
      <c r="UKC10" s="158"/>
      <c r="UKD10" s="158"/>
      <c r="UKE10" s="158"/>
      <c r="UKF10" s="158"/>
      <c r="UKG10" s="158"/>
      <c r="UKH10" s="158"/>
      <c r="UKI10" s="158"/>
      <c r="UKJ10" s="158"/>
      <c r="UKK10" s="158"/>
      <c r="UKL10" s="158"/>
      <c r="UKM10" s="158"/>
      <c r="UKN10" s="158"/>
      <c r="UKO10" s="158"/>
      <c r="UKP10" s="158"/>
      <c r="UKQ10" s="158"/>
      <c r="UKR10" s="158"/>
      <c r="UKS10" s="158"/>
      <c r="UKT10" s="158"/>
      <c r="UKU10" s="158"/>
      <c r="UKV10" s="158"/>
      <c r="UKW10" s="158"/>
      <c r="UKX10" s="158"/>
      <c r="UKY10" s="158"/>
      <c r="UKZ10" s="158"/>
      <c r="ULA10" s="158"/>
      <c r="ULB10" s="158"/>
      <c r="ULC10" s="158"/>
      <c r="ULD10" s="158"/>
      <c r="ULE10" s="158"/>
      <c r="ULF10" s="158"/>
      <c r="ULG10" s="158"/>
      <c r="ULH10" s="158"/>
      <c r="ULI10" s="158"/>
      <c r="ULJ10" s="158"/>
      <c r="ULK10" s="158"/>
      <c r="ULL10" s="158"/>
      <c r="ULM10" s="158"/>
      <c r="ULN10" s="158"/>
      <c r="ULO10" s="158"/>
      <c r="ULP10" s="158"/>
      <c r="ULQ10" s="158"/>
      <c r="ULR10" s="158"/>
      <c r="ULS10" s="158"/>
      <c r="ULT10" s="158"/>
      <c r="ULU10" s="158"/>
      <c r="ULV10" s="158"/>
      <c r="ULW10" s="158"/>
      <c r="ULX10" s="158"/>
      <c r="ULY10" s="158"/>
      <c r="ULZ10" s="158"/>
      <c r="UMA10" s="158"/>
      <c r="UMB10" s="158"/>
      <c r="UMC10" s="158"/>
      <c r="UMD10" s="158"/>
      <c r="UME10" s="158"/>
      <c r="UMF10" s="158"/>
      <c r="UMG10" s="158"/>
      <c r="UMH10" s="158"/>
      <c r="UMI10" s="158"/>
      <c r="UMJ10" s="158"/>
      <c r="UMK10" s="158"/>
      <c r="UML10" s="158"/>
      <c r="UMM10" s="158"/>
      <c r="UMN10" s="158"/>
      <c r="UMO10" s="158"/>
      <c r="UMP10" s="158"/>
      <c r="UMQ10" s="158"/>
      <c r="UMR10" s="158"/>
      <c r="UMS10" s="158"/>
      <c r="UMT10" s="158"/>
      <c r="UMU10" s="158"/>
      <c r="UMV10" s="158"/>
      <c r="UMW10" s="158"/>
      <c r="UMX10" s="158"/>
      <c r="UMY10" s="158"/>
      <c r="UMZ10" s="158"/>
      <c r="UNA10" s="158"/>
      <c r="UNB10" s="158"/>
      <c r="UNC10" s="158"/>
      <c r="UND10" s="158"/>
      <c r="UNE10" s="158"/>
      <c r="UNF10" s="158"/>
      <c r="UNG10" s="158"/>
      <c r="UNH10" s="158"/>
      <c r="UNI10" s="158"/>
      <c r="UNJ10" s="158"/>
      <c r="UNK10" s="158"/>
      <c r="UNL10" s="158"/>
      <c r="UNM10" s="158"/>
      <c r="UNN10" s="158"/>
      <c r="UNO10" s="158"/>
      <c r="UNP10" s="158"/>
      <c r="UNQ10" s="158"/>
      <c r="UNR10" s="158"/>
      <c r="UNS10" s="158"/>
      <c r="UNT10" s="158"/>
      <c r="UNU10" s="158"/>
      <c r="UNV10" s="158"/>
      <c r="UNW10" s="158"/>
      <c r="UNX10" s="158"/>
      <c r="UNY10" s="158"/>
      <c r="UNZ10" s="158"/>
      <c r="UOA10" s="158"/>
      <c r="UOB10" s="158"/>
      <c r="UOC10" s="158"/>
      <c r="UOD10" s="158"/>
      <c r="UOE10" s="158"/>
      <c r="UOF10" s="158"/>
      <c r="UOG10" s="158"/>
      <c r="UOH10" s="158"/>
      <c r="UOI10" s="158"/>
      <c r="UOJ10" s="158"/>
      <c r="UOK10" s="158"/>
      <c r="UOL10" s="158"/>
      <c r="UOM10" s="158"/>
      <c r="UON10" s="158"/>
      <c r="UOO10" s="158"/>
      <c r="UOP10" s="158"/>
      <c r="UOQ10" s="158"/>
      <c r="UOR10" s="158"/>
      <c r="UOS10" s="158"/>
      <c r="UOT10" s="158"/>
      <c r="UOU10" s="158"/>
      <c r="UOV10" s="158"/>
      <c r="UOW10" s="158"/>
      <c r="UOX10" s="158"/>
      <c r="UOY10" s="158"/>
      <c r="UOZ10" s="158"/>
      <c r="UPA10" s="158"/>
      <c r="UPB10" s="158"/>
      <c r="UPC10" s="158"/>
      <c r="UPD10" s="158"/>
      <c r="UPE10" s="158"/>
      <c r="UPF10" s="158"/>
      <c r="UPG10" s="158"/>
      <c r="UPH10" s="158"/>
      <c r="UPI10" s="158"/>
      <c r="UPJ10" s="158"/>
      <c r="UPK10" s="158"/>
      <c r="UPL10" s="158"/>
      <c r="UPM10" s="158"/>
      <c r="UPN10" s="158"/>
      <c r="UPO10" s="158"/>
      <c r="UPP10" s="158"/>
      <c r="UPQ10" s="158"/>
      <c r="UPR10" s="158"/>
      <c r="UPS10" s="158"/>
      <c r="UPT10" s="158"/>
      <c r="UPU10" s="158"/>
      <c r="UPV10" s="158"/>
      <c r="UPW10" s="158"/>
      <c r="UPX10" s="158"/>
      <c r="UPY10" s="158"/>
      <c r="UPZ10" s="158"/>
      <c r="UQA10" s="158"/>
      <c r="UQB10" s="158"/>
      <c r="UQC10" s="158"/>
      <c r="UQD10" s="158"/>
      <c r="UQE10" s="158"/>
      <c r="UQF10" s="158"/>
      <c r="UQG10" s="158"/>
      <c r="UQH10" s="158"/>
      <c r="UQI10" s="158"/>
      <c r="UQJ10" s="158"/>
      <c r="UQK10" s="158"/>
      <c r="UQL10" s="158"/>
      <c r="UQM10" s="158"/>
      <c r="UQN10" s="158"/>
      <c r="UQO10" s="158"/>
      <c r="UQP10" s="158"/>
      <c r="UQQ10" s="158"/>
      <c r="UQR10" s="158"/>
      <c r="UQS10" s="158"/>
      <c r="UQT10" s="158"/>
      <c r="UQU10" s="158"/>
      <c r="UQV10" s="158"/>
      <c r="UQW10" s="158"/>
      <c r="UQX10" s="158"/>
      <c r="UQY10" s="158"/>
      <c r="UQZ10" s="158"/>
      <c r="URA10" s="158"/>
      <c r="URB10" s="158"/>
      <c r="URC10" s="158"/>
      <c r="URD10" s="158"/>
      <c r="URE10" s="158"/>
      <c r="URF10" s="158"/>
      <c r="URG10" s="158"/>
      <c r="URH10" s="158"/>
      <c r="URI10" s="158"/>
      <c r="URJ10" s="158"/>
      <c r="URK10" s="158"/>
      <c r="URL10" s="158"/>
      <c r="URM10" s="158"/>
      <c r="URN10" s="158"/>
      <c r="URO10" s="158"/>
      <c r="URP10" s="158"/>
      <c r="URQ10" s="158"/>
      <c r="URR10" s="158"/>
      <c r="URS10" s="158"/>
      <c r="URT10" s="158"/>
      <c r="URU10" s="158"/>
      <c r="URV10" s="158"/>
      <c r="URW10" s="158"/>
      <c r="URX10" s="158"/>
      <c r="URY10" s="158"/>
      <c r="URZ10" s="158"/>
      <c r="USA10" s="158"/>
      <c r="USB10" s="158"/>
      <c r="USC10" s="158"/>
      <c r="USD10" s="158"/>
      <c r="USE10" s="158"/>
      <c r="USF10" s="158"/>
      <c r="USG10" s="158"/>
      <c r="USH10" s="158"/>
      <c r="USI10" s="158"/>
      <c r="USJ10" s="158"/>
      <c r="USK10" s="158"/>
      <c r="USL10" s="158"/>
      <c r="USM10" s="158"/>
      <c r="USN10" s="158"/>
      <c r="USO10" s="158"/>
      <c r="USP10" s="158"/>
      <c r="USQ10" s="158"/>
      <c r="USR10" s="158"/>
      <c r="USS10" s="158"/>
      <c r="UST10" s="158"/>
      <c r="USU10" s="158"/>
      <c r="USV10" s="158"/>
      <c r="USW10" s="158"/>
      <c r="USX10" s="158"/>
      <c r="USY10" s="158"/>
      <c r="USZ10" s="158"/>
      <c r="UTA10" s="158"/>
      <c r="UTB10" s="158"/>
      <c r="UTC10" s="158"/>
      <c r="UTD10" s="158"/>
      <c r="UTE10" s="158"/>
      <c r="UTF10" s="158"/>
      <c r="UTG10" s="158"/>
      <c r="UTH10" s="158"/>
      <c r="UTI10" s="158"/>
      <c r="UTJ10" s="158"/>
      <c r="UTK10" s="158"/>
      <c r="UTL10" s="158"/>
      <c r="UTM10" s="158"/>
      <c r="UTN10" s="158"/>
      <c r="UTO10" s="158"/>
      <c r="UTP10" s="158"/>
      <c r="UTQ10" s="158"/>
      <c r="UTR10" s="158"/>
      <c r="UTS10" s="158"/>
      <c r="UTT10" s="158"/>
      <c r="UTU10" s="158"/>
      <c r="UTV10" s="158"/>
      <c r="UTW10" s="158"/>
      <c r="UTX10" s="158"/>
      <c r="UTY10" s="158"/>
      <c r="UTZ10" s="158"/>
      <c r="UUA10" s="158"/>
      <c r="UUB10" s="158"/>
      <c r="UUC10" s="158"/>
      <c r="UUD10" s="158"/>
      <c r="UUE10" s="158"/>
      <c r="UUF10" s="158"/>
      <c r="UUG10" s="158"/>
      <c r="UUH10" s="158"/>
      <c r="UUI10" s="158"/>
      <c r="UUJ10" s="158"/>
      <c r="UUK10" s="158"/>
      <c r="UUL10" s="158"/>
      <c r="UUM10" s="158"/>
      <c r="UUN10" s="158"/>
      <c r="UUO10" s="158"/>
      <c r="UUP10" s="158"/>
      <c r="UUQ10" s="158"/>
      <c r="UUR10" s="158"/>
      <c r="UUS10" s="158"/>
      <c r="UUT10" s="158"/>
      <c r="UUU10" s="158"/>
      <c r="UUV10" s="158"/>
      <c r="UUW10" s="158"/>
      <c r="UUX10" s="158"/>
      <c r="UUY10" s="158"/>
      <c r="UUZ10" s="158"/>
      <c r="UVA10" s="158"/>
      <c r="UVB10" s="158"/>
      <c r="UVC10" s="158"/>
      <c r="UVD10" s="158"/>
      <c r="UVE10" s="158"/>
      <c r="UVF10" s="158"/>
      <c r="UVG10" s="158"/>
      <c r="UVH10" s="158"/>
      <c r="UVI10" s="158"/>
      <c r="UVJ10" s="158"/>
      <c r="UVK10" s="158"/>
      <c r="UVL10" s="158"/>
      <c r="UVM10" s="158"/>
      <c r="UVN10" s="158"/>
      <c r="UVO10" s="158"/>
      <c r="UVP10" s="158"/>
      <c r="UVQ10" s="158"/>
      <c r="UVR10" s="158"/>
      <c r="UVS10" s="158"/>
      <c r="UVT10" s="158"/>
      <c r="UVU10" s="158"/>
      <c r="UVV10" s="158"/>
      <c r="UVW10" s="158"/>
      <c r="UVX10" s="158"/>
      <c r="UVY10" s="158"/>
      <c r="UVZ10" s="158"/>
      <c r="UWA10" s="158"/>
      <c r="UWB10" s="158"/>
      <c r="UWC10" s="158"/>
      <c r="UWD10" s="158"/>
      <c r="UWE10" s="158"/>
      <c r="UWF10" s="158"/>
      <c r="UWG10" s="158"/>
      <c r="UWH10" s="158"/>
      <c r="UWI10" s="158"/>
      <c r="UWJ10" s="158"/>
      <c r="UWK10" s="158"/>
      <c r="UWL10" s="158"/>
      <c r="UWM10" s="158"/>
      <c r="UWN10" s="158"/>
      <c r="UWO10" s="158"/>
      <c r="UWP10" s="158"/>
      <c r="UWQ10" s="158"/>
      <c r="UWR10" s="158"/>
      <c r="UWS10" s="158"/>
      <c r="UWT10" s="158"/>
      <c r="UWU10" s="158"/>
      <c r="UWV10" s="158"/>
      <c r="UWW10" s="158"/>
      <c r="UWX10" s="158"/>
      <c r="UWY10" s="158"/>
      <c r="UWZ10" s="158"/>
      <c r="UXA10" s="158"/>
      <c r="UXB10" s="158"/>
      <c r="UXC10" s="158"/>
      <c r="UXD10" s="158"/>
      <c r="UXE10" s="158"/>
      <c r="UXF10" s="158"/>
      <c r="UXG10" s="158"/>
      <c r="UXH10" s="158"/>
      <c r="UXI10" s="158"/>
      <c r="UXJ10" s="158"/>
      <c r="UXK10" s="158"/>
      <c r="UXL10" s="158"/>
      <c r="UXM10" s="158"/>
      <c r="UXN10" s="158"/>
      <c r="UXO10" s="158"/>
      <c r="UXP10" s="158"/>
      <c r="UXQ10" s="158"/>
      <c r="UXR10" s="158"/>
      <c r="UXS10" s="158"/>
      <c r="UXT10" s="158"/>
      <c r="UXU10" s="158"/>
      <c r="UXV10" s="158"/>
      <c r="UXW10" s="158"/>
      <c r="UXX10" s="158"/>
      <c r="UXY10" s="158"/>
      <c r="UXZ10" s="158"/>
      <c r="UYA10" s="158"/>
      <c r="UYB10" s="158"/>
      <c r="UYC10" s="158"/>
      <c r="UYD10" s="158"/>
      <c r="UYE10" s="158"/>
      <c r="UYF10" s="158"/>
      <c r="UYG10" s="158"/>
      <c r="UYH10" s="158"/>
      <c r="UYI10" s="158"/>
      <c r="UYJ10" s="158"/>
      <c r="UYK10" s="158"/>
      <c r="UYL10" s="158"/>
      <c r="UYM10" s="158"/>
      <c r="UYN10" s="158"/>
      <c r="UYO10" s="158"/>
      <c r="UYP10" s="158"/>
      <c r="UYQ10" s="158"/>
      <c r="UYR10" s="158"/>
      <c r="UYS10" s="158"/>
      <c r="UYT10" s="158"/>
      <c r="UYU10" s="158"/>
      <c r="UYV10" s="158"/>
      <c r="UYW10" s="158"/>
      <c r="UYX10" s="158"/>
      <c r="UYY10" s="158"/>
      <c r="UYZ10" s="158"/>
      <c r="UZA10" s="158"/>
      <c r="UZB10" s="158"/>
      <c r="UZC10" s="158"/>
      <c r="UZD10" s="158"/>
      <c r="UZE10" s="158"/>
      <c r="UZF10" s="158"/>
      <c r="UZG10" s="158"/>
      <c r="UZH10" s="158"/>
      <c r="UZI10" s="158"/>
      <c r="UZJ10" s="158"/>
      <c r="UZK10" s="158"/>
      <c r="UZL10" s="158"/>
      <c r="UZM10" s="158"/>
      <c r="UZN10" s="158"/>
      <c r="UZO10" s="158"/>
      <c r="UZP10" s="158"/>
      <c r="UZQ10" s="158"/>
      <c r="UZR10" s="158"/>
      <c r="UZS10" s="158"/>
      <c r="UZT10" s="158"/>
      <c r="UZU10" s="158"/>
      <c r="UZV10" s="158"/>
      <c r="UZW10" s="158"/>
      <c r="UZX10" s="158"/>
      <c r="UZY10" s="158"/>
      <c r="UZZ10" s="158"/>
      <c r="VAA10" s="158"/>
      <c r="VAB10" s="158"/>
      <c r="VAC10" s="158"/>
      <c r="VAD10" s="158"/>
      <c r="VAE10" s="158"/>
      <c r="VAF10" s="158"/>
      <c r="VAG10" s="158"/>
      <c r="VAH10" s="158"/>
      <c r="VAI10" s="158"/>
      <c r="VAJ10" s="158"/>
      <c r="VAK10" s="158"/>
      <c r="VAL10" s="158"/>
      <c r="VAM10" s="158"/>
      <c r="VAN10" s="158"/>
      <c r="VAO10" s="158"/>
      <c r="VAP10" s="158"/>
      <c r="VAQ10" s="158"/>
      <c r="VAR10" s="158"/>
      <c r="VAS10" s="158"/>
      <c r="VAT10" s="158"/>
      <c r="VAU10" s="158"/>
      <c r="VAV10" s="158"/>
      <c r="VAW10" s="158"/>
      <c r="VAX10" s="158"/>
      <c r="VAY10" s="158"/>
      <c r="VAZ10" s="158"/>
      <c r="VBA10" s="158"/>
      <c r="VBB10" s="158"/>
      <c r="VBC10" s="158"/>
      <c r="VBD10" s="158"/>
      <c r="VBE10" s="158"/>
      <c r="VBF10" s="158"/>
      <c r="VBG10" s="158"/>
      <c r="VBH10" s="158"/>
      <c r="VBI10" s="158"/>
      <c r="VBJ10" s="158"/>
      <c r="VBK10" s="158"/>
      <c r="VBL10" s="158"/>
      <c r="VBM10" s="158"/>
      <c r="VBN10" s="158"/>
      <c r="VBO10" s="158"/>
      <c r="VBP10" s="158"/>
      <c r="VBQ10" s="158"/>
      <c r="VBR10" s="158"/>
      <c r="VBS10" s="158"/>
      <c r="VBT10" s="158"/>
      <c r="VBU10" s="158"/>
      <c r="VBV10" s="158"/>
      <c r="VBW10" s="158"/>
      <c r="VBX10" s="158"/>
      <c r="VBY10" s="158"/>
      <c r="VBZ10" s="158"/>
      <c r="VCA10" s="158"/>
      <c r="VCB10" s="158"/>
      <c r="VCC10" s="158"/>
      <c r="VCD10" s="158"/>
      <c r="VCE10" s="158"/>
      <c r="VCF10" s="158"/>
      <c r="VCG10" s="158"/>
      <c r="VCH10" s="158"/>
      <c r="VCI10" s="158"/>
      <c r="VCJ10" s="158"/>
      <c r="VCK10" s="158"/>
      <c r="VCL10" s="158"/>
      <c r="VCM10" s="158"/>
      <c r="VCN10" s="158"/>
      <c r="VCO10" s="158"/>
      <c r="VCP10" s="158"/>
      <c r="VCQ10" s="158"/>
      <c r="VCR10" s="158"/>
      <c r="VCS10" s="158"/>
      <c r="VCT10" s="158"/>
      <c r="VCU10" s="158"/>
      <c r="VCV10" s="158"/>
      <c r="VCW10" s="158"/>
      <c r="VCX10" s="158"/>
      <c r="VCY10" s="158"/>
      <c r="VCZ10" s="158"/>
      <c r="VDA10" s="158"/>
      <c r="VDB10" s="158"/>
      <c r="VDC10" s="158"/>
      <c r="VDD10" s="158"/>
      <c r="VDE10" s="158"/>
      <c r="VDF10" s="158"/>
      <c r="VDG10" s="158"/>
      <c r="VDH10" s="158"/>
      <c r="VDI10" s="158"/>
      <c r="VDJ10" s="158"/>
      <c r="VDK10" s="158"/>
      <c r="VDL10" s="158"/>
      <c r="VDM10" s="158"/>
      <c r="VDN10" s="158"/>
      <c r="VDO10" s="158"/>
      <c r="VDP10" s="158"/>
      <c r="VDQ10" s="158"/>
      <c r="VDR10" s="158"/>
      <c r="VDS10" s="158"/>
      <c r="VDT10" s="158"/>
      <c r="VDU10" s="158"/>
      <c r="VDV10" s="158"/>
      <c r="VDW10" s="158"/>
      <c r="VDX10" s="158"/>
      <c r="VDY10" s="158"/>
      <c r="VDZ10" s="158"/>
      <c r="VEA10" s="158"/>
      <c r="VEB10" s="158"/>
      <c r="VEC10" s="158"/>
      <c r="VED10" s="158"/>
      <c r="VEE10" s="158"/>
      <c r="VEF10" s="158"/>
      <c r="VEG10" s="158"/>
      <c r="VEH10" s="158"/>
      <c r="VEI10" s="158"/>
      <c r="VEJ10" s="158"/>
      <c r="VEK10" s="158"/>
      <c r="VEL10" s="158"/>
      <c r="VEM10" s="158"/>
      <c r="VEN10" s="158"/>
      <c r="VEO10" s="158"/>
      <c r="VEP10" s="158"/>
      <c r="VEQ10" s="158"/>
      <c r="VER10" s="158"/>
      <c r="VES10" s="158"/>
      <c r="VET10" s="158"/>
      <c r="VEU10" s="158"/>
      <c r="VEV10" s="158"/>
      <c r="VEW10" s="158"/>
      <c r="VEX10" s="158"/>
      <c r="VEY10" s="158"/>
      <c r="VEZ10" s="158"/>
      <c r="VFA10" s="158"/>
      <c r="VFB10" s="158"/>
      <c r="VFC10" s="158"/>
      <c r="VFD10" s="158"/>
      <c r="VFE10" s="158"/>
      <c r="VFF10" s="158"/>
      <c r="VFG10" s="158"/>
      <c r="VFH10" s="158"/>
      <c r="VFI10" s="158"/>
      <c r="VFJ10" s="158"/>
      <c r="VFK10" s="158"/>
      <c r="VFL10" s="158"/>
      <c r="VFM10" s="158"/>
      <c r="VFN10" s="158"/>
      <c r="VFO10" s="158"/>
      <c r="VFP10" s="158"/>
      <c r="VFQ10" s="158"/>
      <c r="VFR10" s="158"/>
      <c r="VFS10" s="158"/>
      <c r="VFT10" s="158"/>
      <c r="VFU10" s="158"/>
      <c r="VFV10" s="158"/>
      <c r="VFW10" s="158"/>
      <c r="VFX10" s="158"/>
      <c r="VFY10" s="158"/>
      <c r="VFZ10" s="158"/>
      <c r="VGA10" s="158"/>
      <c r="VGB10" s="158"/>
      <c r="VGC10" s="158"/>
      <c r="VGD10" s="158"/>
      <c r="VGE10" s="158"/>
      <c r="VGF10" s="158"/>
      <c r="VGG10" s="158"/>
      <c r="VGH10" s="158"/>
      <c r="VGI10" s="158"/>
      <c r="VGJ10" s="158"/>
      <c r="VGK10" s="158"/>
      <c r="VGL10" s="158"/>
      <c r="VGM10" s="158"/>
      <c r="VGN10" s="158"/>
      <c r="VGO10" s="158"/>
      <c r="VGP10" s="158"/>
      <c r="VGQ10" s="158"/>
      <c r="VGR10" s="158"/>
      <c r="VGS10" s="158"/>
      <c r="VGT10" s="158"/>
      <c r="VGU10" s="158"/>
      <c r="VGV10" s="158"/>
      <c r="VGW10" s="158"/>
      <c r="VGX10" s="158"/>
      <c r="VGY10" s="158"/>
      <c r="VGZ10" s="158"/>
      <c r="VHA10" s="158"/>
      <c r="VHB10" s="158"/>
      <c r="VHC10" s="158"/>
      <c r="VHD10" s="158"/>
      <c r="VHE10" s="158"/>
      <c r="VHF10" s="158"/>
      <c r="VHG10" s="158"/>
      <c r="VHH10" s="158"/>
      <c r="VHI10" s="158"/>
      <c r="VHJ10" s="158"/>
      <c r="VHK10" s="158"/>
      <c r="VHL10" s="158"/>
      <c r="VHM10" s="158"/>
      <c r="VHN10" s="158"/>
      <c r="VHO10" s="158"/>
      <c r="VHP10" s="158"/>
      <c r="VHQ10" s="158"/>
      <c r="VHR10" s="158"/>
      <c r="VHS10" s="158"/>
      <c r="VHT10" s="158"/>
      <c r="VHU10" s="158"/>
      <c r="VHV10" s="158"/>
      <c r="VHW10" s="158"/>
      <c r="VHX10" s="158"/>
      <c r="VHY10" s="158"/>
      <c r="VHZ10" s="158"/>
      <c r="VIA10" s="158"/>
      <c r="VIB10" s="158"/>
      <c r="VIC10" s="158"/>
      <c r="VID10" s="158"/>
      <c r="VIE10" s="158"/>
      <c r="VIF10" s="158"/>
      <c r="VIG10" s="158"/>
      <c r="VIH10" s="158"/>
      <c r="VII10" s="158"/>
      <c r="VIJ10" s="158"/>
      <c r="VIK10" s="158"/>
      <c r="VIL10" s="158"/>
      <c r="VIM10" s="158"/>
      <c r="VIN10" s="158"/>
      <c r="VIO10" s="158"/>
      <c r="VIP10" s="158"/>
      <c r="VIQ10" s="158"/>
      <c r="VIR10" s="158"/>
      <c r="VIS10" s="158"/>
      <c r="VIT10" s="158"/>
      <c r="VIU10" s="158"/>
      <c r="VIV10" s="158"/>
      <c r="VIW10" s="158"/>
      <c r="VIX10" s="158"/>
      <c r="VIY10" s="158"/>
      <c r="VIZ10" s="158"/>
      <c r="VJA10" s="158"/>
      <c r="VJB10" s="158"/>
      <c r="VJC10" s="158"/>
      <c r="VJD10" s="158"/>
      <c r="VJE10" s="158"/>
      <c r="VJF10" s="158"/>
      <c r="VJG10" s="158"/>
      <c r="VJH10" s="158"/>
      <c r="VJI10" s="158"/>
      <c r="VJJ10" s="158"/>
      <c r="VJK10" s="158"/>
      <c r="VJL10" s="158"/>
      <c r="VJM10" s="158"/>
      <c r="VJN10" s="158"/>
      <c r="VJO10" s="158"/>
      <c r="VJP10" s="158"/>
      <c r="VJQ10" s="158"/>
      <c r="VJR10" s="158"/>
      <c r="VJS10" s="158"/>
      <c r="VJT10" s="158"/>
      <c r="VJU10" s="158"/>
      <c r="VJV10" s="158"/>
      <c r="VJW10" s="158"/>
      <c r="VJX10" s="158"/>
      <c r="VJY10" s="158"/>
      <c r="VJZ10" s="158"/>
      <c r="VKA10" s="158"/>
      <c r="VKB10" s="158"/>
      <c r="VKC10" s="158"/>
      <c r="VKD10" s="158"/>
      <c r="VKE10" s="158"/>
      <c r="VKF10" s="158"/>
      <c r="VKG10" s="158"/>
      <c r="VKH10" s="158"/>
      <c r="VKI10" s="158"/>
      <c r="VKJ10" s="158"/>
      <c r="VKK10" s="158"/>
      <c r="VKL10" s="158"/>
      <c r="VKM10" s="158"/>
      <c r="VKN10" s="158"/>
      <c r="VKO10" s="158"/>
      <c r="VKP10" s="158"/>
      <c r="VKQ10" s="158"/>
      <c r="VKR10" s="158"/>
      <c r="VKS10" s="158"/>
      <c r="VKT10" s="158"/>
      <c r="VKU10" s="158"/>
      <c r="VKV10" s="158"/>
      <c r="VKW10" s="158"/>
      <c r="VKX10" s="158"/>
      <c r="VKY10" s="158"/>
      <c r="VKZ10" s="158"/>
      <c r="VLA10" s="158"/>
      <c r="VLB10" s="158"/>
      <c r="VLC10" s="158"/>
      <c r="VLD10" s="158"/>
      <c r="VLE10" s="158"/>
      <c r="VLF10" s="158"/>
      <c r="VLG10" s="158"/>
      <c r="VLH10" s="158"/>
      <c r="VLI10" s="158"/>
      <c r="VLJ10" s="158"/>
      <c r="VLK10" s="158"/>
      <c r="VLL10" s="158"/>
      <c r="VLM10" s="158"/>
      <c r="VLN10" s="158"/>
      <c r="VLO10" s="158"/>
      <c r="VLP10" s="158"/>
      <c r="VLQ10" s="158"/>
      <c r="VLR10" s="158"/>
      <c r="VLS10" s="158"/>
      <c r="VLT10" s="158"/>
      <c r="VLU10" s="158"/>
      <c r="VLV10" s="158"/>
      <c r="VLW10" s="158"/>
      <c r="VLX10" s="158"/>
      <c r="VLY10" s="158"/>
      <c r="VLZ10" s="158"/>
      <c r="VMA10" s="158"/>
      <c r="VMB10" s="158"/>
      <c r="VMC10" s="158"/>
      <c r="VMD10" s="158"/>
      <c r="VME10" s="158"/>
      <c r="VMF10" s="158"/>
      <c r="VMG10" s="158"/>
      <c r="VMH10" s="158"/>
      <c r="VMI10" s="158"/>
      <c r="VMJ10" s="158"/>
      <c r="VMK10" s="158"/>
      <c r="VML10" s="158"/>
      <c r="VMM10" s="158"/>
      <c r="VMN10" s="158"/>
      <c r="VMO10" s="158"/>
      <c r="VMP10" s="158"/>
      <c r="VMQ10" s="158"/>
      <c r="VMR10" s="158"/>
      <c r="VMS10" s="158"/>
      <c r="VMT10" s="158"/>
      <c r="VMU10" s="158"/>
      <c r="VMV10" s="158"/>
      <c r="VMW10" s="158"/>
      <c r="VMX10" s="158"/>
      <c r="VMY10" s="158"/>
      <c r="VMZ10" s="158"/>
      <c r="VNA10" s="158"/>
      <c r="VNB10" s="158"/>
      <c r="VNC10" s="158"/>
      <c r="VND10" s="158"/>
      <c r="VNE10" s="158"/>
      <c r="VNF10" s="158"/>
      <c r="VNG10" s="158"/>
      <c r="VNH10" s="158"/>
      <c r="VNI10" s="158"/>
      <c r="VNJ10" s="158"/>
      <c r="VNK10" s="158"/>
      <c r="VNL10" s="158"/>
      <c r="VNM10" s="158"/>
      <c r="VNN10" s="158"/>
      <c r="VNO10" s="158"/>
      <c r="VNP10" s="158"/>
      <c r="VNQ10" s="158"/>
      <c r="VNR10" s="158"/>
      <c r="VNS10" s="158"/>
      <c r="VNT10" s="158"/>
      <c r="VNU10" s="158"/>
      <c r="VNV10" s="158"/>
      <c r="VNW10" s="158"/>
      <c r="VNX10" s="158"/>
      <c r="VNY10" s="158"/>
      <c r="VNZ10" s="158"/>
      <c r="VOA10" s="158"/>
      <c r="VOB10" s="158"/>
      <c r="VOC10" s="158"/>
      <c r="VOD10" s="158"/>
      <c r="VOE10" s="158"/>
      <c r="VOF10" s="158"/>
      <c r="VOG10" s="158"/>
      <c r="VOH10" s="158"/>
      <c r="VOI10" s="158"/>
      <c r="VOJ10" s="158"/>
      <c r="VOK10" s="158"/>
      <c r="VOL10" s="158"/>
      <c r="VOM10" s="158"/>
      <c r="VON10" s="158"/>
      <c r="VOO10" s="158"/>
      <c r="VOP10" s="158"/>
      <c r="VOQ10" s="158"/>
      <c r="VOR10" s="158"/>
      <c r="VOS10" s="158"/>
      <c r="VOT10" s="158"/>
      <c r="VOU10" s="158"/>
      <c r="VOV10" s="158"/>
      <c r="VOW10" s="158"/>
      <c r="VOX10" s="158"/>
      <c r="VOY10" s="158"/>
      <c r="VOZ10" s="158"/>
      <c r="VPA10" s="158"/>
      <c r="VPB10" s="158"/>
      <c r="VPC10" s="158"/>
      <c r="VPD10" s="158"/>
      <c r="VPE10" s="158"/>
      <c r="VPF10" s="158"/>
      <c r="VPG10" s="158"/>
      <c r="VPH10" s="158"/>
      <c r="VPI10" s="158"/>
      <c r="VPJ10" s="158"/>
      <c r="VPK10" s="158"/>
      <c r="VPL10" s="158"/>
      <c r="VPM10" s="158"/>
      <c r="VPN10" s="158"/>
      <c r="VPO10" s="158"/>
      <c r="VPP10" s="158"/>
      <c r="VPQ10" s="158"/>
      <c r="VPR10" s="158"/>
      <c r="VPS10" s="158"/>
      <c r="VPT10" s="158"/>
      <c r="VPU10" s="158"/>
      <c r="VPV10" s="158"/>
      <c r="VPW10" s="158"/>
      <c r="VPX10" s="158"/>
      <c r="VPY10" s="158"/>
      <c r="VPZ10" s="158"/>
      <c r="VQA10" s="158"/>
      <c r="VQB10" s="158"/>
      <c r="VQC10" s="158"/>
      <c r="VQD10" s="158"/>
      <c r="VQE10" s="158"/>
      <c r="VQF10" s="158"/>
      <c r="VQG10" s="158"/>
      <c r="VQH10" s="158"/>
      <c r="VQI10" s="158"/>
      <c r="VQJ10" s="158"/>
      <c r="VQK10" s="158"/>
      <c r="VQL10" s="158"/>
      <c r="VQM10" s="158"/>
      <c r="VQN10" s="158"/>
      <c r="VQO10" s="158"/>
      <c r="VQP10" s="158"/>
      <c r="VQQ10" s="158"/>
      <c r="VQR10" s="158"/>
      <c r="VQS10" s="158"/>
      <c r="VQT10" s="158"/>
      <c r="VQU10" s="158"/>
      <c r="VQV10" s="158"/>
      <c r="VQW10" s="158"/>
      <c r="VQX10" s="158"/>
      <c r="VQY10" s="158"/>
      <c r="VQZ10" s="158"/>
      <c r="VRA10" s="158"/>
      <c r="VRB10" s="158"/>
      <c r="VRC10" s="158"/>
      <c r="VRD10" s="158"/>
      <c r="VRE10" s="158"/>
      <c r="VRF10" s="158"/>
      <c r="VRG10" s="158"/>
      <c r="VRH10" s="158"/>
      <c r="VRI10" s="158"/>
      <c r="VRJ10" s="158"/>
      <c r="VRK10" s="158"/>
      <c r="VRL10" s="158"/>
      <c r="VRM10" s="158"/>
      <c r="VRN10" s="158"/>
      <c r="VRO10" s="158"/>
      <c r="VRP10" s="158"/>
      <c r="VRQ10" s="158"/>
      <c r="VRR10" s="158"/>
      <c r="VRS10" s="158"/>
      <c r="VRT10" s="158"/>
      <c r="VRU10" s="158"/>
      <c r="VRV10" s="158"/>
      <c r="VRW10" s="158"/>
      <c r="VRX10" s="158"/>
      <c r="VRY10" s="158"/>
      <c r="VRZ10" s="158"/>
      <c r="VSA10" s="158"/>
      <c r="VSB10" s="158"/>
      <c r="VSC10" s="158"/>
      <c r="VSD10" s="158"/>
      <c r="VSE10" s="158"/>
      <c r="VSF10" s="158"/>
      <c r="VSG10" s="158"/>
      <c r="VSH10" s="158"/>
      <c r="VSI10" s="158"/>
      <c r="VSJ10" s="158"/>
      <c r="VSK10" s="158"/>
      <c r="VSL10" s="158"/>
      <c r="VSM10" s="158"/>
      <c r="VSN10" s="158"/>
      <c r="VSO10" s="158"/>
      <c r="VSP10" s="158"/>
      <c r="VSQ10" s="158"/>
      <c r="VSR10" s="158"/>
      <c r="VSS10" s="158"/>
      <c r="VST10" s="158"/>
      <c r="VSU10" s="158"/>
      <c r="VSV10" s="158"/>
      <c r="VSW10" s="158"/>
      <c r="VSX10" s="158"/>
      <c r="VSY10" s="158"/>
      <c r="VSZ10" s="158"/>
      <c r="VTA10" s="158"/>
      <c r="VTB10" s="158"/>
      <c r="VTC10" s="158"/>
      <c r="VTD10" s="158"/>
      <c r="VTE10" s="158"/>
      <c r="VTF10" s="158"/>
      <c r="VTG10" s="158"/>
      <c r="VTH10" s="158"/>
      <c r="VTI10" s="158"/>
      <c r="VTJ10" s="158"/>
      <c r="VTK10" s="158"/>
      <c r="VTL10" s="158"/>
      <c r="VTM10" s="158"/>
      <c r="VTN10" s="158"/>
      <c r="VTO10" s="158"/>
      <c r="VTP10" s="158"/>
      <c r="VTQ10" s="158"/>
      <c r="VTR10" s="158"/>
      <c r="VTS10" s="158"/>
      <c r="VTT10" s="158"/>
      <c r="VTU10" s="158"/>
      <c r="VTV10" s="158"/>
      <c r="VTW10" s="158"/>
      <c r="VTX10" s="158"/>
      <c r="VTY10" s="158"/>
      <c r="VTZ10" s="158"/>
      <c r="VUA10" s="158"/>
      <c r="VUB10" s="158"/>
      <c r="VUC10" s="158"/>
      <c r="VUD10" s="158"/>
      <c r="VUE10" s="158"/>
      <c r="VUF10" s="158"/>
      <c r="VUG10" s="158"/>
      <c r="VUH10" s="158"/>
      <c r="VUI10" s="158"/>
      <c r="VUJ10" s="158"/>
      <c r="VUK10" s="158"/>
      <c r="VUL10" s="158"/>
      <c r="VUM10" s="158"/>
      <c r="VUN10" s="158"/>
      <c r="VUO10" s="158"/>
      <c r="VUP10" s="158"/>
      <c r="VUQ10" s="158"/>
      <c r="VUR10" s="158"/>
      <c r="VUS10" s="158"/>
      <c r="VUT10" s="158"/>
      <c r="VUU10" s="158"/>
      <c r="VUV10" s="158"/>
      <c r="VUW10" s="158"/>
      <c r="VUX10" s="158"/>
      <c r="VUY10" s="158"/>
      <c r="VUZ10" s="158"/>
      <c r="VVA10" s="158"/>
      <c r="VVB10" s="158"/>
      <c r="VVC10" s="158"/>
      <c r="VVD10" s="158"/>
      <c r="VVE10" s="158"/>
      <c r="VVF10" s="158"/>
      <c r="VVG10" s="158"/>
      <c r="VVH10" s="158"/>
      <c r="VVI10" s="158"/>
      <c r="VVJ10" s="158"/>
      <c r="VVK10" s="158"/>
      <c r="VVL10" s="158"/>
      <c r="VVM10" s="158"/>
      <c r="VVN10" s="158"/>
      <c r="VVO10" s="158"/>
      <c r="VVP10" s="158"/>
      <c r="VVQ10" s="158"/>
      <c r="VVR10" s="158"/>
      <c r="VVS10" s="158"/>
      <c r="VVT10" s="158"/>
      <c r="VVU10" s="158"/>
      <c r="VVV10" s="158"/>
      <c r="VVW10" s="158"/>
      <c r="VVX10" s="158"/>
      <c r="VVY10" s="158"/>
      <c r="VVZ10" s="158"/>
      <c r="VWA10" s="158"/>
      <c r="VWB10" s="158"/>
      <c r="VWC10" s="158"/>
      <c r="VWD10" s="158"/>
      <c r="VWE10" s="158"/>
      <c r="VWF10" s="158"/>
      <c r="VWG10" s="158"/>
      <c r="VWH10" s="158"/>
      <c r="VWI10" s="158"/>
      <c r="VWJ10" s="158"/>
      <c r="VWK10" s="158"/>
      <c r="VWL10" s="158"/>
      <c r="VWM10" s="158"/>
      <c r="VWN10" s="158"/>
      <c r="VWO10" s="158"/>
      <c r="VWP10" s="158"/>
      <c r="VWQ10" s="158"/>
      <c r="VWR10" s="158"/>
      <c r="VWS10" s="158"/>
      <c r="VWT10" s="158"/>
      <c r="VWU10" s="158"/>
      <c r="VWV10" s="158"/>
      <c r="VWW10" s="158"/>
      <c r="VWX10" s="158"/>
      <c r="VWY10" s="158"/>
      <c r="VWZ10" s="158"/>
      <c r="VXA10" s="158"/>
      <c r="VXB10" s="158"/>
      <c r="VXC10" s="158"/>
      <c r="VXD10" s="158"/>
      <c r="VXE10" s="158"/>
      <c r="VXF10" s="158"/>
      <c r="VXG10" s="158"/>
      <c r="VXH10" s="158"/>
      <c r="VXI10" s="158"/>
      <c r="VXJ10" s="158"/>
      <c r="VXK10" s="158"/>
      <c r="VXL10" s="158"/>
      <c r="VXM10" s="158"/>
      <c r="VXN10" s="158"/>
      <c r="VXO10" s="158"/>
      <c r="VXP10" s="158"/>
      <c r="VXQ10" s="158"/>
      <c r="VXR10" s="158"/>
      <c r="VXS10" s="158"/>
      <c r="VXT10" s="158"/>
      <c r="VXU10" s="158"/>
      <c r="VXV10" s="158"/>
      <c r="VXW10" s="158"/>
      <c r="VXX10" s="158"/>
      <c r="VXY10" s="158"/>
      <c r="VXZ10" s="158"/>
      <c r="VYA10" s="158"/>
      <c r="VYB10" s="158"/>
      <c r="VYC10" s="158"/>
      <c r="VYD10" s="158"/>
      <c r="VYE10" s="158"/>
      <c r="VYF10" s="158"/>
      <c r="VYG10" s="158"/>
      <c r="VYH10" s="158"/>
      <c r="VYI10" s="158"/>
      <c r="VYJ10" s="158"/>
      <c r="VYK10" s="158"/>
      <c r="VYL10" s="158"/>
      <c r="VYM10" s="158"/>
      <c r="VYN10" s="158"/>
      <c r="VYO10" s="158"/>
      <c r="VYP10" s="158"/>
      <c r="VYQ10" s="158"/>
      <c r="VYR10" s="158"/>
      <c r="VYS10" s="158"/>
      <c r="VYT10" s="158"/>
      <c r="VYU10" s="158"/>
      <c r="VYV10" s="158"/>
      <c r="VYW10" s="158"/>
      <c r="VYX10" s="158"/>
      <c r="VYY10" s="158"/>
      <c r="VYZ10" s="158"/>
      <c r="VZA10" s="158"/>
      <c r="VZB10" s="158"/>
      <c r="VZC10" s="158"/>
      <c r="VZD10" s="158"/>
      <c r="VZE10" s="158"/>
      <c r="VZF10" s="158"/>
      <c r="VZG10" s="158"/>
      <c r="VZH10" s="158"/>
      <c r="VZI10" s="158"/>
      <c r="VZJ10" s="158"/>
      <c r="VZK10" s="158"/>
      <c r="VZL10" s="158"/>
      <c r="VZM10" s="158"/>
      <c r="VZN10" s="158"/>
      <c r="VZO10" s="158"/>
      <c r="VZP10" s="158"/>
      <c r="VZQ10" s="158"/>
      <c r="VZR10" s="158"/>
      <c r="VZS10" s="158"/>
      <c r="VZT10" s="158"/>
      <c r="VZU10" s="158"/>
      <c r="VZV10" s="158"/>
      <c r="VZW10" s="158"/>
      <c r="VZX10" s="158"/>
      <c r="VZY10" s="158"/>
      <c r="VZZ10" s="158"/>
      <c r="WAA10" s="158"/>
      <c r="WAB10" s="158"/>
      <c r="WAC10" s="158"/>
      <c r="WAD10" s="158"/>
      <c r="WAE10" s="158"/>
      <c r="WAF10" s="158"/>
      <c r="WAG10" s="158"/>
      <c r="WAH10" s="158"/>
      <c r="WAI10" s="158"/>
      <c r="WAJ10" s="158"/>
      <c r="WAK10" s="158"/>
      <c r="WAL10" s="158"/>
      <c r="WAM10" s="158"/>
      <c r="WAN10" s="158"/>
      <c r="WAO10" s="158"/>
      <c r="WAP10" s="158"/>
      <c r="WAQ10" s="158"/>
      <c r="WAR10" s="158"/>
      <c r="WAS10" s="158"/>
      <c r="WAT10" s="158"/>
      <c r="WAU10" s="158"/>
      <c r="WAV10" s="158"/>
      <c r="WAW10" s="158"/>
      <c r="WAX10" s="158"/>
      <c r="WAY10" s="158"/>
      <c r="WAZ10" s="158"/>
      <c r="WBA10" s="158"/>
      <c r="WBB10" s="158"/>
      <c r="WBC10" s="158"/>
      <c r="WBD10" s="158"/>
      <c r="WBE10" s="158"/>
      <c r="WBF10" s="158"/>
      <c r="WBG10" s="158"/>
      <c r="WBH10" s="158"/>
      <c r="WBI10" s="158"/>
      <c r="WBJ10" s="158"/>
      <c r="WBK10" s="158"/>
      <c r="WBL10" s="158"/>
      <c r="WBM10" s="158"/>
      <c r="WBN10" s="158"/>
      <c r="WBO10" s="158"/>
      <c r="WBP10" s="158"/>
      <c r="WBQ10" s="158"/>
      <c r="WBR10" s="158"/>
      <c r="WBS10" s="158"/>
      <c r="WBT10" s="158"/>
      <c r="WBU10" s="158"/>
      <c r="WBV10" s="158"/>
      <c r="WBW10" s="158"/>
      <c r="WBX10" s="158"/>
      <c r="WBY10" s="158"/>
      <c r="WBZ10" s="158"/>
      <c r="WCA10" s="158"/>
      <c r="WCB10" s="158"/>
      <c r="WCC10" s="158"/>
      <c r="WCD10" s="158"/>
      <c r="WCE10" s="158"/>
      <c r="WCF10" s="158"/>
      <c r="WCG10" s="158"/>
      <c r="WCH10" s="158"/>
      <c r="WCI10" s="158"/>
      <c r="WCJ10" s="158"/>
      <c r="WCK10" s="158"/>
      <c r="WCL10" s="158"/>
      <c r="WCM10" s="158"/>
      <c r="WCN10" s="158"/>
      <c r="WCO10" s="158"/>
      <c r="WCP10" s="158"/>
      <c r="WCQ10" s="158"/>
      <c r="WCR10" s="158"/>
      <c r="WCS10" s="158"/>
      <c r="WCT10" s="158"/>
      <c r="WCU10" s="158"/>
      <c r="WCV10" s="158"/>
      <c r="WCW10" s="158"/>
      <c r="WCX10" s="158"/>
      <c r="WCY10" s="158"/>
      <c r="WCZ10" s="158"/>
      <c r="WDA10" s="158"/>
      <c r="WDB10" s="158"/>
      <c r="WDC10" s="158"/>
      <c r="WDD10" s="158"/>
      <c r="WDE10" s="158"/>
      <c r="WDF10" s="158"/>
      <c r="WDG10" s="158"/>
      <c r="WDH10" s="158"/>
      <c r="WDI10" s="158"/>
      <c r="WDJ10" s="158"/>
      <c r="WDK10" s="158"/>
      <c r="WDL10" s="158"/>
      <c r="WDM10" s="158"/>
      <c r="WDN10" s="158"/>
      <c r="WDO10" s="158"/>
      <c r="WDP10" s="158"/>
      <c r="WDQ10" s="158"/>
      <c r="WDR10" s="158"/>
      <c r="WDS10" s="158"/>
      <c r="WDT10" s="158"/>
      <c r="WDU10" s="158"/>
      <c r="WDV10" s="158"/>
      <c r="WDW10" s="158"/>
      <c r="WDX10" s="158"/>
      <c r="WDY10" s="158"/>
      <c r="WDZ10" s="158"/>
      <c r="WEA10" s="158"/>
      <c r="WEB10" s="158"/>
      <c r="WEC10" s="158"/>
      <c r="WED10" s="158"/>
      <c r="WEE10" s="158"/>
      <c r="WEF10" s="158"/>
      <c r="WEG10" s="158"/>
      <c r="WEH10" s="158"/>
      <c r="WEI10" s="158"/>
      <c r="WEJ10" s="158"/>
      <c r="WEK10" s="158"/>
      <c r="WEL10" s="158"/>
      <c r="WEM10" s="158"/>
      <c r="WEN10" s="158"/>
      <c r="WEO10" s="158"/>
      <c r="WEP10" s="158"/>
      <c r="WEQ10" s="158"/>
      <c r="WER10" s="158"/>
      <c r="WES10" s="158"/>
      <c r="WET10" s="158"/>
      <c r="WEU10" s="158"/>
      <c r="WEV10" s="158"/>
      <c r="WEW10" s="158"/>
      <c r="WEX10" s="158"/>
      <c r="WEY10" s="158"/>
      <c r="WEZ10" s="158"/>
      <c r="WFA10" s="158"/>
      <c r="WFB10" s="158"/>
      <c r="WFC10" s="158"/>
      <c r="WFD10" s="158"/>
      <c r="WFE10" s="158"/>
      <c r="WFF10" s="158"/>
      <c r="WFG10" s="158"/>
      <c r="WFH10" s="158"/>
      <c r="WFI10" s="158"/>
      <c r="WFJ10" s="158"/>
      <c r="WFK10" s="158"/>
      <c r="WFL10" s="158"/>
      <c r="WFM10" s="158"/>
      <c r="WFN10" s="158"/>
      <c r="WFO10" s="158"/>
      <c r="WFP10" s="158"/>
      <c r="WFQ10" s="158"/>
      <c r="WFR10" s="158"/>
      <c r="WFS10" s="158"/>
      <c r="WFT10" s="158"/>
      <c r="WFU10" s="158"/>
      <c r="WFV10" s="158"/>
      <c r="WFW10" s="158"/>
      <c r="WFX10" s="158"/>
      <c r="WFY10" s="158"/>
      <c r="WFZ10" s="158"/>
      <c r="WGA10" s="158"/>
      <c r="WGB10" s="158"/>
      <c r="WGC10" s="158"/>
      <c r="WGD10" s="158"/>
      <c r="WGE10" s="158"/>
      <c r="WGF10" s="158"/>
      <c r="WGG10" s="158"/>
      <c r="WGH10" s="158"/>
      <c r="WGI10" s="158"/>
      <c r="WGJ10" s="158"/>
      <c r="WGK10" s="158"/>
      <c r="WGL10" s="158"/>
      <c r="WGM10" s="158"/>
      <c r="WGN10" s="158"/>
      <c r="WGO10" s="158"/>
      <c r="WGP10" s="158"/>
      <c r="WGQ10" s="158"/>
      <c r="WGR10" s="158"/>
      <c r="WGS10" s="158"/>
      <c r="WGT10" s="158"/>
      <c r="WGU10" s="158"/>
      <c r="WGV10" s="158"/>
      <c r="WGW10" s="158"/>
      <c r="WGX10" s="158"/>
      <c r="WGY10" s="158"/>
      <c r="WGZ10" s="158"/>
      <c r="WHA10" s="158"/>
      <c r="WHB10" s="158"/>
      <c r="WHC10" s="158"/>
      <c r="WHD10" s="158"/>
      <c r="WHE10" s="158"/>
      <c r="WHF10" s="158"/>
      <c r="WHG10" s="158"/>
      <c r="WHH10" s="158"/>
      <c r="WHI10" s="158"/>
      <c r="WHJ10" s="158"/>
      <c r="WHK10" s="158"/>
      <c r="WHL10" s="158"/>
      <c r="WHM10" s="158"/>
      <c r="WHN10" s="158"/>
      <c r="WHO10" s="158"/>
      <c r="WHP10" s="158"/>
      <c r="WHQ10" s="158"/>
      <c r="WHR10" s="158"/>
      <c r="WHS10" s="158"/>
      <c r="WHT10" s="158"/>
      <c r="WHU10" s="158"/>
      <c r="WHV10" s="158"/>
      <c r="WHW10" s="158"/>
      <c r="WHX10" s="158"/>
      <c r="WHY10" s="158"/>
      <c r="WHZ10" s="158"/>
      <c r="WIA10" s="158"/>
      <c r="WIB10" s="158"/>
      <c r="WIC10" s="158"/>
      <c r="WID10" s="158"/>
      <c r="WIE10" s="158"/>
      <c r="WIF10" s="158"/>
      <c r="WIG10" s="158"/>
      <c r="WIH10" s="158"/>
      <c r="WII10" s="158"/>
      <c r="WIJ10" s="158"/>
      <c r="WIK10" s="158"/>
      <c r="WIL10" s="158"/>
      <c r="WIM10" s="158"/>
      <c r="WIN10" s="158"/>
      <c r="WIO10" s="158"/>
      <c r="WIP10" s="158"/>
      <c r="WIQ10" s="158"/>
      <c r="WIR10" s="158"/>
      <c r="WIS10" s="158"/>
      <c r="WIT10" s="158"/>
      <c r="WIU10" s="158"/>
      <c r="WIV10" s="158"/>
      <c r="WIW10" s="158"/>
      <c r="WIX10" s="158"/>
      <c r="WIY10" s="158"/>
      <c r="WIZ10" s="158"/>
      <c r="WJA10" s="158"/>
      <c r="WJB10" s="158"/>
      <c r="WJC10" s="158"/>
      <c r="WJD10" s="158"/>
      <c r="WJE10" s="158"/>
      <c r="WJF10" s="158"/>
      <c r="WJG10" s="158"/>
      <c r="WJH10" s="158"/>
      <c r="WJI10" s="158"/>
      <c r="WJJ10" s="158"/>
      <c r="WJK10" s="158"/>
      <c r="WJL10" s="158"/>
      <c r="WJM10" s="158"/>
      <c r="WJN10" s="158"/>
      <c r="WJO10" s="158"/>
      <c r="WJP10" s="158"/>
      <c r="WJQ10" s="158"/>
      <c r="WJR10" s="158"/>
      <c r="WJS10" s="158"/>
      <c r="WJT10" s="158"/>
      <c r="WJU10" s="158"/>
      <c r="WJV10" s="158"/>
      <c r="WJW10" s="158"/>
      <c r="WJX10" s="158"/>
      <c r="WJY10" s="158"/>
      <c r="WJZ10" s="158"/>
      <c r="WKA10" s="158"/>
      <c r="WKB10" s="158"/>
      <c r="WKC10" s="158"/>
      <c r="WKD10" s="158"/>
      <c r="WKE10" s="158"/>
      <c r="WKF10" s="158"/>
      <c r="WKG10" s="158"/>
      <c r="WKH10" s="158"/>
      <c r="WKI10" s="158"/>
      <c r="WKJ10" s="158"/>
      <c r="WKK10" s="158"/>
      <c r="WKL10" s="158"/>
      <c r="WKM10" s="158"/>
      <c r="WKN10" s="158"/>
      <c r="WKO10" s="158"/>
      <c r="WKP10" s="158"/>
      <c r="WKQ10" s="158"/>
      <c r="WKR10" s="158"/>
      <c r="WKS10" s="158"/>
      <c r="WKT10" s="158"/>
      <c r="WKU10" s="158"/>
      <c r="WKV10" s="158"/>
      <c r="WKW10" s="158"/>
      <c r="WKX10" s="158"/>
      <c r="WKY10" s="158"/>
      <c r="WKZ10" s="158"/>
      <c r="WLA10" s="158"/>
      <c r="WLB10" s="158"/>
      <c r="WLC10" s="158"/>
      <c r="WLD10" s="158"/>
      <c r="WLE10" s="158"/>
      <c r="WLF10" s="158"/>
      <c r="WLG10" s="158"/>
      <c r="WLH10" s="158"/>
      <c r="WLI10" s="158"/>
      <c r="WLJ10" s="158"/>
      <c r="WLK10" s="158"/>
      <c r="WLL10" s="158"/>
      <c r="WLM10" s="158"/>
      <c r="WLN10" s="158"/>
      <c r="WLO10" s="158"/>
      <c r="WLP10" s="158"/>
      <c r="WLQ10" s="158"/>
      <c r="WLR10" s="158"/>
      <c r="WLS10" s="158"/>
      <c r="WLT10" s="158"/>
      <c r="WLU10" s="158"/>
      <c r="WLV10" s="158"/>
      <c r="WLW10" s="158"/>
      <c r="WLX10" s="158"/>
      <c r="WLY10" s="158"/>
      <c r="WLZ10" s="158"/>
      <c r="WMA10" s="158"/>
      <c r="WMB10" s="158"/>
      <c r="WMC10" s="158"/>
      <c r="WMD10" s="158"/>
      <c r="WME10" s="158"/>
      <c r="WMF10" s="158"/>
      <c r="WMG10" s="158"/>
      <c r="WMH10" s="158"/>
      <c r="WMI10" s="158"/>
      <c r="WMJ10" s="158"/>
      <c r="WMK10" s="158"/>
      <c r="WML10" s="158"/>
      <c r="WMM10" s="158"/>
      <c r="WMN10" s="158"/>
      <c r="WMO10" s="158"/>
      <c r="WMP10" s="158"/>
      <c r="WMQ10" s="158"/>
      <c r="WMR10" s="158"/>
      <c r="WMS10" s="158"/>
      <c r="WMT10" s="158"/>
      <c r="WMU10" s="158"/>
      <c r="WMV10" s="158"/>
      <c r="WMW10" s="158"/>
      <c r="WMX10" s="158"/>
      <c r="WMY10" s="158"/>
      <c r="WMZ10" s="158"/>
      <c r="WNA10" s="158"/>
      <c r="WNB10" s="158"/>
      <c r="WNC10" s="158"/>
      <c r="WND10" s="158"/>
      <c r="WNE10" s="158"/>
      <c r="WNF10" s="158"/>
      <c r="WNG10" s="158"/>
      <c r="WNH10" s="158"/>
      <c r="WNI10" s="158"/>
      <c r="WNJ10" s="158"/>
      <c r="WNK10" s="158"/>
      <c r="WNL10" s="158"/>
      <c r="WNM10" s="158"/>
      <c r="WNN10" s="158"/>
      <c r="WNO10" s="158"/>
      <c r="WNP10" s="158"/>
      <c r="WNQ10" s="158"/>
      <c r="WNR10" s="158"/>
      <c r="WNS10" s="158"/>
      <c r="WNT10" s="158"/>
      <c r="WNU10" s="158"/>
      <c r="WNV10" s="158"/>
      <c r="WNW10" s="158"/>
      <c r="WNX10" s="158"/>
      <c r="WNY10" s="158"/>
      <c r="WNZ10" s="158"/>
      <c r="WOA10" s="158"/>
      <c r="WOB10" s="158"/>
      <c r="WOC10" s="158"/>
      <c r="WOD10" s="158"/>
      <c r="WOE10" s="158"/>
      <c r="WOF10" s="158"/>
      <c r="WOG10" s="158"/>
      <c r="WOH10" s="158"/>
      <c r="WOI10" s="158"/>
      <c r="WOJ10" s="158"/>
      <c r="WOK10" s="158"/>
      <c r="WOL10" s="158"/>
      <c r="WOM10" s="158"/>
      <c r="WON10" s="158"/>
      <c r="WOO10" s="158"/>
      <c r="WOP10" s="158"/>
      <c r="WOQ10" s="158"/>
      <c r="WOR10" s="158"/>
      <c r="WOS10" s="158"/>
      <c r="WOT10" s="158"/>
      <c r="WOU10" s="158"/>
      <c r="WOV10" s="158"/>
      <c r="WOW10" s="158"/>
      <c r="WOX10" s="158"/>
      <c r="WOY10" s="158"/>
      <c r="WOZ10" s="158"/>
      <c r="WPA10" s="158"/>
      <c r="WPB10" s="158"/>
      <c r="WPC10" s="158"/>
      <c r="WPD10" s="158"/>
      <c r="WPE10" s="158"/>
      <c r="WPF10" s="158"/>
      <c r="WPG10" s="158"/>
      <c r="WPH10" s="158"/>
      <c r="WPI10" s="158"/>
      <c r="WPJ10" s="158"/>
      <c r="WPK10" s="158"/>
      <c r="WPL10" s="158"/>
      <c r="WPM10" s="158"/>
      <c r="WPN10" s="158"/>
      <c r="WPO10" s="158"/>
      <c r="WPP10" s="158"/>
      <c r="WPQ10" s="158"/>
      <c r="WPR10" s="158"/>
      <c r="WPS10" s="158"/>
      <c r="WPT10" s="158"/>
      <c r="WPU10" s="158"/>
      <c r="WPV10" s="158"/>
      <c r="WPW10" s="158"/>
      <c r="WPX10" s="158"/>
      <c r="WPY10" s="158"/>
      <c r="WPZ10" s="158"/>
      <c r="WQA10" s="158"/>
      <c r="WQB10" s="158"/>
      <c r="WQC10" s="158"/>
      <c r="WQD10" s="158"/>
      <c r="WQE10" s="158"/>
      <c r="WQF10" s="158"/>
      <c r="WQG10" s="158"/>
      <c r="WQH10" s="158"/>
      <c r="WQI10" s="158"/>
      <c r="WQJ10" s="158"/>
      <c r="WQK10" s="158"/>
      <c r="WQL10" s="158"/>
      <c r="WQM10" s="158"/>
      <c r="WQN10" s="158"/>
      <c r="WQO10" s="158"/>
      <c r="WQP10" s="158"/>
      <c r="WQQ10" s="158"/>
      <c r="WQR10" s="158"/>
      <c r="WQS10" s="158"/>
      <c r="WQT10" s="158"/>
      <c r="WQU10" s="158"/>
      <c r="WQV10" s="158"/>
      <c r="WQW10" s="158"/>
      <c r="WQX10" s="158"/>
      <c r="WQY10" s="158"/>
      <c r="WQZ10" s="158"/>
      <c r="WRA10" s="158"/>
      <c r="WRB10" s="158"/>
      <c r="WRC10" s="158"/>
      <c r="WRD10" s="158"/>
      <c r="WRE10" s="158"/>
      <c r="WRF10" s="158"/>
      <c r="WRG10" s="158"/>
      <c r="WRH10" s="158"/>
      <c r="WRI10" s="158"/>
      <c r="WRJ10" s="158"/>
      <c r="WRK10" s="158"/>
      <c r="WRL10" s="158"/>
      <c r="WRM10" s="158"/>
      <c r="WRN10" s="158"/>
      <c r="WRO10" s="158"/>
      <c r="WRP10" s="158"/>
      <c r="WRQ10" s="158"/>
      <c r="WRR10" s="158"/>
      <c r="WRS10" s="158"/>
      <c r="WRT10" s="158"/>
      <c r="WRU10" s="158"/>
      <c r="WRV10" s="158"/>
      <c r="WRW10" s="158"/>
      <c r="WRX10" s="158"/>
      <c r="WRY10" s="158"/>
      <c r="WRZ10" s="158"/>
      <c r="WSA10" s="158"/>
      <c r="WSB10" s="158"/>
      <c r="WSC10" s="158"/>
      <c r="WSD10" s="158"/>
      <c r="WSE10" s="158"/>
      <c r="WSF10" s="158"/>
      <c r="WSG10" s="158"/>
      <c r="WSH10" s="158"/>
      <c r="WSI10" s="158"/>
      <c r="WSJ10" s="158"/>
      <c r="WSK10" s="158"/>
      <c r="WSL10" s="158"/>
      <c r="WSM10" s="158"/>
      <c r="WSN10" s="158"/>
      <c r="WSO10" s="158"/>
      <c r="WSP10" s="158"/>
      <c r="WSQ10" s="158"/>
      <c r="WSR10" s="158"/>
      <c r="WSS10" s="158"/>
      <c r="WST10" s="158"/>
      <c r="WSU10" s="158"/>
      <c r="WSV10" s="158"/>
      <c r="WSW10" s="158"/>
      <c r="WSX10" s="158"/>
      <c r="WSY10" s="158"/>
      <c r="WSZ10" s="158"/>
      <c r="WTA10" s="158"/>
      <c r="WTB10" s="158"/>
      <c r="WTC10" s="158"/>
      <c r="WTD10" s="158"/>
      <c r="WTE10" s="158"/>
      <c r="WTF10" s="158"/>
      <c r="WTG10" s="158"/>
      <c r="WTH10" s="158"/>
      <c r="WTI10" s="158"/>
      <c r="WTJ10" s="158"/>
      <c r="WTK10" s="158"/>
      <c r="WTL10" s="158"/>
      <c r="WTM10" s="158"/>
      <c r="WTN10" s="158"/>
      <c r="WTO10" s="158"/>
      <c r="WTP10" s="158"/>
      <c r="WTQ10" s="158"/>
      <c r="WTR10" s="158"/>
      <c r="WTS10" s="158"/>
      <c r="WTT10" s="158"/>
      <c r="WTU10" s="158"/>
      <c r="WTV10" s="158"/>
      <c r="WTW10" s="158"/>
      <c r="WTX10" s="158"/>
      <c r="WTY10" s="158"/>
      <c r="WTZ10" s="158"/>
      <c r="WUA10" s="158"/>
      <c r="WUB10" s="158"/>
      <c r="WUC10" s="158"/>
      <c r="WUD10" s="158"/>
      <c r="WUE10" s="158"/>
      <c r="WUF10" s="158"/>
      <c r="WUG10" s="158"/>
      <c r="WUH10" s="158"/>
      <c r="WUI10" s="158"/>
      <c r="WUJ10" s="158"/>
      <c r="WUK10" s="158"/>
      <c r="WUL10" s="158"/>
      <c r="WUM10" s="158"/>
      <c r="WUN10" s="158"/>
      <c r="WUO10" s="158"/>
      <c r="WUP10" s="158"/>
      <c r="WUQ10" s="158"/>
      <c r="WUR10" s="158"/>
      <c r="WUS10" s="158"/>
      <c r="WUT10" s="158"/>
      <c r="WUU10" s="158"/>
      <c r="WUV10" s="158"/>
      <c r="WUW10" s="158"/>
      <c r="WUX10" s="158"/>
      <c r="WUY10" s="158"/>
      <c r="WUZ10" s="158"/>
      <c r="WVA10" s="158"/>
      <c r="WVB10" s="158"/>
      <c r="WVC10" s="158"/>
      <c r="WVD10" s="158"/>
      <c r="WVE10" s="158"/>
      <c r="WVF10" s="158"/>
      <c r="WVG10" s="158"/>
      <c r="WVH10" s="158"/>
      <c r="WVI10" s="158"/>
      <c r="WVJ10" s="158"/>
      <c r="WVK10" s="158"/>
      <c r="WVL10" s="158"/>
      <c r="WVM10" s="158"/>
      <c r="WVN10" s="158"/>
      <c r="WVO10" s="158"/>
      <c r="WVP10" s="158"/>
      <c r="WVQ10" s="158"/>
      <c r="WVR10" s="158"/>
      <c r="WVS10" s="158"/>
      <c r="WVT10" s="158"/>
      <c r="WVU10" s="158"/>
      <c r="WVV10" s="158"/>
      <c r="WVW10" s="158"/>
      <c r="WVX10" s="158"/>
      <c r="WVY10" s="158"/>
      <c r="WVZ10" s="158"/>
      <c r="WWA10" s="158"/>
      <c r="WWB10" s="158"/>
      <c r="WWC10" s="158"/>
      <c r="WWD10" s="158"/>
      <c r="WWE10" s="158"/>
      <c r="WWF10" s="158"/>
      <c r="WWG10" s="158"/>
      <c r="WWH10" s="158"/>
      <c r="WWI10" s="158"/>
      <c r="WWJ10" s="158"/>
      <c r="WWK10" s="158"/>
      <c r="WWL10" s="158"/>
      <c r="WWM10" s="158"/>
      <c r="WWN10" s="158"/>
      <c r="WWO10" s="158"/>
      <c r="WWP10" s="158"/>
      <c r="WWQ10" s="158"/>
      <c r="WWR10" s="158"/>
      <c r="WWS10" s="158"/>
      <c r="WWT10" s="158"/>
      <c r="WWU10" s="158"/>
      <c r="WWV10" s="158"/>
      <c r="WWW10" s="158"/>
      <c r="WWX10" s="158"/>
      <c r="WWY10" s="158"/>
      <c r="WWZ10" s="158"/>
      <c r="WXA10" s="158"/>
      <c r="WXB10" s="158"/>
      <c r="WXC10" s="158"/>
      <c r="WXD10" s="158"/>
      <c r="WXE10" s="158"/>
      <c r="WXF10" s="158"/>
      <c r="WXG10" s="158"/>
      <c r="WXH10" s="158"/>
      <c r="WXI10" s="158"/>
      <c r="WXJ10" s="158"/>
      <c r="WXK10" s="158"/>
      <c r="WXL10" s="158"/>
      <c r="WXM10" s="158"/>
      <c r="WXN10" s="158"/>
      <c r="WXO10" s="158"/>
      <c r="WXP10" s="158"/>
      <c r="WXQ10" s="158"/>
      <c r="WXR10" s="158"/>
      <c r="WXS10" s="158"/>
      <c r="WXT10" s="158"/>
      <c r="WXU10" s="158"/>
      <c r="WXV10" s="158"/>
      <c r="WXW10" s="158"/>
      <c r="WXX10" s="158"/>
      <c r="WXY10" s="158"/>
      <c r="WXZ10" s="158"/>
      <c r="WYA10" s="158"/>
      <c r="WYB10" s="158"/>
      <c r="WYC10" s="158"/>
      <c r="WYD10" s="158"/>
      <c r="WYE10" s="158"/>
      <c r="WYF10" s="158"/>
      <c r="WYG10" s="158"/>
      <c r="WYH10" s="158"/>
      <c r="WYI10" s="158"/>
      <c r="WYJ10" s="158"/>
      <c r="WYK10" s="158"/>
      <c r="WYL10" s="158"/>
      <c r="WYM10" s="158"/>
      <c r="WYN10" s="158"/>
      <c r="WYO10" s="158"/>
      <c r="WYP10" s="158"/>
      <c r="WYQ10" s="158"/>
      <c r="WYR10" s="158"/>
      <c r="WYS10" s="158"/>
      <c r="WYT10" s="158"/>
      <c r="WYU10" s="158"/>
      <c r="WYV10" s="158"/>
      <c r="WYW10" s="158"/>
      <c r="WYX10" s="158"/>
      <c r="WYY10" s="158"/>
      <c r="WYZ10" s="158"/>
      <c r="WZA10" s="158"/>
      <c r="WZB10" s="158"/>
      <c r="WZC10" s="158"/>
      <c r="WZD10" s="158"/>
      <c r="WZE10" s="158"/>
      <c r="WZF10" s="158"/>
      <c r="WZG10" s="158"/>
      <c r="WZH10" s="158"/>
      <c r="WZI10" s="158"/>
      <c r="WZJ10" s="158"/>
      <c r="WZK10" s="158"/>
      <c r="WZL10" s="158"/>
      <c r="WZM10" s="158"/>
      <c r="WZN10" s="158"/>
      <c r="WZO10" s="158"/>
      <c r="WZP10" s="158"/>
      <c r="WZQ10" s="158"/>
      <c r="WZR10" s="158"/>
      <c r="WZS10" s="158"/>
      <c r="WZT10" s="158"/>
      <c r="WZU10" s="158"/>
      <c r="WZV10" s="158"/>
      <c r="WZW10" s="158"/>
      <c r="WZX10" s="158"/>
      <c r="WZY10" s="158"/>
      <c r="WZZ10" s="158"/>
      <c r="XAA10" s="158"/>
      <c r="XAB10" s="158"/>
      <c r="XAC10" s="158"/>
      <c r="XAD10" s="158"/>
      <c r="XAE10" s="158"/>
      <c r="XAF10" s="158"/>
      <c r="XAG10" s="158"/>
      <c r="XAH10" s="158"/>
      <c r="XAI10" s="158"/>
      <c r="XAJ10" s="158"/>
      <c r="XAK10" s="158"/>
      <c r="XAL10" s="158"/>
      <c r="XAM10" s="158"/>
      <c r="XAN10" s="158"/>
      <c r="XAO10" s="158"/>
      <c r="XAP10" s="158"/>
      <c r="XAQ10" s="158"/>
      <c r="XAR10" s="158"/>
      <c r="XAS10" s="158"/>
      <c r="XAT10" s="158"/>
      <c r="XAU10" s="158"/>
      <c r="XAV10" s="158"/>
      <c r="XAW10" s="158"/>
      <c r="XAX10" s="158"/>
      <c r="XAY10" s="158"/>
      <c r="XAZ10" s="158"/>
      <c r="XBA10" s="158"/>
      <c r="XBB10" s="158"/>
      <c r="XBC10" s="158"/>
      <c r="XBD10" s="158"/>
      <c r="XBE10" s="158"/>
      <c r="XBF10" s="158"/>
      <c r="XBG10" s="158"/>
      <c r="XBH10" s="158"/>
      <c r="XBI10" s="158"/>
      <c r="XBJ10" s="158"/>
      <c r="XBK10" s="158"/>
      <c r="XBL10" s="158"/>
      <c r="XBM10" s="158"/>
      <c r="XBN10" s="158"/>
      <c r="XBO10" s="158"/>
      <c r="XBP10" s="158"/>
      <c r="XBQ10" s="158"/>
      <c r="XBR10" s="158"/>
      <c r="XBS10" s="158"/>
      <c r="XBT10" s="158"/>
      <c r="XBU10" s="158"/>
      <c r="XBV10" s="158"/>
      <c r="XBW10" s="158"/>
      <c r="XBX10" s="158"/>
      <c r="XBY10" s="158"/>
      <c r="XBZ10" s="158"/>
      <c r="XCA10" s="158"/>
      <c r="XCB10" s="158"/>
      <c r="XCC10" s="158"/>
      <c r="XCD10" s="158"/>
      <c r="XCE10" s="158"/>
      <c r="XCF10" s="158"/>
      <c r="XCG10" s="158"/>
      <c r="XCH10" s="158"/>
      <c r="XCI10" s="158"/>
      <c r="XCJ10" s="158"/>
      <c r="XCK10" s="158"/>
      <c r="XCL10" s="158"/>
      <c r="XCM10" s="158"/>
      <c r="XCN10" s="158"/>
      <c r="XCO10" s="158"/>
      <c r="XCP10" s="158"/>
      <c r="XCQ10" s="158"/>
      <c r="XCR10" s="158"/>
      <c r="XCS10" s="158"/>
      <c r="XCT10" s="158"/>
      <c r="XCU10" s="158"/>
      <c r="XCV10" s="158"/>
      <c r="XCW10" s="158"/>
      <c r="XCX10" s="158"/>
      <c r="XCY10" s="158"/>
      <c r="XCZ10" s="158"/>
      <c r="XDA10" s="158"/>
      <c r="XDB10" s="158"/>
      <c r="XDC10" s="158"/>
      <c r="XDD10" s="158"/>
      <c r="XDE10" s="158"/>
      <c r="XDF10" s="158"/>
      <c r="XDG10" s="158"/>
      <c r="XDH10" s="158"/>
      <c r="XDI10" s="158"/>
      <c r="XDJ10" s="158"/>
      <c r="XDK10" s="158"/>
      <c r="XDL10" s="158"/>
      <c r="XDM10" s="158"/>
      <c r="XDN10" s="158"/>
      <c r="XDO10" s="158"/>
      <c r="XDP10" s="158"/>
      <c r="XDQ10" s="158"/>
      <c r="XDR10" s="158"/>
      <c r="XDS10" s="158"/>
      <c r="XDT10" s="158"/>
      <c r="XDU10" s="158"/>
      <c r="XDV10" s="158"/>
      <c r="XDW10" s="158"/>
      <c r="XDX10" s="158"/>
      <c r="XDY10" s="158"/>
      <c r="XDZ10" s="158"/>
      <c r="XEA10" s="158"/>
      <c r="XEB10" s="158"/>
      <c r="XEC10" s="158"/>
      <c r="XED10" s="158"/>
      <c r="XEE10" s="158"/>
      <c r="XEF10" s="158"/>
      <c r="XEG10" s="158"/>
      <c r="XEH10" s="158"/>
      <c r="XEI10" s="158"/>
      <c r="XEJ10" s="158"/>
      <c r="XEK10" s="158"/>
      <c r="XEL10" s="158"/>
      <c r="XEM10" s="158"/>
      <c r="XEN10" s="158"/>
      <c r="XEO10" s="158"/>
      <c r="XEP10" s="158"/>
      <c r="XEQ10" s="158"/>
      <c r="XER10" s="158"/>
      <c r="XES10" s="158"/>
      <c r="XET10" s="158"/>
      <c r="XEU10" s="158"/>
      <c r="XEV10" s="158"/>
      <c r="XEW10" s="158"/>
      <c r="XEX10" s="158"/>
      <c r="XEY10" s="158"/>
      <c r="XEZ10" s="158"/>
      <c r="XFA10" s="158"/>
      <c r="XFB10" s="158"/>
    </row>
    <row r="11" spans="1:16382" s="224" customFormat="1" ht="13.5" customHeight="1">
      <c r="A11" s="225">
        <v>3</v>
      </c>
      <c r="B11" s="217" t="s">
        <v>2195</v>
      </c>
      <c r="C11" s="240"/>
      <c r="D11" s="241"/>
      <c r="E11" s="241"/>
      <c r="F11" s="241"/>
      <c r="G11" s="241"/>
      <c r="H11" s="728" t="s">
        <v>2594</v>
      </c>
      <c r="I11" s="316" t="s">
        <v>2595</v>
      </c>
      <c r="J11" s="745"/>
      <c r="K11" s="729" t="s">
        <v>2198</v>
      </c>
      <c r="L11" s="728" t="s">
        <v>817</v>
      </c>
      <c r="M11" s="730"/>
      <c r="N11" s="728" t="s">
        <v>863</v>
      </c>
      <c r="O11" s="731"/>
      <c r="P11" s="728"/>
      <c r="Q11" s="732"/>
      <c r="R11" s="732" t="s">
        <v>864</v>
      </c>
      <c r="S11" s="232"/>
      <c r="T11" s="733"/>
      <c r="U11" s="728"/>
      <c r="V11" s="734"/>
      <c r="W11" s="728"/>
      <c r="X11" s="731"/>
    </row>
    <row r="12" spans="1:16382" s="224" customFormat="1" ht="13.5" customHeight="1">
      <c r="A12" s="225">
        <v>4</v>
      </c>
      <c r="B12" s="727" t="s">
        <v>2240</v>
      </c>
      <c r="C12" s="218"/>
      <c r="D12" s="241"/>
      <c r="E12" s="218"/>
      <c r="F12" s="218"/>
      <c r="G12" s="218"/>
      <c r="H12" s="255"/>
      <c r="I12" s="497"/>
      <c r="J12" s="729"/>
      <c r="K12" s="729" t="s">
        <v>2241</v>
      </c>
      <c r="L12" s="263" t="s">
        <v>820</v>
      </c>
      <c r="M12" s="730" t="s">
        <v>864</v>
      </c>
      <c r="N12" s="728" t="s">
        <v>2241</v>
      </c>
      <c r="O12" s="731"/>
      <c r="P12" s="728"/>
      <c r="Q12" s="732" t="s">
        <v>864</v>
      </c>
      <c r="R12" s="732" t="s">
        <v>864</v>
      </c>
      <c r="S12" s="379"/>
      <c r="T12" s="245"/>
      <c r="U12" s="255"/>
      <c r="V12" s="373"/>
      <c r="W12" s="249"/>
      <c r="X12" s="249"/>
      <c r="Y12" s="249"/>
      <c r="Z12" s="249"/>
      <c r="AA12" s="249"/>
      <c r="AB12" s="249"/>
      <c r="AC12" s="249"/>
      <c r="AD12" s="249"/>
      <c r="AE12" s="249"/>
      <c r="AF12" s="249"/>
      <c r="AG12" s="249"/>
      <c r="AH12" s="249"/>
      <c r="AI12" s="249"/>
      <c r="AJ12" s="249"/>
      <c r="AK12" s="249"/>
      <c r="AL12" s="249"/>
      <c r="AM12" s="249"/>
      <c r="AN12" s="249"/>
      <c r="AO12" s="249"/>
      <c r="AP12" s="249"/>
      <c r="AQ12" s="249"/>
      <c r="AR12" s="249"/>
      <c r="AS12" s="249"/>
      <c r="AT12" s="249"/>
      <c r="AU12" s="249"/>
      <c r="AV12" s="249"/>
      <c r="AW12" s="249"/>
      <c r="AX12" s="249"/>
      <c r="AY12" s="249"/>
      <c r="AZ12" s="249"/>
      <c r="BA12" s="249"/>
      <c r="BB12" s="249"/>
      <c r="BC12" s="249"/>
      <c r="BD12" s="249"/>
      <c r="BE12" s="249"/>
      <c r="BF12" s="249"/>
      <c r="BG12" s="249"/>
      <c r="BH12" s="249"/>
      <c r="BI12" s="249"/>
      <c r="BJ12" s="249"/>
      <c r="BK12" s="249"/>
      <c r="BL12" s="249"/>
      <c r="BM12" s="249"/>
      <c r="BN12" s="249"/>
      <c r="BO12" s="249"/>
      <c r="BP12" s="249"/>
      <c r="BQ12" s="249"/>
      <c r="BR12" s="249"/>
      <c r="BS12" s="249"/>
      <c r="BT12" s="249"/>
      <c r="BU12" s="249"/>
      <c r="BV12" s="249"/>
      <c r="BW12" s="249"/>
      <c r="BX12" s="249"/>
      <c r="BY12" s="249"/>
      <c r="BZ12" s="249"/>
      <c r="CA12" s="249"/>
      <c r="CB12" s="249"/>
      <c r="CC12" s="249"/>
      <c r="CD12" s="249"/>
      <c r="CE12" s="249"/>
      <c r="CF12" s="249"/>
      <c r="CG12" s="249"/>
      <c r="CH12" s="249"/>
      <c r="CI12" s="249"/>
      <c r="CJ12" s="249"/>
      <c r="CK12" s="249"/>
      <c r="CL12" s="249"/>
      <c r="CM12" s="249"/>
      <c r="CN12" s="249"/>
      <c r="CO12" s="249"/>
      <c r="CP12" s="249"/>
      <c r="CQ12" s="249"/>
      <c r="CR12" s="249"/>
      <c r="CS12" s="249"/>
      <c r="CT12" s="249"/>
      <c r="CU12" s="249"/>
      <c r="CV12" s="249"/>
      <c r="CW12" s="249"/>
      <c r="CX12" s="249"/>
      <c r="CY12" s="249"/>
      <c r="CZ12" s="249"/>
      <c r="DA12" s="249"/>
      <c r="DB12" s="249"/>
      <c r="DC12" s="249"/>
      <c r="DD12" s="249"/>
      <c r="DE12" s="249"/>
      <c r="DF12" s="249"/>
      <c r="DG12" s="249"/>
      <c r="DH12" s="249"/>
      <c r="DI12" s="249"/>
      <c r="DJ12" s="249"/>
      <c r="DK12" s="249"/>
      <c r="DL12" s="249"/>
      <c r="DM12" s="249"/>
      <c r="DN12" s="249"/>
      <c r="DO12" s="249"/>
      <c r="DP12" s="249"/>
      <c r="DQ12" s="249"/>
      <c r="DR12" s="249"/>
      <c r="DS12" s="249"/>
      <c r="DT12" s="249"/>
      <c r="DU12" s="249"/>
      <c r="DV12" s="249"/>
      <c r="DW12" s="249"/>
      <c r="DX12" s="249"/>
      <c r="DY12" s="249"/>
      <c r="DZ12" s="249"/>
      <c r="EA12" s="249"/>
      <c r="EB12" s="249"/>
      <c r="EC12" s="249"/>
      <c r="ED12" s="249"/>
      <c r="EE12" s="249"/>
      <c r="EF12" s="249"/>
      <c r="EG12" s="249"/>
      <c r="EH12" s="249"/>
      <c r="EI12" s="249"/>
      <c r="EJ12" s="249"/>
      <c r="EK12" s="249"/>
      <c r="EL12" s="249"/>
      <c r="EM12" s="249"/>
      <c r="EN12" s="249"/>
      <c r="EO12" s="249"/>
      <c r="EP12" s="249"/>
      <c r="EQ12" s="249"/>
      <c r="ER12" s="249"/>
      <c r="ES12" s="249"/>
      <c r="ET12" s="249"/>
      <c r="EU12" s="249"/>
      <c r="EV12" s="249"/>
      <c r="EW12" s="249"/>
      <c r="EX12" s="249"/>
      <c r="EY12" s="249"/>
      <c r="EZ12" s="249"/>
      <c r="FA12" s="249"/>
      <c r="FB12" s="249"/>
      <c r="FC12" s="249"/>
      <c r="FD12" s="249"/>
      <c r="FE12" s="249"/>
      <c r="FF12" s="249"/>
      <c r="FG12" s="249"/>
      <c r="FH12" s="249"/>
      <c r="FI12" s="249"/>
      <c r="FJ12" s="249"/>
      <c r="FK12" s="249"/>
      <c r="FL12" s="249"/>
      <c r="FM12" s="249"/>
      <c r="FN12" s="249"/>
      <c r="FO12" s="249"/>
      <c r="FP12" s="249"/>
      <c r="FQ12" s="249"/>
      <c r="FR12" s="249"/>
      <c r="FS12" s="249"/>
      <c r="FT12" s="249"/>
      <c r="FU12" s="249"/>
      <c r="FV12" s="249"/>
      <c r="FW12" s="249"/>
      <c r="FX12" s="249"/>
      <c r="FY12" s="249"/>
      <c r="FZ12" s="249"/>
      <c r="GA12" s="249"/>
      <c r="GB12" s="249"/>
      <c r="GC12" s="249"/>
      <c r="GD12" s="249"/>
      <c r="GE12" s="249"/>
      <c r="GF12" s="249"/>
      <c r="GG12" s="249"/>
      <c r="GH12" s="249"/>
      <c r="GI12" s="249"/>
      <c r="GJ12" s="249"/>
      <c r="GK12" s="249"/>
      <c r="GL12" s="249"/>
      <c r="GM12" s="249"/>
      <c r="GN12" s="249"/>
      <c r="GO12" s="249"/>
      <c r="GP12" s="249"/>
      <c r="GQ12" s="249"/>
      <c r="GR12" s="249"/>
      <c r="GS12" s="249"/>
      <c r="GT12" s="249"/>
      <c r="GU12" s="249"/>
      <c r="GV12" s="249"/>
      <c r="GW12" s="249"/>
      <c r="GX12" s="249"/>
      <c r="GY12" s="249"/>
      <c r="GZ12" s="249"/>
      <c r="HA12" s="249"/>
      <c r="HB12" s="249"/>
      <c r="HC12" s="249"/>
      <c r="HD12" s="249"/>
      <c r="HE12" s="249"/>
      <c r="HF12" s="249"/>
      <c r="HG12" s="249"/>
      <c r="HH12" s="249"/>
      <c r="HI12" s="249"/>
      <c r="HJ12" s="249"/>
      <c r="HK12" s="249"/>
      <c r="HL12" s="249"/>
      <c r="HM12" s="249"/>
      <c r="HN12" s="249"/>
      <c r="HO12" s="249"/>
      <c r="HP12" s="249"/>
      <c r="HQ12" s="249"/>
      <c r="HR12" s="249"/>
      <c r="HS12" s="249"/>
      <c r="HT12" s="249"/>
      <c r="HU12" s="249"/>
      <c r="HV12" s="249"/>
      <c r="HW12" s="249"/>
      <c r="HX12" s="249"/>
      <c r="HY12" s="249"/>
      <c r="HZ12" s="249"/>
      <c r="IA12" s="249"/>
      <c r="IB12" s="249"/>
      <c r="IC12" s="249"/>
      <c r="ID12" s="249"/>
      <c r="IE12" s="249"/>
      <c r="IF12" s="249"/>
      <c r="IG12" s="249"/>
      <c r="IH12" s="249"/>
      <c r="II12" s="249"/>
      <c r="IJ12" s="249"/>
      <c r="IK12" s="249"/>
      <c r="IL12" s="249"/>
      <c r="IM12" s="249"/>
      <c r="IN12" s="249"/>
      <c r="IO12" s="249"/>
      <c r="IP12" s="249"/>
      <c r="IQ12" s="249"/>
      <c r="IR12" s="249"/>
      <c r="IS12" s="249"/>
      <c r="IT12" s="249"/>
      <c r="IU12" s="249"/>
      <c r="IV12" s="249"/>
      <c r="IW12" s="249"/>
      <c r="IX12" s="249"/>
      <c r="IY12" s="249"/>
      <c r="IZ12" s="249"/>
      <c r="JA12" s="249"/>
      <c r="JB12" s="249"/>
      <c r="JC12" s="249"/>
      <c r="JD12" s="249"/>
      <c r="JE12" s="249"/>
      <c r="JF12" s="249"/>
      <c r="JG12" s="249"/>
      <c r="JH12" s="249"/>
      <c r="JI12" s="249"/>
      <c r="JJ12" s="249"/>
      <c r="JK12" s="249"/>
      <c r="JL12" s="249"/>
      <c r="JM12" s="249"/>
      <c r="JN12" s="249"/>
      <c r="JO12" s="249"/>
      <c r="JP12" s="249"/>
      <c r="JQ12" s="249"/>
      <c r="JR12" s="249"/>
      <c r="JS12" s="249"/>
      <c r="JT12" s="249"/>
      <c r="JU12" s="249"/>
      <c r="JV12" s="249"/>
      <c r="JW12" s="249"/>
      <c r="JX12" s="249"/>
      <c r="JY12" s="249"/>
      <c r="JZ12" s="249"/>
      <c r="KA12" s="249"/>
      <c r="KB12" s="249"/>
      <c r="KC12" s="249"/>
      <c r="KD12" s="249"/>
      <c r="KE12" s="249"/>
      <c r="KF12" s="249"/>
      <c r="KG12" s="249"/>
      <c r="KH12" s="249"/>
      <c r="KI12" s="249"/>
      <c r="KJ12" s="249"/>
      <c r="KK12" s="249"/>
      <c r="KL12" s="249"/>
      <c r="KM12" s="249"/>
      <c r="KN12" s="249"/>
      <c r="KO12" s="249"/>
      <c r="KP12" s="249"/>
      <c r="KQ12" s="249"/>
      <c r="KR12" s="249"/>
      <c r="KS12" s="249"/>
      <c r="KT12" s="249"/>
      <c r="KU12" s="249"/>
      <c r="KV12" s="249"/>
      <c r="KW12" s="249"/>
      <c r="KX12" s="249"/>
      <c r="KY12" s="249"/>
      <c r="KZ12" s="249"/>
      <c r="LA12" s="249"/>
      <c r="LB12" s="249"/>
      <c r="LC12" s="249"/>
      <c r="LD12" s="249"/>
      <c r="LE12" s="249"/>
      <c r="LF12" s="249"/>
      <c r="LG12" s="249"/>
      <c r="LH12" s="249"/>
      <c r="LI12" s="249"/>
      <c r="LJ12" s="249"/>
      <c r="LK12" s="249"/>
      <c r="LL12" s="249"/>
      <c r="LM12" s="249"/>
      <c r="LN12" s="249"/>
      <c r="LO12" s="249"/>
      <c r="LP12" s="249"/>
      <c r="LQ12" s="249"/>
      <c r="LR12" s="249"/>
      <c r="LS12" s="249"/>
      <c r="LT12" s="249"/>
      <c r="LU12" s="249"/>
      <c r="LV12" s="249"/>
      <c r="LW12" s="249"/>
      <c r="LX12" s="249"/>
      <c r="LY12" s="249"/>
      <c r="LZ12" s="249"/>
      <c r="MA12" s="249"/>
      <c r="MB12" s="249"/>
      <c r="MC12" s="249"/>
      <c r="MD12" s="249"/>
      <c r="ME12" s="249"/>
      <c r="MF12" s="249"/>
      <c r="MG12" s="249"/>
      <c r="MH12" s="249"/>
      <c r="MI12" s="249"/>
      <c r="MJ12" s="249"/>
      <c r="MK12" s="249"/>
      <c r="ML12" s="249"/>
      <c r="MM12" s="249"/>
      <c r="MN12" s="249"/>
      <c r="MO12" s="249"/>
      <c r="MP12" s="249"/>
      <c r="MQ12" s="249"/>
      <c r="MR12" s="249"/>
      <c r="MS12" s="249"/>
      <c r="MT12" s="249"/>
      <c r="MU12" s="249"/>
      <c r="MV12" s="249"/>
      <c r="MW12" s="249"/>
      <c r="MX12" s="249"/>
      <c r="MY12" s="249"/>
      <c r="MZ12" s="249"/>
      <c r="NA12" s="249"/>
      <c r="NB12" s="249"/>
      <c r="NC12" s="249"/>
      <c r="ND12" s="249"/>
      <c r="NE12" s="249"/>
      <c r="NF12" s="249"/>
      <c r="NG12" s="249"/>
      <c r="NH12" s="249"/>
      <c r="NI12" s="249"/>
      <c r="NJ12" s="249"/>
      <c r="NK12" s="249"/>
      <c r="NL12" s="249"/>
      <c r="NM12" s="249"/>
      <c r="NN12" s="249"/>
      <c r="NO12" s="249"/>
      <c r="NP12" s="249"/>
      <c r="NQ12" s="249"/>
      <c r="NR12" s="249"/>
      <c r="NS12" s="249"/>
      <c r="NT12" s="249"/>
      <c r="NU12" s="249"/>
      <c r="NV12" s="249"/>
      <c r="NW12" s="249"/>
      <c r="NX12" s="249"/>
      <c r="NY12" s="249"/>
      <c r="NZ12" s="249"/>
      <c r="OA12" s="249"/>
      <c r="OB12" s="249"/>
      <c r="OC12" s="249"/>
      <c r="OD12" s="249"/>
      <c r="OE12" s="249"/>
      <c r="OF12" s="249"/>
      <c r="OG12" s="249"/>
      <c r="OH12" s="249"/>
      <c r="OI12" s="249"/>
      <c r="OJ12" s="249"/>
      <c r="OK12" s="249"/>
      <c r="OL12" s="249"/>
      <c r="OM12" s="249"/>
      <c r="ON12" s="249"/>
      <c r="OO12" s="249"/>
      <c r="OP12" s="249"/>
      <c r="OQ12" s="249"/>
      <c r="OR12" s="249"/>
      <c r="OS12" s="249"/>
      <c r="OT12" s="249"/>
      <c r="OU12" s="249"/>
      <c r="OV12" s="249"/>
      <c r="OW12" s="249"/>
      <c r="OX12" s="249"/>
      <c r="OY12" s="249"/>
      <c r="OZ12" s="249"/>
      <c r="PA12" s="249"/>
      <c r="PB12" s="249"/>
      <c r="PC12" s="249"/>
      <c r="PD12" s="249"/>
      <c r="PE12" s="249"/>
      <c r="PF12" s="249"/>
      <c r="PG12" s="249"/>
      <c r="PH12" s="249"/>
      <c r="PI12" s="249"/>
      <c r="PJ12" s="249"/>
      <c r="PK12" s="249"/>
      <c r="PL12" s="249"/>
      <c r="PM12" s="249"/>
      <c r="PN12" s="249"/>
      <c r="PO12" s="249"/>
      <c r="PP12" s="249"/>
      <c r="PQ12" s="249"/>
      <c r="PR12" s="249"/>
      <c r="PS12" s="249"/>
      <c r="PT12" s="249"/>
      <c r="PU12" s="249"/>
      <c r="PV12" s="249"/>
      <c r="PW12" s="249"/>
      <c r="PX12" s="249"/>
      <c r="PY12" s="249"/>
      <c r="PZ12" s="249"/>
      <c r="QA12" s="249"/>
      <c r="QB12" s="249"/>
      <c r="QC12" s="249"/>
      <c r="QD12" s="249"/>
      <c r="QE12" s="249"/>
      <c r="QF12" s="249"/>
      <c r="QG12" s="249"/>
      <c r="QH12" s="249"/>
      <c r="QI12" s="249"/>
      <c r="QJ12" s="249"/>
      <c r="QK12" s="249"/>
      <c r="QL12" s="249"/>
      <c r="QM12" s="249"/>
      <c r="QN12" s="249"/>
      <c r="QO12" s="249"/>
      <c r="QP12" s="249"/>
      <c r="QQ12" s="249"/>
      <c r="QR12" s="249"/>
      <c r="QS12" s="249"/>
      <c r="QT12" s="249"/>
      <c r="QU12" s="249"/>
      <c r="QV12" s="249"/>
      <c r="QW12" s="249"/>
      <c r="QX12" s="249"/>
      <c r="QY12" s="249"/>
      <c r="QZ12" s="249"/>
      <c r="RA12" s="249"/>
      <c r="RB12" s="249"/>
      <c r="RC12" s="249"/>
      <c r="RD12" s="249"/>
      <c r="RE12" s="249"/>
      <c r="RF12" s="249"/>
      <c r="RG12" s="249"/>
      <c r="RH12" s="249"/>
      <c r="RI12" s="249"/>
      <c r="RJ12" s="249"/>
      <c r="RK12" s="249"/>
      <c r="RL12" s="249"/>
      <c r="RM12" s="249"/>
      <c r="RN12" s="249"/>
      <c r="RO12" s="249"/>
      <c r="RP12" s="249"/>
      <c r="RQ12" s="249"/>
      <c r="RR12" s="249"/>
      <c r="RS12" s="249"/>
      <c r="RT12" s="249"/>
      <c r="RU12" s="249"/>
      <c r="RV12" s="249"/>
      <c r="RW12" s="249"/>
      <c r="RX12" s="249"/>
      <c r="RY12" s="249"/>
      <c r="RZ12" s="249"/>
      <c r="SA12" s="249"/>
      <c r="SB12" s="249"/>
      <c r="SC12" s="249"/>
      <c r="SD12" s="249"/>
      <c r="SE12" s="249"/>
      <c r="SF12" s="249"/>
      <c r="SG12" s="249"/>
      <c r="SH12" s="249"/>
      <c r="SI12" s="249"/>
      <c r="SJ12" s="249"/>
      <c r="SK12" s="249"/>
      <c r="SL12" s="249"/>
      <c r="SM12" s="249"/>
      <c r="SN12" s="249"/>
      <c r="SO12" s="249"/>
      <c r="SP12" s="249"/>
      <c r="SQ12" s="249"/>
      <c r="SR12" s="249"/>
      <c r="SS12" s="249"/>
      <c r="ST12" s="249"/>
      <c r="SU12" s="249"/>
      <c r="SV12" s="249"/>
      <c r="SW12" s="249"/>
      <c r="SX12" s="249"/>
      <c r="SY12" s="249"/>
      <c r="SZ12" s="249"/>
      <c r="TA12" s="249"/>
      <c r="TB12" s="249"/>
      <c r="TC12" s="249"/>
      <c r="TD12" s="249"/>
      <c r="TE12" s="249"/>
      <c r="TF12" s="249"/>
      <c r="TG12" s="249"/>
      <c r="TH12" s="249"/>
      <c r="TI12" s="249"/>
      <c r="TJ12" s="249"/>
      <c r="TK12" s="249"/>
      <c r="TL12" s="249"/>
      <c r="TM12" s="249"/>
      <c r="TN12" s="249"/>
      <c r="TO12" s="249"/>
      <c r="TP12" s="249"/>
      <c r="TQ12" s="249"/>
      <c r="TR12" s="249"/>
      <c r="TS12" s="249"/>
      <c r="TT12" s="249"/>
      <c r="TU12" s="249"/>
      <c r="TV12" s="249"/>
      <c r="TW12" s="249"/>
      <c r="TX12" s="249"/>
      <c r="TY12" s="249"/>
      <c r="TZ12" s="249"/>
      <c r="UA12" s="249"/>
      <c r="UB12" s="249"/>
      <c r="UC12" s="249"/>
      <c r="UD12" s="249"/>
      <c r="UE12" s="249"/>
      <c r="UF12" s="249"/>
      <c r="UG12" s="249"/>
      <c r="UH12" s="249"/>
      <c r="UI12" s="249"/>
      <c r="UJ12" s="249"/>
      <c r="UK12" s="249"/>
      <c r="UL12" s="249"/>
      <c r="UM12" s="249"/>
      <c r="UN12" s="249"/>
      <c r="UO12" s="249"/>
      <c r="UP12" s="249"/>
      <c r="UQ12" s="249"/>
      <c r="UR12" s="249"/>
      <c r="US12" s="249"/>
      <c r="UT12" s="249"/>
      <c r="UU12" s="249"/>
      <c r="UV12" s="249"/>
      <c r="UW12" s="249"/>
      <c r="UX12" s="249"/>
      <c r="UY12" s="249"/>
      <c r="UZ12" s="249"/>
      <c r="VA12" s="249"/>
      <c r="VB12" s="249"/>
      <c r="VC12" s="249"/>
      <c r="VD12" s="249"/>
      <c r="VE12" s="249"/>
      <c r="VF12" s="249"/>
      <c r="VG12" s="249"/>
      <c r="VH12" s="249"/>
      <c r="VI12" s="249"/>
      <c r="VJ12" s="249"/>
      <c r="VK12" s="249"/>
      <c r="VL12" s="249"/>
      <c r="VM12" s="249"/>
      <c r="VN12" s="249"/>
      <c r="VO12" s="249"/>
      <c r="VP12" s="249"/>
      <c r="VQ12" s="249"/>
      <c r="VR12" s="249"/>
      <c r="VS12" s="249"/>
      <c r="VT12" s="249"/>
      <c r="VU12" s="249"/>
      <c r="VV12" s="249"/>
      <c r="VW12" s="249"/>
      <c r="VX12" s="249"/>
      <c r="VY12" s="249"/>
      <c r="VZ12" s="249"/>
      <c r="WA12" s="249"/>
      <c r="WB12" s="249"/>
      <c r="WC12" s="249"/>
      <c r="WD12" s="249"/>
      <c r="WE12" s="249"/>
      <c r="WF12" s="249"/>
      <c r="WG12" s="249"/>
      <c r="WH12" s="249"/>
      <c r="WI12" s="249"/>
      <c r="WJ12" s="249"/>
      <c r="WK12" s="249"/>
      <c r="WL12" s="249"/>
      <c r="WM12" s="249"/>
      <c r="WN12" s="249"/>
      <c r="WO12" s="249"/>
      <c r="WP12" s="249"/>
      <c r="WQ12" s="249"/>
      <c r="WR12" s="249"/>
      <c r="WS12" s="249"/>
      <c r="WT12" s="249"/>
      <c r="WU12" s="249"/>
      <c r="WV12" s="249"/>
      <c r="WW12" s="249"/>
      <c r="WX12" s="249"/>
      <c r="WY12" s="249"/>
      <c r="WZ12" s="249"/>
      <c r="XA12" s="249"/>
      <c r="XB12" s="249"/>
      <c r="XC12" s="249"/>
      <c r="XD12" s="249"/>
      <c r="XE12" s="249"/>
      <c r="XF12" s="249"/>
      <c r="XG12" s="249"/>
      <c r="XH12" s="249"/>
      <c r="XI12" s="249"/>
      <c r="XJ12" s="249"/>
      <c r="XK12" s="249"/>
      <c r="XL12" s="249"/>
      <c r="XM12" s="249"/>
      <c r="XN12" s="249"/>
      <c r="XO12" s="249"/>
      <c r="XP12" s="249"/>
      <c r="XQ12" s="249"/>
      <c r="XR12" s="249"/>
      <c r="XS12" s="249"/>
      <c r="XT12" s="249"/>
      <c r="XU12" s="249"/>
      <c r="XV12" s="249"/>
      <c r="XW12" s="249"/>
      <c r="XX12" s="249"/>
      <c r="XY12" s="249"/>
      <c r="XZ12" s="249"/>
      <c r="YA12" s="249"/>
      <c r="YB12" s="249"/>
      <c r="YC12" s="249"/>
      <c r="YD12" s="249"/>
      <c r="YE12" s="249"/>
      <c r="YF12" s="249"/>
      <c r="YG12" s="249"/>
      <c r="YH12" s="249"/>
      <c r="YI12" s="249"/>
      <c r="YJ12" s="249"/>
      <c r="YK12" s="249"/>
      <c r="YL12" s="249"/>
      <c r="YM12" s="249"/>
      <c r="YN12" s="249"/>
      <c r="YO12" s="249"/>
      <c r="YP12" s="249"/>
      <c r="YQ12" s="249"/>
      <c r="YR12" s="249"/>
      <c r="YS12" s="249"/>
      <c r="YT12" s="249"/>
      <c r="YU12" s="249"/>
      <c r="YV12" s="249"/>
      <c r="YW12" s="249"/>
      <c r="YX12" s="249"/>
      <c r="YY12" s="249"/>
      <c r="YZ12" s="249"/>
      <c r="ZA12" s="249"/>
      <c r="ZB12" s="249"/>
      <c r="ZC12" s="249"/>
      <c r="ZD12" s="249"/>
      <c r="ZE12" s="249"/>
      <c r="ZF12" s="249"/>
      <c r="ZG12" s="249"/>
      <c r="ZH12" s="249"/>
      <c r="ZI12" s="249"/>
      <c r="ZJ12" s="249"/>
      <c r="ZK12" s="249"/>
      <c r="ZL12" s="249"/>
      <c r="ZM12" s="249"/>
      <c r="ZN12" s="249"/>
      <c r="ZO12" s="249"/>
      <c r="ZP12" s="249"/>
      <c r="ZQ12" s="249"/>
      <c r="ZR12" s="249"/>
      <c r="ZS12" s="249"/>
      <c r="ZT12" s="249"/>
      <c r="ZU12" s="249"/>
      <c r="ZV12" s="249"/>
      <c r="ZW12" s="249"/>
      <c r="ZX12" s="249"/>
      <c r="ZY12" s="249"/>
      <c r="ZZ12" s="249"/>
      <c r="AAA12" s="249"/>
      <c r="AAB12" s="249"/>
      <c r="AAC12" s="249"/>
      <c r="AAD12" s="249"/>
      <c r="AAE12" s="249"/>
      <c r="AAF12" s="249"/>
      <c r="AAG12" s="249"/>
      <c r="AAH12" s="249"/>
      <c r="AAI12" s="249"/>
      <c r="AAJ12" s="249"/>
      <c r="AAK12" s="249"/>
      <c r="AAL12" s="249"/>
      <c r="AAM12" s="249"/>
      <c r="AAN12" s="249"/>
      <c r="AAO12" s="249"/>
      <c r="AAP12" s="249"/>
      <c r="AAQ12" s="249"/>
      <c r="AAR12" s="249"/>
      <c r="AAS12" s="249"/>
      <c r="AAT12" s="249"/>
      <c r="AAU12" s="249"/>
      <c r="AAV12" s="249"/>
      <c r="AAW12" s="249"/>
      <c r="AAX12" s="249"/>
      <c r="AAY12" s="249"/>
      <c r="AAZ12" s="249"/>
      <c r="ABA12" s="249"/>
      <c r="ABB12" s="249"/>
      <c r="ABC12" s="249"/>
      <c r="ABD12" s="249"/>
      <c r="ABE12" s="249"/>
      <c r="ABF12" s="249"/>
      <c r="ABG12" s="249"/>
      <c r="ABH12" s="249"/>
      <c r="ABI12" s="249"/>
      <c r="ABJ12" s="249"/>
      <c r="ABK12" s="249"/>
      <c r="ABL12" s="249"/>
      <c r="ABM12" s="249"/>
      <c r="ABN12" s="249"/>
      <c r="ABO12" s="249"/>
      <c r="ABP12" s="249"/>
      <c r="ABQ12" s="249"/>
      <c r="ABR12" s="249"/>
      <c r="ABS12" s="249"/>
      <c r="ABT12" s="249"/>
      <c r="ABU12" s="249"/>
      <c r="ABV12" s="249"/>
      <c r="ABW12" s="249"/>
      <c r="ABX12" s="249"/>
      <c r="ABY12" s="249"/>
      <c r="ABZ12" s="249"/>
      <c r="ACA12" s="249"/>
      <c r="ACB12" s="249"/>
      <c r="ACC12" s="249"/>
      <c r="ACD12" s="249"/>
      <c r="ACE12" s="249"/>
      <c r="ACF12" s="249"/>
      <c r="ACG12" s="249"/>
      <c r="ACH12" s="249"/>
      <c r="ACI12" s="249"/>
      <c r="ACJ12" s="249"/>
      <c r="ACK12" s="249"/>
      <c r="ACL12" s="249"/>
      <c r="ACM12" s="249"/>
      <c r="ACN12" s="249"/>
      <c r="ACO12" s="249"/>
      <c r="ACP12" s="249"/>
      <c r="ACQ12" s="249"/>
      <c r="ACR12" s="249"/>
      <c r="ACS12" s="249"/>
      <c r="ACT12" s="249"/>
      <c r="ACU12" s="249"/>
      <c r="ACV12" s="249"/>
      <c r="ACW12" s="249"/>
      <c r="ACX12" s="249"/>
      <c r="ACY12" s="249"/>
      <c r="ACZ12" s="249"/>
      <c r="ADA12" s="249"/>
      <c r="ADB12" s="249"/>
      <c r="ADC12" s="249"/>
      <c r="ADD12" s="249"/>
      <c r="ADE12" s="249"/>
      <c r="ADF12" s="249"/>
      <c r="ADG12" s="249"/>
      <c r="ADH12" s="249"/>
      <c r="ADI12" s="249"/>
      <c r="ADJ12" s="249"/>
      <c r="ADK12" s="249"/>
      <c r="ADL12" s="249"/>
      <c r="ADM12" s="249"/>
      <c r="ADN12" s="249"/>
      <c r="ADO12" s="249"/>
      <c r="ADP12" s="249"/>
      <c r="ADQ12" s="249"/>
      <c r="ADR12" s="249"/>
      <c r="ADS12" s="249"/>
      <c r="ADT12" s="249"/>
      <c r="ADU12" s="249"/>
      <c r="ADV12" s="249"/>
      <c r="ADW12" s="249"/>
      <c r="ADX12" s="249"/>
      <c r="ADY12" s="249"/>
      <c r="ADZ12" s="249"/>
      <c r="AEA12" s="249"/>
      <c r="AEB12" s="249"/>
      <c r="AEC12" s="249"/>
      <c r="AED12" s="249"/>
      <c r="AEE12" s="249"/>
      <c r="AEF12" s="249"/>
      <c r="AEG12" s="249"/>
      <c r="AEH12" s="249"/>
      <c r="AEI12" s="249"/>
      <c r="AEJ12" s="249"/>
      <c r="AEK12" s="249"/>
      <c r="AEL12" s="249"/>
      <c r="AEM12" s="249"/>
      <c r="AEN12" s="249"/>
      <c r="AEO12" s="249"/>
      <c r="AEP12" s="249"/>
      <c r="AEQ12" s="249"/>
      <c r="AER12" s="249"/>
      <c r="AES12" s="249"/>
      <c r="AET12" s="249"/>
      <c r="AEU12" s="249"/>
      <c r="AEV12" s="249"/>
      <c r="AEW12" s="249"/>
      <c r="AEX12" s="249"/>
      <c r="AEY12" s="249"/>
      <c r="AEZ12" s="249"/>
      <c r="AFA12" s="249"/>
      <c r="AFB12" s="249"/>
      <c r="AFC12" s="249"/>
      <c r="AFD12" s="249"/>
      <c r="AFE12" s="249"/>
      <c r="AFF12" s="249"/>
      <c r="AFG12" s="249"/>
      <c r="AFH12" s="249"/>
      <c r="AFI12" s="249"/>
      <c r="AFJ12" s="249"/>
      <c r="AFK12" s="249"/>
      <c r="AFL12" s="249"/>
      <c r="AFM12" s="249"/>
      <c r="AFN12" s="249"/>
      <c r="AFO12" s="249"/>
      <c r="AFP12" s="249"/>
      <c r="AFQ12" s="249"/>
      <c r="AFR12" s="249"/>
      <c r="AFS12" s="249"/>
      <c r="AFT12" s="249"/>
      <c r="AFU12" s="249"/>
      <c r="AFV12" s="249"/>
      <c r="AFW12" s="249"/>
      <c r="AFX12" s="249"/>
      <c r="AFY12" s="249"/>
      <c r="AFZ12" s="249"/>
      <c r="AGA12" s="249"/>
      <c r="AGB12" s="249"/>
      <c r="AGC12" s="249"/>
      <c r="AGD12" s="249"/>
      <c r="AGE12" s="249"/>
      <c r="AGF12" s="249"/>
      <c r="AGG12" s="249"/>
      <c r="AGH12" s="249"/>
      <c r="AGI12" s="249"/>
      <c r="AGJ12" s="249"/>
      <c r="AGK12" s="249"/>
      <c r="AGL12" s="249"/>
      <c r="AGM12" s="249"/>
      <c r="AGN12" s="249"/>
      <c r="AGO12" s="249"/>
      <c r="AGP12" s="249"/>
      <c r="AGQ12" s="249"/>
      <c r="AGR12" s="249"/>
      <c r="AGS12" s="249"/>
      <c r="AGT12" s="249"/>
      <c r="AGU12" s="249"/>
      <c r="AGV12" s="249"/>
      <c r="AGW12" s="249"/>
      <c r="AGX12" s="249"/>
      <c r="AGY12" s="249"/>
      <c r="AGZ12" s="249"/>
      <c r="AHA12" s="249"/>
      <c r="AHB12" s="249"/>
      <c r="AHC12" s="249"/>
      <c r="AHD12" s="249"/>
      <c r="AHE12" s="249"/>
      <c r="AHF12" s="249"/>
      <c r="AHG12" s="249"/>
      <c r="AHH12" s="249"/>
      <c r="AHI12" s="249"/>
      <c r="AHJ12" s="249"/>
      <c r="AHK12" s="249"/>
      <c r="AHL12" s="249"/>
      <c r="AHM12" s="249"/>
      <c r="AHN12" s="249"/>
      <c r="AHO12" s="249"/>
      <c r="AHP12" s="249"/>
      <c r="AHQ12" s="249"/>
      <c r="AHR12" s="249"/>
      <c r="AHS12" s="249"/>
      <c r="AHT12" s="249"/>
      <c r="AHU12" s="249"/>
      <c r="AHV12" s="249"/>
      <c r="AHW12" s="249"/>
      <c r="AHX12" s="249"/>
      <c r="AHY12" s="249"/>
      <c r="AHZ12" s="249"/>
      <c r="AIA12" s="249"/>
      <c r="AIB12" s="249"/>
      <c r="AIC12" s="249"/>
      <c r="AID12" s="249"/>
      <c r="AIE12" s="249"/>
      <c r="AIF12" s="249"/>
      <c r="AIG12" s="249"/>
      <c r="AIH12" s="249"/>
      <c r="AII12" s="249"/>
      <c r="AIJ12" s="249"/>
      <c r="AIK12" s="249"/>
      <c r="AIL12" s="249"/>
      <c r="AIM12" s="249"/>
      <c r="AIN12" s="249"/>
      <c r="AIO12" s="249"/>
      <c r="AIP12" s="249"/>
      <c r="AIQ12" s="249"/>
      <c r="AIR12" s="249"/>
      <c r="AIS12" s="249"/>
      <c r="AIT12" s="249"/>
      <c r="AIU12" s="249"/>
      <c r="AIV12" s="249"/>
      <c r="AIW12" s="249"/>
      <c r="AIX12" s="249"/>
      <c r="AIY12" s="249"/>
      <c r="AIZ12" s="249"/>
      <c r="AJA12" s="249"/>
      <c r="AJB12" s="249"/>
      <c r="AJC12" s="249"/>
      <c r="AJD12" s="249"/>
      <c r="AJE12" s="249"/>
      <c r="AJF12" s="249"/>
      <c r="AJG12" s="249"/>
      <c r="AJH12" s="249"/>
      <c r="AJI12" s="249"/>
      <c r="AJJ12" s="249"/>
      <c r="AJK12" s="249"/>
      <c r="AJL12" s="249"/>
      <c r="AJM12" s="249"/>
      <c r="AJN12" s="249"/>
      <c r="AJO12" s="249"/>
      <c r="AJP12" s="249"/>
      <c r="AJQ12" s="249"/>
      <c r="AJR12" s="249"/>
      <c r="AJS12" s="249"/>
      <c r="AJT12" s="249"/>
      <c r="AJU12" s="249"/>
      <c r="AJV12" s="249"/>
      <c r="AJW12" s="249"/>
      <c r="AJX12" s="249"/>
      <c r="AJY12" s="249"/>
      <c r="AJZ12" s="249"/>
      <c r="AKA12" s="249"/>
      <c r="AKB12" s="249"/>
      <c r="AKC12" s="249"/>
      <c r="AKD12" s="249"/>
      <c r="AKE12" s="249"/>
      <c r="AKF12" s="249"/>
      <c r="AKG12" s="249"/>
      <c r="AKH12" s="249"/>
      <c r="AKI12" s="249"/>
      <c r="AKJ12" s="249"/>
      <c r="AKK12" s="249"/>
      <c r="AKL12" s="249"/>
      <c r="AKM12" s="249"/>
      <c r="AKN12" s="249"/>
      <c r="AKO12" s="249"/>
      <c r="AKP12" s="249"/>
      <c r="AKQ12" s="249"/>
      <c r="AKR12" s="249"/>
      <c r="AKS12" s="249"/>
      <c r="AKT12" s="249"/>
      <c r="AKU12" s="249"/>
      <c r="AKV12" s="249"/>
      <c r="AKW12" s="249"/>
      <c r="AKX12" s="249"/>
      <c r="AKY12" s="249"/>
      <c r="AKZ12" s="249"/>
      <c r="ALA12" s="249"/>
      <c r="ALB12" s="249"/>
      <c r="ALC12" s="249"/>
      <c r="ALD12" s="249"/>
      <c r="ALE12" s="249"/>
      <c r="ALF12" s="249"/>
      <c r="ALG12" s="249"/>
      <c r="ALH12" s="249"/>
      <c r="ALI12" s="249"/>
      <c r="ALJ12" s="249"/>
      <c r="ALK12" s="249"/>
      <c r="ALL12" s="249"/>
      <c r="ALM12" s="249"/>
      <c r="ALN12" s="249"/>
      <c r="ALO12" s="249"/>
      <c r="ALP12" s="249"/>
      <c r="ALQ12" s="249"/>
      <c r="ALR12" s="249"/>
      <c r="ALS12" s="249"/>
      <c r="ALT12" s="249"/>
      <c r="ALU12" s="249"/>
      <c r="ALV12" s="249"/>
      <c r="ALW12" s="249"/>
      <c r="ALX12" s="249"/>
      <c r="ALY12" s="249"/>
      <c r="ALZ12" s="249"/>
      <c r="AMA12" s="249"/>
      <c r="AMB12" s="249"/>
      <c r="AMC12" s="249"/>
      <c r="AMD12" s="249"/>
      <c r="AME12" s="249"/>
      <c r="AMF12" s="249"/>
      <c r="AMG12" s="249"/>
      <c r="AMH12" s="249"/>
      <c r="AMI12" s="249"/>
      <c r="AMJ12" s="249"/>
      <c r="AMK12" s="249"/>
      <c r="AML12" s="249"/>
      <c r="AMM12" s="249"/>
      <c r="AMN12" s="249"/>
      <c r="AMO12" s="249"/>
      <c r="AMP12" s="249"/>
      <c r="AMQ12" s="249"/>
      <c r="AMR12" s="249"/>
      <c r="AMS12" s="249"/>
      <c r="AMT12" s="249"/>
      <c r="AMU12" s="249"/>
      <c r="AMV12" s="249"/>
      <c r="AMW12" s="249"/>
      <c r="AMX12" s="249"/>
      <c r="AMY12" s="249"/>
      <c r="AMZ12" s="249"/>
      <c r="ANA12" s="249"/>
      <c r="ANB12" s="249"/>
      <c r="ANC12" s="249"/>
      <c r="AND12" s="249"/>
      <c r="ANE12" s="249"/>
      <c r="ANF12" s="249"/>
      <c r="ANG12" s="249"/>
      <c r="ANH12" s="249"/>
      <c r="ANI12" s="249"/>
      <c r="ANJ12" s="249"/>
      <c r="ANK12" s="249"/>
      <c r="ANL12" s="249"/>
      <c r="ANM12" s="249"/>
      <c r="ANN12" s="249"/>
      <c r="ANO12" s="249"/>
      <c r="ANP12" s="249"/>
      <c r="ANQ12" s="249"/>
      <c r="ANR12" s="249"/>
      <c r="ANS12" s="249"/>
      <c r="ANT12" s="249"/>
      <c r="ANU12" s="249"/>
      <c r="ANV12" s="249"/>
      <c r="ANW12" s="249"/>
      <c r="ANX12" s="249"/>
      <c r="ANY12" s="249"/>
      <c r="ANZ12" s="249"/>
      <c r="AOA12" s="249"/>
      <c r="AOB12" s="249"/>
      <c r="AOC12" s="249"/>
      <c r="AOD12" s="249"/>
      <c r="AOE12" s="249"/>
      <c r="AOF12" s="249"/>
      <c r="AOG12" s="249"/>
      <c r="AOH12" s="249"/>
      <c r="AOI12" s="249"/>
      <c r="AOJ12" s="249"/>
      <c r="AOK12" s="249"/>
      <c r="AOL12" s="249"/>
      <c r="AOM12" s="249"/>
      <c r="AON12" s="249"/>
      <c r="AOO12" s="249"/>
      <c r="AOP12" s="249"/>
      <c r="AOQ12" s="249"/>
      <c r="AOR12" s="249"/>
      <c r="AOS12" s="249"/>
      <c r="AOT12" s="249"/>
      <c r="AOU12" s="249"/>
      <c r="AOV12" s="249"/>
      <c r="AOW12" s="249"/>
      <c r="AOX12" s="249"/>
      <c r="AOY12" s="249"/>
      <c r="AOZ12" s="249"/>
      <c r="APA12" s="249"/>
      <c r="APB12" s="249"/>
      <c r="APC12" s="249"/>
      <c r="APD12" s="249"/>
      <c r="APE12" s="249"/>
      <c r="APF12" s="249"/>
      <c r="APG12" s="249"/>
      <c r="APH12" s="249"/>
      <c r="API12" s="249"/>
      <c r="APJ12" s="249"/>
      <c r="APK12" s="249"/>
      <c r="APL12" s="249"/>
      <c r="APM12" s="249"/>
      <c r="APN12" s="249"/>
      <c r="APO12" s="249"/>
      <c r="APP12" s="249"/>
      <c r="APQ12" s="249"/>
      <c r="APR12" s="249"/>
      <c r="APS12" s="249"/>
      <c r="APT12" s="249"/>
      <c r="APU12" s="249"/>
      <c r="APV12" s="249"/>
      <c r="APW12" s="249"/>
      <c r="APX12" s="249"/>
      <c r="APY12" s="249"/>
      <c r="APZ12" s="249"/>
      <c r="AQA12" s="249"/>
      <c r="AQB12" s="249"/>
      <c r="AQC12" s="249"/>
      <c r="AQD12" s="249"/>
      <c r="AQE12" s="249"/>
      <c r="AQF12" s="249"/>
      <c r="AQG12" s="249"/>
      <c r="AQH12" s="249"/>
      <c r="AQI12" s="249"/>
      <c r="AQJ12" s="249"/>
      <c r="AQK12" s="249"/>
      <c r="AQL12" s="249"/>
      <c r="AQM12" s="249"/>
      <c r="AQN12" s="249"/>
      <c r="AQO12" s="249"/>
      <c r="AQP12" s="249"/>
      <c r="AQQ12" s="249"/>
      <c r="AQR12" s="249"/>
      <c r="AQS12" s="249"/>
      <c r="AQT12" s="249"/>
      <c r="AQU12" s="249"/>
      <c r="AQV12" s="249"/>
      <c r="AQW12" s="249"/>
      <c r="AQX12" s="249"/>
      <c r="AQY12" s="249"/>
      <c r="AQZ12" s="249"/>
      <c r="ARA12" s="249"/>
      <c r="ARB12" s="249"/>
      <c r="ARC12" s="249"/>
      <c r="ARD12" s="249"/>
      <c r="ARE12" s="249"/>
      <c r="ARF12" s="249"/>
      <c r="ARG12" s="249"/>
      <c r="ARH12" s="249"/>
      <c r="ARI12" s="249"/>
      <c r="ARJ12" s="249"/>
      <c r="ARK12" s="249"/>
      <c r="ARL12" s="249"/>
      <c r="ARM12" s="249"/>
      <c r="ARN12" s="249"/>
      <c r="ARO12" s="249"/>
      <c r="ARP12" s="249"/>
      <c r="ARQ12" s="249"/>
      <c r="ARR12" s="249"/>
      <c r="ARS12" s="249"/>
      <c r="ART12" s="249"/>
      <c r="ARU12" s="249"/>
      <c r="ARV12" s="249"/>
      <c r="ARW12" s="249"/>
      <c r="ARX12" s="249"/>
      <c r="ARY12" s="249"/>
      <c r="ARZ12" s="249"/>
      <c r="ASA12" s="249"/>
      <c r="ASB12" s="249"/>
      <c r="ASC12" s="249"/>
      <c r="ASD12" s="249"/>
      <c r="ASE12" s="249"/>
      <c r="ASF12" s="249"/>
      <c r="ASG12" s="249"/>
      <c r="ASH12" s="249"/>
      <c r="ASI12" s="249"/>
      <c r="ASJ12" s="249"/>
      <c r="ASK12" s="249"/>
      <c r="ASL12" s="249"/>
      <c r="ASM12" s="249"/>
      <c r="ASN12" s="249"/>
      <c r="ASO12" s="249"/>
      <c r="ASP12" s="249"/>
      <c r="ASQ12" s="249"/>
      <c r="ASR12" s="249"/>
      <c r="ASS12" s="249"/>
      <c r="AST12" s="249"/>
      <c r="ASU12" s="249"/>
      <c r="ASV12" s="249"/>
      <c r="ASW12" s="249"/>
      <c r="ASX12" s="249"/>
      <c r="ASY12" s="249"/>
      <c r="ASZ12" s="249"/>
      <c r="ATA12" s="249"/>
      <c r="ATB12" s="249"/>
      <c r="ATC12" s="249"/>
      <c r="ATD12" s="249"/>
      <c r="ATE12" s="249"/>
      <c r="ATF12" s="249"/>
      <c r="ATG12" s="249"/>
      <c r="ATH12" s="249"/>
      <c r="ATI12" s="249"/>
      <c r="ATJ12" s="249"/>
      <c r="ATK12" s="249"/>
      <c r="ATL12" s="249"/>
      <c r="ATM12" s="249"/>
      <c r="ATN12" s="249"/>
      <c r="ATO12" s="249"/>
      <c r="ATP12" s="249"/>
      <c r="ATQ12" s="249"/>
      <c r="ATR12" s="249"/>
      <c r="ATS12" s="249"/>
      <c r="ATT12" s="249"/>
      <c r="ATU12" s="249"/>
      <c r="ATV12" s="249"/>
      <c r="ATW12" s="249"/>
      <c r="ATX12" s="249"/>
      <c r="ATY12" s="249"/>
      <c r="ATZ12" s="249"/>
      <c r="AUA12" s="249"/>
      <c r="AUB12" s="249"/>
      <c r="AUC12" s="249"/>
      <c r="AUD12" s="249"/>
      <c r="AUE12" s="249"/>
      <c r="AUF12" s="249"/>
      <c r="AUG12" s="249"/>
      <c r="AUH12" s="249"/>
      <c r="AUI12" s="249"/>
      <c r="AUJ12" s="249"/>
      <c r="AUK12" s="249"/>
      <c r="AUL12" s="249"/>
      <c r="AUM12" s="249"/>
      <c r="AUN12" s="249"/>
      <c r="AUO12" s="249"/>
      <c r="AUP12" s="249"/>
      <c r="AUQ12" s="249"/>
      <c r="AUR12" s="249"/>
      <c r="AUS12" s="249"/>
      <c r="AUT12" s="249"/>
      <c r="AUU12" s="249"/>
      <c r="AUV12" s="249"/>
      <c r="AUW12" s="249"/>
      <c r="AUX12" s="249"/>
      <c r="AUY12" s="249"/>
      <c r="AUZ12" s="249"/>
      <c r="AVA12" s="249"/>
      <c r="AVB12" s="249"/>
      <c r="AVC12" s="249"/>
      <c r="AVD12" s="249"/>
      <c r="AVE12" s="249"/>
      <c r="AVF12" s="249"/>
      <c r="AVG12" s="249"/>
      <c r="AVH12" s="249"/>
      <c r="AVI12" s="249"/>
      <c r="AVJ12" s="249"/>
      <c r="AVK12" s="249"/>
      <c r="AVL12" s="249"/>
      <c r="AVM12" s="249"/>
      <c r="AVN12" s="249"/>
      <c r="AVO12" s="249"/>
      <c r="AVP12" s="249"/>
      <c r="AVQ12" s="249"/>
      <c r="AVR12" s="249"/>
      <c r="AVS12" s="249"/>
      <c r="AVT12" s="249"/>
      <c r="AVU12" s="249"/>
      <c r="AVV12" s="249"/>
      <c r="AVW12" s="249"/>
      <c r="AVX12" s="249"/>
      <c r="AVY12" s="249"/>
      <c r="AVZ12" s="249"/>
      <c r="AWA12" s="249"/>
      <c r="AWB12" s="249"/>
      <c r="AWC12" s="249"/>
      <c r="AWD12" s="249"/>
      <c r="AWE12" s="249"/>
      <c r="AWF12" s="249"/>
      <c r="AWG12" s="249"/>
      <c r="AWH12" s="249"/>
      <c r="AWI12" s="249"/>
      <c r="AWJ12" s="249"/>
      <c r="AWK12" s="249"/>
      <c r="AWL12" s="249"/>
      <c r="AWM12" s="249"/>
      <c r="AWN12" s="249"/>
      <c r="AWO12" s="249"/>
      <c r="AWP12" s="249"/>
      <c r="AWQ12" s="249"/>
      <c r="AWR12" s="249"/>
      <c r="AWS12" s="249"/>
      <c r="AWT12" s="249"/>
      <c r="AWU12" s="249"/>
      <c r="AWV12" s="249"/>
      <c r="AWW12" s="249"/>
      <c r="AWX12" s="249"/>
      <c r="AWY12" s="249"/>
      <c r="AWZ12" s="249"/>
      <c r="AXA12" s="249"/>
      <c r="AXB12" s="249"/>
      <c r="AXC12" s="249"/>
      <c r="AXD12" s="249"/>
      <c r="AXE12" s="249"/>
      <c r="AXF12" s="249"/>
      <c r="AXG12" s="249"/>
      <c r="AXH12" s="249"/>
      <c r="AXI12" s="249"/>
      <c r="AXJ12" s="249"/>
      <c r="AXK12" s="249"/>
      <c r="AXL12" s="249"/>
      <c r="AXM12" s="249"/>
      <c r="AXN12" s="249"/>
      <c r="AXO12" s="249"/>
      <c r="AXP12" s="249"/>
      <c r="AXQ12" s="249"/>
      <c r="AXR12" s="249"/>
      <c r="AXS12" s="249"/>
      <c r="AXT12" s="249"/>
      <c r="AXU12" s="249"/>
      <c r="AXV12" s="249"/>
      <c r="AXW12" s="249"/>
      <c r="AXX12" s="249"/>
      <c r="AXY12" s="249"/>
      <c r="AXZ12" s="249"/>
      <c r="AYA12" s="249"/>
      <c r="AYB12" s="249"/>
      <c r="AYC12" s="249"/>
      <c r="AYD12" s="249"/>
      <c r="AYE12" s="249"/>
      <c r="AYF12" s="249"/>
      <c r="AYG12" s="249"/>
      <c r="AYH12" s="249"/>
      <c r="AYI12" s="249"/>
      <c r="AYJ12" s="249"/>
      <c r="AYK12" s="249"/>
      <c r="AYL12" s="249"/>
      <c r="AYM12" s="249"/>
      <c r="AYN12" s="249"/>
      <c r="AYO12" s="249"/>
      <c r="AYP12" s="249"/>
      <c r="AYQ12" s="249"/>
      <c r="AYR12" s="249"/>
      <c r="AYS12" s="249"/>
      <c r="AYT12" s="249"/>
      <c r="AYU12" s="249"/>
      <c r="AYV12" s="249"/>
      <c r="AYW12" s="249"/>
      <c r="AYX12" s="249"/>
      <c r="AYY12" s="249"/>
      <c r="AYZ12" s="249"/>
      <c r="AZA12" s="249"/>
      <c r="AZB12" s="249"/>
      <c r="AZC12" s="249"/>
      <c r="AZD12" s="249"/>
      <c r="AZE12" s="249"/>
      <c r="AZF12" s="249"/>
      <c r="AZG12" s="249"/>
      <c r="AZH12" s="249"/>
      <c r="AZI12" s="249"/>
      <c r="AZJ12" s="249"/>
      <c r="AZK12" s="249"/>
      <c r="AZL12" s="249"/>
      <c r="AZM12" s="249"/>
      <c r="AZN12" s="249"/>
      <c r="AZO12" s="249"/>
      <c r="AZP12" s="249"/>
      <c r="AZQ12" s="249"/>
      <c r="AZR12" s="249"/>
      <c r="AZS12" s="249"/>
      <c r="AZT12" s="249"/>
      <c r="AZU12" s="249"/>
      <c r="AZV12" s="249"/>
      <c r="AZW12" s="249"/>
      <c r="AZX12" s="249"/>
      <c r="AZY12" s="249"/>
      <c r="AZZ12" s="249"/>
      <c r="BAA12" s="249"/>
      <c r="BAB12" s="249"/>
      <c r="BAC12" s="249"/>
      <c r="BAD12" s="249"/>
      <c r="BAE12" s="249"/>
      <c r="BAF12" s="249"/>
      <c r="BAG12" s="249"/>
      <c r="BAH12" s="249"/>
      <c r="BAI12" s="249"/>
      <c r="BAJ12" s="249"/>
      <c r="BAK12" s="249"/>
      <c r="BAL12" s="249"/>
      <c r="BAM12" s="249"/>
      <c r="BAN12" s="249"/>
      <c r="BAO12" s="249"/>
      <c r="BAP12" s="249"/>
      <c r="BAQ12" s="249"/>
      <c r="BAR12" s="249"/>
      <c r="BAS12" s="249"/>
      <c r="BAT12" s="249"/>
      <c r="BAU12" s="249"/>
      <c r="BAV12" s="249"/>
      <c r="BAW12" s="249"/>
      <c r="BAX12" s="249"/>
      <c r="BAY12" s="249"/>
      <c r="BAZ12" s="249"/>
      <c r="BBA12" s="249"/>
      <c r="BBB12" s="249"/>
      <c r="BBC12" s="249"/>
      <c r="BBD12" s="249"/>
      <c r="BBE12" s="249"/>
      <c r="BBF12" s="249"/>
      <c r="BBG12" s="249"/>
      <c r="BBH12" s="249"/>
      <c r="BBI12" s="249"/>
      <c r="BBJ12" s="249"/>
      <c r="BBK12" s="249"/>
      <c r="BBL12" s="249"/>
      <c r="BBM12" s="249"/>
      <c r="BBN12" s="249"/>
      <c r="BBO12" s="249"/>
      <c r="BBP12" s="249"/>
      <c r="BBQ12" s="249"/>
      <c r="BBR12" s="249"/>
      <c r="BBS12" s="249"/>
      <c r="BBT12" s="249"/>
      <c r="BBU12" s="249"/>
      <c r="BBV12" s="249"/>
      <c r="BBW12" s="249"/>
      <c r="BBX12" s="249"/>
      <c r="BBY12" s="249"/>
      <c r="BBZ12" s="249"/>
      <c r="BCA12" s="249"/>
      <c r="BCB12" s="249"/>
      <c r="BCC12" s="249"/>
      <c r="BCD12" s="249"/>
      <c r="BCE12" s="249"/>
      <c r="BCF12" s="249"/>
      <c r="BCG12" s="249"/>
      <c r="BCH12" s="249"/>
      <c r="BCI12" s="249"/>
      <c r="BCJ12" s="249"/>
      <c r="BCK12" s="249"/>
      <c r="BCL12" s="249"/>
      <c r="BCM12" s="249"/>
      <c r="BCN12" s="249"/>
      <c r="BCO12" s="249"/>
      <c r="BCP12" s="249"/>
      <c r="BCQ12" s="249"/>
      <c r="BCR12" s="249"/>
      <c r="BCS12" s="249"/>
      <c r="BCT12" s="249"/>
      <c r="BCU12" s="249"/>
      <c r="BCV12" s="249"/>
      <c r="BCW12" s="249"/>
      <c r="BCX12" s="249"/>
      <c r="BCY12" s="249"/>
      <c r="BCZ12" s="249"/>
      <c r="BDA12" s="249"/>
      <c r="BDB12" s="249"/>
      <c r="BDC12" s="249"/>
      <c r="BDD12" s="249"/>
      <c r="BDE12" s="249"/>
      <c r="BDF12" s="249"/>
      <c r="BDG12" s="249"/>
      <c r="BDH12" s="249"/>
      <c r="BDI12" s="249"/>
      <c r="BDJ12" s="249"/>
      <c r="BDK12" s="249"/>
      <c r="BDL12" s="249"/>
      <c r="BDM12" s="249"/>
      <c r="BDN12" s="249"/>
      <c r="BDO12" s="249"/>
      <c r="BDP12" s="249"/>
      <c r="BDQ12" s="249"/>
      <c r="BDR12" s="249"/>
      <c r="BDS12" s="249"/>
      <c r="BDT12" s="249"/>
      <c r="BDU12" s="249"/>
      <c r="BDV12" s="249"/>
      <c r="BDW12" s="249"/>
      <c r="BDX12" s="249"/>
      <c r="BDY12" s="249"/>
      <c r="BDZ12" s="249"/>
      <c r="BEA12" s="249"/>
      <c r="BEB12" s="249"/>
      <c r="BEC12" s="249"/>
      <c r="BED12" s="249"/>
      <c r="BEE12" s="249"/>
      <c r="BEF12" s="249"/>
      <c r="BEG12" s="249"/>
      <c r="BEH12" s="249"/>
      <c r="BEI12" s="249"/>
      <c r="BEJ12" s="249"/>
      <c r="BEK12" s="249"/>
      <c r="BEL12" s="249"/>
      <c r="BEM12" s="249"/>
      <c r="BEN12" s="249"/>
      <c r="BEO12" s="249"/>
      <c r="BEP12" s="249"/>
      <c r="BEQ12" s="249"/>
      <c r="BER12" s="249"/>
      <c r="BES12" s="249"/>
      <c r="BET12" s="249"/>
      <c r="BEU12" s="249"/>
      <c r="BEV12" s="249"/>
      <c r="BEW12" s="249"/>
      <c r="BEX12" s="249"/>
      <c r="BEY12" s="249"/>
      <c r="BEZ12" s="249"/>
      <c r="BFA12" s="249"/>
      <c r="BFB12" s="249"/>
      <c r="BFC12" s="249"/>
      <c r="BFD12" s="249"/>
      <c r="BFE12" s="249"/>
      <c r="BFF12" s="249"/>
      <c r="BFG12" s="249"/>
      <c r="BFH12" s="249"/>
      <c r="BFI12" s="249"/>
      <c r="BFJ12" s="249"/>
      <c r="BFK12" s="249"/>
      <c r="BFL12" s="249"/>
      <c r="BFM12" s="249"/>
      <c r="BFN12" s="249"/>
      <c r="BFO12" s="249"/>
      <c r="BFP12" s="249"/>
      <c r="BFQ12" s="249"/>
      <c r="BFR12" s="249"/>
      <c r="BFS12" s="249"/>
      <c r="BFT12" s="249"/>
      <c r="BFU12" s="249"/>
      <c r="BFV12" s="249"/>
      <c r="BFW12" s="249"/>
      <c r="BFX12" s="249"/>
      <c r="BFY12" s="249"/>
      <c r="BFZ12" s="249"/>
      <c r="BGA12" s="249"/>
      <c r="BGB12" s="249"/>
      <c r="BGC12" s="249"/>
      <c r="BGD12" s="249"/>
      <c r="BGE12" s="249"/>
      <c r="BGF12" s="249"/>
      <c r="BGG12" s="249"/>
      <c r="BGH12" s="249"/>
      <c r="BGI12" s="249"/>
      <c r="BGJ12" s="249"/>
      <c r="BGK12" s="249"/>
      <c r="BGL12" s="249"/>
      <c r="BGM12" s="249"/>
      <c r="BGN12" s="249"/>
      <c r="BGO12" s="249"/>
      <c r="BGP12" s="249"/>
      <c r="BGQ12" s="249"/>
      <c r="BGR12" s="249"/>
      <c r="BGS12" s="249"/>
      <c r="BGT12" s="249"/>
      <c r="BGU12" s="249"/>
      <c r="BGV12" s="249"/>
      <c r="BGW12" s="249"/>
      <c r="BGX12" s="249"/>
      <c r="BGY12" s="249"/>
      <c r="BGZ12" s="249"/>
      <c r="BHA12" s="249"/>
      <c r="BHB12" s="249"/>
      <c r="BHC12" s="249"/>
      <c r="BHD12" s="249"/>
      <c r="BHE12" s="249"/>
      <c r="BHF12" s="249"/>
      <c r="BHG12" s="249"/>
      <c r="BHH12" s="249"/>
      <c r="BHI12" s="249"/>
      <c r="BHJ12" s="249"/>
      <c r="BHK12" s="249"/>
      <c r="BHL12" s="249"/>
      <c r="BHM12" s="249"/>
      <c r="BHN12" s="249"/>
      <c r="BHO12" s="249"/>
      <c r="BHP12" s="249"/>
      <c r="BHQ12" s="249"/>
      <c r="BHR12" s="249"/>
      <c r="BHS12" s="249"/>
      <c r="BHT12" s="249"/>
      <c r="BHU12" s="249"/>
      <c r="BHV12" s="249"/>
      <c r="BHW12" s="249"/>
      <c r="BHX12" s="249"/>
      <c r="BHY12" s="249"/>
      <c r="BHZ12" s="249"/>
      <c r="BIA12" s="249"/>
      <c r="BIB12" s="249"/>
      <c r="BIC12" s="249"/>
      <c r="BID12" s="249"/>
      <c r="BIE12" s="249"/>
      <c r="BIF12" s="249"/>
      <c r="BIG12" s="249"/>
      <c r="BIH12" s="249"/>
      <c r="BII12" s="249"/>
      <c r="BIJ12" s="249"/>
      <c r="BIK12" s="249"/>
      <c r="BIL12" s="249"/>
      <c r="BIM12" s="249"/>
      <c r="BIN12" s="249"/>
      <c r="BIO12" s="249"/>
      <c r="BIP12" s="249"/>
      <c r="BIQ12" s="249"/>
      <c r="BIR12" s="249"/>
      <c r="BIS12" s="249"/>
      <c r="BIT12" s="249"/>
      <c r="BIU12" s="249"/>
      <c r="BIV12" s="249"/>
      <c r="BIW12" s="249"/>
      <c r="BIX12" s="249"/>
      <c r="BIY12" s="249"/>
      <c r="BIZ12" s="249"/>
      <c r="BJA12" s="249"/>
      <c r="BJB12" s="249"/>
      <c r="BJC12" s="249"/>
      <c r="BJD12" s="249"/>
      <c r="BJE12" s="249"/>
      <c r="BJF12" s="249"/>
      <c r="BJG12" s="249"/>
      <c r="BJH12" s="249"/>
      <c r="BJI12" s="249"/>
      <c r="BJJ12" s="249"/>
      <c r="BJK12" s="249"/>
      <c r="BJL12" s="249"/>
      <c r="BJM12" s="249"/>
      <c r="BJN12" s="249"/>
      <c r="BJO12" s="249"/>
      <c r="BJP12" s="249"/>
      <c r="BJQ12" s="249"/>
      <c r="BJR12" s="249"/>
      <c r="BJS12" s="249"/>
      <c r="BJT12" s="249"/>
      <c r="BJU12" s="249"/>
      <c r="BJV12" s="249"/>
      <c r="BJW12" s="249"/>
      <c r="BJX12" s="249"/>
      <c r="BJY12" s="249"/>
      <c r="BJZ12" s="249"/>
      <c r="BKA12" s="249"/>
      <c r="BKB12" s="249"/>
      <c r="BKC12" s="249"/>
      <c r="BKD12" s="249"/>
      <c r="BKE12" s="249"/>
      <c r="BKF12" s="249"/>
      <c r="BKG12" s="249"/>
      <c r="BKH12" s="249"/>
      <c r="BKI12" s="249"/>
      <c r="BKJ12" s="249"/>
      <c r="BKK12" s="249"/>
      <c r="BKL12" s="249"/>
      <c r="BKM12" s="249"/>
      <c r="BKN12" s="249"/>
      <c r="BKO12" s="249"/>
      <c r="BKP12" s="249"/>
      <c r="BKQ12" s="249"/>
      <c r="BKR12" s="249"/>
      <c r="BKS12" s="249"/>
      <c r="BKT12" s="249"/>
      <c r="BKU12" s="249"/>
      <c r="BKV12" s="249"/>
      <c r="BKW12" s="249"/>
      <c r="BKX12" s="249"/>
      <c r="BKY12" s="249"/>
      <c r="BKZ12" s="249"/>
      <c r="BLA12" s="249"/>
      <c r="BLB12" s="249"/>
      <c r="BLC12" s="249"/>
      <c r="BLD12" s="249"/>
      <c r="BLE12" s="249"/>
      <c r="BLF12" s="249"/>
      <c r="BLG12" s="249"/>
      <c r="BLH12" s="249"/>
      <c r="BLI12" s="249"/>
      <c r="BLJ12" s="249"/>
      <c r="BLK12" s="249"/>
      <c r="BLL12" s="249"/>
      <c r="BLM12" s="249"/>
      <c r="BLN12" s="249"/>
      <c r="BLO12" s="249"/>
      <c r="BLP12" s="249"/>
      <c r="BLQ12" s="249"/>
      <c r="BLR12" s="249"/>
      <c r="BLS12" s="249"/>
      <c r="BLT12" s="249"/>
      <c r="BLU12" s="249"/>
      <c r="BLV12" s="249"/>
      <c r="BLW12" s="249"/>
      <c r="BLX12" s="249"/>
      <c r="BLY12" s="249"/>
      <c r="BLZ12" s="249"/>
      <c r="BMA12" s="249"/>
      <c r="BMB12" s="249"/>
      <c r="BMC12" s="249"/>
      <c r="BMD12" s="249"/>
      <c r="BME12" s="249"/>
      <c r="BMF12" s="249"/>
      <c r="BMG12" s="249"/>
      <c r="BMH12" s="249"/>
      <c r="BMI12" s="249"/>
      <c r="BMJ12" s="249"/>
      <c r="BMK12" s="249"/>
      <c r="BML12" s="249"/>
      <c r="BMM12" s="249"/>
      <c r="BMN12" s="249"/>
      <c r="BMO12" s="249"/>
      <c r="BMP12" s="249"/>
      <c r="BMQ12" s="249"/>
      <c r="BMR12" s="249"/>
      <c r="BMS12" s="249"/>
      <c r="BMT12" s="249"/>
      <c r="BMU12" s="249"/>
      <c r="BMV12" s="249"/>
      <c r="BMW12" s="249"/>
      <c r="BMX12" s="249"/>
      <c r="BMY12" s="249"/>
      <c r="BMZ12" s="249"/>
      <c r="BNA12" s="249"/>
      <c r="BNB12" s="249"/>
      <c r="BNC12" s="249"/>
      <c r="BND12" s="249"/>
      <c r="BNE12" s="249"/>
      <c r="BNF12" s="249"/>
      <c r="BNG12" s="249"/>
      <c r="BNH12" s="249"/>
      <c r="BNI12" s="249"/>
      <c r="BNJ12" s="249"/>
      <c r="BNK12" s="249"/>
      <c r="BNL12" s="249"/>
      <c r="BNM12" s="249"/>
      <c r="BNN12" s="249"/>
      <c r="BNO12" s="249"/>
      <c r="BNP12" s="249"/>
      <c r="BNQ12" s="249"/>
      <c r="BNR12" s="249"/>
      <c r="BNS12" s="249"/>
      <c r="BNT12" s="249"/>
      <c r="BNU12" s="249"/>
      <c r="BNV12" s="249"/>
      <c r="BNW12" s="249"/>
      <c r="BNX12" s="249"/>
      <c r="BNY12" s="249"/>
      <c r="BNZ12" s="249"/>
      <c r="BOA12" s="249"/>
      <c r="BOB12" s="249"/>
      <c r="BOC12" s="249"/>
      <c r="BOD12" s="249"/>
      <c r="BOE12" s="249"/>
      <c r="BOF12" s="249"/>
      <c r="BOG12" s="249"/>
      <c r="BOH12" s="249"/>
      <c r="BOI12" s="249"/>
      <c r="BOJ12" s="249"/>
      <c r="BOK12" s="249"/>
      <c r="BOL12" s="249"/>
      <c r="BOM12" s="249"/>
      <c r="BON12" s="249"/>
      <c r="BOO12" s="249"/>
      <c r="BOP12" s="249"/>
      <c r="BOQ12" s="249"/>
      <c r="BOR12" s="249"/>
      <c r="BOS12" s="249"/>
      <c r="BOT12" s="249"/>
      <c r="BOU12" s="249"/>
      <c r="BOV12" s="249"/>
      <c r="BOW12" s="249"/>
      <c r="BOX12" s="249"/>
      <c r="BOY12" s="249"/>
      <c r="BOZ12" s="249"/>
      <c r="BPA12" s="249"/>
      <c r="BPB12" s="249"/>
      <c r="BPC12" s="249"/>
      <c r="BPD12" s="249"/>
      <c r="BPE12" s="249"/>
      <c r="BPF12" s="249"/>
      <c r="BPG12" s="249"/>
      <c r="BPH12" s="249"/>
      <c r="BPI12" s="249"/>
      <c r="BPJ12" s="249"/>
      <c r="BPK12" s="249"/>
      <c r="BPL12" s="249"/>
      <c r="BPM12" s="249"/>
      <c r="BPN12" s="249"/>
      <c r="BPO12" s="249"/>
      <c r="BPP12" s="249"/>
      <c r="BPQ12" s="249"/>
      <c r="BPR12" s="249"/>
      <c r="BPS12" s="249"/>
      <c r="BPT12" s="249"/>
      <c r="BPU12" s="249"/>
      <c r="BPV12" s="249"/>
      <c r="BPW12" s="249"/>
      <c r="BPX12" s="249"/>
      <c r="BPY12" s="249"/>
      <c r="BPZ12" s="249"/>
      <c r="BQA12" s="249"/>
      <c r="BQB12" s="249"/>
      <c r="BQC12" s="249"/>
      <c r="BQD12" s="249"/>
      <c r="BQE12" s="249"/>
      <c r="BQF12" s="249"/>
      <c r="BQG12" s="249"/>
      <c r="BQH12" s="249"/>
      <c r="BQI12" s="249"/>
      <c r="BQJ12" s="249"/>
      <c r="BQK12" s="249"/>
      <c r="BQL12" s="249"/>
      <c r="BQM12" s="249"/>
      <c r="BQN12" s="249"/>
      <c r="BQO12" s="249"/>
      <c r="BQP12" s="249"/>
      <c r="BQQ12" s="249"/>
      <c r="BQR12" s="249"/>
      <c r="BQS12" s="249"/>
      <c r="BQT12" s="249"/>
      <c r="BQU12" s="249"/>
      <c r="BQV12" s="249"/>
      <c r="BQW12" s="249"/>
      <c r="BQX12" s="249"/>
      <c r="BQY12" s="249"/>
      <c r="BQZ12" s="249"/>
      <c r="BRA12" s="249"/>
      <c r="BRB12" s="249"/>
      <c r="BRC12" s="249"/>
      <c r="BRD12" s="249"/>
      <c r="BRE12" s="249"/>
      <c r="BRF12" s="249"/>
      <c r="BRG12" s="249"/>
      <c r="BRH12" s="249"/>
      <c r="BRI12" s="249"/>
      <c r="BRJ12" s="249"/>
      <c r="BRK12" s="249"/>
      <c r="BRL12" s="249"/>
      <c r="BRM12" s="249"/>
      <c r="BRN12" s="249"/>
      <c r="BRO12" s="249"/>
      <c r="BRP12" s="249"/>
      <c r="BRQ12" s="249"/>
      <c r="BRR12" s="249"/>
      <c r="BRS12" s="249"/>
      <c r="BRT12" s="249"/>
      <c r="BRU12" s="249"/>
      <c r="BRV12" s="249"/>
      <c r="BRW12" s="249"/>
      <c r="BRX12" s="249"/>
      <c r="BRY12" s="249"/>
      <c r="BRZ12" s="249"/>
      <c r="BSA12" s="249"/>
      <c r="BSB12" s="249"/>
      <c r="BSC12" s="249"/>
      <c r="BSD12" s="249"/>
      <c r="BSE12" s="249"/>
      <c r="BSF12" s="249"/>
      <c r="BSG12" s="249"/>
      <c r="BSH12" s="249"/>
      <c r="BSI12" s="249"/>
      <c r="BSJ12" s="249"/>
      <c r="BSK12" s="249"/>
      <c r="BSL12" s="249"/>
      <c r="BSM12" s="249"/>
      <c r="BSN12" s="249"/>
      <c r="BSO12" s="249"/>
      <c r="BSP12" s="249"/>
      <c r="BSQ12" s="249"/>
      <c r="BSR12" s="249"/>
      <c r="BSS12" s="249"/>
      <c r="BST12" s="249"/>
      <c r="BSU12" s="249"/>
      <c r="BSV12" s="249"/>
      <c r="BSW12" s="249"/>
      <c r="BSX12" s="249"/>
      <c r="BSY12" s="249"/>
      <c r="BSZ12" s="249"/>
      <c r="BTA12" s="249"/>
      <c r="BTB12" s="249"/>
      <c r="BTC12" s="249"/>
      <c r="BTD12" s="249"/>
      <c r="BTE12" s="249"/>
      <c r="BTF12" s="249"/>
      <c r="BTG12" s="249"/>
      <c r="BTH12" s="249"/>
      <c r="BTI12" s="249"/>
      <c r="BTJ12" s="249"/>
      <c r="BTK12" s="249"/>
      <c r="BTL12" s="249"/>
      <c r="BTM12" s="249"/>
      <c r="BTN12" s="249"/>
      <c r="BTO12" s="249"/>
      <c r="BTP12" s="249"/>
      <c r="BTQ12" s="249"/>
      <c r="BTR12" s="249"/>
      <c r="BTS12" s="249"/>
      <c r="BTT12" s="249"/>
      <c r="BTU12" s="249"/>
      <c r="BTV12" s="249"/>
      <c r="BTW12" s="249"/>
      <c r="BTX12" s="249"/>
      <c r="BTY12" s="249"/>
      <c r="BTZ12" s="249"/>
      <c r="BUA12" s="249"/>
      <c r="BUB12" s="249"/>
      <c r="BUC12" s="249"/>
      <c r="BUD12" s="249"/>
      <c r="BUE12" s="249"/>
      <c r="BUF12" s="249"/>
      <c r="BUG12" s="249"/>
      <c r="BUH12" s="249"/>
      <c r="BUI12" s="249"/>
      <c r="BUJ12" s="249"/>
      <c r="BUK12" s="249"/>
      <c r="BUL12" s="249"/>
      <c r="BUM12" s="249"/>
      <c r="BUN12" s="249"/>
      <c r="BUO12" s="249"/>
      <c r="BUP12" s="249"/>
      <c r="BUQ12" s="249"/>
      <c r="BUR12" s="249"/>
      <c r="BUS12" s="249"/>
      <c r="BUT12" s="249"/>
      <c r="BUU12" s="249"/>
      <c r="BUV12" s="249"/>
      <c r="BUW12" s="249"/>
      <c r="BUX12" s="249"/>
      <c r="BUY12" s="249"/>
      <c r="BUZ12" s="249"/>
      <c r="BVA12" s="249"/>
      <c r="BVB12" s="249"/>
      <c r="BVC12" s="249"/>
      <c r="BVD12" s="249"/>
      <c r="BVE12" s="249"/>
      <c r="BVF12" s="249"/>
      <c r="BVG12" s="249"/>
      <c r="BVH12" s="249"/>
      <c r="BVI12" s="249"/>
      <c r="BVJ12" s="249"/>
      <c r="BVK12" s="249"/>
      <c r="BVL12" s="249"/>
      <c r="BVM12" s="249"/>
      <c r="BVN12" s="249"/>
      <c r="BVO12" s="249"/>
      <c r="BVP12" s="249"/>
      <c r="BVQ12" s="249"/>
      <c r="BVR12" s="249"/>
      <c r="BVS12" s="249"/>
      <c r="BVT12" s="249"/>
      <c r="BVU12" s="249"/>
      <c r="BVV12" s="249"/>
      <c r="BVW12" s="249"/>
      <c r="BVX12" s="249"/>
      <c r="BVY12" s="249"/>
      <c r="BVZ12" s="249"/>
      <c r="BWA12" s="249"/>
      <c r="BWB12" s="249"/>
      <c r="BWC12" s="249"/>
      <c r="BWD12" s="249"/>
      <c r="BWE12" s="249"/>
      <c r="BWF12" s="249"/>
      <c r="BWG12" s="249"/>
      <c r="BWH12" s="249"/>
      <c r="BWI12" s="249"/>
      <c r="BWJ12" s="249"/>
      <c r="BWK12" s="249"/>
      <c r="BWL12" s="249"/>
      <c r="BWM12" s="249"/>
      <c r="BWN12" s="249"/>
      <c r="BWO12" s="249"/>
      <c r="BWP12" s="249"/>
      <c r="BWQ12" s="249"/>
      <c r="BWR12" s="249"/>
      <c r="BWS12" s="249"/>
      <c r="BWT12" s="249"/>
      <c r="BWU12" s="249"/>
      <c r="BWV12" s="249"/>
      <c r="BWW12" s="249"/>
      <c r="BWX12" s="249"/>
      <c r="BWY12" s="249"/>
      <c r="BWZ12" s="249"/>
      <c r="BXA12" s="249"/>
      <c r="BXB12" s="249"/>
      <c r="BXC12" s="249"/>
      <c r="BXD12" s="249"/>
      <c r="BXE12" s="249"/>
      <c r="BXF12" s="249"/>
      <c r="BXG12" s="249"/>
      <c r="BXH12" s="249"/>
      <c r="BXI12" s="249"/>
      <c r="BXJ12" s="249"/>
      <c r="BXK12" s="249"/>
      <c r="BXL12" s="249"/>
      <c r="BXM12" s="249"/>
      <c r="BXN12" s="249"/>
      <c r="BXO12" s="249"/>
      <c r="BXP12" s="249"/>
      <c r="BXQ12" s="249"/>
      <c r="BXR12" s="249"/>
      <c r="BXS12" s="249"/>
      <c r="BXT12" s="249"/>
      <c r="BXU12" s="249"/>
      <c r="BXV12" s="249"/>
      <c r="BXW12" s="249"/>
      <c r="BXX12" s="249"/>
      <c r="BXY12" s="249"/>
      <c r="BXZ12" s="249"/>
      <c r="BYA12" s="249"/>
      <c r="BYB12" s="249"/>
      <c r="BYC12" s="249"/>
      <c r="BYD12" s="249"/>
      <c r="BYE12" s="249"/>
      <c r="BYF12" s="249"/>
      <c r="BYG12" s="249"/>
      <c r="BYH12" s="249"/>
      <c r="BYI12" s="249"/>
      <c r="BYJ12" s="249"/>
      <c r="BYK12" s="249"/>
      <c r="BYL12" s="249"/>
      <c r="BYM12" s="249"/>
      <c r="BYN12" s="249"/>
      <c r="BYO12" s="249"/>
      <c r="BYP12" s="249"/>
      <c r="BYQ12" s="249"/>
      <c r="BYR12" s="249"/>
      <c r="BYS12" s="249"/>
      <c r="BYT12" s="249"/>
      <c r="BYU12" s="249"/>
      <c r="BYV12" s="249"/>
      <c r="BYW12" s="249"/>
      <c r="BYX12" s="249"/>
      <c r="BYY12" s="249"/>
      <c r="BYZ12" s="249"/>
      <c r="BZA12" s="249"/>
      <c r="BZB12" s="249"/>
      <c r="BZC12" s="249"/>
      <c r="BZD12" s="249"/>
      <c r="BZE12" s="249"/>
      <c r="BZF12" s="249"/>
      <c r="BZG12" s="249"/>
      <c r="BZH12" s="249"/>
      <c r="BZI12" s="249"/>
      <c r="BZJ12" s="249"/>
      <c r="BZK12" s="249"/>
      <c r="BZL12" s="249"/>
      <c r="BZM12" s="249"/>
      <c r="BZN12" s="249"/>
      <c r="BZO12" s="249"/>
      <c r="BZP12" s="249"/>
      <c r="BZQ12" s="249"/>
      <c r="BZR12" s="249"/>
      <c r="BZS12" s="249"/>
      <c r="BZT12" s="249"/>
      <c r="BZU12" s="249"/>
      <c r="BZV12" s="249"/>
      <c r="BZW12" s="249"/>
      <c r="BZX12" s="249"/>
      <c r="BZY12" s="249"/>
      <c r="BZZ12" s="249"/>
      <c r="CAA12" s="249"/>
      <c r="CAB12" s="249"/>
      <c r="CAC12" s="249"/>
      <c r="CAD12" s="249"/>
      <c r="CAE12" s="249"/>
      <c r="CAF12" s="249"/>
      <c r="CAG12" s="249"/>
      <c r="CAH12" s="249"/>
      <c r="CAI12" s="249"/>
      <c r="CAJ12" s="249"/>
      <c r="CAK12" s="249"/>
      <c r="CAL12" s="249"/>
      <c r="CAM12" s="249"/>
      <c r="CAN12" s="249"/>
      <c r="CAO12" s="249"/>
      <c r="CAP12" s="249"/>
      <c r="CAQ12" s="249"/>
      <c r="CAR12" s="249"/>
      <c r="CAS12" s="249"/>
      <c r="CAT12" s="249"/>
      <c r="CAU12" s="249"/>
      <c r="CAV12" s="249"/>
      <c r="CAW12" s="249"/>
      <c r="CAX12" s="249"/>
      <c r="CAY12" s="249"/>
      <c r="CAZ12" s="249"/>
      <c r="CBA12" s="249"/>
      <c r="CBB12" s="249"/>
      <c r="CBC12" s="249"/>
      <c r="CBD12" s="249"/>
      <c r="CBE12" s="249"/>
      <c r="CBF12" s="249"/>
      <c r="CBG12" s="249"/>
      <c r="CBH12" s="249"/>
      <c r="CBI12" s="249"/>
      <c r="CBJ12" s="249"/>
      <c r="CBK12" s="249"/>
      <c r="CBL12" s="249"/>
      <c r="CBM12" s="249"/>
      <c r="CBN12" s="249"/>
      <c r="CBO12" s="249"/>
      <c r="CBP12" s="249"/>
      <c r="CBQ12" s="249"/>
      <c r="CBR12" s="249"/>
      <c r="CBS12" s="249"/>
      <c r="CBT12" s="249"/>
      <c r="CBU12" s="249"/>
      <c r="CBV12" s="249"/>
      <c r="CBW12" s="249"/>
      <c r="CBX12" s="249"/>
      <c r="CBY12" s="249"/>
      <c r="CBZ12" s="249"/>
      <c r="CCA12" s="249"/>
      <c r="CCB12" s="249"/>
      <c r="CCC12" s="249"/>
      <c r="CCD12" s="249"/>
      <c r="CCE12" s="249"/>
      <c r="CCF12" s="249"/>
      <c r="CCG12" s="249"/>
      <c r="CCH12" s="249"/>
      <c r="CCI12" s="249"/>
      <c r="CCJ12" s="249"/>
      <c r="CCK12" s="249"/>
      <c r="CCL12" s="249"/>
      <c r="CCM12" s="249"/>
      <c r="CCN12" s="249"/>
      <c r="CCO12" s="249"/>
      <c r="CCP12" s="249"/>
      <c r="CCQ12" s="249"/>
      <c r="CCR12" s="249"/>
      <c r="CCS12" s="249"/>
      <c r="CCT12" s="249"/>
      <c r="CCU12" s="249"/>
      <c r="CCV12" s="249"/>
      <c r="CCW12" s="249"/>
      <c r="CCX12" s="249"/>
      <c r="CCY12" s="249"/>
      <c r="CCZ12" s="249"/>
      <c r="CDA12" s="249"/>
      <c r="CDB12" s="249"/>
      <c r="CDC12" s="249"/>
      <c r="CDD12" s="249"/>
      <c r="CDE12" s="249"/>
      <c r="CDF12" s="249"/>
      <c r="CDG12" s="249"/>
      <c r="CDH12" s="249"/>
      <c r="CDI12" s="249"/>
      <c r="CDJ12" s="249"/>
      <c r="CDK12" s="249"/>
      <c r="CDL12" s="249"/>
      <c r="CDM12" s="249"/>
      <c r="CDN12" s="249"/>
      <c r="CDO12" s="249"/>
      <c r="CDP12" s="249"/>
      <c r="CDQ12" s="249"/>
      <c r="CDR12" s="249"/>
      <c r="CDS12" s="249"/>
      <c r="CDT12" s="249"/>
      <c r="CDU12" s="249"/>
      <c r="CDV12" s="249"/>
      <c r="CDW12" s="249"/>
      <c r="CDX12" s="249"/>
      <c r="CDY12" s="249"/>
      <c r="CDZ12" s="249"/>
      <c r="CEA12" s="249"/>
      <c r="CEB12" s="249"/>
      <c r="CEC12" s="249"/>
      <c r="CED12" s="249"/>
      <c r="CEE12" s="249"/>
      <c r="CEF12" s="249"/>
      <c r="CEG12" s="249"/>
      <c r="CEH12" s="249"/>
      <c r="CEI12" s="249"/>
      <c r="CEJ12" s="249"/>
      <c r="CEK12" s="249"/>
      <c r="CEL12" s="249"/>
      <c r="CEM12" s="249"/>
      <c r="CEN12" s="249"/>
      <c r="CEO12" s="249"/>
      <c r="CEP12" s="249"/>
      <c r="CEQ12" s="249"/>
      <c r="CER12" s="249"/>
      <c r="CES12" s="249"/>
      <c r="CET12" s="249"/>
      <c r="CEU12" s="249"/>
      <c r="CEV12" s="249"/>
      <c r="CEW12" s="249"/>
      <c r="CEX12" s="249"/>
      <c r="CEY12" s="249"/>
      <c r="CEZ12" s="249"/>
      <c r="CFA12" s="249"/>
      <c r="CFB12" s="249"/>
      <c r="CFC12" s="249"/>
      <c r="CFD12" s="249"/>
      <c r="CFE12" s="249"/>
      <c r="CFF12" s="249"/>
      <c r="CFG12" s="249"/>
      <c r="CFH12" s="249"/>
      <c r="CFI12" s="249"/>
      <c r="CFJ12" s="249"/>
      <c r="CFK12" s="249"/>
      <c r="CFL12" s="249"/>
      <c r="CFM12" s="249"/>
      <c r="CFN12" s="249"/>
      <c r="CFO12" s="249"/>
      <c r="CFP12" s="249"/>
      <c r="CFQ12" s="249"/>
      <c r="CFR12" s="249"/>
      <c r="CFS12" s="249"/>
      <c r="CFT12" s="249"/>
      <c r="CFU12" s="249"/>
      <c r="CFV12" s="249"/>
      <c r="CFW12" s="249"/>
      <c r="CFX12" s="249"/>
      <c r="CFY12" s="249"/>
      <c r="CFZ12" s="249"/>
      <c r="CGA12" s="249"/>
      <c r="CGB12" s="249"/>
      <c r="CGC12" s="249"/>
      <c r="CGD12" s="249"/>
      <c r="CGE12" s="249"/>
      <c r="CGF12" s="249"/>
      <c r="CGG12" s="249"/>
      <c r="CGH12" s="249"/>
      <c r="CGI12" s="249"/>
      <c r="CGJ12" s="249"/>
      <c r="CGK12" s="249"/>
      <c r="CGL12" s="249"/>
      <c r="CGM12" s="249"/>
      <c r="CGN12" s="249"/>
      <c r="CGO12" s="249"/>
      <c r="CGP12" s="249"/>
      <c r="CGQ12" s="249"/>
      <c r="CGR12" s="249"/>
      <c r="CGS12" s="249"/>
      <c r="CGT12" s="249"/>
      <c r="CGU12" s="249"/>
      <c r="CGV12" s="249"/>
      <c r="CGW12" s="249"/>
      <c r="CGX12" s="249"/>
      <c r="CGY12" s="249"/>
      <c r="CGZ12" s="249"/>
      <c r="CHA12" s="249"/>
      <c r="CHB12" s="249"/>
      <c r="CHC12" s="249"/>
      <c r="CHD12" s="249"/>
      <c r="CHE12" s="249"/>
      <c r="CHF12" s="249"/>
      <c r="CHG12" s="249"/>
      <c r="CHH12" s="249"/>
      <c r="CHI12" s="249"/>
      <c r="CHJ12" s="249"/>
      <c r="CHK12" s="249"/>
      <c r="CHL12" s="249"/>
      <c r="CHM12" s="249"/>
      <c r="CHN12" s="249"/>
      <c r="CHO12" s="249"/>
      <c r="CHP12" s="249"/>
      <c r="CHQ12" s="249"/>
      <c r="CHR12" s="249"/>
      <c r="CHS12" s="249"/>
      <c r="CHT12" s="249"/>
      <c r="CHU12" s="249"/>
      <c r="CHV12" s="249"/>
      <c r="CHW12" s="249"/>
      <c r="CHX12" s="249"/>
      <c r="CHY12" s="249"/>
      <c r="CHZ12" s="249"/>
      <c r="CIA12" s="249"/>
      <c r="CIB12" s="249"/>
      <c r="CIC12" s="249"/>
      <c r="CID12" s="249"/>
      <c r="CIE12" s="249"/>
      <c r="CIF12" s="249"/>
      <c r="CIG12" s="249"/>
      <c r="CIH12" s="249"/>
      <c r="CII12" s="249"/>
      <c r="CIJ12" s="249"/>
      <c r="CIK12" s="249"/>
      <c r="CIL12" s="249"/>
      <c r="CIM12" s="249"/>
      <c r="CIN12" s="249"/>
      <c r="CIO12" s="249"/>
      <c r="CIP12" s="249"/>
      <c r="CIQ12" s="249"/>
      <c r="CIR12" s="249"/>
      <c r="CIS12" s="249"/>
      <c r="CIT12" s="249"/>
      <c r="CIU12" s="249"/>
      <c r="CIV12" s="249"/>
      <c r="CIW12" s="249"/>
      <c r="CIX12" s="249"/>
      <c r="CIY12" s="249"/>
      <c r="CIZ12" s="249"/>
      <c r="CJA12" s="249"/>
      <c r="CJB12" s="249"/>
      <c r="CJC12" s="249"/>
      <c r="CJD12" s="249"/>
      <c r="CJE12" s="249"/>
      <c r="CJF12" s="249"/>
      <c r="CJG12" s="249"/>
      <c r="CJH12" s="249"/>
      <c r="CJI12" s="249"/>
      <c r="CJJ12" s="249"/>
      <c r="CJK12" s="249"/>
      <c r="CJL12" s="249"/>
      <c r="CJM12" s="249"/>
      <c r="CJN12" s="249"/>
      <c r="CJO12" s="249"/>
      <c r="CJP12" s="249"/>
      <c r="CJQ12" s="249"/>
      <c r="CJR12" s="249"/>
      <c r="CJS12" s="249"/>
      <c r="CJT12" s="249"/>
      <c r="CJU12" s="249"/>
      <c r="CJV12" s="249"/>
      <c r="CJW12" s="249"/>
      <c r="CJX12" s="249"/>
      <c r="CJY12" s="249"/>
      <c r="CJZ12" s="249"/>
      <c r="CKA12" s="249"/>
      <c r="CKB12" s="249"/>
      <c r="CKC12" s="249"/>
      <c r="CKD12" s="249"/>
      <c r="CKE12" s="249"/>
      <c r="CKF12" s="249"/>
      <c r="CKG12" s="249"/>
      <c r="CKH12" s="249"/>
      <c r="CKI12" s="249"/>
      <c r="CKJ12" s="249"/>
      <c r="CKK12" s="249"/>
      <c r="CKL12" s="249"/>
      <c r="CKM12" s="249"/>
      <c r="CKN12" s="249"/>
      <c r="CKO12" s="249"/>
      <c r="CKP12" s="249"/>
      <c r="CKQ12" s="249"/>
      <c r="CKR12" s="249"/>
      <c r="CKS12" s="249"/>
      <c r="CKT12" s="249"/>
      <c r="CKU12" s="249"/>
      <c r="CKV12" s="249"/>
      <c r="CKW12" s="249"/>
      <c r="CKX12" s="249"/>
      <c r="CKY12" s="249"/>
      <c r="CKZ12" s="249"/>
      <c r="CLA12" s="249"/>
      <c r="CLB12" s="249"/>
      <c r="CLC12" s="249"/>
      <c r="CLD12" s="249"/>
      <c r="CLE12" s="249"/>
      <c r="CLF12" s="249"/>
      <c r="CLG12" s="249"/>
      <c r="CLH12" s="249"/>
      <c r="CLI12" s="249"/>
      <c r="CLJ12" s="249"/>
      <c r="CLK12" s="249"/>
      <c r="CLL12" s="249"/>
      <c r="CLM12" s="249"/>
      <c r="CLN12" s="249"/>
      <c r="CLO12" s="249"/>
      <c r="CLP12" s="249"/>
      <c r="CLQ12" s="249"/>
      <c r="CLR12" s="249"/>
      <c r="CLS12" s="249"/>
      <c r="CLT12" s="249"/>
      <c r="CLU12" s="249"/>
      <c r="CLV12" s="249"/>
      <c r="CLW12" s="249"/>
      <c r="CLX12" s="249"/>
      <c r="CLY12" s="249"/>
      <c r="CLZ12" s="249"/>
      <c r="CMA12" s="249"/>
      <c r="CMB12" s="249"/>
      <c r="CMC12" s="249"/>
      <c r="CMD12" s="249"/>
      <c r="CME12" s="249"/>
      <c r="CMF12" s="249"/>
      <c r="CMG12" s="249"/>
      <c r="CMH12" s="249"/>
      <c r="CMI12" s="249"/>
      <c r="CMJ12" s="249"/>
      <c r="CMK12" s="249"/>
      <c r="CML12" s="249"/>
      <c r="CMM12" s="249"/>
      <c r="CMN12" s="249"/>
      <c r="CMO12" s="249"/>
      <c r="CMP12" s="249"/>
      <c r="CMQ12" s="249"/>
      <c r="CMR12" s="249"/>
      <c r="CMS12" s="249"/>
      <c r="CMT12" s="249"/>
      <c r="CMU12" s="249"/>
      <c r="CMV12" s="249"/>
      <c r="CMW12" s="249"/>
      <c r="CMX12" s="249"/>
      <c r="CMY12" s="249"/>
      <c r="CMZ12" s="249"/>
      <c r="CNA12" s="249"/>
      <c r="CNB12" s="249"/>
      <c r="CNC12" s="249"/>
      <c r="CND12" s="249"/>
      <c r="CNE12" s="249"/>
      <c r="CNF12" s="249"/>
      <c r="CNG12" s="249"/>
      <c r="CNH12" s="249"/>
      <c r="CNI12" s="249"/>
      <c r="CNJ12" s="249"/>
      <c r="CNK12" s="249"/>
      <c r="CNL12" s="249"/>
      <c r="CNM12" s="249"/>
      <c r="CNN12" s="249"/>
      <c r="CNO12" s="249"/>
      <c r="CNP12" s="249"/>
      <c r="CNQ12" s="249"/>
      <c r="CNR12" s="249"/>
      <c r="CNS12" s="249"/>
      <c r="CNT12" s="249"/>
      <c r="CNU12" s="249"/>
      <c r="CNV12" s="249"/>
      <c r="CNW12" s="249"/>
      <c r="CNX12" s="249"/>
      <c r="CNY12" s="249"/>
      <c r="CNZ12" s="249"/>
      <c r="COA12" s="249"/>
      <c r="COB12" s="249"/>
      <c r="COC12" s="249"/>
      <c r="COD12" s="249"/>
      <c r="COE12" s="249"/>
      <c r="COF12" s="249"/>
      <c r="COG12" s="249"/>
      <c r="COH12" s="249"/>
      <c r="COI12" s="249"/>
      <c r="COJ12" s="249"/>
      <c r="COK12" s="249"/>
      <c r="COL12" s="249"/>
      <c r="COM12" s="249"/>
      <c r="CON12" s="249"/>
      <c r="COO12" s="249"/>
      <c r="COP12" s="249"/>
      <c r="COQ12" s="249"/>
      <c r="COR12" s="249"/>
      <c r="COS12" s="249"/>
      <c r="COT12" s="249"/>
      <c r="COU12" s="249"/>
      <c r="COV12" s="249"/>
      <c r="COW12" s="249"/>
      <c r="COX12" s="249"/>
      <c r="COY12" s="249"/>
      <c r="COZ12" s="249"/>
      <c r="CPA12" s="249"/>
      <c r="CPB12" s="249"/>
      <c r="CPC12" s="249"/>
      <c r="CPD12" s="249"/>
      <c r="CPE12" s="249"/>
      <c r="CPF12" s="249"/>
      <c r="CPG12" s="249"/>
      <c r="CPH12" s="249"/>
      <c r="CPI12" s="249"/>
      <c r="CPJ12" s="249"/>
      <c r="CPK12" s="249"/>
      <c r="CPL12" s="249"/>
      <c r="CPM12" s="249"/>
      <c r="CPN12" s="249"/>
      <c r="CPO12" s="249"/>
      <c r="CPP12" s="249"/>
      <c r="CPQ12" s="249"/>
      <c r="CPR12" s="249"/>
      <c r="CPS12" s="249"/>
      <c r="CPT12" s="249"/>
      <c r="CPU12" s="249"/>
      <c r="CPV12" s="249"/>
      <c r="CPW12" s="249"/>
      <c r="CPX12" s="249"/>
      <c r="CPY12" s="249"/>
      <c r="CPZ12" s="249"/>
      <c r="CQA12" s="249"/>
      <c r="CQB12" s="249"/>
      <c r="CQC12" s="249"/>
      <c r="CQD12" s="249"/>
      <c r="CQE12" s="249"/>
      <c r="CQF12" s="249"/>
      <c r="CQG12" s="249"/>
      <c r="CQH12" s="249"/>
      <c r="CQI12" s="249"/>
      <c r="CQJ12" s="249"/>
      <c r="CQK12" s="249"/>
      <c r="CQL12" s="249"/>
      <c r="CQM12" s="249"/>
      <c r="CQN12" s="249"/>
      <c r="CQO12" s="249"/>
      <c r="CQP12" s="249"/>
      <c r="CQQ12" s="249"/>
      <c r="CQR12" s="249"/>
      <c r="CQS12" s="249"/>
      <c r="CQT12" s="249"/>
      <c r="CQU12" s="249"/>
      <c r="CQV12" s="249"/>
      <c r="CQW12" s="249"/>
      <c r="CQX12" s="249"/>
      <c r="CQY12" s="249"/>
      <c r="CQZ12" s="249"/>
      <c r="CRA12" s="249"/>
      <c r="CRB12" s="249"/>
      <c r="CRC12" s="249"/>
      <c r="CRD12" s="249"/>
      <c r="CRE12" s="249"/>
      <c r="CRF12" s="249"/>
      <c r="CRG12" s="249"/>
      <c r="CRH12" s="249"/>
      <c r="CRI12" s="249"/>
      <c r="CRJ12" s="249"/>
      <c r="CRK12" s="249"/>
      <c r="CRL12" s="249"/>
      <c r="CRM12" s="249"/>
      <c r="CRN12" s="249"/>
      <c r="CRO12" s="249"/>
      <c r="CRP12" s="249"/>
      <c r="CRQ12" s="249"/>
      <c r="CRR12" s="249"/>
      <c r="CRS12" s="249"/>
      <c r="CRT12" s="249"/>
      <c r="CRU12" s="249"/>
      <c r="CRV12" s="249"/>
      <c r="CRW12" s="249"/>
      <c r="CRX12" s="249"/>
      <c r="CRY12" s="249"/>
      <c r="CRZ12" s="249"/>
      <c r="CSA12" s="249"/>
      <c r="CSB12" s="249"/>
      <c r="CSC12" s="249"/>
      <c r="CSD12" s="249"/>
      <c r="CSE12" s="249"/>
      <c r="CSF12" s="249"/>
      <c r="CSG12" s="249"/>
      <c r="CSH12" s="249"/>
      <c r="CSI12" s="249"/>
      <c r="CSJ12" s="249"/>
      <c r="CSK12" s="249"/>
      <c r="CSL12" s="249"/>
      <c r="CSM12" s="249"/>
      <c r="CSN12" s="249"/>
      <c r="CSO12" s="249"/>
      <c r="CSP12" s="249"/>
      <c r="CSQ12" s="249"/>
      <c r="CSR12" s="249"/>
      <c r="CSS12" s="249"/>
      <c r="CST12" s="249"/>
      <c r="CSU12" s="249"/>
      <c r="CSV12" s="249"/>
      <c r="CSW12" s="249"/>
      <c r="CSX12" s="249"/>
      <c r="CSY12" s="249"/>
      <c r="CSZ12" s="249"/>
      <c r="CTA12" s="249"/>
      <c r="CTB12" s="249"/>
      <c r="CTC12" s="249"/>
      <c r="CTD12" s="249"/>
      <c r="CTE12" s="249"/>
      <c r="CTF12" s="249"/>
      <c r="CTG12" s="249"/>
      <c r="CTH12" s="249"/>
      <c r="CTI12" s="249"/>
      <c r="CTJ12" s="249"/>
      <c r="CTK12" s="249"/>
      <c r="CTL12" s="249"/>
      <c r="CTM12" s="249"/>
      <c r="CTN12" s="249"/>
      <c r="CTO12" s="249"/>
      <c r="CTP12" s="249"/>
      <c r="CTQ12" s="249"/>
      <c r="CTR12" s="249"/>
      <c r="CTS12" s="249"/>
      <c r="CTT12" s="249"/>
      <c r="CTU12" s="249"/>
      <c r="CTV12" s="249"/>
      <c r="CTW12" s="249"/>
      <c r="CTX12" s="249"/>
      <c r="CTY12" s="249"/>
      <c r="CTZ12" s="249"/>
      <c r="CUA12" s="249"/>
      <c r="CUB12" s="249"/>
      <c r="CUC12" s="249"/>
      <c r="CUD12" s="249"/>
      <c r="CUE12" s="249"/>
      <c r="CUF12" s="249"/>
      <c r="CUG12" s="249"/>
      <c r="CUH12" s="249"/>
      <c r="CUI12" s="249"/>
      <c r="CUJ12" s="249"/>
      <c r="CUK12" s="249"/>
      <c r="CUL12" s="249"/>
      <c r="CUM12" s="249"/>
      <c r="CUN12" s="249"/>
      <c r="CUO12" s="249"/>
      <c r="CUP12" s="249"/>
      <c r="CUQ12" s="249"/>
      <c r="CUR12" s="249"/>
      <c r="CUS12" s="249"/>
      <c r="CUT12" s="249"/>
      <c r="CUU12" s="249"/>
      <c r="CUV12" s="249"/>
      <c r="CUW12" s="249"/>
      <c r="CUX12" s="249"/>
      <c r="CUY12" s="249"/>
      <c r="CUZ12" s="249"/>
      <c r="CVA12" s="249"/>
      <c r="CVB12" s="249"/>
      <c r="CVC12" s="249"/>
      <c r="CVD12" s="249"/>
      <c r="CVE12" s="249"/>
      <c r="CVF12" s="249"/>
      <c r="CVG12" s="249"/>
      <c r="CVH12" s="249"/>
      <c r="CVI12" s="249"/>
      <c r="CVJ12" s="249"/>
      <c r="CVK12" s="249"/>
      <c r="CVL12" s="249"/>
      <c r="CVM12" s="249"/>
      <c r="CVN12" s="249"/>
      <c r="CVO12" s="249"/>
      <c r="CVP12" s="249"/>
      <c r="CVQ12" s="249"/>
      <c r="CVR12" s="249"/>
      <c r="CVS12" s="249"/>
      <c r="CVT12" s="249"/>
      <c r="CVU12" s="249"/>
      <c r="CVV12" s="249"/>
      <c r="CVW12" s="249"/>
      <c r="CVX12" s="249"/>
      <c r="CVY12" s="249"/>
      <c r="CVZ12" s="249"/>
      <c r="CWA12" s="249"/>
      <c r="CWB12" s="249"/>
      <c r="CWC12" s="249"/>
      <c r="CWD12" s="249"/>
      <c r="CWE12" s="249"/>
      <c r="CWF12" s="249"/>
      <c r="CWG12" s="249"/>
      <c r="CWH12" s="249"/>
      <c r="CWI12" s="249"/>
      <c r="CWJ12" s="249"/>
      <c r="CWK12" s="249"/>
      <c r="CWL12" s="249"/>
      <c r="CWM12" s="249"/>
      <c r="CWN12" s="249"/>
      <c r="CWO12" s="249"/>
      <c r="CWP12" s="249"/>
      <c r="CWQ12" s="249"/>
      <c r="CWR12" s="249"/>
      <c r="CWS12" s="249"/>
      <c r="CWT12" s="249"/>
      <c r="CWU12" s="249"/>
      <c r="CWV12" s="249"/>
      <c r="CWW12" s="249"/>
      <c r="CWX12" s="249"/>
      <c r="CWY12" s="249"/>
      <c r="CWZ12" s="249"/>
      <c r="CXA12" s="249"/>
      <c r="CXB12" s="249"/>
      <c r="CXC12" s="249"/>
      <c r="CXD12" s="249"/>
      <c r="CXE12" s="249"/>
      <c r="CXF12" s="249"/>
      <c r="CXG12" s="249"/>
      <c r="CXH12" s="249"/>
      <c r="CXI12" s="249"/>
      <c r="CXJ12" s="249"/>
      <c r="CXK12" s="249"/>
      <c r="CXL12" s="249"/>
      <c r="CXM12" s="249"/>
      <c r="CXN12" s="249"/>
      <c r="CXO12" s="249"/>
      <c r="CXP12" s="249"/>
      <c r="CXQ12" s="249"/>
      <c r="CXR12" s="249"/>
      <c r="CXS12" s="249"/>
      <c r="CXT12" s="249"/>
      <c r="CXU12" s="249"/>
      <c r="CXV12" s="249"/>
      <c r="CXW12" s="249"/>
      <c r="CXX12" s="249"/>
      <c r="CXY12" s="249"/>
      <c r="CXZ12" s="249"/>
      <c r="CYA12" s="249"/>
      <c r="CYB12" s="249"/>
      <c r="CYC12" s="249"/>
      <c r="CYD12" s="249"/>
      <c r="CYE12" s="249"/>
      <c r="CYF12" s="249"/>
      <c r="CYG12" s="249"/>
      <c r="CYH12" s="249"/>
      <c r="CYI12" s="249"/>
      <c r="CYJ12" s="249"/>
      <c r="CYK12" s="249"/>
      <c r="CYL12" s="249"/>
      <c r="CYM12" s="249"/>
      <c r="CYN12" s="249"/>
      <c r="CYO12" s="249"/>
      <c r="CYP12" s="249"/>
      <c r="CYQ12" s="249"/>
      <c r="CYR12" s="249"/>
      <c r="CYS12" s="249"/>
      <c r="CYT12" s="249"/>
      <c r="CYU12" s="249"/>
      <c r="CYV12" s="249"/>
      <c r="CYW12" s="249"/>
      <c r="CYX12" s="249"/>
      <c r="CYY12" s="249"/>
      <c r="CYZ12" s="249"/>
      <c r="CZA12" s="249"/>
      <c r="CZB12" s="249"/>
      <c r="CZC12" s="249"/>
      <c r="CZD12" s="249"/>
      <c r="CZE12" s="249"/>
      <c r="CZF12" s="249"/>
      <c r="CZG12" s="249"/>
      <c r="CZH12" s="249"/>
      <c r="CZI12" s="249"/>
      <c r="CZJ12" s="249"/>
      <c r="CZK12" s="249"/>
      <c r="CZL12" s="249"/>
      <c r="CZM12" s="249"/>
      <c r="CZN12" s="249"/>
      <c r="CZO12" s="249"/>
      <c r="CZP12" s="249"/>
      <c r="CZQ12" s="249"/>
      <c r="CZR12" s="249"/>
      <c r="CZS12" s="249"/>
      <c r="CZT12" s="249"/>
      <c r="CZU12" s="249"/>
      <c r="CZV12" s="249"/>
      <c r="CZW12" s="249"/>
      <c r="CZX12" s="249"/>
      <c r="CZY12" s="249"/>
      <c r="CZZ12" s="249"/>
      <c r="DAA12" s="249"/>
      <c r="DAB12" s="249"/>
      <c r="DAC12" s="249"/>
      <c r="DAD12" s="249"/>
      <c r="DAE12" s="249"/>
      <c r="DAF12" s="249"/>
      <c r="DAG12" s="249"/>
      <c r="DAH12" s="249"/>
      <c r="DAI12" s="249"/>
      <c r="DAJ12" s="249"/>
      <c r="DAK12" s="249"/>
      <c r="DAL12" s="249"/>
      <c r="DAM12" s="249"/>
      <c r="DAN12" s="249"/>
      <c r="DAO12" s="249"/>
      <c r="DAP12" s="249"/>
      <c r="DAQ12" s="249"/>
      <c r="DAR12" s="249"/>
      <c r="DAS12" s="249"/>
      <c r="DAT12" s="249"/>
      <c r="DAU12" s="249"/>
      <c r="DAV12" s="249"/>
      <c r="DAW12" s="249"/>
      <c r="DAX12" s="249"/>
      <c r="DAY12" s="249"/>
      <c r="DAZ12" s="249"/>
      <c r="DBA12" s="249"/>
      <c r="DBB12" s="249"/>
      <c r="DBC12" s="249"/>
      <c r="DBD12" s="249"/>
      <c r="DBE12" s="249"/>
      <c r="DBF12" s="249"/>
      <c r="DBG12" s="249"/>
      <c r="DBH12" s="249"/>
      <c r="DBI12" s="249"/>
      <c r="DBJ12" s="249"/>
      <c r="DBK12" s="249"/>
      <c r="DBL12" s="249"/>
      <c r="DBM12" s="249"/>
      <c r="DBN12" s="249"/>
      <c r="DBO12" s="249"/>
      <c r="DBP12" s="249"/>
      <c r="DBQ12" s="249"/>
      <c r="DBR12" s="249"/>
      <c r="DBS12" s="249"/>
      <c r="DBT12" s="249"/>
      <c r="DBU12" s="249"/>
      <c r="DBV12" s="249"/>
      <c r="DBW12" s="249"/>
      <c r="DBX12" s="249"/>
      <c r="DBY12" s="249"/>
      <c r="DBZ12" s="249"/>
      <c r="DCA12" s="249"/>
      <c r="DCB12" s="249"/>
      <c r="DCC12" s="249"/>
      <c r="DCD12" s="249"/>
      <c r="DCE12" s="249"/>
      <c r="DCF12" s="249"/>
      <c r="DCG12" s="249"/>
      <c r="DCH12" s="249"/>
      <c r="DCI12" s="249"/>
      <c r="DCJ12" s="249"/>
      <c r="DCK12" s="249"/>
      <c r="DCL12" s="249"/>
      <c r="DCM12" s="249"/>
      <c r="DCN12" s="249"/>
      <c r="DCO12" s="249"/>
      <c r="DCP12" s="249"/>
      <c r="DCQ12" s="249"/>
      <c r="DCR12" s="249"/>
      <c r="DCS12" s="249"/>
      <c r="DCT12" s="249"/>
      <c r="DCU12" s="249"/>
      <c r="DCV12" s="249"/>
      <c r="DCW12" s="249"/>
      <c r="DCX12" s="249"/>
      <c r="DCY12" s="249"/>
      <c r="DCZ12" s="249"/>
      <c r="DDA12" s="249"/>
      <c r="DDB12" s="249"/>
      <c r="DDC12" s="249"/>
      <c r="DDD12" s="249"/>
      <c r="DDE12" s="249"/>
      <c r="DDF12" s="249"/>
      <c r="DDG12" s="249"/>
      <c r="DDH12" s="249"/>
      <c r="DDI12" s="249"/>
      <c r="DDJ12" s="249"/>
      <c r="DDK12" s="249"/>
      <c r="DDL12" s="249"/>
      <c r="DDM12" s="249"/>
      <c r="DDN12" s="249"/>
      <c r="DDO12" s="249"/>
      <c r="DDP12" s="249"/>
      <c r="DDQ12" s="249"/>
      <c r="DDR12" s="249"/>
      <c r="DDS12" s="249"/>
      <c r="DDT12" s="249"/>
      <c r="DDU12" s="249"/>
      <c r="DDV12" s="249"/>
      <c r="DDW12" s="249"/>
      <c r="DDX12" s="249"/>
      <c r="DDY12" s="249"/>
      <c r="DDZ12" s="249"/>
      <c r="DEA12" s="249"/>
      <c r="DEB12" s="249"/>
      <c r="DEC12" s="249"/>
      <c r="DED12" s="249"/>
      <c r="DEE12" s="249"/>
      <c r="DEF12" s="249"/>
      <c r="DEG12" s="249"/>
      <c r="DEH12" s="249"/>
      <c r="DEI12" s="249"/>
      <c r="DEJ12" s="249"/>
      <c r="DEK12" s="249"/>
      <c r="DEL12" s="249"/>
      <c r="DEM12" s="249"/>
      <c r="DEN12" s="249"/>
      <c r="DEO12" s="249"/>
      <c r="DEP12" s="249"/>
      <c r="DEQ12" s="249"/>
      <c r="DER12" s="249"/>
      <c r="DES12" s="249"/>
      <c r="DET12" s="249"/>
      <c r="DEU12" s="249"/>
      <c r="DEV12" s="249"/>
      <c r="DEW12" s="249"/>
      <c r="DEX12" s="249"/>
      <c r="DEY12" s="249"/>
      <c r="DEZ12" s="249"/>
      <c r="DFA12" s="249"/>
      <c r="DFB12" s="249"/>
      <c r="DFC12" s="249"/>
      <c r="DFD12" s="249"/>
      <c r="DFE12" s="249"/>
      <c r="DFF12" s="249"/>
      <c r="DFG12" s="249"/>
      <c r="DFH12" s="249"/>
      <c r="DFI12" s="249"/>
      <c r="DFJ12" s="249"/>
      <c r="DFK12" s="249"/>
      <c r="DFL12" s="249"/>
      <c r="DFM12" s="249"/>
      <c r="DFN12" s="249"/>
      <c r="DFO12" s="249"/>
      <c r="DFP12" s="249"/>
      <c r="DFQ12" s="249"/>
      <c r="DFR12" s="249"/>
      <c r="DFS12" s="249"/>
      <c r="DFT12" s="249"/>
      <c r="DFU12" s="249"/>
      <c r="DFV12" s="249"/>
      <c r="DFW12" s="249"/>
      <c r="DFX12" s="249"/>
      <c r="DFY12" s="249"/>
      <c r="DFZ12" s="249"/>
      <c r="DGA12" s="249"/>
      <c r="DGB12" s="249"/>
      <c r="DGC12" s="249"/>
      <c r="DGD12" s="249"/>
      <c r="DGE12" s="249"/>
      <c r="DGF12" s="249"/>
      <c r="DGG12" s="249"/>
      <c r="DGH12" s="249"/>
      <c r="DGI12" s="249"/>
      <c r="DGJ12" s="249"/>
      <c r="DGK12" s="249"/>
      <c r="DGL12" s="249"/>
      <c r="DGM12" s="249"/>
      <c r="DGN12" s="249"/>
      <c r="DGO12" s="249"/>
      <c r="DGP12" s="249"/>
      <c r="DGQ12" s="249"/>
      <c r="DGR12" s="249"/>
      <c r="DGS12" s="249"/>
      <c r="DGT12" s="249"/>
      <c r="DGU12" s="249"/>
      <c r="DGV12" s="249"/>
      <c r="DGW12" s="249"/>
      <c r="DGX12" s="249"/>
      <c r="DGY12" s="249"/>
      <c r="DGZ12" s="249"/>
      <c r="DHA12" s="249"/>
      <c r="DHB12" s="249"/>
      <c r="DHC12" s="249"/>
      <c r="DHD12" s="249"/>
      <c r="DHE12" s="249"/>
      <c r="DHF12" s="249"/>
      <c r="DHG12" s="249"/>
      <c r="DHH12" s="249"/>
      <c r="DHI12" s="249"/>
      <c r="DHJ12" s="249"/>
      <c r="DHK12" s="249"/>
      <c r="DHL12" s="249"/>
      <c r="DHM12" s="249"/>
      <c r="DHN12" s="249"/>
      <c r="DHO12" s="249"/>
      <c r="DHP12" s="249"/>
      <c r="DHQ12" s="249"/>
      <c r="DHR12" s="249"/>
      <c r="DHS12" s="249"/>
      <c r="DHT12" s="249"/>
      <c r="DHU12" s="249"/>
      <c r="DHV12" s="249"/>
      <c r="DHW12" s="249"/>
      <c r="DHX12" s="249"/>
      <c r="DHY12" s="249"/>
      <c r="DHZ12" s="249"/>
      <c r="DIA12" s="249"/>
      <c r="DIB12" s="249"/>
      <c r="DIC12" s="249"/>
      <c r="DID12" s="249"/>
      <c r="DIE12" s="249"/>
      <c r="DIF12" s="249"/>
      <c r="DIG12" s="249"/>
      <c r="DIH12" s="249"/>
      <c r="DII12" s="249"/>
      <c r="DIJ12" s="249"/>
      <c r="DIK12" s="249"/>
      <c r="DIL12" s="249"/>
      <c r="DIM12" s="249"/>
      <c r="DIN12" s="249"/>
      <c r="DIO12" s="249"/>
      <c r="DIP12" s="249"/>
      <c r="DIQ12" s="249"/>
      <c r="DIR12" s="249"/>
      <c r="DIS12" s="249"/>
      <c r="DIT12" s="249"/>
      <c r="DIU12" s="249"/>
      <c r="DIV12" s="249"/>
      <c r="DIW12" s="249"/>
      <c r="DIX12" s="249"/>
      <c r="DIY12" s="249"/>
      <c r="DIZ12" s="249"/>
      <c r="DJA12" s="249"/>
      <c r="DJB12" s="249"/>
      <c r="DJC12" s="249"/>
      <c r="DJD12" s="249"/>
      <c r="DJE12" s="249"/>
      <c r="DJF12" s="249"/>
      <c r="DJG12" s="249"/>
      <c r="DJH12" s="249"/>
      <c r="DJI12" s="249"/>
      <c r="DJJ12" s="249"/>
      <c r="DJK12" s="249"/>
      <c r="DJL12" s="249"/>
      <c r="DJM12" s="249"/>
      <c r="DJN12" s="249"/>
      <c r="DJO12" s="249"/>
      <c r="DJP12" s="249"/>
      <c r="DJQ12" s="249"/>
      <c r="DJR12" s="249"/>
      <c r="DJS12" s="249"/>
      <c r="DJT12" s="249"/>
      <c r="DJU12" s="249"/>
      <c r="DJV12" s="249"/>
      <c r="DJW12" s="249"/>
      <c r="DJX12" s="249"/>
      <c r="DJY12" s="249"/>
      <c r="DJZ12" s="249"/>
      <c r="DKA12" s="249"/>
      <c r="DKB12" s="249"/>
      <c r="DKC12" s="249"/>
      <c r="DKD12" s="249"/>
      <c r="DKE12" s="249"/>
      <c r="DKF12" s="249"/>
      <c r="DKG12" s="249"/>
      <c r="DKH12" s="249"/>
      <c r="DKI12" s="249"/>
      <c r="DKJ12" s="249"/>
      <c r="DKK12" s="249"/>
      <c r="DKL12" s="249"/>
      <c r="DKM12" s="249"/>
      <c r="DKN12" s="249"/>
      <c r="DKO12" s="249"/>
      <c r="DKP12" s="249"/>
      <c r="DKQ12" s="249"/>
      <c r="DKR12" s="249"/>
      <c r="DKS12" s="249"/>
      <c r="DKT12" s="249"/>
      <c r="DKU12" s="249"/>
      <c r="DKV12" s="249"/>
      <c r="DKW12" s="249"/>
      <c r="DKX12" s="249"/>
      <c r="DKY12" s="249"/>
      <c r="DKZ12" s="249"/>
      <c r="DLA12" s="249"/>
      <c r="DLB12" s="249"/>
      <c r="DLC12" s="249"/>
      <c r="DLD12" s="249"/>
      <c r="DLE12" s="249"/>
      <c r="DLF12" s="249"/>
      <c r="DLG12" s="249"/>
      <c r="DLH12" s="249"/>
      <c r="DLI12" s="249"/>
      <c r="DLJ12" s="249"/>
      <c r="DLK12" s="249"/>
      <c r="DLL12" s="249"/>
      <c r="DLM12" s="249"/>
      <c r="DLN12" s="249"/>
      <c r="DLO12" s="249"/>
      <c r="DLP12" s="249"/>
      <c r="DLQ12" s="249"/>
      <c r="DLR12" s="249"/>
      <c r="DLS12" s="249"/>
      <c r="DLT12" s="249"/>
      <c r="DLU12" s="249"/>
      <c r="DLV12" s="249"/>
      <c r="DLW12" s="249"/>
      <c r="DLX12" s="249"/>
      <c r="DLY12" s="249"/>
      <c r="DLZ12" s="249"/>
      <c r="DMA12" s="249"/>
      <c r="DMB12" s="249"/>
      <c r="DMC12" s="249"/>
      <c r="DMD12" s="249"/>
      <c r="DME12" s="249"/>
      <c r="DMF12" s="249"/>
      <c r="DMG12" s="249"/>
      <c r="DMH12" s="249"/>
      <c r="DMI12" s="249"/>
      <c r="DMJ12" s="249"/>
      <c r="DMK12" s="249"/>
      <c r="DML12" s="249"/>
      <c r="DMM12" s="249"/>
      <c r="DMN12" s="249"/>
      <c r="DMO12" s="249"/>
      <c r="DMP12" s="249"/>
      <c r="DMQ12" s="249"/>
      <c r="DMR12" s="249"/>
      <c r="DMS12" s="249"/>
      <c r="DMT12" s="249"/>
      <c r="DMU12" s="249"/>
      <c r="DMV12" s="249"/>
      <c r="DMW12" s="249"/>
      <c r="DMX12" s="249"/>
      <c r="DMY12" s="249"/>
      <c r="DMZ12" s="249"/>
      <c r="DNA12" s="249"/>
      <c r="DNB12" s="249"/>
      <c r="DNC12" s="249"/>
      <c r="DND12" s="249"/>
      <c r="DNE12" s="249"/>
      <c r="DNF12" s="249"/>
      <c r="DNG12" s="249"/>
      <c r="DNH12" s="249"/>
      <c r="DNI12" s="249"/>
      <c r="DNJ12" s="249"/>
      <c r="DNK12" s="249"/>
      <c r="DNL12" s="249"/>
      <c r="DNM12" s="249"/>
      <c r="DNN12" s="249"/>
      <c r="DNO12" s="249"/>
      <c r="DNP12" s="249"/>
      <c r="DNQ12" s="249"/>
      <c r="DNR12" s="249"/>
      <c r="DNS12" s="249"/>
      <c r="DNT12" s="249"/>
      <c r="DNU12" s="249"/>
      <c r="DNV12" s="249"/>
      <c r="DNW12" s="249"/>
      <c r="DNX12" s="249"/>
      <c r="DNY12" s="249"/>
      <c r="DNZ12" s="249"/>
      <c r="DOA12" s="249"/>
      <c r="DOB12" s="249"/>
      <c r="DOC12" s="249"/>
      <c r="DOD12" s="249"/>
      <c r="DOE12" s="249"/>
      <c r="DOF12" s="249"/>
      <c r="DOG12" s="249"/>
      <c r="DOH12" s="249"/>
      <c r="DOI12" s="249"/>
      <c r="DOJ12" s="249"/>
      <c r="DOK12" s="249"/>
      <c r="DOL12" s="249"/>
      <c r="DOM12" s="249"/>
      <c r="DON12" s="249"/>
      <c r="DOO12" s="249"/>
      <c r="DOP12" s="249"/>
      <c r="DOQ12" s="249"/>
      <c r="DOR12" s="249"/>
      <c r="DOS12" s="249"/>
      <c r="DOT12" s="249"/>
      <c r="DOU12" s="249"/>
      <c r="DOV12" s="249"/>
      <c r="DOW12" s="249"/>
      <c r="DOX12" s="249"/>
      <c r="DOY12" s="249"/>
      <c r="DOZ12" s="249"/>
      <c r="DPA12" s="249"/>
      <c r="DPB12" s="249"/>
      <c r="DPC12" s="249"/>
      <c r="DPD12" s="249"/>
      <c r="DPE12" s="249"/>
      <c r="DPF12" s="249"/>
      <c r="DPG12" s="249"/>
      <c r="DPH12" s="249"/>
      <c r="DPI12" s="249"/>
      <c r="DPJ12" s="249"/>
      <c r="DPK12" s="249"/>
      <c r="DPL12" s="249"/>
      <c r="DPM12" s="249"/>
      <c r="DPN12" s="249"/>
      <c r="DPO12" s="249"/>
      <c r="DPP12" s="249"/>
      <c r="DPQ12" s="249"/>
      <c r="DPR12" s="249"/>
      <c r="DPS12" s="249"/>
      <c r="DPT12" s="249"/>
      <c r="DPU12" s="249"/>
      <c r="DPV12" s="249"/>
      <c r="DPW12" s="249"/>
      <c r="DPX12" s="249"/>
      <c r="DPY12" s="249"/>
      <c r="DPZ12" s="249"/>
      <c r="DQA12" s="249"/>
      <c r="DQB12" s="249"/>
      <c r="DQC12" s="249"/>
      <c r="DQD12" s="249"/>
      <c r="DQE12" s="249"/>
      <c r="DQF12" s="249"/>
      <c r="DQG12" s="249"/>
      <c r="DQH12" s="249"/>
      <c r="DQI12" s="249"/>
      <c r="DQJ12" s="249"/>
      <c r="DQK12" s="249"/>
      <c r="DQL12" s="249"/>
      <c r="DQM12" s="249"/>
      <c r="DQN12" s="249"/>
      <c r="DQO12" s="249"/>
      <c r="DQP12" s="249"/>
      <c r="DQQ12" s="249"/>
      <c r="DQR12" s="249"/>
      <c r="DQS12" s="249"/>
      <c r="DQT12" s="249"/>
      <c r="DQU12" s="249"/>
      <c r="DQV12" s="249"/>
      <c r="DQW12" s="249"/>
      <c r="DQX12" s="249"/>
      <c r="DQY12" s="249"/>
      <c r="DQZ12" s="249"/>
      <c r="DRA12" s="249"/>
      <c r="DRB12" s="249"/>
      <c r="DRC12" s="249"/>
      <c r="DRD12" s="249"/>
      <c r="DRE12" s="249"/>
      <c r="DRF12" s="249"/>
      <c r="DRG12" s="249"/>
      <c r="DRH12" s="249"/>
      <c r="DRI12" s="249"/>
      <c r="DRJ12" s="249"/>
      <c r="DRK12" s="249"/>
      <c r="DRL12" s="249"/>
      <c r="DRM12" s="249"/>
      <c r="DRN12" s="249"/>
      <c r="DRO12" s="249"/>
      <c r="DRP12" s="249"/>
      <c r="DRQ12" s="249"/>
      <c r="DRR12" s="249"/>
      <c r="DRS12" s="249"/>
      <c r="DRT12" s="249"/>
      <c r="DRU12" s="249"/>
      <c r="DRV12" s="249"/>
      <c r="DRW12" s="249"/>
      <c r="DRX12" s="249"/>
      <c r="DRY12" s="249"/>
      <c r="DRZ12" s="249"/>
      <c r="DSA12" s="249"/>
      <c r="DSB12" s="249"/>
      <c r="DSC12" s="249"/>
      <c r="DSD12" s="249"/>
      <c r="DSE12" s="249"/>
      <c r="DSF12" s="249"/>
      <c r="DSG12" s="249"/>
      <c r="DSH12" s="249"/>
      <c r="DSI12" s="249"/>
      <c r="DSJ12" s="249"/>
      <c r="DSK12" s="249"/>
      <c r="DSL12" s="249"/>
      <c r="DSM12" s="249"/>
      <c r="DSN12" s="249"/>
      <c r="DSO12" s="249"/>
      <c r="DSP12" s="249"/>
      <c r="DSQ12" s="249"/>
      <c r="DSR12" s="249"/>
      <c r="DSS12" s="249"/>
      <c r="DST12" s="249"/>
      <c r="DSU12" s="249"/>
      <c r="DSV12" s="249"/>
      <c r="DSW12" s="249"/>
      <c r="DSX12" s="249"/>
      <c r="DSY12" s="249"/>
      <c r="DSZ12" s="249"/>
      <c r="DTA12" s="249"/>
      <c r="DTB12" s="249"/>
      <c r="DTC12" s="249"/>
      <c r="DTD12" s="249"/>
      <c r="DTE12" s="249"/>
      <c r="DTF12" s="249"/>
      <c r="DTG12" s="249"/>
      <c r="DTH12" s="249"/>
      <c r="DTI12" s="249"/>
      <c r="DTJ12" s="249"/>
      <c r="DTK12" s="249"/>
      <c r="DTL12" s="249"/>
      <c r="DTM12" s="249"/>
      <c r="DTN12" s="249"/>
      <c r="DTO12" s="249"/>
      <c r="DTP12" s="249"/>
      <c r="DTQ12" s="249"/>
      <c r="DTR12" s="249"/>
      <c r="DTS12" s="249"/>
      <c r="DTT12" s="249"/>
      <c r="DTU12" s="249"/>
      <c r="DTV12" s="249"/>
      <c r="DTW12" s="249"/>
      <c r="DTX12" s="249"/>
      <c r="DTY12" s="249"/>
      <c r="DTZ12" s="249"/>
      <c r="DUA12" s="249"/>
      <c r="DUB12" s="249"/>
      <c r="DUC12" s="249"/>
      <c r="DUD12" s="249"/>
      <c r="DUE12" s="249"/>
      <c r="DUF12" s="249"/>
      <c r="DUG12" s="249"/>
      <c r="DUH12" s="249"/>
      <c r="DUI12" s="249"/>
      <c r="DUJ12" s="249"/>
      <c r="DUK12" s="249"/>
      <c r="DUL12" s="249"/>
      <c r="DUM12" s="249"/>
      <c r="DUN12" s="249"/>
      <c r="DUO12" s="249"/>
      <c r="DUP12" s="249"/>
      <c r="DUQ12" s="249"/>
      <c r="DUR12" s="249"/>
      <c r="DUS12" s="249"/>
      <c r="DUT12" s="249"/>
      <c r="DUU12" s="249"/>
      <c r="DUV12" s="249"/>
      <c r="DUW12" s="249"/>
      <c r="DUX12" s="249"/>
      <c r="DUY12" s="249"/>
      <c r="DUZ12" s="249"/>
      <c r="DVA12" s="249"/>
      <c r="DVB12" s="249"/>
      <c r="DVC12" s="249"/>
      <c r="DVD12" s="249"/>
      <c r="DVE12" s="249"/>
      <c r="DVF12" s="249"/>
      <c r="DVG12" s="249"/>
      <c r="DVH12" s="249"/>
      <c r="DVI12" s="249"/>
      <c r="DVJ12" s="249"/>
      <c r="DVK12" s="249"/>
      <c r="DVL12" s="249"/>
      <c r="DVM12" s="249"/>
      <c r="DVN12" s="249"/>
      <c r="DVO12" s="249"/>
      <c r="DVP12" s="249"/>
      <c r="DVQ12" s="249"/>
      <c r="DVR12" s="249"/>
      <c r="DVS12" s="249"/>
      <c r="DVT12" s="249"/>
      <c r="DVU12" s="249"/>
      <c r="DVV12" s="249"/>
      <c r="DVW12" s="249"/>
      <c r="DVX12" s="249"/>
      <c r="DVY12" s="249"/>
      <c r="DVZ12" s="249"/>
      <c r="DWA12" s="249"/>
      <c r="DWB12" s="249"/>
      <c r="DWC12" s="249"/>
      <c r="DWD12" s="249"/>
      <c r="DWE12" s="249"/>
      <c r="DWF12" s="249"/>
      <c r="DWG12" s="249"/>
      <c r="DWH12" s="249"/>
      <c r="DWI12" s="249"/>
      <c r="DWJ12" s="249"/>
      <c r="DWK12" s="249"/>
      <c r="DWL12" s="249"/>
      <c r="DWM12" s="249"/>
      <c r="DWN12" s="249"/>
      <c r="DWO12" s="249"/>
      <c r="DWP12" s="249"/>
      <c r="DWQ12" s="249"/>
      <c r="DWR12" s="249"/>
      <c r="DWS12" s="249"/>
      <c r="DWT12" s="249"/>
      <c r="DWU12" s="249"/>
      <c r="DWV12" s="249"/>
      <c r="DWW12" s="249"/>
      <c r="DWX12" s="249"/>
      <c r="DWY12" s="249"/>
      <c r="DWZ12" s="249"/>
      <c r="DXA12" s="249"/>
      <c r="DXB12" s="249"/>
      <c r="DXC12" s="249"/>
      <c r="DXD12" s="249"/>
      <c r="DXE12" s="249"/>
      <c r="DXF12" s="249"/>
      <c r="DXG12" s="249"/>
      <c r="DXH12" s="249"/>
      <c r="DXI12" s="249"/>
      <c r="DXJ12" s="249"/>
      <c r="DXK12" s="249"/>
      <c r="DXL12" s="249"/>
      <c r="DXM12" s="249"/>
      <c r="DXN12" s="249"/>
      <c r="DXO12" s="249"/>
      <c r="DXP12" s="249"/>
      <c r="DXQ12" s="249"/>
      <c r="DXR12" s="249"/>
      <c r="DXS12" s="249"/>
      <c r="DXT12" s="249"/>
      <c r="DXU12" s="249"/>
      <c r="DXV12" s="249"/>
      <c r="DXW12" s="249"/>
      <c r="DXX12" s="249"/>
      <c r="DXY12" s="249"/>
      <c r="DXZ12" s="249"/>
      <c r="DYA12" s="249"/>
      <c r="DYB12" s="249"/>
      <c r="DYC12" s="249"/>
      <c r="DYD12" s="249"/>
      <c r="DYE12" s="249"/>
      <c r="DYF12" s="249"/>
      <c r="DYG12" s="249"/>
      <c r="DYH12" s="249"/>
      <c r="DYI12" s="249"/>
      <c r="DYJ12" s="249"/>
      <c r="DYK12" s="249"/>
      <c r="DYL12" s="249"/>
      <c r="DYM12" s="249"/>
      <c r="DYN12" s="249"/>
      <c r="DYO12" s="249"/>
      <c r="DYP12" s="249"/>
      <c r="DYQ12" s="249"/>
      <c r="DYR12" s="249"/>
      <c r="DYS12" s="249"/>
      <c r="DYT12" s="249"/>
      <c r="DYU12" s="249"/>
      <c r="DYV12" s="249"/>
      <c r="DYW12" s="249"/>
      <c r="DYX12" s="249"/>
      <c r="DYY12" s="249"/>
      <c r="DYZ12" s="249"/>
      <c r="DZA12" s="249"/>
      <c r="DZB12" s="249"/>
      <c r="DZC12" s="249"/>
      <c r="DZD12" s="249"/>
      <c r="DZE12" s="249"/>
      <c r="DZF12" s="249"/>
      <c r="DZG12" s="249"/>
      <c r="DZH12" s="249"/>
      <c r="DZI12" s="249"/>
      <c r="DZJ12" s="249"/>
      <c r="DZK12" s="249"/>
      <c r="DZL12" s="249"/>
      <c r="DZM12" s="249"/>
      <c r="DZN12" s="249"/>
      <c r="DZO12" s="249"/>
      <c r="DZP12" s="249"/>
      <c r="DZQ12" s="249"/>
      <c r="DZR12" s="249"/>
      <c r="DZS12" s="249"/>
      <c r="DZT12" s="249"/>
      <c r="DZU12" s="249"/>
      <c r="DZV12" s="249"/>
      <c r="DZW12" s="249"/>
      <c r="DZX12" s="249"/>
      <c r="DZY12" s="249"/>
      <c r="DZZ12" s="249"/>
      <c r="EAA12" s="249"/>
      <c r="EAB12" s="249"/>
      <c r="EAC12" s="249"/>
      <c r="EAD12" s="249"/>
      <c r="EAE12" s="249"/>
      <c r="EAF12" s="249"/>
      <c r="EAG12" s="249"/>
      <c r="EAH12" s="249"/>
      <c r="EAI12" s="249"/>
      <c r="EAJ12" s="249"/>
      <c r="EAK12" s="249"/>
      <c r="EAL12" s="249"/>
      <c r="EAM12" s="249"/>
      <c r="EAN12" s="249"/>
      <c r="EAO12" s="249"/>
      <c r="EAP12" s="249"/>
      <c r="EAQ12" s="249"/>
      <c r="EAR12" s="249"/>
      <c r="EAS12" s="249"/>
      <c r="EAT12" s="249"/>
      <c r="EAU12" s="249"/>
      <c r="EAV12" s="249"/>
      <c r="EAW12" s="249"/>
      <c r="EAX12" s="249"/>
      <c r="EAY12" s="249"/>
      <c r="EAZ12" s="249"/>
      <c r="EBA12" s="249"/>
      <c r="EBB12" s="249"/>
      <c r="EBC12" s="249"/>
      <c r="EBD12" s="249"/>
      <c r="EBE12" s="249"/>
      <c r="EBF12" s="249"/>
      <c r="EBG12" s="249"/>
      <c r="EBH12" s="249"/>
      <c r="EBI12" s="249"/>
      <c r="EBJ12" s="249"/>
      <c r="EBK12" s="249"/>
      <c r="EBL12" s="249"/>
      <c r="EBM12" s="249"/>
      <c r="EBN12" s="249"/>
      <c r="EBO12" s="249"/>
      <c r="EBP12" s="249"/>
      <c r="EBQ12" s="249"/>
      <c r="EBR12" s="249"/>
      <c r="EBS12" s="249"/>
      <c r="EBT12" s="249"/>
      <c r="EBU12" s="249"/>
      <c r="EBV12" s="249"/>
      <c r="EBW12" s="249"/>
      <c r="EBX12" s="249"/>
      <c r="EBY12" s="249"/>
      <c r="EBZ12" s="249"/>
      <c r="ECA12" s="249"/>
      <c r="ECB12" s="249"/>
      <c r="ECC12" s="249"/>
      <c r="ECD12" s="249"/>
      <c r="ECE12" s="249"/>
      <c r="ECF12" s="249"/>
      <c r="ECG12" s="249"/>
      <c r="ECH12" s="249"/>
      <c r="ECI12" s="249"/>
      <c r="ECJ12" s="249"/>
      <c r="ECK12" s="249"/>
      <c r="ECL12" s="249"/>
      <c r="ECM12" s="249"/>
      <c r="ECN12" s="249"/>
      <c r="ECO12" s="249"/>
      <c r="ECP12" s="249"/>
      <c r="ECQ12" s="249"/>
      <c r="ECR12" s="249"/>
      <c r="ECS12" s="249"/>
      <c r="ECT12" s="249"/>
      <c r="ECU12" s="249"/>
      <c r="ECV12" s="249"/>
      <c r="ECW12" s="249"/>
      <c r="ECX12" s="249"/>
      <c r="ECY12" s="249"/>
      <c r="ECZ12" s="249"/>
      <c r="EDA12" s="249"/>
      <c r="EDB12" s="249"/>
      <c r="EDC12" s="249"/>
      <c r="EDD12" s="249"/>
      <c r="EDE12" s="249"/>
      <c r="EDF12" s="249"/>
      <c r="EDG12" s="249"/>
      <c r="EDH12" s="249"/>
      <c r="EDI12" s="249"/>
      <c r="EDJ12" s="249"/>
      <c r="EDK12" s="249"/>
      <c r="EDL12" s="249"/>
      <c r="EDM12" s="249"/>
      <c r="EDN12" s="249"/>
      <c r="EDO12" s="249"/>
      <c r="EDP12" s="249"/>
      <c r="EDQ12" s="249"/>
      <c r="EDR12" s="249"/>
      <c r="EDS12" s="249"/>
      <c r="EDT12" s="249"/>
      <c r="EDU12" s="249"/>
      <c r="EDV12" s="249"/>
      <c r="EDW12" s="249"/>
      <c r="EDX12" s="249"/>
      <c r="EDY12" s="249"/>
      <c r="EDZ12" s="249"/>
      <c r="EEA12" s="249"/>
      <c r="EEB12" s="249"/>
      <c r="EEC12" s="249"/>
      <c r="EED12" s="249"/>
      <c r="EEE12" s="249"/>
      <c r="EEF12" s="249"/>
      <c r="EEG12" s="249"/>
      <c r="EEH12" s="249"/>
      <c r="EEI12" s="249"/>
      <c r="EEJ12" s="249"/>
      <c r="EEK12" s="249"/>
      <c r="EEL12" s="249"/>
      <c r="EEM12" s="249"/>
      <c r="EEN12" s="249"/>
      <c r="EEO12" s="249"/>
      <c r="EEP12" s="249"/>
      <c r="EEQ12" s="249"/>
      <c r="EER12" s="249"/>
      <c r="EES12" s="249"/>
      <c r="EET12" s="249"/>
      <c r="EEU12" s="249"/>
      <c r="EEV12" s="249"/>
      <c r="EEW12" s="249"/>
      <c r="EEX12" s="249"/>
      <c r="EEY12" s="249"/>
      <c r="EEZ12" s="249"/>
      <c r="EFA12" s="249"/>
      <c r="EFB12" s="249"/>
      <c r="EFC12" s="249"/>
      <c r="EFD12" s="249"/>
      <c r="EFE12" s="249"/>
      <c r="EFF12" s="249"/>
      <c r="EFG12" s="249"/>
      <c r="EFH12" s="249"/>
      <c r="EFI12" s="249"/>
      <c r="EFJ12" s="249"/>
      <c r="EFK12" s="249"/>
      <c r="EFL12" s="249"/>
      <c r="EFM12" s="249"/>
      <c r="EFN12" s="249"/>
      <c r="EFO12" s="249"/>
      <c r="EFP12" s="249"/>
      <c r="EFQ12" s="249"/>
      <c r="EFR12" s="249"/>
      <c r="EFS12" s="249"/>
      <c r="EFT12" s="249"/>
      <c r="EFU12" s="249"/>
      <c r="EFV12" s="249"/>
      <c r="EFW12" s="249"/>
      <c r="EFX12" s="249"/>
      <c r="EFY12" s="249"/>
      <c r="EFZ12" s="249"/>
      <c r="EGA12" s="249"/>
      <c r="EGB12" s="249"/>
      <c r="EGC12" s="249"/>
      <c r="EGD12" s="249"/>
      <c r="EGE12" s="249"/>
      <c r="EGF12" s="249"/>
      <c r="EGG12" s="249"/>
      <c r="EGH12" s="249"/>
      <c r="EGI12" s="249"/>
      <c r="EGJ12" s="249"/>
      <c r="EGK12" s="249"/>
      <c r="EGL12" s="249"/>
      <c r="EGM12" s="249"/>
      <c r="EGN12" s="249"/>
      <c r="EGO12" s="249"/>
      <c r="EGP12" s="249"/>
      <c r="EGQ12" s="249"/>
      <c r="EGR12" s="249"/>
      <c r="EGS12" s="249"/>
      <c r="EGT12" s="249"/>
      <c r="EGU12" s="249"/>
      <c r="EGV12" s="249"/>
      <c r="EGW12" s="249"/>
      <c r="EGX12" s="249"/>
      <c r="EGY12" s="249"/>
      <c r="EGZ12" s="249"/>
      <c r="EHA12" s="249"/>
      <c r="EHB12" s="249"/>
      <c r="EHC12" s="249"/>
      <c r="EHD12" s="249"/>
      <c r="EHE12" s="249"/>
      <c r="EHF12" s="249"/>
      <c r="EHG12" s="249"/>
      <c r="EHH12" s="249"/>
      <c r="EHI12" s="249"/>
      <c r="EHJ12" s="249"/>
      <c r="EHK12" s="249"/>
      <c r="EHL12" s="249"/>
      <c r="EHM12" s="249"/>
      <c r="EHN12" s="249"/>
      <c r="EHO12" s="249"/>
      <c r="EHP12" s="249"/>
      <c r="EHQ12" s="249"/>
      <c r="EHR12" s="249"/>
      <c r="EHS12" s="249"/>
      <c r="EHT12" s="249"/>
      <c r="EHU12" s="249"/>
      <c r="EHV12" s="249"/>
      <c r="EHW12" s="249"/>
      <c r="EHX12" s="249"/>
      <c r="EHY12" s="249"/>
      <c r="EHZ12" s="249"/>
      <c r="EIA12" s="249"/>
      <c r="EIB12" s="249"/>
      <c r="EIC12" s="249"/>
      <c r="EID12" s="249"/>
      <c r="EIE12" s="249"/>
      <c r="EIF12" s="249"/>
      <c r="EIG12" s="249"/>
      <c r="EIH12" s="249"/>
      <c r="EII12" s="249"/>
      <c r="EIJ12" s="249"/>
      <c r="EIK12" s="249"/>
      <c r="EIL12" s="249"/>
      <c r="EIM12" s="249"/>
      <c r="EIN12" s="249"/>
      <c r="EIO12" s="249"/>
      <c r="EIP12" s="249"/>
      <c r="EIQ12" s="249"/>
      <c r="EIR12" s="249"/>
      <c r="EIS12" s="249"/>
      <c r="EIT12" s="249"/>
      <c r="EIU12" s="249"/>
      <c r="EIV12" s="249"/>
      <c r="EIW12" s="249"/>
      <c r="EIX12" s="249"/>
      <c r="EIY12" s="249"/>
      <c r="EIZ12" s="249"/>
      <c r="EJA12" s="249"/>
      <c r="EJB12" s="249"/>
      <c r="EJC12" s="249"/>
      <c r="EJD12" s="249"/>
      <c r="EJE12" s="249"/>
      <c r="EJF12" s="249"/>
      <c r="EJG12" s="249"/>
      <c r="EJH12" s="249"/>
      <c r="EJI12" s="249"/>
      <c r="EJJ12" s="249"/>
      <c r="EJK12" s="249"/>
      <c r="EJL12" s="249"/>
      <c r="EJM12" s="249"/>
      <c r="EJN12" s="249"/>
      <c r="EJO12" s="249"/>
      <c r="EJP12" s="249"/>
      <c r="EJQ12" s="249"/>
      <c r="EJR12" s="249"/>
      <c r="EJS12" s="249"/>
      <c r="EJT12" s="249"/>
      <c r="EJU12" s="249"/>
      <c r="EJV12" s="249"/>
      <c r="EJW12" s="249"/>
      <c r="EJX12" s="249"/>
      <c r="EJY12" s="249"/>
      <c r="EJZ12" s="249"/>
      <c r="EKA12" s="249"/>
      <c r="EKB12" s="249"/>
      <c r="EKC12" s="249"/>
      <c r="EKD12" s="249"/>
      <c r="EKE12" s="249"/>
      <c r="EKF12" s="249"/>
      <c r="EKG12" s="249"/>
      <c r="EKH12" s="249"/>
      <c r="EKI12" s="249"/>
      <c r="EKJ12" s="249"/>
      <c r="EKK12" s="249"/>
      <c r="EKL12" s="249"/>
      <c r="EKM12" s="249"/>
      <c r="EKN12" s="249"/>
      <c r="EKO12" s="249"/>
      <c r="EKP12" s="249"/>
      <c r="EKQ12" s="249"/>
      <c r="EKR12" s="249"/>
      <c r="EKS12" s="249"/>
      <c r="EKT12" s="249"/>
      <c r="EKU12" s="249"/>
      <c r="EKV12" s="249"/>
      <c r="EKW12" s="249"/>
      <c r="EKX12" s="249"/>
      <c r="EKY12" s="249"/>
      <c r="EKZ12" s="249"/>
      <c r="ELA12" s="249"/>
      <c r="ELB12" s="249"/>
      <c r="ELC12" s="249"/>
      <c r="ELD12" s="249"/>
      <c r="ELE12" s="249"/>
      <c r="ELF12" s="249"/>
      <c r="ELG12" s="249"/>
      <c r="ELH12" s="249"/>
      <c r="ELI12" s="249"/>
      <c r="ELJ12" s="249"/>
      <c r="ELK12" s="249"/>
      <c r="ELL12" s="249"/>
      <c r="ELM12" s="249"/>
      <c r="ELN12" s="249"/>
      <c r="ELO12" s="249"/>
      <c r="ELP12" s="249"/>
      <c r="ELQ12" s="249"/>
      <c r="ELR12" s="249"/>
      <c r="ELS12" s="249"/>
      <c r="ELT12" s="249"/>
      <c r="ELU12" s="249"/>
      <c r="ELV12" s="249"/>
      <c r="ELW12" s="249"/>
      <c r="ELX12" s="249"/>
      <c r="ELY12" s="249"/>
      <c r="ELZ12" s="249"/>
      <c r="EMA12" s="249"/>
      <c r="EMB12" s="249"/>
      <c r="EMC12" s="249"/>
      <c r="EMD12" s="249"/>
      <c r="EME12" s="249"/>
      <c r="EMF12" s="249"/>
      <c r="EMG12" s="249"/>
      <c r="EMH12" s="249"/>
      <c r="EMI12" s="249"/>
      <c r="EMJ12" s="249"/>
      <c r="EMK12" s="249"/>
      <c r="EML12" s="249"/>
      <c r="EMM12" s="249"/>
      <c r="EMN12" s="249"/>
      <c r="EMO12" s="249"/>
      <c r="EMP12" s="249"/>
      <c r="EMQ12" s="249"/>
      <c r="EMR12" s="249"/>
      <c r="EMS12" s="249"/>
      <c r="EMT12" s="249"/>
      <c r="EMU12" s="249"/>
      <c r="EMV12" s="249"/>
      <c r="EMW12" s="249"/>
      <c r="EMX12" s="249"/>
      <c r="EMY12" s="249"/>
      <c r="EMZ12" s="249"/>
      <c r="ENA12" s="249"/>
      <c r="ENB12" s="249"/>
      <c r="ENC12" s="249"/>
      <c r="END12" s="249"/>
      <c r="ENE12" s="249"/>
      <c r="ENF12" s="249"/>
      <c r="ENG12" s="249"/>
      <c r="ENH12" s="249"/>
      <c r="ENI12" s="249"/>
      <c r="ENJ12" s="249"/>
      <c r="ENK12" s="249"/>
      <c r="ENL12" s="249"/>
      <c r="ENM12" s="249"/>
      <c r="ENN12" s="249"/>
      <c r="ENO12" s="249"/>
      <c r="ENP12" s="249"/>
      <c r="ENQ12" s="249"/>
      <c r="ENR12" s="249"/>
      <c r="ENS12" s="249"/>
      <c r="ENT12" s="249"/>
      <c r="ENU12" s="249"/>
      <c r="ENV12" s="249"/>
      <c r="ENW12" s="249"/>
      <c r="ENX12" s="249"/>
      <c r="ENY12" s="249"/>
      <c r="ENZ12" s="249"/>
      <c r="EOA12" s="249"/>
      <c r="EOB12" s="249"/>
      <c r="EOC12" s="249"/>
      <c r="EOD12" s="249"/>
      <c r="EOE12" s="249"/>
      <c r="EOF12" s="249"/>
      <c r="EOG12" s="249"/>
      <c r="EOH12" s="249"/>
      <c r="EOI12" s="249"/>
      <c r="EOJ12" s="249"/>
      <c r="EOK12" s="249"/>
      <c r="EOL12" s="249"/>
      <c r="EOM12" s="249"/>
      <c r="EON12" s="249"/>
      <c r="EOO12" s="249"/>
      <c r="EOP12" s="249"/>
      <c r="EOQ12" s="249"/>
      <c r="EOR12" s="249"/>
      <c r="EOS12" s="249"/>
      <c r="EOT12" s="249"/>
      <c r="EOU12" s="249"/>
      <c r="EOV12" s="249"/>
      <c r="EOW12" s="249"/>
      <c r="EOX12" s="249"/>
      <c r="EOY12" s="249"/>
      <c r="EOZ12" s="249"/>
      <c r="EPA12" s="249"/>
      <c r="EPB12" s="249"/>
      <c r="EPC12" s="249"/>
      <c r="EPD12" s="249"/>
      <c r="EPE12" s="249"/>
      <c r="EPF12" s="249"/>
      <c r="EPG12" s="249"/>
      <c r="EPH12" s="249"/>
      <c r="EPI12" s="249"/>
      <c r="EPJ12" s="249"/>
      <c r="EPK12" s="249"/>
      <c r="EPL12" s="249"/>
      <c r="EPM12" s="249"/>
      <c r="EPN12" s="249"/>
      <c r="EPO12" s="249"/>
      <c r="EPP12" s="249"/>
      <c r="EPQ12" s="249"/>
      <c r="EPR12" s="249"/>
      <c r="EPS12" s="249"/>
      <c r="EPT12" s="249"/>
      <c r="EPU12" s="249"/>
      <c r="EPV12" s="249"/>
      <c r="EPW12" s="249"/>
      <c r="EPX12" s="249"/>
      <c r="EPY12" s="249"/>
      <c r="EPZ12" s="249"/>
      <c r="EQA12" s="249"/>
      <c r="EQB12" s="249"/>
      <c r="EQC12" s="249"/>
      <c r="EQD12" s="249"/>
      <c r="EQE12" s="249"/>
      <c r="EQF12" s="249"/>
      <c r="EQG12" s="249"/>
      <c r="EQH12" s="249"/>
      <c r="EQI12" s="249"/>
      <c r="EQJ12" s="249"/>
      <c r="EQK12" s="249"/>
      <c r="EQL12" s="249"/>
      <c r="EQM12" s="249"/>
      <c r="EQN12" s="249"/>
      <c r="EQO12" s="249"/>
      <c r="EQP12" s="249"/>
      <c r="EQQ12" s="249"/>
      <c r="EQR12" s="249"/>
      <c r="EQS12" s="249"/>
      <c r="EQT12" s="249"/>
      <c r="EQU12" s="249"/>
      <c r="EQV12" s="249"/>
      <c r="EQW12" s="249"/>
      <c r="EQX12" s="249"/>
      <c r="EQY12" s="249"/>
      <c r="EQZ12" s="249"/>
      <c r="ERA12" s="249"/>
      <c r="ERB12" s="249"/>
      <c r="ERC12" s="249"/>
      <c r="ERD12" s="249"/>
      <c r="ERE12" s="249"/>
      <c r="ERF12" s="249"/>
      <c r="ERG12" s="249"/>
      <c r="ERH12" s="249"/>
      <c r="ERI12" s="249"/>
      <c r="ERJ12" s="249"/>
      <c r="ERK12" s="249"/>
      <c r="ERL12" s="249"/>
      <c r="ERM12" s="249"/>
      <c r="ERN12" s="249"/>
      <c r="ERO12" s="249"/>
      <c r="ERP12" s="249"/>
      <c r="ERQ12" s="249"/>
      <c r="ERR12" s="249"/>
      <c r="ERS12" s="249"/>
      <c r="ERT12" s="249"/>
      <c r="ERU12" s="249"/>
      <c r="ERV12" s="249"/>
      <c r="ERW12" s="249"/>
      <c r="ERX12" s="249"/>
      <c r="ERY12" s="249"/>
      <c r="ERZ12" s="249"/>
      <c r="ESA12" s="249"/>
      <c r="ESB12" s="249"/>
      <c r="ESC12" s="249"/>
      <c r="ESD12" s="249"/>
      <c r="ESE12" s="249"/>
      <c r="ESF12" s="249"/>
      <c r="ESG12" s="249"/>
      <c r="ESH12" s="249"/>
      <c r="ESI12" s="249"/>
      <c r="ESJ12" s="249"/>
      <c r="ESK12" s="249"/>
      <c r="ESL12" s="249"/>
      <c r="ESM12" s="249"/>
      <c r="ESN12" s="249"/>
      <c r="ESO12" s="249"/>
      <c r="ESP12" s="249"/>
      <c r="ESQ12" s="249"/>
      <c r="ESR12" s="249"/>
      <c r="ESS12" s="249"/>
      <c r="EST12" s="249"/>
      <c r="ESU12" s="249"/>
      <c r="ESV12" s="249"/>
      <c r="ESW12" s="249"/>
      <c r="ESX12" s="249"/>
      <c r="ESY12" s="249"/>
      <c r="ESZ12" s="249"/>
      <c r="ETA12" s="249"/>
      <c r="ETB12" s="249"/>
      <c r="ETC12" s="249"/>
      <c r="ETD12" s="249"/>
      <c r="ETE12" s="249"/>
      <c r="ETF12" s="249"/>
      <c r="ETG12" s="249"/>
      <c r="ETH12" s="249"/>
      <c r="ETI12" s="249"/>
      <c r="ETJ12" s="249"/>
      <c r="ETK12" s="249"/>
      <c r="ETL12" s="249"/>
      <c r="ETM12" s="249"/>
      <c r="ETN12" s="249"/>
      <c r="ETO12" s="249"/>
      <c r="ETP12" s="249"/>
      <c r="ETQ12" s="249"/>
      <c r="ETR12" s="249"/>
      <c r="ETS12" s="249"/>
      <c r="ETT12" s="249"/>
      <c r="ETU12" s="249"/>
      <c r="ETV12" s="249"/>
      <c r="ETW12" s="249"/>
      <c r="ETX12" s="249"/>
      <c r="ETY12" s="249"/>
      <c r="ETZ12" s="249"/>
      <c r="EUA12" s="249"/>
      <c r="EUB12" s="249"/>
      <c r="EUC12" s="249"/>
      <c r="EUD12" s="249"/>
      <c r="EUE12" s="249"/>
      <c r="EUF12" s="249"/>
      <c r="EUG12" s="249"/>
      <c r="EUH12" s="249"/>
      <c r="EUI12" s="249"/>
      <c r="EUJ12" s="249"/>
      <c r="EUK12" s="249"/>
      <c r="EUL12" s="249"/>
      <c r="EUM12" s="249"/>
      <c r="EUN12" s="249"/>
      <c r="EUO12" s="249"/>
      <c r="EUP12" s="249"/>
      <c r="EUQ12" s="249"/>
      <c r="EUR12" s="249"/>
      <c r="EUS12" s="249"/>
      <c r="EUT12" s="249"/>
      <c r="EUU12" s="249"/>
      <c r="EUV12" s="249"/>
      <c r="EUW12" s="249"/>
      <c r="EUX12" s="249"/>
      <c r="EUY12" s="249"/>
      <c r="EUZ12" s="249"/>
      <c r="EVA12" s="249"/>
      <c r="EVB12" s="249"/>
      <c r="EVC12" s="249"/>
      <c r="EVD12" s="249"/>
      <c r="EVE12" s="249"/>
      <c r="EVF12" s="249"/>
      <c r="EVG12" s="249"/>
      <c r="EVH12" s="249"/>
      <c r="EVI12" s="249"/>
      <c r="EVJ12" s="249"/>
      <c r="EVK12" s="249"/>
      <c r="EVL12" s="249"/>
      <c r="EVM12" s="249"/>
      <c r="EVN12" s="249"/>
      <c r="EVO12" s="249"/>
      <c r="EVP12" s="249"/>
      <c r="EVQ12" s="249"/>
      <c r="EVR12" s="249"/>
      <c r="EVS12" s="249"/>
      <c r="EVT12" s="249"/>
      <c r="EVU12" s="249"/>
      <c r="EVV12" s="249"/>
      <c r="EVW12" s="249"/>
      <c r="EVX12" s="249"/>
      <c r="EVY12" s="249"/>
      <c r="EVZ12" s="249"/>
      <c r="EWA12" s="249"/>
      <c r="EWB12" s="249"/>
      <c r="EWC12" s="249"/>
      <c r="EWD12" s="249"/>
      <c r="EWE12" s="249"/>
      <c r="EWF12" s="249"/>
      <c r="EWG12" s="249"/>
      <c r="EWH12" s="249"/>
      <c r="EWI12" s="249"/>
      <c r="EWJ12" s="249"/>
      <c r="EWK12" s="249"/>
      <c r="EWL12" s="249"/>
      <c r="EWM12" s="249"/>
      <c r="EWN12" s="249"/>
      <c r="EWO12" s="249"/>
      <c r="EWP12" s="249"/>
      <c r="EWQ12" s="249"/>
      <c r="EWR12" s="249"/>
      <c r="EWS12" s="249"/>
      <c r="EWT12" s="249"/>
      <c r="EWU12" s="249"/>
      <c r="EWV12" s="249"/>
      <c r="EWW12" s="249"/>
      <c r="EWX12" s="249"/>
      <c r="EWY12" s="249"/>
      <c r="EWZ12" s="249"/>
      <c r="EXA12" s="249"/>
      <c r="EXB12" s="249"/>
      <c r="EXC12" s="249"/>
      <c r="EXD12" s="249"/>
      <c r="EXE12" s="249"/>
      <c r="EXF12" s="249"/>
      <c r="EXG12" s="249"/>
      <c r="EXH12" s="249"/>
      <c r="EXI12" s="249"/>
      <c r="EXJ12" s="249"/>
      <c r="EXK12" s="249"/>
      <c r="EXL12" s="249"/>
      <c r="EXM12" s="249"/>
      <c r="EXN12" s="249"/>
      <c r="EXO12" s="249"/>
      <c r="EXP12" s="249"/>
      <c r="EXQ12" s="249"/>
      <c r="EXR12" s="249"/>
      <c r="EXS12" s="249"/>
      <c r="EXT12" s="249"/>
      <c r="EXU12" s="249"/>
      <c r="EXV12" s="249"/>
      <c r="EXW12" s="249"/>
      <c r="EXX12" s="249"/>
      <c r="EXY12" s="249"/>
      <c r="EXZ12" s="249"/>
      <c r="EYA12" s="249"/>
      <c r="EYB12" s="249"/>
      <c r="EYC12" s="249"/>
      <c r="EYD12" s="249"/>
      <c r="EYE12" s="249"/>
      <c r="EYF12" s="249"/>
      <c r="EYG12" s="249"/>
      <c r="EYH12" s="249"/>
      <c r="EYI12" s="249"/>
      <c r="EYJ12" s="249"/>
      <c r="EYK12" s="249"/>
      <c r="EYL12" s="249"/>
      <c r="EYM12" s="249"/>
      <c r="EYN12" s="249"/>
      <c r="EYO12" s="249"/>
      <c r="EYP12" s="249"/>
      <c r="EYQ12" s="249"/>
      <c r="EYR12" s="249"/>
      <c r="EYS12" s="249"/>
      <c r="EYT12" s="249"/>
      <c r="EYU12" s="249"/>
      <c r="EYV12" s="249"/>
      <c r="EYW12" s="249"/>
      <c r="EYX12" s="249"/>
      <c r="EYY12" s="249"/>
      <c r="EYZ12" s="249"/>
      <c r="EZA12" s="249"/>
      <c r="EZB12" s="249"/>
      <c r="EZC12" s="249"/>
      <c r="EZD12" s="249"/>
      <c r="EZE12" s="249"/>
      <c r="EZF12" s="249"/>
      <c r="EZG12" s="249"/>
      <c r="EZH12" s="249"/>
      <c r="EZI12" s="249"/>
      <c r="EZJ12" s="249"/>
      <c r="EZK12" s="249"/>
      <c r="EZL12" s="249"/>
      <c r="EZM12" s="249"/>
      <c r="EZN12" s="249"/>
      <c r="EZO12" s="249"/>
      <c r="EZP12" s="249"/>
      <c r="EZQ12" s="249"/>
      <c r="EZR12" s="249"/>
      <c r="EZS12" s="249"/>
      <c r="EZT12" s="249"/>
      <c r="EZU12" s="249"/>
      <c r="EZV12" s="249"/>
      <c r="EZW12" s="249"/>
      <c r="EZX12" s="249"/>
      <c r="EZY12" s="249"/>
      <c r="EZZ12" s="249"/>
      <c r="FAA12" s="249"/>
      <c r="FAB12" s="249"/>
      <c r="FAC12" s="249"/>
      <c r="FAD12" s="249"/>
      <c r="FAE12" s="249"/>
      <c r="FAF12" s="249"/>
      <c r="FAG12" s="249"/>
      <c r="FAH12" s="249"/>
      <c r="FAI12" s="249"/>
      <c r="FAJ12" s="249"/>
      <c r="FAK12" s="249"/>
      <c r="FAL12" s="249"/>
      <c r="FAM12" s="249"/>
      <c r="FAN12" s="249"/>
      <c r="FAO12" s="249"/>
      <c r="FAP12" s="249"/>
      <c r="FAQ12" s="249"/>
      <c r="FAR12" s="249"/>
      <c r="FAS12" s="249"/>
      <c r="FAT12" s="249"/>
      <c r="FAU12" s="249"/>
      <c r="FAV12" s="249"/>
      <c r="FAW12" s="249"/>
      <c r="FAX12" s="249"/>
      <c r="FAY12" s="249"/>
      <c r="FAZ12" s="249"/>
      <c r="FBA12" s="249"/>
      <c r="FBB12" s="249"/>
      <c r="FBC12" s="249"/>
      <c r="FBD12" s="249"/>
      <c r="FBE12" s="249"/>
      <c r="FBF12" s="249"/>
      <c r="FBG12" s="249"/>
      <c r="FBH12" s="249"/>
      <c r="FBI12" s="249"/>
      <c r="FBJ12" s="249"/>
      <c r="FBK12" s="249"/>
      <c r="FBL12" s="249"/>
      <c r="FBM12" s="249"/>
      <c r="FBN12" s="249"/>
      <c r="FBO12" s="249"/>
      <c r="FBP12" s="249"/>
      <c r="FBQ12" s="249"/>
      <c r="FBR12" s="249"/>
      <c r="FBS12" s="249"/>
      <c r="FBT12" s="249"/>
      <c r="FBU12" s="249"/>
      <c r="FBV12" s="249"/>
      <c r="FBW12" s="249"/>
      <c r="FBX12" s="249"/>
      <c r="FBY12" s="249"/>
      <c r="FBZ12" s="249"/>
      <c r="FCA12" s="249"/>
      <c r="FCB12" s="249"/>
      <c r="FCC12" s="249"/>
      <c r="FCD12" s="249"/>
      <c r="FCE12" s="249"/>
      <c r="FCF12" s="249"/>
      <c r="FCG12" s="249"/>
      <c r="FCH12" s="249"/>
      <c r="FCI12" s="249"/>
      <c r="FCJ12" s="249"/>
      <c r="FCK12" s="249"/>
      <c r="FCL12" s="249"/>
      <c r="FCM12" s="249"/>
      <c r="FCN12" s="249"/>
      <c r="FCO12" s="249"/>
      <c r="FCP12" s="249"/>
      <c r="FCQ12" s="249"/>
      <c r="FCR12" s="249"/>
      <c r="FCS12" s="249"/>
      <c r="FCT12" s="249"/>
      <c r="FCU12" s="249"/>
      <c r="FCV12" s="249"/>
      <c r="FCW12" s="249"/>
      <c r="FCX12" s="249"/>
      <c r="FCY12" s="249"/>
      <c r="FCZ12" s="249"/>
      <c r="FDA12" s="249"/>
      <c r="FDB12" s="249"/>
      <c r="FDC12" s="249"/>
      <c r="FDD12" s="249"/>
      <c r="FDE12" s="249"/>
      <c r="FDF12" s="249"/>
      <c r="FDG12" s="249"/>
      <c r="FDH12" s="249"/>
      <c r="FDI12" s="249"/>
      <c r="FDJ12" s="249"/>
      <c r="FDK12" s="249"/>
      <c r="FDL12" s="249"/>
      <c r="FDM12" s="249"/>
      <c r="FDN12" s="249"/>
      <c r="FDO12" s="249"/>
      <c r="FDP12" s="249"/>
      <c r="FDQ12" s="249"/>
      <c r="FDR12" s="249"/>
      <c r="FDS12" s="249"/>
      <c r="FDT12" s="249"/>
      <c r="FDU12" s="249"/>
      <c r="FDV12" s="249"/>
      <c r="FDW12" s="249"/>
      <c r="FDX12" s="249"/>
      <c r="FDY12" s="249"/>
      <c r="FDZ12" s="249"/>
      <c r="FEA12" s="249"/>
      <c r="FEB12" s="249"/>
      <c r="FEC12" s="249"/>
      <c r="FED12" s="249"/>
      <c r="FEE12" s="249"/>
      <c r="FEF12" s="249"/>
      <c r="FEG12" s="249"/>
      <c r="FEH12" s="249"/>
      <c r="FEI12" s="249"/>
      <c r="FEJ12" s="249"/>
      <c r="FEK12" s="249"/>
      <c r="FEL12" s="249"/>
      <c r="FEM12" s="249"/>
      <c r="FEN12" s="249"/>
      <c r="FEO12" s="249"/>
      <c r="FEP12" s="249"/>
      <c r="FEQ12" s="249"/>
      <c r="FER12" s="249"/>
      <c r="FES12" s="249"/>
      <c r="FET12" s="249"/>
      <c r="FEU12" s="249"/>
      <c r="FEV12" s="249"/>
      <c r="FEW12" s="249"/>
      <c r="FEX12" s="249"/>
      <c r="FEY12" s="249"/>
      <c r="FEZ12" s="249"/>
      <c r="FFA12" s="249"/>
      <c r="FFB12" s="249"/>
      <c r="FFC12" s="249"/>
      <c r="FFD12" s="249"/>
      <c r="FFE12" s="249"/>
      <c r="FFF12" s="249"/>
      <c r="FFG12" s="249"/>
      <c r="FFH12" s="249"/>
      <c r="FFI12" s="249"/>
      <c r="FFJ12" s="249"/>
      <c r="FFK12" s="249"/>
      <c r="FFL12" s="249"/>
      <c r="FFM12" s="249"/>
      <c r="FFN12" s="249"/>
      <c r="FFO12" s="249"/>
      <c r="FFP12" s="249"/>
      <c r="FFQ12" s="249"/>
      <c r="FFR12" s="249"/>
      <c r="FFS12" s="249"/>
      <c r="FFT12" s="249"/>
      <c r="FFU12" s="249"/>
      <c r="FFV12" s="249"/>
      <c r="FFW12" s="249"/>
      <c r="FFX12" s="249"/>
      <c r="FFY12" s="249"/>
      <c r="FFZ12" s="249"/>
      <c r="FGA12" s="249"/>
      <c r="FGB12" s="249"/>
      <c r="FGC12" s="249"/>
      <c r="FGD12" s="249"/>
      <c r="FGE12" s="249"/>
      <c r="FGF12" s="249"/>
      <c r="FGG12" s="249"/>
      <c r="FGH12" s="249"/>
      <c r="FGI12" s="249"/>
      <c r="FGJ12" s="249"/>
      <c r="FGK12" s="249"/>
      <c r="FGL12" s="249"/>
      <c r="FGM12" s="249"/>
      <c r="FGN12" s="249"/>
      <c r="FGO12" s="249"/>
      <c r="FGP12" s="249"/>
      <c r="FGQ12" s="249"/>
      <c r="FGR12" s="249"/>
      <c r="FGS12" s="249"/>
      <c r="FGT12" s="249"/>
      <c r="FGU12" s="249"/>
      <c r="FGV12" s="249"/>
      <c r="FGW12" s="249"/>
      <c r="FGX12" s="249"/>
      <c r="FGY12" s="249"/>
      <c r="FGZ12" s="249"/>
      <c r="FHA12" s="249"/>
      <c r="FHB12" s="249"/>
      <c r="FHC12" s="249"/>
      <c r="FHD12" s="249"/>
      <c r="FHE12" s="249"/>
      <c r="FHF12" s="249"/>
      <c r="FHG12" s="249"/>
      <c r="FHH12" s="249"/>
      <c r="FHI12" s="249"/>
      <c r="FHJ12" s="249"/>
      <c r="FHK12" s="249"/>
      <c r="FHL12" s="249"/>
      <c r="FHM12" s="249"/>
      <c r="FHN12" s="249"/>
      <c r="FHO12" s="249"/>
      <c r="FHP12" s="249"/>
      <c r="FHQ12" s="249"/>
      <c r="FHR12" s="249"/>
      <c r="FHS12" s="249"/>
      <c r="FHT12" s="249"/>
      <c r="FHU12" s="249"/>
      <c r="FHV12" s="249"/>
      <c r="FHW12" s="249"/>
      <c r="FHX12" s="249"/>
      <c r="FHY12" s="249"/>
      <c r="FHZ12" s="249"/>
      <c r="FIA12" s="249"/>
      <c r="FIB12" s="249"/>
      <c r="FIC12" s="249"/>
      <c r="FID12" s="249"/>
      <c r="FIE12" s="249"/>
      <c r="FIF12" s="249"/>
      <c r="FIG12" s="249"/>
      <c r="FIH12" s="249"/>
      <c r="FII12" s="249"/>
      <c r="FIJ12" s="249"/>
      <c r="FIK12" s="249"/>
      <c r="FIL12" s="249"/>
      <c r="FIM12" s="249"/>
      <c r="FIN12" s="249"/>
      <c r="FIO12" s="249"/>
      <c r="FIP12" s="249"/>
      <c r="FIQ12" s="249"/>
      <c r="FIR12" s="249"/>
      <c r="FIS12" s="249"/>
      <c r="FIT12" s="249"/>
      <c r="FIU12" s="249"/>
      <c r="FIV12" s="249"/>
      <c r="FIW12" s="249"/>
      <c r="FIX12" s="249"/>
      <c r="FIY12" s="249"/>
      <c r="FIZ12" s="249"/>
      <c r="FJA12" s="249"/>
      <c r="FJB12" s="249"/>
      <c r="FJC12" s="249"/>
      <c r="FJD12" s="249"/>
      <c r="FJE12" s="249"/>
      <c r="FJF12" s="249"/>
      <c r="FJG12" s="249"/>
      <c r="FJH12" s="249"/>
      <c r="FJI12" s="249"/>
      <c r="FJJ12" s="249"/>
      <c r="FJK12" s="249"/>
      <c r="FJL12" s="249"/>
      <c r="FJM12" s="249"/>
      <c r="FJN12" s="249"/>
      <c r="FJO12" s="249"/>
      <c r="FJP12" s="249"/>
      <c r="FJQ12" s="249"/>
      <c r="FJR12" s="249"/>
      <c r="FJS12" s="249"/>
      <c r="FJT12" s="249"/>
      <c r="FJU12" s="249"/>
      <c r="FJV12" s="249"/>
      <c r="FJW12" s="249"/>
      <c r="FJX12" s="249"/>
      <c r="FJY12" s="249"/>
      <c r="FJZ12" s="249"/>
      <c r="FKA12" s="249"/>
      <c r="FKB12" s="249"/>
      <c r="FKC12" s="249"/>
      <c r="FKD12" s="249"/>
      <c r="FKE12" s="249"/>
      <c r="FKF12" s="249"/>
      <c r="FKG12" s="249"/>
      <c r="FKH12" s="249"/>
      <c r="FKI12" s="249"/>
      <c r="FKJ12" s="249"/>
      <c r="FKK12" s="249"/>
      <c r="FKL12" s="249"/>
      <c r="FKM12" s="249"/>
      <c r="FKN12" s="249"/>
      <c r="FKO12" s="249"/>
      <c r="FKP12" s="249"/>
      <c r="FKQ12" s="249"/>
      <c r="FKR12" s="249"/>
      <c r="FKS12" s="249"/>
      <c r="FKT12" s="249"/>
      <c r="FKU12" s="249"/>
      <c r="FKV12" s="249"/>
      <c r="FKW12" s="249"/>
      <c r="FKX12" s="249"/>
      <c r="FKY12" s="249"/>
      <c r="FKZ12" s="249"/>
      <c r="FLA12" s="249"/>
      <c r="FLB12" s="249"/>
      <c r="FLC12" s="249"/>
      <c r="FLD12" s="249"/>
      <c r="FLE12" s="249"/>
      <c r="FLF12" s="249"/>
      <c r="FLG12" s="249"/>
      <c r="FLH12" s="249"/>
      <c r="FLI12" s="249"/>
      <c r="FLJ12" s="249"/>
      <c r="FLK12" s="249"/>
      <c r="FLL12" s="249"/>
      <c r="FLM12" s="249"/>
      <c r="FLN12" s="249"/>
      <c r="FLO12" s="249"/>
      <c r="FLP12" s="249"/>
      <c r="FLQ12" s="249"/>
      <c r="FLR12" s="249"/>
      <c r="FLS12" s="249"/>
      <c r="FLT12" s="249"/>
      <c r="FLU12" s="249"/>
      <c r="FLV12" s="249"/>
      <c r="FLW12" s="249"/>
      <c r="FLX12" s="249"/>
      <c r="FLY12" s="249"/>
      <c r="FLZ12" s="249"/>
      <c r="FMA12" s="249"/>
      <c r="FMB12" s="249"/>
      <c r="FMC12" s="249"/>
      <c r="FMD12" s="249"/>
      <c r="FME12" s="249"/>
      <c r="FMF12" s="249"/>
      <c r="FMG12" s="249"/>
      <c r="FMH12" s="249"/>
      <c r="FMI12" s="249"/>
      <c r="FMJ12" s="249"/>
      <c r="FMK12" s="249"/>
      <c r="FML12" s="249"/>
      <c r="FMM12" s="249"/>
      <c r="FMN12" s="249"/>
      <c r="FMO12" s="249"/>
      <c r="FMP12" s="249"/>
      <c r="FMQ12" s="249"/>
      <c r="FMR12" s="249"/>
      <c r="FMS12" s="249"/>
      <c r="FMT12" s="249"/>
      <c r="FMU12" s="249"/>
      <c r="FMV12" s="249"/>
      <c r="FMW12" s="249"/>
      <c r="FMX12" s="249"/>
      <c r="FMY12" s="249"/>
      <c r="FMZ12" s="249"/>
      <c r="FNA12" s="249"/>
      <c r="FNB12" s="249"/>
      <c r="FNC12" s="249"/>
      <c r="FND12" s="249"/>
      <c r="FNE12" s="249"/>
      <c r="FNF12" s="249"/>
      <c r="FNG12" s="249"/>
      <c r="FNH12" s="249"/>
      <c r="FNI12" s="249"/>
      <c r="FNJ12" s="249"/>
      <c r="FNK12" s="249"/>
      <c r="FNL12" s="249"/>
      <c r="FNM12" s="249"/>
      <c r="FNN12" s="249"/>
      <c r="FNO12" s="249"/>
      <c r="FNP12" s="249"/>
      <c r="FNQ12" s="249"/>
      <c r="FNR12" s="249"/>
      <c r="FNS12" s="249"/>
      <c r="FNT12" s="249"/>
      <c r="FNU12" s="249"/>
      <c r="FNV12" s="249"/>
      <c r="FNW12" s="249"/>
      <c r="FNX12" s="249"/>
      <c r="FNY12" s="249"/>
      <c r="FNZ12" s="249"/>
      <c r="FOA12" s="249"/>
      <c r="FOB12" s="249"/>
      <c r="FOC12" s="249"/>
      <c r="FOD12" s="249"/>
      <c r="FOE12" s="249"/>
      <c r="FOF12" s="249"/>
      <c r="FOG12" s="249"/>
      <c r="FOH12" s="249"/>
      <c r="FOI12" s="249"/>
      <c r="FOJ12" s="249"/>
      <c r="FOK12" s="249"/>
      <c r="FOL12" s="249"/>
      <c r="FOM12" s="249"/>
      <c r="FON12" s="249"/>
      <c r="FOO12" s="249"/>
      <c r="FOP12" s="249"/>
      <c r="FOQ12" s="249"/>
      <c r="FOR12" s="249"/>
      <c r="FOS12" s="249"/>
      <c r="FOT12" s="249"/>
      <c r="FOU12" s="249"/>
      <c r="FOV12" s="249"/>
      <c r="FOW12" s="249"/>
      <c r="FOX12" s="249"/>
      <c r="FOY12" s="249"/>
      <c r="FOZ12" s="249"/>
      <c r="FPA12" s="249"/>
      <c r="FPB12" s="249"/>
      <c r="FPC12" s="249"/>
      <c r="FPD12" s="249"/>
      <c r="FPE12" s="249"/>
      <c r="FPF12" s="249"/>
      <c r="FPG12" s="249"/>
      <c r="FPH12" s="249"/>
      <c r="FPI12" s="249"/>
      <c r="FPJ12" s="249"/>
      <c r="FPK12" s="249"/>
      <c r="FPL12" s="249"/>
      <c r="FPM12" s="249"/>
      <c r="FPN12" s="249"/>
      <c r="FPO12" s="249"/>
      <c r="FPP12" s="249"/>
      <c r="FPQ12" s="249"/>
      <c r="FPR12" s="249"/>
      <c r="FPS12" s="249"/>
      <c r="FPT12" s="249"/>
      <c r="FPU12" s="249"/>
      <c r="FPV12" s="249"/>
      <c r="FPW12" s="249"/>
      <c r="FPX12" s="249"/>
      <c r="FPY12" s="249"/>
      <c r="FPZ12" s="249"/>
      <c r="FQA12" s="249"/>
      <c r="FQB12" s="249"/>
      <c r="FQC12" s="249"/>
      <c r="FQD12" s="249"/>
      <c r="FQE12" s="249"/>
      <c r="FQF12" s="249"/>
      <c r="FQG12" s="249"/>
      <c r="FQH12" s="249"/>
      <c r="FQI12" s="249"/>
      <c r="FQJ12" s="249"/>
      <c r="FQK12" s="249"/>
      <c r="FQL12" s="249"/>
      <c r="FQM12" s="249"/>
      <c r="FQN12" s="249"/>
      <c r="FQO12" s="249"/>
      <c r="FQP12" s="249"/>
      <c r="FQQ12" s="249"/>
      <c r="FQR12" s="249"/>
      <c r="FQS12" s="249"/>
      <c r="FQT12" s="249"/>
      <c r="FQU12" s="249"/>
      <c r="FQV12" s="249"/>
      <c r="FQW12" s="249"/>
      <c r="FQX12" s="249"/>
      <c r="FQY12" s="249"/>
      <c r="FQZ12" s="249"/>
      <c r="FRA12" s="249"/>
      <c r="FRB12" s="249"/>
      <c r="FRC12" s="249"/>
      <c r="FRD12" s="249"/>
      <c r="FRE12" s="249"/>
      <c r="FRF12" s="249"/>
      <c r="FRG12" s="249"/>
      <c r="FRH12" s="249"/>
      <c r="FRI12" s="249"/>
      <c r="FRJ12" s="249"/>
      <c r="FRK12" s="249"/>
      <c r="FRL12" s="249"/>
      <c r="FRM12" s="249"/>
      <c r="FRN12" s="249"/>
      <c r="FRO12" s="249"/>
      <c r="FRP12" s="249"/>
      <c r="FRQ12" s="249"/>
      <c r="FRR12" s="249"/>
      <c r="FRS12" s="249"/>
      <c r="FRT12" s="249"/>
      <c r="FRU12" s="249"/>
      <c r="FRV12" s="249"/>
      <c r="FRW12" s="249"/>
      <c r="FRX12" s="249"/>
      <c r="FRY12" s="249"/>
      <c r="FRZ12" s="249"/>
      <c r="FSA12" s="249"/>
      <c r="FSB12" s="249"/>
      <c r="FSC12" s="249"/>
      <c r="FSD12" s="249"/>
      <c r="FSE12" s="249"/>
      <c r="FSF12" s="249"/>
      <c r="FSG12" s="249"/>
      <c r="FSH12" s="249"/>
      <c r="FSI12" s="249"/>
      <c r="FSJ12" s="249"/>
      <c r="FSK12" s="249"/>
      <c r="FSL12" s="249"/>
      <c r="FSM12" s="249"/>
      <c r="FSN12" s="249"/>
      <c r="FSO12" s="249"/>
      <c r="FSP12" s="249"/>
      <c r="FSQ12" s="249"/>
      <c r="FSR12" s="249"/>
      <c r="FSS12" s="249"/>
      <c r="FST12" s="249"/>
      <c r="FSU12" s="249"/>
      <c r="FSV12" s="249"/>
      <c r="FSW12" s="249"/>
      <c r="FSX12" s="249"/>
      <c r="FSY12" s="249"/>
      <c r="FSZ12" s="249"/>
      <c r="FTA12" s="249"/>
      <c r="FTB12" s="249"/>
      <c r="FTC12" s="249"/>
      <c r="FTD12" s="249"/>
      <c r="FTE12" s="249"/>
      <c r="FTF12" s="249"/>
      <c r="FTG12" s="249"/>
      <c r="FTH12" s="249"/>
      <c r="FTI12" s="249"/>
      <c r="FTJ12" s="249"/>
      <c r="FTK12" s="249"/>
      <c r="FTL12" s="249"/>
      <c r="FTM12" s="249"/>
      <c r="FTN12" s="249"/>
      <c r="FTO12" s="249"/>
      <c r="FTP12" s="249"/>
      <c r="FTQ12" s="249"/>
      <c r="FTR12" s="249"/>
      <c r="FTS12" s="249"/>
      <c r="FTT12" s="249"/>
      <c r="FTU12" s="249"/>
      <c r="FTV12" s="249"/>
      <c r="FTW12" s="249"/>
      <c r="FTX12" s="249"/>
      <c r="FTY12" s="249"/>
      <c r="FTZ12" s="249"/>
      <c r="FUA12" s="249"/>
      <c r="FUB12" s="249"/>
      <c r="FUC12" s="249"/>
      <c r="FUD12" s="249"/>
      <c r="FUE12" s="249"/>
      <c r="FUF12" s="249"/>
      <c r="FUG12" s="249"/>
      <c r="FUH12" s="249"/>
      <c r="FUI12" s="249"/>
      <c r="FUJ12" s="249"/>
      <c r="FUK12" s="249"/>
      <c r="FUL12" s="249"/>
      <c r="FUM12" s="249"/>
      <c r="FUN12" s="249"/>
      <c r="FUO12" s="249"/>
      <c r="FUP12" s="249"/>
      <c r="FUQ12" s="249"/>
      <c r="FUR12" s="249"/>
      <c r="FUS12" s="249"/>
      <c r="FUT12" s="249"/>
      <c r="FUU12" s="249"/>
      <c r="FUV12" s="249"/>
      <c r="FUW12" s="249"/>
      <c r="FUX12" s="249"/>
      <c r="FUY12" s="249"/>
      <c r="FUZ12" s="249"/>
      <c r="FVA12" s="249"/>
      <c r="FVB12" s="249"/>
      <c r="FVC12" s="249"/>
      <c r="FVD12" s="249"/>
      <c r="FVE12" s="249"/>
      <c r="FVF12" s="249"/>
      <c r="FVG12" s="249"/>
      <c r="FVH12" s="249"/>
      <c r="FVI12" s="249"/>
      <c r="FVJ12" s="249"/>
      <c r="FVK12" s="249"/>
      <c r="FVL12" s="249"/>
      <c r="FVM12" s="249"/>
      <c r="FVN12" s="249"/>
      <c r="FVO12" s="249"/>
      <c r="FVP12" s="249"/>
      <c r="FVQ12" s="249"/>
      <c r="FVR12" s="249"/>
      <c r="FVS12" s="249"/>
      <c r="FVT12" s="249"/>
      <c r="FVU12" s="249"/>
      <c r="FVV12" s="249"/>
      <c r="FVW12" s="249"/>
      <c r="FVX12" s="249"/>
      <c r="FVY12" s="249"/>
      <c r="FVZ12" s="249"/>
      <c r="FWA12" s="249"/>
      <c r="FWB12" s="249"/>
      <c r="FWC12" s="249"/>
      <c r="FWD12" s="249"/>
      <c r="FWE12" s="249"/>
      <c r="FWF12" s="249"/>
      <c r="FWG12" s="249"/>
      <c r="FWH12" s="249"/>
      <c r="FWI12" s="249"/>
      <c r="FWJ12" s="249"/>
      <c r="FWK12" s="249"/>
      <c r="FWL12" s="249"/>
      <c r="FWM12" s="249"/>
      <c r="FWN12" s="249"/>
      <c r="FWO12" s="249"/>
      <c r="FWP12" s="249"/>
      <c r="FWQ12" s="249"/>
      <c r="FWR12" s="249"/>
      <c r="FWS12" s="249"/>
      <c r="FWT12" s="249"/>
      <c r="FWU12" s="249"/>
      <c r="FWV12" s="249"/>
      <c r="FWW12" s="249"/>
      <c r="FWX12" s="249"/>
      <c r="FWY12" s="249"/>
      <c r="FWZ12" s="249"/>
      <c r="FXA12" s="249"/>
      <c r="FXB12" s="249"/>
      <c r="FXC12" s="249"/>
      <c r="FXD12" s="249"/>
      <c r="FXE12" s="249"/>
      <c r="FXF12" s="249"/>
      <c r="FXG12" s="249"/>
      <c r="FXH12" s="249"/>
      <c r="FXI12" s="249"/>
      <c r="FXJ12" s="249"/>
      <c r="FXK12" s="249"/>
      <c r="FXL12" s="249"/>
      <c r="FXM12" s="249"/>
      <c r="FXN12" s="249"/>
      <c r="FXO12" s="249"/>
      <c r="FXP12" s="249"/>
      <c r="FXQ12" s="249"/>
      <c r="FXR12" s="249"/>
      <c r="FXS12" s="249"/>
      <c r="FXT12" s="249"/>
      <c r="FXU12" s="249"/>
      <c r="FXV12" s="249"/>
      <c r="FXW12" s="249"/>
      <c r="FXX12" s="249"/>
      <c r="FXY12" s="249"/>
      <c r="FXZ12" s="249"/>
      <c r="FYA12" s="249"/>
      <c r="FYB12" s="249"/>
      <c r="FYC12" s="249"/>
      <c r="FYD12" s="249"/>
      <c r="FYE12" s="249"/>
      <c r="FYF12" s="249"/>
      <c r="FYG12" s="249"/>
      <c r="FYH12" s="249"/>
      <c r="FYI12" s="249"/>
      <c r="FYJ12" s="249"/>
      <c r="FYK12" s="249"/>
      <c r="FYL12" s="249"/>
      <c r="FYM12" s="249"/>
      <c r="FYN12" s="249"/>
      <c r="FYO12" s="249"/>
      <c r="FYP12" s="249"/>
      <c r="FYQ12" s="249"/>
      <c r="FYR12" s="249"/>
      <c r="FYS12" s="249"/>
      <c r="FYT12" s="249"/>
      <c r="FYU12" s="249"/>
      <c r="FYV12" s="249"/>
      <c r="FYW12" s="249"/>
      <c r="FYX12" s="249"/>
      <c r="FYY12" s="249"/>
      <c r="FYZ12" s="249"/>
      <c r="FZA12" s="249"/>
      <c r="FZB12" s="249"/>
      <c r="FZC12" s="249"/>
      <c r="FZD12" s="249"/>
      <c r="FZE12" s="249"/>
      <c r="FZF12" s="249"/>
      <c r="FZG12" s="249"/>
      <c r="FZH12" s="249"/>
      <c r="FZI12" s="249"/>
      <c r="FZJ12" s="249"/>
      <c r="FZK12" s="249"/>
      <c r="FZL12" s="249"/>
      <c r="FZM12" s="249"/>
      <c r="FZN12" s="249"/>
      <c r="FZO12" s="249"/>
      <c r="FZP12" s="249"/>
      <c r="FZQ12" s="249"/>
      <c r="FZR12" s="249"/>
      <c r="FZS12" s="249"/>
      <c r="FZT12" s="249"/>
      <c r="FZU12" s="249"/>
      <c r="FZV12" s="249"/>
      <c r="FZW12" s="249"/>
      <c r="FZX12" s="249"/>
      <c r="FZY12" s="249"/>
      <c r="FZZ12" s="249"/>
      <c r="GAA12" s="249"/>
      <c r="GAB12" s="249"/>
      <c r="GAC12" s="249"/>
      <c r="GAD12" s="249"/>
      <c r="GAE12" s="249"/>
      <c r="GAF12" s="249"/>
      <c r="GAG12" s="249"/>
      <c r="GAH12" s="249"/>
      <c r="GAI12" s="249"/>
      <c r="GAJ12" s="249"/>
      <c r="GAK12" s="249"/>
      <c r="GAL12" s="249"/>
      <c r="GAM12" s="249"/>
      <c r="GAN12" s="249"/>
      <c r="GAO12" s="249"/>
      <c r="GAP12" s="249"/>
      <c r="GAQ12" s="249"/>
      <c r="GAR12" s="249"/>
      <c r="GAS12" s="249"/>
      <c r="GAT12" s="249"/>
      <c r="GAU12" s="249"/>
      <c r="GAV12" s="249"/>
      <c r="GAW12" s="249"/>
      <c r="GAX12" s="249"/>
      <c r="GAY12" s="249"/>
      <c r="GAZ12" s="249"/>
      <c r="GBA12" s="249"/>
      <c r="GBB12" s="249"/>
      <c r="GBC12" s="249"/>
      <c r="GBD12" s="249"/>
      <c r="GBE12" s="249"/>
      <c r="GBF12" s="249"/>
      <c r="GBG12" s="249"/>
      <c r="GBH12" s="249"/>
      <c r="GBI12" s="249"/>
      <c r="GBJ12" s="249"/>
      <c r="GBK12" s="249"/>
      <c r="GBL12" s="249"/>
      <c r="GBM12" s="249"/>
      <c r="GBN12" s="249"/>
      <c r="GBO12" s="249"/>
      <c r="GBP12" s="249"/>
      <c r="GBQ12" s="249"/>
      <c r="GBR12" s="249"/>
      <c r="GBS12" s="249"/>
      <c r="GBT12" s="249"/>
      <c r="GBU12" s="249"/>
      <c r="GBV12" s="249"/>
      <c r="GBW12" s="249"/>
      <c r="GBX12" s="249"/>
      <c r="GBY12" s="249"/>
      <c r="GBZ12" s="249"/>
      <c r="GCA12" s="249"/>
      <c r="GCB12" s="249"/>
      <c r="GCC12" s="249"/>
      <c r="GCD12" s="249"/>
      <c r="GCE12" s="249"/>
      <c r="GCF12" s="249"/>
      <c r="GCG12" s="249"/>
      <c r="GCH12" s="249"/>
      <c r="GCI12" s="249"/>
      <c r="GCJ12" s="249"/>
      <c r="GCK12" s="249"/>
      <c r="GCL12" s="249"/>
      <c r="GCM12" s="249"/>
      <c r="GCN12" s="249"/>
      <c r="GCO12" s="249"/>
      <c r="GCP12" s="249"/>
      <c r="GCQ12" s="249"/>
      <c r="GCR12" s="249"/>
      <c r="GCS12" s="249"/>
      <c r="GCT12" s="249"/>
      <c r="GCU12" s="249"/>
      <c r="GCV12" s="249"/>
      <c r="GCW12" s="249"/>
      <c r="GCX12" s="249"/>
      <c r="GCY12" s="249"/>
      <c r="GCZ12" s="249"/>
      <c r="GDA12" s="249"/>
      <c r="GDB12" s="249"/>
      <c r="GDC12" s="249"/>
      <c r="GDD12" s="249"/>
      <c r="GDE12" s="249"/>
      <c r="GDF12" s="249"/>
      <c r="GDG12" s="249"/>
      <c r="GDH12" s="249"/>
      <c r="GDI12" s="249"/>
      <c r="GDJ12" s="249"/>
      <c r="GDK12" s="249"/>
      <c r="GDL12" s="249"/>
      <c r="GDM12" s="249"/>
      <c r="GDN12" s="249"/>
      <c r="GDO12" s="249"/>
      <c r="GDP12" s="249"/>
      <c r="GDQ12" s="249"/>
      <c r="GDR12" s="249"/>
      <c r="GDS12" s="249"/>
      <c r="GDT12" s="249"/>
      <c r="GDU12" s="249"/>
      <c r="GDV12" s="249"/>
      <c r="GDW12" s="249"/>
      <c r="GDX12" s="249"/>
      <c r="GDY12" s="249"/>
      <c r="GDZ12" s="249"/>
      <c r="GEA12" s="249"/>
      <c r="GEB12" s="249"/>
      <c r="GEC12" s="249"/>
      <c r="GED12" s="249"/>
      <c r="GEE12" s="249"/>
      <c r="GEF12" s="249"/>
      <c r="GEG12" s="249"/>
      <c r="GEH12" s="249"/>
      <c r="GEI12" s="249"/>
      <c r="GEJ12" s="249"/>
      <c r="GEK12" s="249"/>
      <c r="GEL12" s="249"/>
      <c r="GEM12" s="249"/>
      <c r="GEN12" s="249"/>
      <c r="GEO12" s="249"/>
      <c r="GEP12" s="249"/>
      <c r="GEQ12" s="249"/>
      <c r="GER12" s="249"/>
      <c r="GES12" s="249"/>
      <c r="GET12" s="249"/>
      <c r="GEU12" s="249"/>
      <c r="GEV12" s="249"/>
      <c r="GEW12" s="249"/>
      <c r="GEX12" s="249"/>
      <c r="GEY12" s="249"/>
      <c r="GEZ12" s="249"/>
      <c r="GFA12" s="249"/>
      <c r="GFB12" s="249"/>
      <c r="GFC12" s="249"/>
      <c r="GFD12" s="249"/>
      <c r="GFE12" s="249"/>
      <c r="GFF12" s="249"/>
      <c r="GFG12" s="249"/>
      <c r="GFH12" s="249"/>
      <c r="GFI12" s="249"/>
      <c r="GFJ12" s="249"/>
      <c r="GFK12" s="249"/>
      <c r="GFL12" s="249"/>
      <c r="GFM12" s="249"/>
      <c r="GFN12" s="249"/>
      <c r="GFO12" s="249"/>
      <c r="GFP12" s="249"/>
      <c r="GFQ12" s="249"/>
      <c r="GFR12" s="249"/>
      <c r="GFS12" s="249"/>
      <c r="GFT12" s="249"/>
      <c r="GFU12" s="249"/>
      <c r="GFV12" s="249"/>
      <c r="GFW12" s="249"/>
      <c r="GFX12" s="249"/>
      <c r="GFY12" s="249"/>
      <c r="GFZ12" s="249"/>
      <c r="GGA12" s="249"/>
      <c r="GGB12" s="249"/>
      <c r="GGC12" s="249"/>
      <c r="GGD12" s="249"/>
      <c r="GGE12" s="249"/>
      <c r="GGF12" s="249"/>
      <c r="GGG12" s="249"/>
      <c r="GGH12" s="249"/>
      <c r="GGI12" s="249"/>
      <c r="GGJ12" s="249"/>
      <c r="GGK12" s="249"/>
      <c r="GGL12" s="249"/>
      <c r="GGM12" s="249"/>
      <c r="GGN12" s="249"/>
      <c r="GGO12" s="249"/>
      <c r="GGP12" s="249"/>
      <c r="GGQ12" s="249"/>
      <c r="GGR12" s="249"/>
      <c r="GGS12" s="249"/>
      <c r="GGT12" s="249"/>
      <c r="GGU12" s="249"/>
      <c r="GGV12" s="249"/>
      <c r="GGW12" s="249"/>
      <c r="GGX12" s="249"/>
      <c r="GGY12" s="249"/>
      <c r="GGZ12" s="249"/>
      <c r="GHA12" s="249"/>
      <c r="GHB12" s="249"/>
      <c r="GHC12" s="249"/>
      <c r="GHD12" s="249"/>
      <c r="GHE12" s="249"/>
      <c r="GHF12" s="249"/>
      <c r="GHG12" s="249"/>
      <c r="GHH12" s="249"/>
      <c r="GHI12" s="249"/>
      <c r="GHJ12" s="249"/>
      <c r="GHK12" s="249"/>
      <c r="GHL12" s="249"/>
      <c r="GHM12" s="249"/>
      <c r="GHN12" s="249"/>
      <c r="GHO12" s="249"/>
      <c r="GHP12" s="249"/>
      <c r="GHQ12" s="249"/>
      <c r="GHR12" s="249"/>
      <c r="GHS12" s="249"/>
      <c r="GHT12" s="249"/>
      <c r="GHU12" s="249"/>
      <c r="GHV12" s="249"/>
      <c r="GHW12" s="249"/>
      <c r="GHX12" s="249"/>
      <c r="GHY12" s="249"/>
      <c r="GHZ12" s="249"/>
      <c r="GIA12" s="249"/>
      <c r="GIB12" s="249"/>
      <c r="GIC12" s="249"/>
      <c r="GID12" s="249"/>
      <c r="GIE12" s="249"/>
      <c r="GIF12" s="249"/>
      <c r="GIG12" s="249"/>
      <c r="GIH12" s="249"/>
      <c r="GII12" s="249"/>
      <c r="GIJ12" s="249"/>
      <c r="GIK12" s="249"/>
      <c r="GIL12" s="249"/>
      <c r="GIM12" s="249"/>
      <c r="GIN12" s="249"/>
      <c r="GIO12" s="249"/>
      <c r="GIP12" s="249"/>
      <c r="GIQ12" s="249"/>
      <c r="GIR12" s="249"/>
      <c r="GIS12" s="249"/>
      <c r="GIT12" s="249"/>
      <c r="GIU12" s="249"/>
      <c r="GIV12" s="249"/>
      <c r="GIW12" s="249"/>
      <c r="GIX12" s="249"/>
      <c r="GIY12" s="249"/>
      <c r="GIZ12" s="249"/>
      <c r="GJA12" s="249"/>
      <c r="GJB12" s="249"/>
      <c r="GJC12" s="249"/>
      <c r="GJD12" s="249"/>
      <c r="GJE12" s="249"/>
      <c r="GJF12" s="249"/>
      <c r="GJG12" s="249"/>
      <c r="GJH12" s="249"/>
      <c r="GJI12" s="249"/>
      <c r="GJJ12" s="249"/>
      <c r="GJK12" s="249"/>
      <c r="GJL12" s="249"/>
      <c r="GJM12" s="249"/>
      <c r="GJN12" s="249"/>
      <c r="GJO12" s="249"/>
      <c r="GJP12" s="249"/>
      <c r="GJQ12" s="249"/>
      <c r="GJR12" s="249"/>
      <c r="GJS12" s="249"/>
      <c r="GJT12" s="249"/>
      <c r="GJU12" s="249"/>
      <c r="GJV12" s="249"/>
      <c r="GJW12" s="249"/>
      <c r="GJX12" s="249"/>
      <c r="GJY12" s="249"/>
      <c r="GJZ12" s="249"/>
      <c r="GKA12" s="249"/>
      <c r="GKB12" s="249"/>
      <c r="GKC12" s="249"/>
      <c r="GKD12" s="249"/>
      <c r="GKE12" s="249"/>
      <c r="GKF12" s="249"/>
      <c r="GKG12" s="249"/>
      <c r="GKH12" s="249"/>
      <c r="GKI12" s="249"/>
      <c r="GKJ12" s="249"/>
      <c r="GKK12" s="249"/>
      <c r="GKL12" s="249"/>
      <c r="GKM12" s="249"/>
      <c r="GKN12" s="249"/>
      <c r="GKO12" s="249"/>
      <c r="GKP12" s="249"/>
      <c r="GKQ12" s="249"/>
      <c r="GKR12" s="249"/>
      <c r="GKS12" s="249"/>
      <c r="GKT12" s="249"/>
      <c r="GKU12" s="249"/>
      <c r="GKV12" s="249"/>
      <c r="GKW12" s="249"/>
      <c r="GKX12" s="249"/>
      <c r="GKY12" s="249"/>
      <c r="GKZ12" s="249"/>
      <c r="GLA12" s="249"/>
      <c r="GLB12" s="249"/>
      <c r="GLC12" s="249"/>
      <c r="GLD12" s="249"/>
      <c r="GLE12" s="249"/>
      <c r="GLF12" s="249"/>
      <c r="GLG12" s="249"/>
      <c r="GLH12" s="249"/>
      <c r="GLI12" s="249"/>
      <c r="GLJ12" s="249"/>
      <c r="GLK12" s="249"/>
      <c r="GLL12" s="249"/>
      <c r="GLM12" s="249"/>
      <c r="GLN12" s="249"/>
      <c r="GLO12" s="249"/>
      <c r="GLP12" s="249"/>
      <c r="GLQ12" s="249"/>
      <c r="GLR12" s="249"/>
      <c r="GLS12" s="249"/>
      <c r="GLT12" s="249"/>
      <c r="GLU12" s="249"/>
      <c r="GLV12" s="249"/>
      <c r="GLW12" s="249"/>
      <c r="GLX12" s="249"/>
      <c r="GLY12" s="249"/>
      <c r="GLZ12" s="249"/>
      <c r="GMA12" s="249"/>
      <c r="GMB12" s="249"/>
      <c r="GMC12" s="249"/>
      <c r="GMD12" s="249"/>
      <c r="GME12" s="249"/>
      <c r="GMF12" s="249"/>
      <c r="GMG12" s="249"/>
      <c r="GMH12" s="249"/>
      <c r="GMI12" s="249"/>
      <c r="GMJ12" s="249"/>
      <c r="GMK12" s="249"/>
      <c r="GML12" s="249"/>
      <c r="GMM12" s="249"/>
      <c r="GMN12" s="249"/>
      <c r="GMO12" s="249"/>
      <c r="GMP12" s="249"/>
      <c r="GMQ12" s="249"/>
      <c r="GMR12" s="249"/>
      <c r="GMS12" s="249"/>
      <c r="GMT12" s="249"/>
      <c r="GMU12" s="249"/>
      <c r="GMV12" s="249"/>
      <c r="GMW12" s="249"/>
      <c r="GMX12" s="249"/>
      <c r="GMY12" s="249"/>
      <c r="GMZ12" s="249"/>
      <c r="GNA12" s="249"/>
      <c r="GNB12" s="249"/>
      <c r="GNC12" s="249"/>
      <c r="GND12" s="249"/>
      <c r="GNE12" s="249"/>
      <c r="GNF12" s="249"/>
      <c r="GNG12" s="249"/>
      <c r="GNH12" s="249"/>
      <c r="GNI12" s="249"/>
      <c r="GNJ12" s="249"/>
      <c r="GNK12" s="249"/>
      <c r="GNL12" s="249"/>
      <c r="GNM12" s="249"/>
      <c r="GNN12" s="249"/>
      <c r="GNO12" s="249"/>
      <c r="GNP12" s="249"/>
      <c r="GNQ12" s="249"/>
      <c r="GNR12" s="249"/>
      <c r="GNS12" s="249"/>
      <c r="GNT12" s="249"/>
      <c r="GNU12" s="249"/>
      <c r="GNV12" s="249"/>
      <c r="GNW12" s="249"/>
      <c r="GNX12" s="249"/>
      <c r="GNY12" s="249"/>
      <c r="GNZ12" s="249"/>
      <c r="GOA12" s="249"/>
      <c r="GOB12" s="249"/>
      <c r="GOC12" s="249"/>
      <c r="GOD12" s="249"/>
      <c r="GOE12" s="249"/>
      <c r="GOF12" s="249"/>
      <c r="GOG12" s="249"/>
      <c r="GOH12" s="249"/>
      <c r="GOI12" s="249"/>
      <c r="GOJ12" s="249"/>
      <c r="GOK12" s="249"/>
      <c r="GOL12" s="249"/>
      <c r="GOM12" s="249"/>
      <c r="GON12" s="249"/>
      <c r="GOO12" s="249"/>
      <c r="GOP12" s="249"/>
      <c r="GOQ12" s="249"/>
      <c r="GOR12" s="249"/>
      <c r="GOS12" s="249"/>
      <c r="GOT12" s="249"/>
      <c r="GOU12" s="249"/>
      <c r="GOV12" s="249"/>
      <c r="GOW12" s="249"/>
      <c r="GOX12" s="249"/>
      <c r="GOY12" s="249"/>
      <c r="GOZ12" s="249"/>
      <c r="GPA12" s="249"/>
      <c r="GPB12" s="249"/>
      <c r="GPC12" s="249"/>
      <c r="GPD12" s="249"/>
      <c r="GPE12" s="249"/>
      <c r="GPF12" s="249"/>
      <c r="GPG12" s="249"/>
      <c r="GPH12" s="249"/>
      <c r="GPI12" s="249"/>
      <c r="GPJ12" s="249"/>
      <c r="GPK12" s="249"/>
      <c r="GPL12" s="249"/>
      <c r="GPM12" s="249"/>
      <c r="GPN12" s="249"/>
      <c r="GPO12" s="249"/>
      <c r="GPP12" s="249"/>
      <c r="GPQ12" s="249"/>
      <c r="GPR12" s="249"/>
      <c r="GPS12" s="249"/>
      <c r="GPT12" s="249"/>
      <c r="GPU12" s="249"/>
      <c r="GPV12" s="249"/>
      <c r="GPW12" s="249"/>
      <c r="GPX12" s="249"/>
      <c r="GPY12" s="249"/>
      <c r="GPZ12" s="249"/>
      <c r="GQA12" s="249"/>
      <c r="GQB12" s="249"/>
      <c r="GQC12" s="249"/>
      <c r="GQD12" s="249"/>
      <c r="GQE12" s="249"/>
      <c r="GQF12" s="249"/>
      <c r="GQG12" s="249"/>
      <c r="GQH12" s="249"/>
      <c r="GQI12" s="249"/>
      <c r="GQJ12" s="249"/>
      <c r="GQK12" s="249"/>
      <c r="GQL12" s="249"/>
      <c r="GQM12" s="249"/>
      <c r="GQN12" s="249"/>
      <c r="GQO12" s="249"/>
      <c r="GQP12" s="249"/>
      <c r="GQQ12" s="249"/>
      <c r="GQR12" s="249"/>
      <c r="GQS12" s="249"/>
      <c r="GQT12" s="249"/>
      <c r="GQU12" s="249"/>
      <c r="GQV12" s="249"/>
      <c r="GQW12" s="249"/>
      <c r="GQX12" s="249"/>
      <c r="GQY12" s="249"/>
      <c r="GQZ12" s="249"/>
      <c r="GRA12" s="249"/>
      <c r="GRB12" s="249"/>
      <c r="GRC12" s="249"/>
      <c r="GRD12" s="249"/>
      <c r="GRE12" s="249"/>
      <c r="GRF12" s="249"/>
      <c r="GRG12" s="249"/>
      <c r="GRH12" s="249"/>
      <c r="GRI12" s="249"/>
      <c r="GRJ12" s="249"/>
      <c r="GRK12" s="249"/>
      <c r="GRL12" s="249"/>
      <c r="GRM12" s="249"/>
      <c r="GRN12" s="249"/>
      <c r="GRO12" s="249"/>
      <c r="GRP12" s="249"/>
      <c r="GRQ12" s="249"/>
      <c r="GRR12" s="249"/>
      <c r="GRS12" s="249"/>
      <c r="GRT12" s="249"/>
      <c r="GRU12" s="249"/>
      <c r="GRV12" s="249"/>
      <c r="GRW12" s="249"/>
      <c r="GRX12" s="249"/>
      <c r="GRY12" s="249"/>
      <c r="GRZ12" s="249"/>
      <c r="GSA12" s="249"/>
      <c r="GSB12" s="249"/>
      <c r="GSC12" s="249"/>
      <c r="GSD12" s="249"/>
      <c r="GSE12" s="249"/>
      <c r="GSF12" s="249"/>
      <c r="GSG12" s="249"/>
      <c r="GSH12" s="249"/>
      <c r="GSI12" s="249"/>
      <c r="GSJ12" s="249"/>
      <c r="GSK12" s="249"/>
      <c r="GSL12" s="249"/>
      <c r="GSM12" s="249"/>
      <c r="GSN12" s="249"/>
      <c r="GSO12" s="249"/>
      <c r="GSP12" s="249"/>
      <c r="GSQ12" s="249"/>
      <c r="GSR12" s="249"/>
      <c r="GSS12" s="249"/>
      <c r="GST12" s="249"/>
      <c r="GSU12" s="249"/>
      <c r="GSV12" s="249"/>
      <c r="GSW12" s="249"/>
      <c r="GSX12" s="249"/>
      <c r="GSY12" s="249"/>
      <c r="GSZ12" s="249"/>
      <c r="GTA12" s="249"/>
      <c r="GTB12" s="249"/>
      <c r="GTC12" s="249"/>
      <c r="GTD12" s="249"/>
      <c r="GTE12" s="249"/>
      <c r="GTF12" s="249"/>
      <c r="GTG12" s="249"/>
      <c r="GTH12" s="249"/>
      <c r="GTI12" s="249"/>
      <c r="GTJ12" s="249"/>
      <c r="GTK12" s="249"/>
      <c r="GTL12" s="249"/>
      <c r="GTM12" s="249"/>
      <c r="GTN12" s="249"/>
      <c r="GTO12" s="249"/>
      <c r="GTP12" s="249"/>
      <c r="GTQ12" s="249"/>
      <c r="GTR12" s="249"/>
      <c r="GTS12" s="249"/>
      <c r="GTT12" s="249"/>
      <c r="GTU12" s="249"/>
      <c r="GTV12" s="249"/>
      <c r="GTW12" s="249"/>
      <c r="GTX12" s="249"/>
      <c r="GTY12" s="249"/>
      <c r="GTZ12" s="249"/>
      <c r="GUA12" s="249"/>
      <c r="GUB12" s="249"/>
      <c r="GUC12" s="249"/>
      <c r="GUD12" s="249"/>
      <c r="GUE12" s="249"/>
      <c r="GUF12" s="249"/>
      <c r="GUG12" s="249"/>
      <c r="GUH12" s="249"/>
      <c r="GUI12" s="249"/>
      <c r="GUJ12" s="249"/>
      <c r="GUK12" s="249"/>
      <c r="GUL12" s="249"/>
      <c r="GUM12" s="249"/>
      <c r="GUN12" s="249"/>
      <c r="GUO12" s="249"/>
      <c r="GUP12" s="249"/>
      <c r="GUQ12" s="249"/>
      <c r="GUR12" s="249"/>
      <c r="GUS12" s="249"/>
      <c r="GUT12" s="249"/>
      <c r="GUU12" s="249"/>
      <c r="GUV12" s="249"/>
      <c r="GUW12" s="249"/>
      <c r="GUX12" s="249"/>
      <c r="GUY12" s="249"/>
      <c r="GUZ12" s="249"/>
      <c r="GVA12" s="249"/>
      <c r="GVB12" s="249"/>
      <c r="GVC12" s="249"/>
      <c r="GVD12" s="249"/>
      <c r="GVE12" s="249"/>
      <c r="GVF12" s="249"/>
      <c r="GVG12" s="249"/>
      <c r="GVH12" s="249"/>
      <c r="GVI12" s="249"/>
      <c r="GVJ12" s="249"/>
      <c r="GVK12" s="249"/>
      <c r="GVL12" s="249"/>
      <c r="GVM12" s="249"/>
      <c r="GVN12" s="249"/>
      <c r="GVO12" s="249"/>
      <c r="GVP12" s="249"/>
      <c r="GVQ12" s="249"/>
      <c r="GVR12" s="249"/>
      <c r="GVS12" s="249"/>
      <c r="GVT12" s="249"/>
      <c r="GVU12" s="249"/>
      <c r="GVV12" s="249"/>
      <c r="GVW12" s="249"/>
      <c r="GVX12" s="249"/>
      <c r="GVY12" s="249"/>
      <c r="GVZ12" s="249"/>
      <c r="GWA12" s="249"/>
      <c r="GWB12" s="249"/>
      <c r="GWC12" s="249"/>
      <c r="GWD12" s="249"/>
      <c r="GWE12" s="249"/>
      <c r="GWF12" s="249"/>
      <c r="GWG12" s="249"/>
      <c r="GWH12" s="249"/>
      <c r="GWI12" s="249"/>
      <c r="GWJ12" s="249"/>
      <c r="GWK12" s="249"/>
      <c r="GWL12" s="249"/>
      <c r="GWM12" s="249"/>
      <c r="GWN12" s="249"/>
      <c r="GWO12" s="249"/>
      <c r="GWP12" s="249"/>
      <c r="GWQ12" s="249"/>
      <c r="GWR12" s="249"/>
      <c r="GWS12" s="249"/>
      <c r="GWT12" s="249"/>
      <c r="GWU12" s="249"/>
      <c r="GWV12" s="249"/>
      <c r="GWW12" s="249"/>
      <c r="GWX12" s="249"/>
      <c r="GWY12" s="249"/>
      <c r="GWZ12" s="249"/>
      <c r="GXA12" s="249"/>
      <c r="GXB12" s="249"/>
      <c r="GXC12" s="249"/>
      <c r="GXD12" s="249"/>
      <c r="GXE12" s="249"/>
      <c r="GXF12" s="249"/>
      <c r="GXG12" s="249"/>
      <c r="GXH12" s="249"/>
      <c r="GXI12" s="249"/>
      <c r="GXJ12" s="249"/>
      <c r="GXK12" s="249"/>
      <c r="GXL12" s="249"/>
      <c r="GXM12" s="249"/>
      <c r="GXN12" s="249"/>
      <c r="GXO12" s="249"/>
      <c r="GXP12" s="249"/>
      <c r="GXQ12" s="249"/>
      <c r="GXR12" s="249"/>
      <c r="GXS12" s="249"/>
      <c r="GXT12" s="249"/>
      <c r="GXU12" s="249"/>
      <c r="GXV12" s="249"/>
      <c r="GXW12" s="249"/>
      <c r="GXX12" s="249"/>
      <c r="GXY12" s="249"/>
      <c r="GXZ12" s="249"/>
      <c r="GYA12" s="249"/>
      <c r="GYB12" s="249"/>
      <c r="GYC12" s="249"/>
      <c r="GYD12" s="249"/>
      <c r="GYE12" s="249"/>
      <c r="GYF12" s="249"/>
      <c r="GYG12" s="249"/>
      <c r="GYH12" s="249"/>
      <c r="GYI12" s="249"/>
      <c r="GYJ12" s="249"/>
      <c r="GYK12" s="249"/>
      <c r="GYL12" s="249"/>
      <c r="GYM12" s="249"/>
      <c r="GYN12" s="249"/>
      <c r="GYO12" s="249"/>
      <c r="GYP12" s="249"/>
      <c r="GYQ12" s="249"/>
      <c r="GYR12" s="249"/>
      <c r="GYS12" s="249"/>
      <c r="GYT12" s="249"/>
      <c r="GYU12" s="249"/>
      <c r="GYV12" s="249"/>
      <c r="GYW12" s="249"/>
      <c r="GYX12" s="249"/>
      <c r="GYY12" s="249"/>
      <c r="GYZ12" s="249"/>
      <c r="GZA12" s="249"/>
      <c r="GZB12" s="249"/>
      <c r="GZC12" s="249"/>
      <c r="GZD12" s="249"/>
      <c r="GZE12" s="249"/>
      <c r="GZF12" s="249"/>
      <c r="GZG12" s="249"/>
      <c r="GZH12" s="249"/>
      <c r="GZI12" s="249"/>
      <c r="GZJ12" s="249"/>
      <c r="GZK12" s="249"/>
      <c r="GZL12" s="249"/>
      <c r="GZM12" s="249"/>
      <c r="GZN12" s="249"/>
      <c r="GZO12" s="249"/>
      <c r="GZP12" s="249"/>
      <c r="GZQ12" s="249"/>
      <c r="GZR12" s="249"/>
      <c r="GZS12" s="249"/>
      <c r="GZT12" s="249"/>
      <c r="GZU12" s="249"/>
      <c r="GZV12" s="249"/>
      <c r="GZW12" s="249"/>
      <c r="GZX12" s="249"/>
      <c r="GZY12" s="249"/>
      <c r="GZZ12" s="249"/>
      <c r="HAA12" s="249"/>
      <c r="HAB12" s="249"/>
      <c r="HAC12" s="249"/>
      <c r="HAD12" s="249"/>
      <c r="HAE12" s="249"/>
      <c r="HAF12" s="249"/>
      <c r="HAG12" s="249"/>
      <c r="HAH12" s="249"/>
      <c r="HAI12" s="249"/>
      <c r="HAJ12" s="249"/>
      <c r="HAK12" s="249"/>
      <c r="HAL12" s="249"/>
      <c r="HAM12" s="249"/>
      <c r="HAN12" s="249"/>
      <c r="HAO12" s="249"/>
      <c r="HAP12" s="249"/>
      <c r="HAQ12" s="249"/>
      <c r="HAR12" s="249"/>
      <c r="HAS12" s="249"/>
      <c r="HAT12" s="249"/>
      <c r="HAU12" s="249"/>
      <c r="HAV12" s="249"/>
      <c r="HAW12" s="249"/>
      <c r="HAX12" s="249"/>
      <c r="HAY12" s="249"/>
      <c r="HAZ12" s="249"/>
      <c r="HBA12" s="249"/>
      <c r="HBB12" s="249"/>
      <c r="HBC12" s="249"/>
      <c r="HBD12" s="249"/>
      <c r="HBE12" s="249"/>
      <c r="HBF12" s="249"/>
      <c r="HBG12" s="249"/>
      <c r="HBH12" s="249"/>
      <c r="HBI12" s="249"/>
      <c r="HBJ12" s="249"/>
      <c r="HBK12" s="249"/>
      <c r="HBL12" s="249"/>
      <c r="HBM12" s="249"/>
      <c r="HBN12" s="249"/>
      <c r="HBO12" s="249"/>
      <c r="HBP12" s="249"/>
      <c r="HBQ12" s="249"/>
      <c r="HBR12" s="249"/>
      <c r="HBS12" s="249"/>
      <c r="HBT12" s="249"/>
      <c r="HBU12" s="249"/>
      <c r="HBV12" s="249"/>
      <c r="HBW12" s="249"/>
      <c r="HBX12" s="249"/>
      <c r="HBY12" s="249"/>
      <c r="HBZ12" s="249"/>
      <c r="HCA12" s="249"/>
      <c r="HCB12" s="249"/>
      <c r="HCC12" s="249"/>
      <c r="HCD12" s="249"/>
      <c r="HCE12" s="249"/>
      <c r="HCF12" s="249"/>
      <c r="HCG12" s="249"/>
      <c r="HCH12" s="249"/>
      <c r="HCI12" s="249"/>
      <c r="HCJ12" s="249"/>
      <c r="HCK12" s="249"/>
      <c r="HCL12" s="249"/>
      <c r="HCM12" s="249"/>
      <c r="HCN12" s="249"/>
      <c r="HCO12" s="249"/>
      <c r="HCP12" s="249"/>
      <c r="HCQ12" s="249"/>
      <c r="HCR12" s="249"/>
      <c r="HCS12" s="249"/>
      <c r="HCT12" s="249"/>
      <c r="HCU12" s="249"/>
      <c r="HCV12" s="249"/>
      <c r="HCW12" s="249"/>
      <c r="HCX12" s="249"/>
      <c r="HCY12" s="249"/>
      <c r="HCZ12" s="249"/>
      <c r="HDA12" s="249"/>
      <c r="HDB12" s="249"/>
      <c r="HDC12" s="249"/>
      <c r="HDD12" s="249"/>
      <c r="HDE12" s="249"/>
      <c r="HDF12" s="249"/>
      <c r="HDG12" s="249"/>
      <c r="HDH12" s="249"/>
      <c r="HDI12" s="249"/>
      <c r="HDJ12" s="249"/>
      <c r="HDK12" s="249"/>
      <c r="HDL12" s="249"/>
      <c r="HDM12" s="249"/>
      <c r="HDN12" s="249"/>
      <c r="HDO12" s="249"/>
      <c r="HDP12" s="249"/>
      <c r="HDQ12" s="249"/>
      <c r="HDR12" s="249"/>
      <c r="HDS12" s="249"/>
      <c r="HDT12" s="249"/>
      <c r="HDU12" s="249"/>
      <c r="HDV12" s="249"/>
      <c r="HDW12" s="249"/>
      <c r="HDX12" s="249"/>
      <c r="HDY12" s="249"/>
      <c r="HDZ12" s="249"/>
      <c r="HEA12" s="249"/>
      <c r="HEB12" s="249"/>
      <c r="HEC12" s="249"/>
      <c r="HED12" s="249"/>
      <c r="HEE12" s="249"/>
      <c r="HEF12" s="249"/>
      <c r="HEG12" s="249"/>
      <c r="HEH12" s="249"/>
      <c r="HEI12" s="249"/>
      <c r="HEJ12" s="249"/>
      <c r="HEK12" s="249"/>
      <c r="HEL12" s="249"/>
      <c r="HEM12" s="249"/>
      <c r="HEN12" s="249"/>
      <c r="HEO12" s="249"/>
      <c r="HEP12" s="249"/>
      <c r="HEQ12" s="249"/>
      <c r="HER12" s="249"/>
      <c r="HES12" s="249"/>
      <c r="HET12" s="249"/>
      <c r="HEU12" s="249"/>
      <c r="HEV12" s="249"/>
      <c r="HEW12" s="249"/>
      <c r="HEX12" s="249"/>
      <c r="HEY12" s="249"/>
      <c r="HEZ12" s="249"/>
      <c r="HFA12" s="249"/>
      <c r="HFB12" s="249"/>
      <c r="HFC12" s="249"/>
      <c r="HFD12" s="249"/>
      <c r="HFE12" s="249"/>
      <c r="HFF12" s="249"/>
      <c r="HFG12" s="249"/>
      <c r="HFH12" s="249"/>
      <c r="HFI12" s="249"/>
      <c r="HFJ12" s="249"/>
      <c r="HFK12" s="249"/>
      <c r="HFL12" s="249"/>
      <c r="HFM12" s="249"/>
      <c r="HFN12" s="249"/>
      <c r="HFO12" s="249"/>
      <c r="HFP12" s="249"/>
      <c r="HFQ12" s="249"/>
      <c r="HFR12" s="249"/>
      <c r="HFS12" s="249"/>
      <c r="HFT12" s="249"/>
      <c r="HFU12" s="249"/>
      <c r="HFV12" s="249"/>
      <c r="HFW12" s="249"/>
      <c r="HFX12" s="249"/>
      <c r="HFY12" s="249"/>
      <c r="HFZ12" s="249"/>
      <c r="HGA12" s="249"/>
      <c r="HGB12" s="249"/>
      <c r="HGC12" s="249"/>
      <c r="HGD12" s="249"/>
      <c r="HGE12" s="249"/>
      <c r="HGF12" s="249"/>
      <c r="HGG12" s="249"/>
      <c r="HGH12" s="249"/>
      <c r="HGI12" s="249"/>
      <c r="HGJ12" s="249"/>
      <c r="HGK12" s="249"/>
      <c r="HGL12" s="249"/>
      <c r="HGM12" s="249"/>
      <c r="HGN12" s="249"/>
      <c r="HGO12" s="249"/>
      <c r="HGP12" s="249"/>
      <c r="HGQ12" s="249"/>
      <c r="HGR12" s="249"/>
      <c r="HGS12" s="249"/>
      <c r="HGT12" s="249"/>
      <c r="HGU12" s="249"/>
      <c r="HGV12" s="249"/>
      <c r="HGW12" s="249"/>
      <c r="HGX12" s="249"/>
      <c r="HGY12" s="249"/>
      <c r="HGZ12" s="249"/>
      <c r="HHA12" s="249"/>
      <c r="HHB12" s="249"/>
      <c r="HHC12" s="249"/>
      <c r="HHD12" s="249"/>
      <c r="HHE12" s="249"/>
      <c r="HHF12" s="249"/>
      <c r="HHG12" s="249"/>
      <c r="HHH12" s="249"/>
      <c r="HHI12" s="249"/>
      <c r="HHJ12" s="249"/>
      <c r="HHK12" s="249"/>
      <c r="HHL12" s="249"/>
      <c r="HHM12" s="249"/>
      <c r="HHN12" s="249"/>
      <c r="HHO12" s="249"/>
      <c r="HHP12" s="249"/>
      <c r="HHQ12" s="249"/>
      <c r="HHR12" s="249"/>
      <c r="HHS12" s="249"/>
      <c r="HHT12" s="249"/>
      <c r="HHU12" s="249"/>
      <c r="HHV12" s="249"/>
      <c r="HHW12" s="249"/>
      <c r="HHX12" s="249"/>
      <c r="HHY12" s="249"/>
      <c r="HHZ12" s="249"/>
      <c r="HIA12" s="249"/>
      <c r="HIB12" s="249"/>
      <c r="HIC12" s="249"/>
      <c r="HID12" s="249"/>
      <c r="HIE12" s="249"/>
      <c r="HIF12" s="249"/>
      <c r="HIG12" s="249"/>
      <c r="HIH12" s="249"/>
      <c r="HII12" s="249"/>
      <c r="HIJ12" s="249"/>
      <c r="HIK12" s="249"/>
      <c r="HIL12" s="249"/>
      <c r="HIM12" s="249"/>
      <c r="HIN12" s="249"/>
      <c r="HIO12" s="249"/>
      <c r="HIP12" s="249"/>
      <c r="HIQ12" s="249"/>
      <c r="HIR12" s="249"/>
      <c r="HIS12" s="249"/>
      <c r="HIT12" s="249"/>
      <c r="HIU12" s="249"/>
      <c r="HIV12" s="249"/>
      <c r="HIW12" s="249"/>
      <c r="HIX12" s="249"/>
      <c r="HIY12" s="249"/>
      <c r="HIZ12" s="249"/>
      <c r="HJA12" s="249"/>
      <c r="HJB12" s="249"/>
      <c r="HJC12" s="249"/>
      <c r="HJD12" s="249"/>
      <c r="HJE12" s="249"/>
      <c r="HJF12" s="249"/>
      <c r="HJG12" s="249"/>
      <c r="HJH12" s="249"/>
      <c r="HJI12" s="249"/>
      <c r="HJJ12" s="249"/>
      <c r="HJK12" s="249"/>
      <c r="HJL12" s="249"/>
      <c r="HJM12" s="249"/>
      <c r="HJN12" s="249"/>
      <c r="HJO12" s="249"/>
      <c r="HJP12" s="249"/>
      <c r="HJQ12" s="249"/>
      <c r="HJR12" s="249"/>
      <c r="HJS12" s="249"/>
      <c r="HJT12" s="249"/>
      <c r="HJU12" s="249"/>
      <c r="HJV12" s="249"/>
      <c r="HJW12" s="249"/>
      <c r="HJX12" s="249"/>
      <c r="HJY12" s="249"/>
      <c r="HJZ12" s="249"/>
      <c r="HKA12" s="249"/>
      <c r="HKB12" s="249"/>
      <c r="HKC12" s="249"/>
      <c r="HKD12" s="249"/>
      <c r="HKE12" s="249"/>
      <c r="HKF12" s="249"/>
      <c r="HKG12" s="249"/>
      <c r="HKH12" s="249"/>
      <c r="HKI12" s="249"/>
      <c r="HKJ12" s="249"/>
      <c r="HKK12" s="249"/>
      <c r="HKL12" s="249"/>
      <c r="HKM12" s="249"/>
      <c r="HKN12" s="249"/>
      <c r="HKO12" s="249"/>
      <c r="HKP12" s="249"/>
      <c r="HKQ12" s="249"/>
      <c r="HKR12" s="249"/>
      <c r="HKS12" s="249"/>
      <c r="HKT12" s="249"/>
      <c r="HKU12" s="249"/>
      <c r="HKV12" s="249"/>
      <c r="HKW12" s="249"/>
      <c r="HKX12" s="249"/>
      <c r="HKY12" s="249"/>
      <c r="HKZ12" s="249"/>
      <c r="HLA12" s="249"/>
      <c r="HLB12" s="249"/>
      <c r="HLC12" s="249"/>
      <c r="HLD12" s="249"/>
      <c r="HLE12" s="249"/>
      <c r="HLF12" s="249"/>
      <c r="HLG12" s="249"/>
      <c r="HLH12" s="249"/>
      <c r="HLI12" s="249"/>
      <c r="HLJ12" s="249"/>
      <c r="HLK12" s="249"/>
      <c r="HLL12" s="249"/>
      <c r="HLM12" s="249"/>
      <c r="HLN12" s="249"/>
      <c r="HLO12" s="249"/>
      <c r="HLP12" s="249"/>
      <c r="HLQ12" s="249"/>
      <c r="HLR12" s="249"/>
      <c r="HLS12" s="249"/>
      <c r="HLT12" s="249"/>
      <c r="HLU12" s="249"/>
      <c r="HLV12" s="249"/>
      <c r="HLW12" s="249"/>
      <c r="HLX12" s="249"/>
      <c r="HLY12" s="249"/>
      <c r="HLZ12" s="249"/>
      <c r="HMA12" s="249"/>
      <c r="HMB12" s="249"/>
      <c r="HMC12" s="249"/>
      <c r="HMD12" s="249"/>
      <c r="HME12" s="249"/>
      <c r="HMF12" s="249"/>
      <c r="HMG12" s="249"/>
      <c r="HMH12" s="249"/>
      <c r="HMI12" s="249"/>
      <c r="HMJ12" s="249"/>
      <c r="HMK12" s="249"/>
      <c r="HML12" s="249"/>
      <c r="HMM12" s="249"/>
      <c r="HMN12" s="249"/>
      <c r="HMO12" s="249"/>
      <c r="HMP12" s="249"/>
      <c r="HMQ12" s="249"/>
      <c r="HMR12" s="249"/>
      <c r="HMS12" s="249"/>
      <c r="HMT12" s="249"/>
      <c r="HMU12" s="249"/>
      <c r="HMV12" s="249"/>
      <c r="HMW12" s="249"/>
      <c r="HMX12" s="249"/>
      <c r="HMY12" s="249"/>
      <c r="HMZ12" s="249"/>
      <c r="HNA12" s="249"/>
      <c r="HNB12" s="249"/>
      <c r="HNC12" s="249"/>
      <c r="HND12" s="249"/>
      <c r="HNE12" s="249"/>
      <c r="HNF12" s="249"/>
      <c r="HNG12" s="249"/>
      <c r="HNH12" s="249"/>
      <c r="HNI12" s="249"/>
      <c r="HNJ12" s="249"/>
      <c r="HNK12" s="249"/>
      <c r="HNL12" s="249"/>
      <c r="HNM12" s="249"/>
      <c r="HNN12" s="249"/>
      <c r="HNO12" s="249"/>
      <c r="HNP12" s="249"/>
      <c r="HNQ12" s="249"/>
      <c r="HNR12" s="249"/>
      <c r="HNS12" s="249"/>
      <c r="HNT12" s="249"/>
      <c r="HNU12" s="249"/>
      <c r="HNV12" s="249"/>
      <c r="HNW12" s="249"/>
      <c r="HNX12" s="249"/>
      <c r="HNY12" s="249"/>
      <c r="HNZ12" s="249"/>
      <c r="HOA12" s="249"/>
      <c r="HOB12" s="249"/>
      <c r="HOC12" s="249"/>
      <c r="HOD12" s="249"/>
      <c r="HOE12" s="249"/>
      <c r="HOF12" s="249"/>
      <c r="HOG12" s="249"/>
      <c r="HOH12" s="249"/>
      <c r="HOI12" s="249"/>
      <c r="HOJ12" s="249"/>
      <c r="HOK12" s="249"/>
      <c r="HOL12" s="249"/>
      <c r="HOM12" s="249"/>
      <c r="HON12" s="249"/>
      <c r="HOO12" s="249"/>
      <c r="HOP12" s="249"/>
      <c r="HOQ12" s="249"/>
      <c r="HOR12" s="249"/>
      <c r="HOS12" s="249"/>
      <c r="HOT12" s="249"/>
      <c r="HOU12" s="249"/>
      <c r="HOV12" s="249"/>
      <c r="HOW12" s="249"/>
      <c r="HOX12" s="249"/>
      <c r="HOY12" s="249"/>
      <c r="HOZ12" s="249"/>
      <c r="HPA12" s="249"/>
      <c r="HPB12" s="249"/>
      <c r="HPC12" s="249"/>
      <c r="HPD12" s="249"/>
      <c r="HPE12" s="249"/>
      <c r="HPF12" s="249"/>
      <c r="HPG12" s="249"/>
      <c r="HPH12" s="249"/>
      <c r="HPI12" s="249"/>
      <c r="HPJ12" s="249"/>
      <c r="HPK12" s="249"/>
      <c r="HPL12" s="249"/>
      <c r="HPM12" s="249"/>
      <c r="HPN12" s="249"/>
      <c r="HPO12" s="249"/>
      <c r="HPP12" s="249"/>
      <c r="HPQ12" s="249"/>
      <c r="HPR12" s="249"/>
      <c r="HPS12" s="249"/>
      <c r="HPT12" s="249"/>
      <c r="HPU12" s="249"/>
      <c r="HPV12" s="249"/>
      <c r="HPW12" s="249"/>
      <c r="HPX12" s="249"/>
      <c r="HPY12" s="249"/>
      <c r="HPZ12" s="249"/>
      <c r="HQA12" s="249"/>
      <c r="HQB12" s="249"/>
      <c r="HQC12" s="249"/>
      <c r="HQD12" s="249"/>
      <c r="HQE12" s="249"/>
      <c r="HQF12" s="249"/>
      <c r="HQG12" s="249"/>
      <c r="HQH12" s="249"/>
      <c r="HQI12" s="249"/>
      <c r="HQJ12" s="249"/>
      <c r="HQK12" s="249"/>
      <c r="HQL12" s="249"/>
      <c r="HQM12" s="249"/>
      <c r="HQN12" s="249"/>
      <c r="HQO12" s="249"/>
      <c r="HQP12" s="249"/>
      <c r="HQQ12" s="249"/>
      <c r="HQR12" s="249"/>
      <c r="HQS12" s="249"/>
      <c r="HQT12" s="249"/>
      <c r="HQU12" s="249"/>
      <c r="HQV12" s="249"/>
      <c r="HQW12" s="249"/>
      <c r="HQX12" s="249"/>
      <c r="HQY12" s="249"/>
      <c r="HQZ12" s="249"/>
      <c r="HRA12" s="249"/>
      <c r="HRB12" s="249"/>
      <c r="HRC12" s="249"/>
      <c r="HRD12" s="249"/>
      <c r="HRE12" s="249"/>
      <c r="HRF12" s="249"/>
      <c r="HRG12" s="249"/>
      <c r="HRH12" s="249"/>
      <c r="HRI12" s="249"/>
      <c r="HRJ12" s="249"/>
      <c r="HRK12" s="249"/>
      <c r="HRL12" s="249"/>
      <c r="HRM12" s="249"/>
      <c r="HRN12" s="249"/>
      <c r="HRO12" s="249"/>
      <c r="HRP12" s="249"/>
      <c r="HRQ12" s="249"/>
      <c r="HRR12" s="249"/>
      <c r="HRS12" s="249"/>
      <c r="HRT12" s="249"/>
      <c r="HRU12" s="249"/>
      <c r="HRV12" s="249"/>
      <c r="HRW12" s="249"/>
      <c r="HRX12" s="249"/>
      <c r="HRY12" s="249"/>
      <c r="HRZ12" s="249"/>
      <c r="HSA12" s="249"/>
      <c r="HSB12" s="249"/>
      <c r="HSC12" s="249"/>
      <c r="HSD12" s="249"/>
      <c r="HSE12" s="249"/>
      <c r="HSF12" s="249"/>
      <c r="HSG12" s="249"/>
      <c r="HSH12" s="249"/>
      <c r="HSI12" s="249"/>
      <c r="HSJ12" s="249"/>
      <c r="HSK12" s="249"/>
      <c r="HSL12" s="249"/>
      <c r="HSM12" s="249"/>
      <c r="HSN12" s="249"/>
      <c r="HSO12" s="249"/>
      <c r="HSP12" s="249"/>
      <c r="HSQ12" s="249"/>
      <c r="HSR12" s="249"/>
      <c r="HSS12" s="249"/>
      <c r="HST12" s="249"/>
      <c r="HSU12" s="249"/>
      <c r="HSV12" s="249"/>
      <c r="HSW12" s="249"/>
      <c r="HSX12" s="249"/>
      <c r="HSY12" s="249"/>
      <c r="HSZ12" s="249"/>
      <c r="HTA12" s="249"/>
      <c r="HTB12" s="249"/>
      <c r="HTC12" s="249"/>
      <c r="HTD12" s="249"/>
      <c r="HTE12" s="249"/>
      <c r="HTF12" s="249"/>
      <c r="HTG12" s="249"/>
      <c r="HTH12" s="249"/>
      <c r="HTI12" s="249"/>
      <c r="HTJ12" s="249"/>
      <c r="HTK12" s="249"/>
      <c r="HTL12" s="249"/>
      <c r="HTM12" s="249"/>
      <c r="HTN12" s="249"/>
      <c r="HTO12" s="249"/>
      <c r="HTP12" s="249"/>
      <c r="HTQ12" s="249"/>
      <c r="HTR12" s="249"/>
      <c r="HTS12" s="249"/>
      <c r="HTT12" s="249"/>
      <c r="HTU12" s="249"/>
      <c r="HTV12" s="249"/>
      <c r="HTW12" s="249"/>
      <c r="HTX12" s="249"/>
      <c r="HTY12" s="249"/>
      <c r="HTZ12" s="249"/>
      <c r="HUA12" s="249"/>
      <c r="HUB12" s="249"/>
      <c r="HUC12" s="249"/>
      <c r="HUD12" s="249"/>
      <c r="HUE12" s="249"/>
      <c r="HUF12" s="249"/>
      <c r="HUG12" s="249"/>
      <c r="HUH12" s="249"/>
      <c r="HUI12" s="249"/>
      <c r="HUJ12" s="249"/>
      <c r="HUK12" s="249"/>
      <c r="HUL12" s="249"/>
      <c r="HUM12" s="249"/>
      <c r="HUN12" s="249"/>
      <c r="HUO12" s="249"/>
      <c r="HUP12" s="249"/>
      <c r="HUQ12" s="249"/>
      <c r="HUR12" s="249"/>
      <c r="HUS12" s="249"/>
      <c r="HUT12" s="249"/>
      <c r="HUU12" s="249"/>
      <c r="HUV12" s="249"/>
      <c r="HUW12" s="249"/>
      <c r="HUX12" s="249"/>
      <c r="HUY12" s="249"/>
      <c r="HUZ12" s="249"/>
      <c r="HVA12" s="249"/>
      <c r="HVB12" s="249"/>
      <c r="HVC12" s="249"/>
      <c r="HVD12" s="249"/>
      <c r="HVE12" s="249"/>
      <c r="HVF12" s="249"/>
      <c r="HVG12" s="249"/>
      <c r="HVH12" s="249"/>
      <c r="HVI12" s="249"/>
      <c r="HVJ12" s="249"/>
      <c r="HVK12" s="249"/>
      <c r="HVL12" s="249"/>
      <c r="HVM12" s="249"/>
      <c r="HVN12" s="249"/>
      <c r="HVO12" s="249"/>
      <c r="HVP12" s="249"/>
      <c r="HVQ12" s="249"/>
      <c r="HVR12" s="249"/>
      <c r="HVS12" s="249"/>
      <c r="HVT12" s="249"/>
      <c r="HVU12" s="249"/>
      <c r="HVV12" s="249"/>
      <c r="HVW12" s="249"/>
      <c r="HVX12" s="249"/>
      <c r="HVY12" s="249"/>
      <c r="HVZ12" s="249"/>
      <c r="HWA12" s="249"/>
      <c r="HWB12" s="249"/>
      <c r="HWC12" s="249"/>
      <c r="HWD12" s="249"/>
      <c r="HWE12" s="249"/>
      <c r="HWF12" s="249"/>
      <c r="HWG12" s="249"/>
      <c r="HWH12" s="249"/>
      <c r="HWI12" s="249"/>
      <c r="HWJ12" s="249"/>
      <c r="HWK12" s="249"/>
      <c r="HWL12" s="249"/>
      <c r="HWM12" s="249"/>
      <c r="HWN12" s="249"/>
      <c r="HWO12" s="249"/>
      <c r="HWP12" s="249"/>
      <c r="HWQ12" s="249"/>
      <c r="HWR12" s="249"/>
      <c r="HWS12" s="249"/>
      <c r="HWT12" s="249"/>
      <c r="HWU12" s="249"/>
      <c r="HWV12" s="249"/>
      <c r="HWW12" s="249"/>
      <c r="HWX12" s="249"/>
      <c r="HWY12" s="249"/>
      <c r="HWZ12" s="249"/>
      <c r="HXA12" s="249"/>
      <c r="HXB12" s="249"/>
      <c r="HXC12" s="249"/>
      <c r="HXD12" s="249"/>
      <c r="HXE12" s="249"/>
      <c r="HXF12" s="249"/>
      <c r="HXG12" s="249"/>
      <c r="HXH12" s="249"/>
      <c r="HXI12" s="249"/>
      <c r="HXJ12" s="249"/>
      <c r="HXK12" s="249"/>
      <c r="HXL12" s="249"/>
      <c r="HXM12" s="249"/>
      <c r="HXN12" s="249"/>
      <c r="HXO12" s="249"/>
      <c r="HXP12" s="249"/>
      <c r="HXQ12" s="249"/>
      <c r="HXR12" s="249"/>
      <c r="HXS12" s="249"/>
      <c r="HXT12" s="249"/>
      <c r="HXU12" s="249"/>
      <c r="HXV12" s="249"/>
      <c r="HXW12" s="249"/>
      <c r="HXX12" s="249"/>
      <c r="HXY12" s="249"/>
      <c r="HXZ12" s="249"/>
      <c r="HYA12" s="249"/>
      <c r="HYB12" s="249"/>
      <c r="HYC12" s="249"/>
      <c r="HYD12" s="249"/>
      <c r="HYE12" s="249"/>
      <c r="HYF12" s="249"/>
      <c r="HYG12" s="249"/>
      <c r="HYH12" s="249"/>
      <c r="HYI12" s="249"/>
      <c r="HYJ12" s="249"/>
      <c r="HYK12" s="249"/>
      <c r="HYL12" s="249"/>
      <c r="HYM12" s="249"/>
      <c r="HYN12" s="249"/>
      <c r="HYO12" s="249"/>
      <c r="HYP12" s="249"/>
      <c r="HYQ12" s="249"/>
      <c r="HYR12" s="249"/>
      <c r="HYS12" s="249"/>
      <c r="HYT12" s="249"/>
      <c r="HYU12" s="249"/>
      <c r="HYV12" s="249"/>
      <c r="HYW12" s="249"/>
      <c r="HYX12" s="249"/>
      <c r="HYY12" s="249"/>
      <c r="HYZ12" s="249"/>
      <c r="HZA12" s="249"/>
      <c r="HZB12" s="249"/>
      <c r="HZC12" s="249"/>
      <c r="HZD12" s="249"/>
      <c r="HZE12" s="249"/>
      <c r="HZF12" s="249"/>
      <c r="HZG12" s="249"/>
      <c r="HZH12" s="249"/>
      <c r="HZI12" s="249"/>
      <c r="HZJ12" s="249"/>
      <c r="HZK12" s="249"/>
      <c r="HZL12" s="249"/>
      <c r="HZM12" s="249"/>
      <c r="HZN12" s="249"/>
      <c r="HZO12" s="249"/>
      <c r="HZP12" s="249"/>
      <c r="HZQ12" s="249"/>
      <c r="HZR12" s="249"/>
      <c r="HZS12" s="249"/>
      <c r="HZT12" s="249"/>
      <c r="HZU12" s="249"/>
      <c r="HZV12" s="249"/>
      <c r="HZW12" s="249"/>
      <c r="HZX12" s="249"/>
      <c r="HZY12" s="249"/>
      <c r="HZZ12" s="249"/>
      <c r="IAA12" s="249"/>
      <c r="IAB12" s="249"/>
      <c r="IAC12" s="249"/>
      <c r="IAD12" s="249"/>
      <c r="IAE12" s="249"/>
      <c r="IAF12" s="249"/>
      <c r="IAG12" s="249"/>
      <c r="IAH12" s="249"/>
      <c r="IAI12" s="249"/>
      <c r="IAJ12" s="249"/>
      <c r="IAK12" s="249"/>
      <c r="IAL12" s="249"/>
      <c r="IAM12" s="249"/>
      <c r="IAN12" s="249"/>
      <c r="IAO12" s="249"/>
      <c r="IAP12" s="249"/>
      <c r="IAQ12" s="249"/>
      <c r="IAR12" s="249"/>
      <c r="IAS12" s="249"/>
      <c r="IAT12" s="249"/>
      <c r="IAU12" s="249"/>
      <c r="IAV12" s="249"/>
      <c r="IAW12" s="249"/>
      <c r="IAX12" s="249"/>
      <c r="IAY12" s="249"/>
      <c r="IAZ12" s="249"/>
      <c r="IBA12" s="249"/>
      <c r="IBB12" s="249"/>
      <c r="IBC12" s="249"/>
      <c r="IBD12" s="249"/>
      <c r="IBE12" s="249"/>
      <c r="IBF12" s="249"/>
      <c r="IBG12" s="249"/>
      <c r="IBH12" s="249"/>
      <c r="IBI12" s="249"/>
      <c r="IBJ12" s="249"/>
      <c r="IBK12" s="249"/>
      <c r="IBL12" s="249"/>
      <c r="IBM12" s="249"/>
      <c r="IBN12" s="249"/>
      <c r="IBO12" s="249"/>
      <c r="IBP12" s="249"/>
      <c r="IBQ12" s="249"/>
      <c r="IBR12" s="249"/>
      <c r="IBS12" s="249"/>
      <c r="IBT12" s="249"/>
      <c r="IBU12" s="249"/>
      <c r="IBV12" s="249"/>
      <c r="IBW12" s="249"/>
      <c r="IBX12" s="249"/>
      <c r="IBY12" s="249"/>
      <c r="IBZ12" s="249"/>
      <c r="ICA12" s="249"/>
      <c r="ICB12" s="249"/>
      <c r="ICC12" s="249"/>
      <c r="ICD12" s="249"/>
      <c r="ICE12" s="249"/>
      <c r="ICF12" s="249"/>
      <c r="ICG12" s="249"/>
      <c r="ICH12" s="249"/>
      <c r="ICI12" s="249"/>
      <c r="ICJ12" s="249"/>
      <c r="ICK12" s="249"/>
      <c r="ICL12" s="249"/>
      <c r="ICM12" s="249"/>
      <c r="ICN12" s="249"/>
      <c r="ICO12" s="249"/>
      <c r="ICP12" s="249"/>
      <c r="ICQ12" s="249"/>
      <c r="ICR12" s="249"/>
      <c r="ICS12" s="249"/>
      <c r="ICT12" s="249"/>
      <c r="ICU12" s="249"/>
      <c r="ICV12" s="249"/>
      <c r="ICW12" s="249"/>
      <c r="ICX12" s="249"/>
      <c r="ICY12" s="249"/>
      <c r="ICZ12" s="249"/>
      <c r="IDA12" s="249"/>
      <c r="IDB12" s="249"/>
      <c r="IDC12" s="249"/>
      <c r="IDD12" s="249"/>
      <c r="IDE12" s="249"/>
      <c r="IDF12" s="249"/>
      <c r="IDG12" s="249"/>
      <c r="IDH12" s="249"/>
      <c r="IDI12" s="249"/>
      <c r="IDJ12" s="249"/>
      <c r="IDK12" s="249"/>
      <c r="IDL12" s="249"/>
      <c r="IDM12" s="249"/>
      <c r="IDN12" s="249"/>
      <c r="IDO12" s="249"/>
      <c r="IDP12" s="249"/>
      <c r="IDQ12" s="249"/>
      <c r="IDR12" s="249"/>
      <c r="IDS12" s="249"/>
      <c r="IDT12" s="249"/>
      <c r="IDU12" s="249"/>
      <c r="IDV12" s="249"/>
      <c r="IDW12" s="249"/>
      <c r="IDX12" s="249"/>
      <c r="IDY12" s="249"/>
      <c r="IDZ12" s="249"/>
      <c r="IEA12" s="249"/>
      <c r="IEB12" s="249"/>
      <c r="IEC12" s="249"/>
      <c r="IED12" s="249"/>
      <c r="IEE12" s="249"/>
      <c r="IEF12" s="249"/>
      <c r="IEG12" s="249"/>
      <c r="IEH12" s="249"/>
      <c r="IEI12" s="249"/>
      <c r="IEJ12" s="249"/>
      <c r="IEK12" s="249"/>
      <c r="IEL12" s="249"/>
      <c r="IEM12" s="249"/>
      <c r="IEN12" s="249"/>
      <c r="IEO12" s="249"/>
      <c r="IEP12" s="249"/>
      <c r="IEQ12" s="249"/>
      <c r="IER12" s="249"/>
      <c r="IES12" s="249"/>
      <c r="IET12" s="249"/>
      <c r="IEU12" s="249"/>
      <c r="IEV12" s="249"/>
      <c r="IEW12" s="249"/>
      <c r="IEX12" s="249"/>
      <c r="IEY12" s="249"/>
      <c r="IEZ12" s="249"/>
      <c r="IFA12" s="249"/>
      <c r="IFB12" s="249"/>
      <c r="IFC12" s="249"/>
      <c r="IFD12" s="249"/>
      <c r="IFE12" s="249"/>
      <c r="IFF12" s="249"/>
      <c r="IFG12" s="249"/>
      <c r="IFH12" s="249"/>
      <c r="IFI12" s="249"/>
      <c r="IFJ12" s="249"/>
      <c r="IFK12" s="249"/>
      <c r="IFL12" s="249"/>
      <c r="IFM12" s="249"/>
      <c r="IFN12" s="249"/>
      <c r="IFO12" s="249"/>
      <c r="IFP12" s="249"/>
      <c r="IFQ12" s="249"/>
      <c r="IFR12" s="249"/>
      <c r="IFS12" s="249"/>
      <c r="IFT12" s="249"/>
      <c r="IFU12" s="249"/>
      <c r="IFV12" s="249"/>
      <c r="IFW12" s="249"/>
      <c r="IFX12" s="249"/>
      <c r="IFY12" s="249"/>
      <c r="IFZ12" s="249"/>
      <c r="IGA12" s="249"/>
      <c r="IGB12" s="249"/>
      <c r="IGC12" s="249"/>
      <c r="IGD12" s="249"/>
      <c r="IGE12" s="249"/>
      <c r="IGF12" s="249"/>
      <c r="IGG12" s="249"/>
      <c r="IGH12" s="249"/>
      <c r="IGI12" s="249"/>
      <c r="IGJ12" s="249"/>
      <c r="IGK12" s="249"/>
      <c r="IGL12" s="249"/>
      <c r="IGM12" s="249"/>
      <c r="IGN12" s="249"/>
      <c r="IGO12" s="249"/>
      <c r="IGP12" s="249"/>
      <c r="IGQ12" s="249"/>
      <c r="IGR12" s="249"/>
      <c r="IGS12" s="249"/>
      <c r="IGT12" s="249"/>
      <c r="IGU12" s="249"/>
      <c r="IGV12" s="249"/>
      <c r="IGW12" s="249"/>
      <c r="IGX12" s="249"/>
      <c r="IGY12" s="249"/>
      <c r="IGZ12" s="249"/>
      <c r="IHA12" s="249"/>
      <c r="IHB12" s="249"/>
      <c r="IHC12" s="249"/>
      <c r="IHD12" s="249"/>
      <c r="IHE12" s="249"/>
      <c r="IHF12" s="249"/>
      <c r="IHG12" s="249"/>
      <c r="IHH12" s="249"/>
      <c r="IHI12" s="249"/>
      <c r="IHJ12" s="249"/>
      <c r="IHK12" s="249"/>
      <c r="IHL12" s="249"/>
      <c r="IHM12" s="249"/>
      <c r="IHN12" s="249"/>
      <c r="IHO12" s="249"/>
      <c r="IHP12" s="249"/>
      <c r="IHQ12" s="249"/>
      <c r="IHR12" s="249"/>
      <c r="IHS12" s="249"/>
      <c r="IHT12" s="249"/>
      <c r="IHU12" s="249"/>
      <c r="IHV12" s="249"/>
      <c r="IHW12" s="249"/>
      <c r="IHX12" s="249"/>
      <c r="IHY12" s="249"/>
      <c r="IHZ12" s="249"/>
      <c r="IIA12" s="249"/>
      <c r="IIB12" s="249"/>
      <c r="IIC12" s="249"/>
      <c r="IID12" s="249"/>
      <c r="IIE12" s="249"/>
      <c r="IIF12" s="249"/>
      <c r="IIG12" s="249"/>
      <c r="IIH12" s="249"/>
      <c r="III12" s="249"/>
      <c r="IIJ12" s="249"/>
      <c r="IIK12" s="249"/>
      <c r="IIL12" s="249"/>
      <c r="IIM12" s="249"/>
      <c r="IIN12" s="249"/>
      <c r="IIO12" s="249"/>
      <c r="IIP12" s="249"/>
      <c r="IIQ12" s="249"/>
      <c r="IIR12" s="249"/>
      <c r="IIS12" s="249"/>
      <c r="IIT12" s="249"/>
      <c r="IIU12" s="249"/>
      <c r="IIV12" s="249"/>
      <c r="IIW12" s="249"/>
      <c r="IIX12" s="249"/>
      <c r="IIY12" s="249"/>
      <c r="IIZ12" s="249"/>
      <c r="IJA12" s="249"/>
      <c r="IJB12" s="249"/>
      <c r="IJC12" s="249"/>
      <c r="IJD12" s="249"/>
      <c r="IJE12" s="249"/>
      <c r="IJF12" s="249"/>
      <c r="IJG12" s="249"/>
      <c r="IJH12" s="249"/>
      <c r="IJI12" s="249"/>
      <c r="IJJ12" s="249"/>
      <c r="IJK12" s="249"/>
      <c r="IJL12" s="249"/>
      <c r="IJM12" s="249"/>
      <c r="IJN12" s="249"/>
      <c r="IJO12" s="249"/>
      <c r="IJP12" s="249"/>
      <c r="IJQ12" s="249"/>
      <c r="IJR12" s="249"/>
      <c r="IJS12" s="249"/>
      <c r="IJT12" s="249"/>
      <c r="IJU12" s="249"/>
      <c r="IJV12" s="249"/>
      <c r="IJW12" s="249"/>
      <c r="IJX12" s="249"/>
      <c r="IJY12" s="249"/>
      <c r="IJZ12" s="249"/>
      <c r="IKA12" s="249"/>
      <c r="IKB12" s="249"/>
      <c r="IKC12" s="249"/>
      <c r="IKD12" s="249"/>
      <c r="IKE12" s="249"/>
      <c r="IKF12" s="249"/>
      <c r="IKG12" s="249"/>
      <c r="IKH12" s="249"/>
      <c r="IKI12" s="249"/>
      <c r="IKJ12" s="249"/>
      <c r="IKK12" s="249"/>
      <c r="IKL12" s="249"/>
      <c r="IKM12" s="249"/>
      <c r="IKN12" s="249"/>
      <c r="IKO12" s="249"/>
      <c r="IKP12" s="249"/>
      <c r="IKQ12" s="249"/>
      <c r="IKR12" s="249"/>
      <c r="IKS12" s="249"/>
      <c r="IKT12" s="249"/>
      <c r="IKU12" s="249"/>
      <c r="IKV12" s="249"/>
      <c r="IKW12" s="249"/>
      <c r="IKX12" s="249"/>
      <c r="IKY12" s="249"/>
      <c r="IKZ12" s="249"/>
      <c r="ILA12" s="249"/>
      <c r="ILB12" s="249"/>
      <c r="ILC12" s="249"/>
      <c r="ILD12" s="249"/>
      <c r="ILE12" s="249"/>
      <c r="ILF12" s="249"/>
      <c r="ILG12" s="249"/>
      <c r="ILH12" s="249"/>
      <c r="ILI12" s="249"/>
      <c r="ILJ12" s="249"/>
      <c r="ILK12" s="249"/>
      <c r="ILL12" s="249"/>
      <c r="ILM12" s="249"/>
      <c r="ILN12" s="249"/>
      <c r="ILO12" s="249"/>
      <c r="ILP12" s="249"/>
      <c r="ILQ12" s="249"/>
      <c r="ILR12" s="249"/>
      <c r="ILS12" s="249"/>
      <c r="ILT12" s="249"/>
      <c r="ILU12" s="249"/>
      <c r="ILV12" s="249"/>
      <c r="ILW12" s="249"/>
      <c r="ILX12" s="249"/>
      <c r="ILY12" s="249"/>
      <c r="ILZ12" s="249"/>
      <c r="IMA12" s="249"/>
      <c r="IMB12" s="249"/>
      <c r="IMC12" s="249"/>
      <c r="IMD12" s="249"/>
      <c r="IME12" s="249"/>
      <c r="IMF12" s="249"/>
      <c r="IMG12" s="249"/>
      <c r="IMH12" s="249"/>
      <c r="IMI12" s="249"/>
      <c r="IMJ12" s="249"/>
      <c r="IMK12" s="249"/>
      <c r="IML12" s="249"/>
      <c r="IMM12" s="249"/>
      <c r="IMN12" s="249"/>
      <c r="IMO12" s="249"/>
      <c r="IMP12" s="249"/>
      <c r="IMQ12" s="249"/>
      <c r="IMR12" s="249"/>
      <c r="IMS12" s="249"/>
      <c r="IMT12" s="249"/>
      <c r="IMU12" s="249"/>
      <c r="IMV12" s="249"/>
      <c r="IMW12" s="249"/>
      <c r="IMX12" s="249"/>
      <c r="IMY12" s="249"/>
      <c r="IMZ12" s="249"/>
      <c r="INA12" s="249"/>
      <c r="INB12" s="249"/>
      <c r="INC12" s="249"/>
      <c r="IND12" s="249"/>
      <c r="INE12" s="249"/>
      <c r="INF12" s="249"/>
      <c r="ING12" s="249"/>
      <c r="INH12" s="249"/>
      <c r="INI12" s="249"/>
      <c r="INJ12" s="249"/>
      <c r="INK12" s="249"/>
      <c r="INL12" s="249"/>
      <c r="INM12" s="249"/>
      <c r="INN12" s="249"/>
      <c r="INO12" s="249"/>
      <c r="INP12" s="249"/>
      <c r="INQ12" s="249"/>
      <c r="INR12" s="249"/>
      <c r="INS12" s="249"/>
      <c r="INT12" s="249"/>
      <c r="INU12" s="249"/>
      <c r="INV12" s="249"/>
      <c r="INW12" s="249"/>
      <c r="INX12" s="249"/>
      <c r="INY12" s="249"/>
      <c r="INZ12" s="249"/>
      <c r="IOA12" s="249"/>
      <c r="IOB12" s="249"/>
      <c r="IOC12" s="249"/>
      <c r="IOD12" s="249"/>
      <c r="IOE12" s="249"/>
      <c r="IOF12" s="249"/>
      <c r="IOG12" s="249"/>
      <c r="IOH12" s="249"/>
      <c r="IOI12" s="249"/>
      <c r="IOJ12" s="249"/>
      <c r="IOK12" s="249"/>
      <c r="IOL12" s="249"/>
      <c r="IOM12" s="249"/>
      <c r="ION12" s="249"/>
      <c r="IOO12" s="249"/>
      <c r="IOP12" s="249"/>
      <c r="IOQ12" s="249"/>
      <c r="IOR12" s="249"/>
      <c r="IOS12" s="249"/>
      <c r="IOT12" s="249"/>
      <c r="IOU12" s="249"/>
      <c r="IOV12" s="249"/>
      <c r="IOW12" s="249"/>
      <c r="IOX12" s="249"/>
      <c r="IOY12" s="249"/>
      <c r="IOZ12" s="249"/>
      <c r="IPA12" s="249"/>
      <c r="IPB12" s="249"/>
      <c r="IPC12" s="249"/>
      <c r="IPD12" s="249"/>
      <c r="IPE12" s="249"/>
      <c r="IPF12" s="249"/>
      <c r="IPG12" s="249"/>
      <c r="IPH12" s="249"/>
      <c r="IPI12" s="249"/>
      <c r="IPJ12" s="249"/>
      <c r="IPK12" s="249"/>
      <c r="IPL12" s="249"/>
      <c r="IPM12" s="249"/>
      <c r="IPN12" s="249"/>
      <c r="IPO12" s="249"/>
      <c r="IPP12" s="249"/>
      <c r="IPQ12" s="249"/>
      <c r="IPR12" s="249"/>
      <c r="IPS12" s="249"/>
      <c r="IPT12" s="249"/>
      <c r="IPU12" s="249"/>
      <c r="IPV12" s="249"/>
      <c r="IPW12" s="249"/>
      <c r="IPX12" s="249"/>
      <c r="IPY12" s="249"/>
      <c r="IPZ12" s="249"/>
      <c r="IQA12" s="249"/>
      <c r="IQB12" s="249"/>
      <c r="IQC12" s="249"/>
      <c r="IQD12" s="249"/>
      <c r="IQE12" s="249"/>
      <c r="IQF12" s="249"/>
      <c r="IQG12" s="249"/>
      <c r="IQH12" s="249"/>
      <c r="IQI12" s="249"/>
      <c r="IQJ12" s="249"/>
      <c r="IQK12" s="249"/>
      <c r="IQL12" s="249"/>
      <c r="IQM12" s="249"/>
      <c r="IQN12" s="249"/>
      <c r="IQO12" s="249"/>
      <c r="IQP12" s="249"/>
      <c r="IQQ12" s="249"/>
      <c r="IQR12" s="249"/>
      <c r="IQS12" s="249"/>
      <c r="IQT12" s="249"/>
      <c r="IQU12" s="249"/>
      <c r="IQV12" s="249"/>
      <c r="IQW12" s="249"/>
      <c r="IQX12" s="249"/>
      <c r="IQY12" s="249"/>
      <c r="IQZ12" s="249"/>
      <c r="IRA12" s="249"/>
      <c r="IRB12" s="249"/>
      <c r="IRC12" s="249"/>
      <c r="IRD12" s="249"/>
      <c r="IRE12" s="249"/>
      <c r="IRF12" s="249"/>
      <c r="IRG12" s="249"/>
      <c r="IRH12" s="249"/>
      <c r="IRI12" s="249"/>
      <c r="IRJ12" s="249"/>
      <c r="IRK12" s="249"/>
      <c r="IRL12" s="249"/>
      <c r="IRM12" s="249"/>
      <c r="IRN12" s="249"/>
      <c r="IRO12" s="249"/>
      <c r="IRP12" s="249"/>
      <c r="IRQ12" s="249"/>
      <c r="IRR12" s="249"/>
      <c r="IRS12" s="249"/>
      <c r="IRT12" s="249"/>
      <c r="IRU12" s="249"/>
      <c r="IRV12" s="249"/>
      <c r="IRW12" s="249"/>
      <c r="IRX12" s="249"/>
      <c r="IRY12" s="249"/>
      <c r="IRZ12" s="249"/>
      <c r="ISA12" s="249"/>
      <c r="ISB12" s="249"/>
      <c r="ISC12" s="249"/>
      <c r="ISD12" s="249"/>
      <c r="ISE12" s="249"/>
      <c r="ISF12" s="249"/>
      <c r="ISG12" s="249"/>
      <c r="ISH12" s="249"/>
      <c r="ISI12" s="249"/>
      <c r="ISJ12" s="249"/>
      <c r="ISK12" s="249"/>
      <c r="ISL12" s="249"/>
      <c r="ISM12" s="249"/>
      <c r="ISN12" s="249"/>
      <c r="ISO12" s="249"/>
      <c r="ISP12" s="249"/>
      <c r="ISQ12" s="249"/>
      <c r="ISR12" s="249"/>
      <c r="ISS12" s="249"/>
      <c r="IST12" s="249"/>
      <c r="ISU12" s="249"/>
      <c r="ISV12" s="249"/>
      <c r="ISW12" s="249"/>
      <c r="ISX12" s="249"/>
      <c r="ISY12" s="249"/>
      <c r="ISZ12" s="249"/>
      <c r="ITA12" s="249"/>
      <c r="ITB12" s="249"/>
      <c r="ITC12" s="249"/>
      <c r="ITD12" s="249"/>
      <c r="ITE12" s="249"/>
      <c r="ITF12" s="249"/>
      <c r="ITG12" s="249"/>
      <c r="ITH12" s="249"/>
      <c r="ITI12" s="249"/>
      <c r="ITJ12" s="249"/>
      <c r="ITK12" s="249"/>
      <c r="ITL12" s="249"/>
      <c r="ITM12" s="249"/>
      <c r="ITN12" s="249"/>
      <c r="ITO12" s="249"/>
      <c r="ITP12" s="249"/>
      <c r="ITQ12" s="249"/>
      <c r="ITR12" s="249"/>
      <c r="ITS12" s="249"/>
      <c r="ITT12" s="249"/>
      <c r="ITU12" s="249"/>
      <c r="ITV12" s="249"/>
      <c r="ITW12" s="249"/>
      <c r="ITX12" s="249"/>
      <c r="ITY12" s="249"/>
      <c r="ITZ12" s="249"/>
      <c r="IUA12" s="249"/>
      <c r="IUB12" s="249"/>
      <c r="IUC12" s="249"/>
      <c r="IUD12" s="249"/>
      <c r="IUE12" s="249"/>
      <c r="IUF12" s="249"/>
      <c r="IUG12" s="249"/>
      <c r="IUH12" s="249"/>
      <c r="IUI12" s="249"/>
      <c r="IUJ12" s="249"/>
      <c r="IUK12" s="249"/>
      <c r="IUL12" s="249"/>
      <c r="IUM12" s="249"/>
      <c r="IUN12" s="249"/>
      <c r="IUO12" s="249"/>
      <c r="IUP12" s="249"/>
      <c r="IUQ12" s="249"/>
      <c r="IUR12" s="249"/>
      <c r="IUS12" s="249"/>
      <c r="IUT12" s="249"/>
      <c r="IUU12" s="249"/>
      <c r="IUV12" s="249"/>
      <c r="IUW12" s="249"/>
      <c r="IUX12" s="249"/>
      <c r="IUY12" s="249"/>
      <c r="IUZ12" s="249"/>
      <c r="IVA12" s="249"/>
      <c r="IVB12" s="249"/>
      <c r="IVC12" s="249"/>
      <c r="IVD12" s="249"/>
      <c r="IVE12" s="249"/>
      <c r="IVF12" s="249"/>
      <c r="IVG12" s="249"/>
      <c r="IVH12" s="249"/>
      <c r="IVI12" s="249"/>
      <c r="IVJ12" s="249"/>
      <c r="IVK12" s="249"/>
      <c r="IVL12" s="249"/>
      <c r="IVM12" s="249"/>
      <c r="IVN12" s="249"/>
      <c r="IVO12" s="249"/>
      <c r="IVP12" s="249"/>
      <c r="IVQ12" s="249"/>
      <c r="IVR12" s="249"/>
      <c r="IVS12" s="249"/>
      <c r="IVT12" s="249"/>
      <c r="IVU12" s="249"/>
      <c r="IVV12" s="249"/>
      <c r="IVW12" s="249"/>
      <c r="IVX12" s="249"/>
      <c r="IVY12" s="249"/>
      <c r="IVZ12" s="249"/>
      <c r="IWA12" s="249"/>
      <c r="IWB12" s="249"/>
      <c r="IWC12" s="249"/>
      <c r="IWD12" s="249"/>
      <c r="IWE12" s="249"/>
      <c r="IWF12" s="249"/>
      <c r="IWG12" s="249"/>
      <c r="IWH12" s="249"/>
      <c r="IWI12" s="249"/>
      <c r="IWJ12" s="249"/>
      <c r="IWK12" s="249"/>
      <c r="IWL12" s="249"/>
      <c r="IWM12" s="249"/>
      <c r="IWN12" s="249"/>
      <c r="IWO12" s="249"/>
      <c r="IWP12" s="249"/>
      <c r="IWQ12" s="249"/>
      <c r="IWR12" s="249"/>
      <c r="IWS12" s="249"/>
      <c r="IWT12" s="249"/>
      <c r="IWU12" s="249"/>
      <c r="IWV12" s="249"/>
      <c r="IWW12" s="249"/>
      <c r="IWX12" s="249"/>
      <c r="IWY12" s="249"/>
      <c r="IWZ12" s="249"/>
      <c r="IXA12" s="249"/>
      <c r="IXB12" s="249"/>
      <c r="IXC12" s="249"/>
      <c r="IXD12" s="249"/>
      <c r="IXE12" s="249"/>
      <c r="IXF12" s="249"/>
      <c r="IXG12" s="249"/>
      <c r="IXH12" s="249"/>
      <c r="IXI12" s="249"/>
      <c r="IXJ12" s="249"/>
      <c r="IXK12" s="249"/>
      <c r="IXL12" s="249"/>
      <c r="IXM12" s="249"/>
      <c r="IXN12" s="249"/>
      <c r="IXO12" s="249"/>
      <c r="IXP12" s="249"/>
      <c r="IXQ12" s="249"/>
      <c r="IXR12" s="249"/>
      <c r="IXS12" s="249"/>
      <c r="IXT12" s="249"/>
      <c r="IXU12" s="249"/>
      <c r="IXV12" s="249"/>
      <c r="IXW12" s="249"/>
      <c r="IXX12" s="249"/>
      <c r="IXY12" s="249"/>
      <c r="IXZ12" s="249"/>
      <c r="IYA12" s="249"/>
      <c r="IYB12" s="249"/>
      <c r="IYC12" s="249"/>
      <c r="IYD12" s="249"/>
      <c r="IYE12" s="249"/>
      <c r="IYF12" s="249"/>
      <c r="IYG12" s="249"/>
      <c r="IYH12" s="249"/>
      <c r="IYI12" s="249"/>
      <c r="IYJ12" s="249"/>
      <c r="IYK12" s="249"/>
      <c r="IYL12" s="249"/>
      <c r="IYM12" s="249"/>
      <c r="IYN12" s="249"/>
      <c r="IYO12" s="249"/>
      <c r="IYP12" s="249"/>
      <c r="IYQ12" s="249"/>
      <c r="IYR12" s="249"/>
      <c r="IYS12" s="249"/>
      <c r="IYT12" s="249"/>
      <c r="IYU12" s="249"/>
      <c r="IYV12" s="249"/>
      <c r="IYW12" s="249"/>
      <c r="IYX12" s="249"/>
      <c r="IYY12" s="249"/>
      <c r="IYZ12" s="249"/>
      <c r="IZA12" s="249"/>
      <c r="IZB12" s="249"/>
      <c r="IZC12" s="249"/>
      <c r="IZD12" s="249"/>
      <c r="IZE12" s="249"/>
      <c r="IZF12" s="249"/>
      <c r="IZG12" s="249"/>
      <c r="IZH12" s="249"/>
      <c r="IZI12" s="249"/>
      <c r="IZJ12" s="249"/>
      <c r="IZK12" s="249"/>
      <c r="IZL12" s="249"/>
      <c r="IZM12" s="249"/>
      <c r="IZN12" s="249"/>
      <c r="IZO12" s="249"/>
      <c r="IZP12" s="249"/>
      <c r="IZQ12" s="249"/>
      <c r="IZR12" s="249"/>
      <c r="IZS12" s="249"/>
      <c r="IZT12" s="249"/>
      <c r="IZU12" s="249"/>
      <c r="IZV12" s="249"/>
      <c r="IZW12" s="249"/>
      <c r="IZX12" s="249"/>
      <c r="IZY12" s="249"/>
      <c r="IZZ12" s="249"/>
      <c r="JAA12" s="249"/>
      <c r="JAB12" s="249"/>
      <c r="JAC12" s="249"/>
      <c r="JAD12" s="249"/>
      <c r="JAE12" s="249"/>
      <c r="JAF12" s="249"/>
      <c r="JAG12" s="249"/>
      <c r="JAH12" s="249"/>
      <c r="JAI12" s="249"/>
      <c r="JAJ12" s="249"/>
      <c r="JAK12" s="249"/>
      <c r="JAL12" s="249"/>
      <c r="JAM12" s="249"/>
      <c r="JAN12" s="249"/>
      <c r="JAO12" s="249"/>
      <c r="JAP12" s="249"/>
      <c r="JAQ12" s="249"/>
      <c r="JAR12" s="249"/>
      <c r="JAS12" s="249"/>
      <c r="JAT12" s="249"/>
      <c r="JAU12" s="249"/>
      <c r="JAV12" s="249"/>
      <c r="JAW12" s="249"/>
      <c r="JAX12" s="249"/>
      <c r="JAY12" s="249"/>
      <c r="JAZ12" s="249"/>
      <c r="JBA12" s="249"/>
      <c r="JBB12" s="249"/>
      <c r="JBC12" s="249"/>
      <c r="JBD12" s="249"/>
      <c r="JBE12" s="249"/>
      <c r="JBF12" s="249"/>
      <c r="JBG12" s="249"/>
      <c r="JBH12" s="249"/>
      <c r="JBI12" s="249"/>
      <c r="JBJ12" s="249"/>
      <c r="JBK12" s="249"/>
      <c r="JBL12" s="249"/>
      <c r="JBM12" s="249"/>
      <c r="JBN12" s="249"/>
      <c r="JBO12" s="249"/>
      <c r="JBP12" s="249"/>
      <c r="JBQ12" s="249"/>
      <c r="JBR12" s="249"/>
      <c r="JBS12" s="249"/>
      <c r="JBT12" s="249"/>
      <c r="JBU12" s="249"/>
      <c r="JBV12" s="249"/>
      <c r="JBW12" s="249"/>
      <c r="JBX12" s="249"/>
      <c r="JBY12" s="249"/>
      <c r="JBZ12" s="249"/>
      <c r="JCA12" s="249"/>
      <c r="JCB12" s="249"/>
      <c r="JCC12" s="249"/>
      <c r="JCD12" s="249"/>
      <c r="JCE12" s="249"/>
      <c r="JCF12" s="249"/>
      <c r="JCG12" s="249"/>
      <c r="JCH12" s="249"/>
      <c r="JCI12" s="249"/>
      <c r="JCJ12" s="249"/>
      <c r="JCK12" s="249"/>
      <c r="JCL12" s="249"/>
      <c r="JCM12" s="249"/>
      <c r="JCN12" s="249"/>
      <c r="JCO12" s="249"/>
      <c r="JCP12" s="249"/>
      <c r="JCQ12" s="249"/>
      <c r="JCR12" s="249"/>
      <c r="JCS12" s="249"/>
      <c r="JCT12" s="249"/>
      <c r="JCU12" s="249"/>
      <c r="JCV12" s="249"/>
      <c r="JCW12" s="249"/>
      <c r="JCX12" s="249"/>
      <c r="JCY12" s="249"/>
      <c r="JCZ12" s="249"/>
      <c r="JDA12" s="249"/>
      <c r="JDB12" s="249"/>
      <c r="JDC12" s="249"/>
      <c r="JDD12" s="249"/>
      <c r="JDE12" s="249"/>
      <c r="JDF12" s="249"/>
      <c r="JDG12" s="249"/>
      <c r="JDH12" s="249"/>
      <c r="JDI12" s="249"/>
      <c r="JDJ12" s="249"/>
      <c r="JDK12" s="249"/>
      <c r="JDL12" s="249"/>
      <c r="JDM12" s="249"/>
      <c r="JDN12" s="249"/>
      <c r="JDO12" s="249"/>
      <c r="JDP12" s="249"/>
      <c r="JDQ12" s="249"/>
      <c r="JDR12" s="249"/>
      <c r="JDS12" s="249"/>
      <c r="JDT12" s="249"/>
      <c r="JDU12" s="249"/>
      <c r="JDV12" s="249"/>
      <c r="JDW12" s="249"/>
      <c r="JDX12" s="249"/>
      <c r="JDY12" s="249"/>
      <c r="JDZ12" s="249"/>
      <c r="JEA12" s="249"/>
      <c r="JEB12" s="249"/>
      <c r="JEC12" s="249"/>
      <c r="JED12" s="249"/>
      <c r="JEE12" s="249"/>
      <c r="JEF12" s="249"/>
      <c r="JEG12" s="249"/>
      <c r="JEH12" s="249"/>
      <c r="JEI12" s="249"/>
      <c r="JEJ12" s="249"/>
      <c r="JEK12" s="249"/>
      <c r="JEL12" s="249"/>
      <c r="JEM12" s="249"/>
      <c r="JEN12" s="249"/>
      <c r="JEO12" s="249"/>
      <c r="JEP12" s="249"/>
      <c r="JEQ12" s="249"/>
      <c r="JER12" s="249"/>
      <c r="JES12" s="249"/>
      <c r="JET12" s="249"/>
      <c r="JEU12" s="249"/>
      <c r="JEV12" s="249"/>
      <c r="JEW12" s="249"/>
      <c r="JEX12" s="249"/>
      <c r="JEY12" s="249"/>
      <c r="JEZ12" s="249"/>
      <c r="JFA12" s="249"/>
      <c r="JFB12" s="249"/>
      <c r="JFC12" s="249"/>
      <c r="JFD12" s="249"/>
      <c r="JFE12" s="249"/>
      <c r="JFF12" s="249"/>
      <c r="JFG12" s="249"/>
      <c r="JFH12" s="249"/>
      <c r="JFI12" s="249"/>
      <c r="JFJ12" s="249"/>
      <c r="JFK12" s="249"/>
      <c r="JFL12" s="249"/>
      <c r="JFM12" s="249"/>
      <c r="JFN12" s="249"/>
      <c r="JFO12" s="249"/>
      <c r="JFP12" s="249"/>
      <c r="JFQ12" s="249"/>
      <c r="JFR12" s="249"/>
      <c r="JFS12" s="249"/>
      <c r="JFT12" s="249"/>
      <c r="JFU12" s="249"/>
      <c r="JFV12" s="249"/>
      <c r="JFW12" s="249"/>
      <c r="JFX12" s="249"/>
      <c r="JFY12" s="249"/>
      <c r="JFZ12" s="249"/>
      <c r="JGA12" s="249"/>
      <c r="JGB12" s="249"/>
      <c r="JGC12" s="249"/>
      <c r="JGD12" s="249"/>
      <c r="JGE12" s="249"/>
      <c r="JGF12" s="249"/>
      <c r="JGG12" s="249"/>
      <c r="JGH12" s="249"/>
      <c r="JGI12" s="249"/>
      <c r="JGJ12" s="249"/>
      <c r="JGK12" s="249"/>
      <c r="JGL12" s="249"/>
      <c r="JGM12" s="249"/>
      <c r="JGN12" s="249"/>
      <c r="JGO12" s="249"/>
      <c r="JGP12" s="249"/>
      <c r="JGQ12" s="249"/>
      <c r="JGR12" s="249"/>
      <c r="JGS12" s="249"/>
      <c r="JGT12" s="249"/>
      <c r="JGU12" s="249"/>
      <c r="JGV12" s="249"/>
      <c r="JGW12" s="249"/>
      <c r="JGX12" s="249"/>
      <c r="JGY12" s="249"/>
      <c r="JGZ12" s="249"/>
      <c r="JHA12" s="249"/>
      <c r="JHB12" s="249"/>
      <c r="JHC12" s="249"/>
      <c r="JHD12" s="249"/>
      <c r="JHE12" s="249"/>
      <c r="JHF12" s="249"/>
      <c r="JHG12" s="249"/>
      <c r="JHH12" s="249"/>
      <c r="JHI12" s="249"/>
      <c r="JHJ12" s="249"/>
      <c r="JHK12" s="249"/>
      <c r="JHL12" s="249"/>
      <c r="JHM12" s="249"/>
      <c r="JHN12" s="249"/>
      <c r="JHO12" s="249"/>
      <c r="JHP12" s="249"/>
      <c r="JHQ12" s="249"/>
      <c r="JHR12" s="249"/>
      <c r="JHS12" s="249"/>
      <c r="JHT12" s="249"/>
      <c r="JHU12" s="249"/>
      <c r="JHV12" s="249"/>
      <c r="JHW12" s="249"/>
      <c r="JHX12" s="249"/>
      <c r="JHY12" s="249"/>
      <c r="JHZ12" s="249"/>
      <c r="JIA12" s="249"/>
      <c r="JIB12" s="249"/>
      <c r="JIC12" s="249"/>
      <c r="JID12" s="249"/>
      <c r="JIE12" s="249"/>
      <c r="JIF12" s="249"/>
      <c r="JIG12" s="249"/>
      <c r="JIH12" s="249"/>
      <c r="JII12" s="249"/>
      <c r="JIJ12" s="249"/>
      <c r="JIK12" s="249"/>
      <c r="JIL12" s="249"/>
      <c r="JIM12" s="249"/>
      <c r="JIN12" s="249"/>
      <c r="JIO12" s="249"/>
      <c r="JIP12" s="249"/>
      <c r="JIQ12" s="249"/>
      <c r="JIR12" s="249"/>
      <c r="JIS12" s="249"/>
      <c r="JIT12" s="249"/>
      <c r="JIU12" s="249"/>
      <c r="JIV12" s="249"/>
      <c r="JIW12" s="249"/>
      <c r="JIX12" s="249"/>
      <c r="JIY12" s="249"/>
      <c r="JIZ12" s="249"/>
      <c r="JJA12" s="249"/>
      <c r="JJB12" s="249"/>
      <c r="JJC12" s="249"/>
      <c r="JJD12" s="249"/>
      <c r="JJE12" s="249"/>
      <c r="JJF12" s="249"/>
      <c r="JJG12" s="249"/>
      <c r="JJH12" s="249"/>
      <c r="JJI12" s="249"/>
      <c r="JJJ12" s="249"/>
      <c r="JJK12" s="249"/>
      <c r="JJL12" s="249"/>
      <c r="JJM12" s="249"/>
      <c r="JJN12" s="249"/>
      <c r="JJO12" s="249"/>
      <c r="JJP12" s="249"/>
      <c r="JJQ12" s="249"/>
      <c r="JJR12" s="249"/>
      <c r="JJS12" s="249"/>
      <c r="JJT12" s="249"/>
      <c r="JJU12" s="249"/>
      <c r="JJV12" s="249"/>
      <c r="JJW12" s="249"/>
      <c r="JJX12" s="249"/>
      <c r="JJY12" s="249"/>
      <c r="JJZ12" s="249"/>
      <c r="JKA12" s="249"/>
      <c r="JKB12" s="249"/>
      <c r="JKC12" s="249"/>
      <c r="JKD12" s="249"/>
      <c r="JKE12" s="249"/>
      <c r="JKF12" s="249"/>
      <c r="JKG12" s="249"/>
      <c r="JKH12" s="249"/>
      <c r="JKI12" s="249"/>
      <c r="JKJ12" s="249"/>
      <c r="JKK12" s="249"/>
      <c r="JKL12" s="249"/>
      <c r="JKM12" s="249"/>
      <c r="JKN12" s="249"/>
      <c r="JKO12" s="249"/>
      <c r="JKP12" s="249"/>
      <c r="JKQ12" s="249"/>
      <c r="JKR12" s="249"/>
      <c r="JKS12" s="249"/>
      <c r="JKT12" s="249"/>
      <c r="JKU12" s="249"/>
      <c r="JKV12" s="249"/>
      <c r="JKW12" s="249"/>
      <c r="JKX12" s="249"/>
      <c r="JKY12" s="249"/>
      <c r="JKZ12" s="249"/>
      <c r="JLA12" s="249"/>
      <c r="JLB12" s="249"/>
      <c r="JLC12" s="249"/>
      <c r="JLD12" s="249"/>
      <c r="JLE12" s="249"/>
      <c r="JLF12" s="249"/>
      <c r="JLG12" s="249"/>
      <c r="JLH12" s="249"/>
      <c r="JLI12" s="249"/>
      <c r="JLJ12" s="249"/>
      <c r="JLK12" s="249"/>
      <c r="JLL12" s="249"/>
      <c r="JLM12" s="249"/>
      <c r="JLN12" s="249"/>
      <c r="JLO12" s="249"/>
      <c r="JLP12" s="249"/>
      <c r="JLQ12" s="249"/>
      <c r="JLR12" s="249"/>
      <c r="JLS12" s="249"/>
      <c r="JLT12" s="249"/>
      <c r="JLU12" s="249"/>
      <c r="JLV12" s="249"/>
      <c r="JLW12" s="249"/>
      <c r="JLX12" s="249"/>
      <c r="JLY12" s="249"/>
      <c r="JLZ12" s="249"/>
      <c r="JMA12" s="249"/>
      <c r="JMB12" s="249"/>
      <c r="JMC12" s="249"/>
      <c r="JMD12" s="249"/>
      <c r="JME12" s="249"/>
      <c r="JMF12" s="249"/>
      <c r="JMG12" s="249"/>
      <c r="JMH12" s="249"/>
      <c r="JMI12" s="249"/>
      <c r="JMJ12" s="249"/>
      <c r="JMK12" s="249"/>
      <c r="JML12" s="249"/>
      <c r="JMM12" s="249"/>
      <c r="JMN12" s="249"/>
      <c r="JMO12" s="249"/>
      <c r="JMP12" s="249"/>
      <c r="JMQ12" s="249"/>
      <c r="JMR12" s="249"/>
      <c r="JMS12" s="249"/>
      <c r="JMT12" s="249"/>
      <c r="JMU12" s="249"/>
      <c r="JMV12" s="249"/>
      <c r="JMW12" s="249"/>
      <c r="JMX12" s="249"/>
      <c r="JMY12" s="249"/>
      <c r="JMZ12" s="249"/>
      <c r="JNA12" s="249"/>
      <c r="JNB12" s="249"/>
      <c r="JNC12" s="249"/>
      <c r="JND12" s="249"/>
      <c r="JNE12" s="249"/>
      <c r="JNF12" s="249"/>
      <c r="JNG12" s="249"/>
      <c r="JNH12" s="249"/>
      <c r="JNI12" s="249"/>
      <c r="JNJ12" s="249"/>
      <c r="JNK12" s="249"/>
      <c r="JNL12" s="249"/>
      <c r="JNM12" s="249"/>
      <c r="JNN12" s="249"/>
      <c r="JNO12" s="249"/>
      <c r="JNP12" s="249"/>
      <c r="JNQ12" s="249"/>
      <c r="JNR12" s="249"/>
      <c r="JNS12" s="249"/>
      <c r="JNT12" s="249"/>
      <c r="JNU12" s="249"/>
      <c r="JNV12" s="249"/>
      <c r="JNW12" s="249"/>
      <c r="JNX12" s="249"/>
      <c r="JNY12" s="249"/>
      <c r="JNZ12" s="249"/>
      <c r="JOA12" s="249"/>
      <c r="JOB12" s="249"/>
      <c r="JOC12" s="249"/>
      <c r="JOD12" s="249"/>
      <c r="JOE12" s="249"/>
      <c r="JOF12" s="249"/>
      <c r="JOG12" s="249"/>
      <c r="JOH12" s="249"/>
      <c r="JOI12" s="249"/>
      <c r="JOJ12" s="249"/>
      <c r="JOK12" s="249"/>
      <c r="JOL12" s="249"/>
      <c r="JOM12" s="249"/>
      <c r="JON12" s="249"/>
      <c r="JOO12" s="249"/>
      <c r="JOP12" s="249"/>
      <c r="JOQ12" s="249"/>
      <c r="JOR12" s="249"/>
      <c r="JOS12" s="249"/>
      <c r="JOT12" s="249"/>
      <c r="JOU12" s="249"/>
      <c r="JOV12" s="249"/>
      <c r="JOW12" s="249"/>
      <c r="JOX12" s="249"/>
      <c r="JOY12" s="249"/>
      <c r="JOZ12" s="249"/>
      <c r="JPA12" s="249"/>
      <c r="JPB12" s="249"/>
      <c r="JPC12" s="249"/>
      <c r="JPD12" s="249"/>
      <c r="JPE12" s="249"/>
      <c r="JPF12" s="249"/>
      <c r="JPG12" s="249"/>
      <c r="JPH12" s="249"/>
      <c r="JPI12" s="249"/>
      <c r="JPJ12" s="249"/>
      <c r="JPK12" s="249"/>
      <c r="JPL12" s="249"/>
      <c r="JPM12" s="249"/>
      <c r="JPN12" s="249"/>
      <c r="JPO12" s="249"/>
      <c r="JPP12" s="249"/>
      <c r="JPQ12" s="249"/>
      <c r="JPR12" s="249"/>
      <c r="JPS12" s="249"/>
      <c r="JPT12" s="249"/>
      <c r="JPU12" s="249"/>
      <c r="JPV12" s="249"/>
      <c r="JPW12" s="249"/>
      <c r="JPX12" s="249"/>
      <c r="JPY12" s="249"/>
      <c r="JPZ12" s="249"/>
      <c r="JQA12" s="249"/>
      <c r="JQB12" s="249"/>
      <c r="JQC12" s="249"/>
      <c r="JQD12" s="249"/>
      <c r="JQE12" s="249"/>
      <c r="JQF12" s="249"/>
      <c r="JQG12" s="249"/>
      <c r="JQH12" s="249"/>
      <c r="JQI12" s="249"/>
      <c r="JQJ12" s="249"/>
      <c r="JQK12" s="249"/>
      <c r="JQL12" s="249"/>
      <c r="JQM12" s="249"/>
      <c r="JQN12" s="249"/>
      <c r="JQO12" s="249"/>
      <c r="JQP12" s="249"/>
      <c r="JQQ12" s="249"/>
      <c r="JQR12" s="249"/>
      <c r="JQS12" s="249"/>
      <c r="JQT12" s="249"/>
      <c r="JQU12" s="249"/>
      <c r="JQV12" s="249"/>
      <c r="JQW12" s="249"/>
      <c r="JQX12" s="249"/>
      <c r="JQY12" s="249"/>
      <c r="JQZ12" s="249"/>
      <c r="JRA12" s="249"/>
      <c r="JRB12" s="249"/>
      <c r="JRC12" s="249"/>
      <c r="JRD12" s="249"/>
      <c r="JRE12" s="249"/>
      <c r="JRF12" s="249"/>
      <c r="JRG12" s="249"/>
      <c r="JRH12" s="249"/>
      <c r="JRI12" s="249"/>
      <c r="JRJ12" s="249"/>
      <c r="JRK12" s="249"/>
      <c r="JRL12" s="249"/>
      <c r="JRM12" s="249"/>
      <c r="JRN12" s="249"/>
      <c r="JRO12" s="249"/>
      <c r="JRP12" s="249"/>
      <c r="JRQ12" s="249"/>
      <c r="JRR12" s="249"/>
      <c r="JRS12" s="249"/>
      <c r="JRT12" s="249"/>
      <c r="JRU12" s="249"/>
      <c r="JRV12" s="249"/>
      <c r="JRW12" s="249"/>
      <c r="JRX12" s="249"/>
      <c r="JRY12" s="249"/>
      <c r="JRZ12" s="249"/>
      <c r="JSA12" s="249"/>
      <c r="JSB12" s="249"/>
      <c r="JSC12" s="249"/>
      <c r="JSD12" s="249"/>
      <c r="JSE12" s="249"/>
      <c r="JSF12" s="249"/>
      <c r="JSG12" s="249"/>
      <c r="JSH12" s="249"/>
      <c r="JSI12" s="249"/>
      <c r="JSJ12" s="249"/>
      <c r="JSK12" s="249"/>
      <c r="JSL12" s="249"/>
      <c r="JSM12" s="249"/>
      <c r="JSN12" s="249"/>
      <c r="JSO12" s="249"/>
      <c r="JSP12" s="249"/>
      <c r="JSQ12" s="249"/>
      <c r="JSR12" s="249"/>
      <c r="JSS12" s="249"/>
      <c r="JST12" s="249"/>
      <c r="JSU12" s="249"/>
      <c r="JSV12" s="249"/>
      <c r="JSW12" s="249"/>
      <c r="JSX12" s="249"/>
      <c r="JSY12" s="249"/>
      <c r="JSZ12" s="249"/>
      <c r="JTA12" s="249"/>
      <c r="JTB12" s="249"/>
      <c r="JTC12" s="249"/>
      <c r="JTD12" s="249"/>
      <c r="JTE12" s="249"/>
      <c r="JTF12" s="249"/>
      <c r="JTG12" s="249"/>
      <c r="JTH12" s="249"/>
      <c r="JTI12" s="249"/>
      <c r="JTJ12" s="249"/>
      <c r="JTK12" s="249"/>
      <c r="JTL12" s="249"/>
      <c r="JTM12" s="249"/>
      <c r="JTN12" s="249"/>
      <c r="JTO12" s="249"/>
      <c r="JTP12" s="249"/>
      <c r="JTQ12" s="249"/>
      <c r="JTR12" s="249"/>
      <c r="JTS12" s="249"/>
      <c r="JTT12" s="249"/>
      <c r="JTU12" s="249"/>
      <c r="JTV12" s="249"/>
      <c r="JTW12" s="249"/>
      <c r="JTX12" s="249"/>
      <c r="JTY12" s="249"/>
      <c r="JTZ12" s="249"/>
      <c r="JUA12" s="249"/>
      <c r="JUB12" s="249"/>
      <c r="JUC12" s="249"/>
      <c r="JUD12" s="249"/>
      <c r="JUE12" s="249"/>
      <c r="JUF12" s="249"/>
      <c r="JUG12" s="249"/>
      <c r="JUH12" s="249"/>
      <c r="JUI12" s="249"/>
      <c r="JUJ12" s="249"/>
      <c r="JUK12" s="249"/>
      <c r="JUL12" s="249"/>
      <c r="JUM12" s="249"/>
      <c r="JUN12" s="249"/>
      <c r="JUO12" s="249"/>
      <c r="JUP12" s="249"/>
      <c r="JUQ12" s="249"/>
      <c r="JUR12" s="249"/>
      <c r="JUS12" s="249"/>
      <c r="JUT12" s="249"/>
      <c r="JUU12" s="249"/>
      <c r="JUV12" s="249"/>
      <c r="JUW12" s="249"/>
      <c r="JUX12" s="249"/>
      <c r="JUY12" s="249"/>
      <c r="JUZ12" s="249"/>
      <c r="JVA12" s="249"/>
      <c r="JVB12" s="249"/>
      <c r="JVC12" s="249"/>
      <c r="JVD12" s="249"/>
      <c r="JVE12" s="249"/>
      <c r="JVF12" s="249"/>
      <c r="JVG12" s="249"/>
      <c r="JVH12" s="249"/>
      <c r="JVI12" s="249"/>
      <c r="JVJ12" s="249"/>
      <c r="JVK12" s="249"/>
      <c r="JVL12" s="249"/>
      <c r="JVM12" s="249"/>
      <c r="JVN12" s="249"/>
      <c r="JVO12" s="249"/>
      <c r="JVP12" s="249"/>
      <c r="JVQ12" s="249"/>
      <c r="JVR12" s="249"/>
      <c r="JVS12" s="249"/>
      <c r="JVT12" s="249"/>
      <c r="JVU12" s="249"/>
      <c r="JVV12" s="249"/>
      <c r="JVW12" s="249"/>
      <c r="JVX12" s="249"/>
      <c r="JVY12" s="249"/>
      <c r="JVZ12" s="249"/>
      <c r="JWA12" s="249"/>
      <c r="JWB12" s="249"/>
      <c r="JWC12" s="249"/>
      <c r="JWD12" s="249"/>
      <c r="JWE12" s="249"/>
      <c r="JWF12" s="249"/>
      <c r="JWG12" s="249"/>
      <c r="JWH12" s="249"/>
      <c r="JWI12" s="249"/>
      <c r="JWJ12" s="249"/>
      <c r="JWK12" s="249"/>
      <c r="JWL12" s="249"/>
      <c r="JWM12" s="249"/>
      <c r="JWN12" s="249"/>
      <c r="JWO12" s="249"/>
      <c r="JWP12" s="249"/>
      <c r="JWQ12" s="249"/>
      <c r="JWR12" s="249"/>
      <c r="JWS12" s="249"/>
      <c r="JWT12" s="249"/>
      <c r="JWU12" s="249"/>
      <c r="JWV12" s="249"/>
      <c r="JWW12" s="249"/>
      <c r="JWX12" s="249"/>
      <c r="JWY12" s="249"/>
      <c r="JWZ12" s="249"/>
      <c r="JXA12" s="249"/>
      <c r="JXB12" s="249"/>
      <c r="JXC12" s="249"/>
      <c r="JXD12" s="249"/>
      <c r="JXE12" s="249"/>
      <c r="JXF12" s="249"/>
      <c r="JXG12" s="249"/>
      <c r="JXH12" s="249"/>
      <c r="JXI12" s="249"/>
      <c r="JXJ12" s="249"/>
      <c r="JXK12" s="249"/>
      <c r="JXL12" s="249"/>
      <c r="JXM12" s="249"/>
      <c r="JXN12" s="249"/>
      <c r="JXO12" s="249"/>
      <c r="JXP12" s="249"/>
      <c r="JXQ12" s="249"/>
      <c r="JXR12" s="249"/>
      <c r="JXS12" s="249"/>
      <c r="JXT12" s="249"/>
      <c r="JXU12" s="249"/>
      <c r="JXV12" s="249"/>
      <c r="JXW12" s="249"/>
      <c r="JXX12" s="249"/>
      <c r="JXY12" s="249"/>
      <c r="JXZ12" s="249"/>
      <c r="JYA12" s="249"/>
      <c r="JYB12" s="249"/>
      <c r="JYC12" s="249"/>
      <c r="JYD12" s="249"/>
      <c r="JYE12" s="249"/>
      <c r="JYF12" s="249"/>
      <c r="JYG12" s="249"/>
      <c r="JYH12" s="249"/>
      <c r="JYI12" s="249"/>
      <c r="JYJ12" s="249"/>
      <c r="JYK12" s="249"/>
      <c r="JYL12" s="249"/>
      <c r="JYM12" s="249"/>
      <c r="JYN12" s="249"/>
      <c r="JYO12" s="249"/>
      <c r="JYP12" s="249"/>
      <c r="JYQ12" s="249"/>
      <c r="JYR12" s="249"/>
      <c r="JYS12" s="249"/>
      <c r="JYT12" s="249"/>
      <c r="JYU12" s="249"/>
      <c r="JYV12" s="249"/>
      <c r="JYW12" s="249"/>
      <c r="JYX12" s="249"/>
      <c r="JYY12" s="249"/>
      <c r="JYZ12" s="249"/>
      <c r="JZA12" s="249"/>
      <c r="JZB12" s="249"/>
      <c r="JZC12" s="249"/>
      <c r="JZD12" s="249"/>
      <c r="JZE12" s="249"/>
      <c r="JZF12" s="249"/>
      <c r="JZG12" s="249"/>
      <c r="JZH12" s="249"/>
      <c r="JZI12" s="249"/>
      <c r="JZJ12" s="249"/>
      <c r="JZK12" s="249"/>
      <c r="JZL12" s="249"/>
      <c r="JZM12" s="249"/>
      <c r="JZN12" s="249"/>
      <c r="JZO12" s="249"/>
      <c r="JZP12" s="249"/>
      <c r="JZQ12" s="249"/>
      <c r="JZR12" s="249"/>
      <c r="JZS12" s="249"/>
      <c r="JZT12" s="249"/>
      <c r="JZU12" s="249"/>
      <c r="JZV12" s="249"/>
      <c r="JZW12" s="249"/>
      <c r="JZX12" s="249"/>
      <c r="JZY12" s="249"/>
      <c r="JZZ12" s="249"/>
      <c r="KAA12" s="249"/>
      <c r="KAB12" s="249"/>
      <c r="KAC12" s="249"/>
      <c r="KAD12" s="249"/>
      <c r="KAE12" s="249"/>
      <c r="KAF12" s="249"/>
      <c r="KAG12" s="249"/>
      <c r="KAH12" s="249"/>
      <c r="KAI12" s="249"/>
      <c r="KAJ12" s="249"/>
      <c r="KAK12" s="249"/>
      <c r="KAL12" s="249"/>
      <c r="KAM12" s="249"/>
      <c r="KAN12" s="249"/>
      <c r="KAO12" s="249"/>
      <c r="KAP12" s="249"/>
      <c r="KAQ12" s="249"/>
      <c r="KAR12" s="249"/>
      <c r="KAS12" s="249"/>
      <c r="KAT12" s="249"/>
      <c r="KAU12" s="249"/>
      <c r="KAV12" s="249"/>
      <c r="KAW12" s="249"/>
      <c r="KAX12" s="249"/>
      <c r="KAY12" s="249"/>
      <c r="KAZ12" s="249"/>
      <c r="KBA12" s="249"/>
      <c r="KBB12" s="249"/>
      <c r="KBC12" s="249"/>
      <c r="KBD12" s="249"/>
      <c r="KBE12" s="249"/>
      <c r="KBF12" s="249"/>
      <c r="KBG12" s="249"/>
      <c r="KBH12" s="249"/>
      <c r="KBI12" s="249"/>
      <c r="KBJ12" s="249"/>
      <c r="KBK12" s="249"/>
      <c r="KBL12" s="249"/>
      <c r="KBM12" s="249"/>
      <c r="KBN12" s="249"/>
      <c r="KBO12" s="249"/>
      <c r="KBP12" s="249"/>
      <c r="KBQ12" s="249"/>
      <c r="KBR12" s="249"/>
      <c r="KBS12" s="249"/>
      <c r="KBT12" s="249"/>
      <c r="KBU12" s="249"/>
      <c r="KBV12" s="249"/>
      <c r="KBW12" s="249"/>
      <c r="KBX12" s="249"/>
      <c r="KBY12" s="249"/>
      <c r="KBZ12" s="249"/>
      <c r="KCA12" s="249"/>
      <c r="KCB12" s="249"/>
      <c r="KCC12" s="249"/>
      <c r="KCD12" s="249"/>
      <c r="KCE12" s="249"/>
      <c r="KCF12" s="249"/>
      <c r="KCG12" s="249"/>
      <c r="KCH12" s="249"/>
      <c r="KCI12" s="249"/>
      <c r="KCJ12" s="249"/>
      <c r="KCK12" s="249"/>
      <c r="KCL12" s="249"/>
      <c r="KCM12" s="249"/>
      <c r="KCN12" s="249"/>
      <c r="KCO12" s="249"/>
      <c r="KCP12" s="249"/>
      <c r="KCQ12" s="249"/>
      <c r="KCR12" s="249"/>
      <c r="KCS12" s="249"/>
      <c r="KCT12" s="249"/>
      <c r="KCU12" s="249"/>
      <c r="KCV12" s="249"/>
      <c r="KCW12" s="249"/>
      <c r="KCX12" s="249"/>
      <c r="KCY12" s="249"/>
      <c r="KCZ12" s="249"/>
      <c r="KDA12" s="249"/>
      <c r="KDB12" s="249"/>
      <c r="KDC12" s="249"/>
      <c r="KDD12" s="249"/>
      <c r="KDE12" s="249"/>
      <c r="KDF12" s="249"/>
      <c r="KDG12" s="249"/>
      <c r="KDH12" s="249"/>
      <c r="KDI12" s="249"/>
      <c r="KDJ12" s="249"/>
      <c r="KDK12" s="249"/>
      <c r="KDL12" s="249"/>
      <c r="KDM12" s="249"/>
      <c r="KDN12" s="249"/>
      <c r="KDO12" s="249"/>
      <c r="KDP12" s="249"/>
      <c r="KDQ12" s="249"/>
      <c r="KDR12" s="249"/>
      <c r="KDS12" s="249"/>
      <c r="KDT12" s="249"/>
      <c r="KDU12" s="249"/>
      <c r="KDV12" s="249"/>
      <c r="KDW12" s="249"/>
      <c r="KDX12" s="249"/>
      <c r="KDY12" s="249"/>
      <c r="KDZ12" s="249"/>
      <c r="KEA12" s="249"/>
      <c r="KEB12" s="249"/>
      <c r="KEC12" s="249"/>
      <c r="KED12" s="249"/>
      <c r="KEE12" s="249"/>
      <c r="KEF12" s="249"/>
      <c r="KEG12" s="249"/>
      <c r="KEH12" s="249"/>
      <c r="KEI12" s="249"/>
      <c r="KEJ12" s="249"/>
      <c r="KEK12" s="249"/>
      <c r="KEL12" s="249"/>
      <c r="KEM12" s="249"/>
      <c r="KEN12" s="249"/>
      <c r="KEO12" s="249"/>
      <c r="KEP12" s="249"/>
      <c r="KEQ12" s="249"/>
      <c r="KER12" s="249"/>
      <c r="KES12" s="249"/>
      <c r="KET12" s="249"/>
      <c r="KEU12" s="249"/>
      <c r="KEV12" s="249"/>
      <c r="KEW12" s="249"/>
      <c r="KEX12" s="249"/>
      <c r="KEY12" s="249"/>
      <c r="KEZ12" s="249"/>
      <c r="KFA12" s="249"/>
      <c r="KFB12" s="249"/>
      <c r="KFC12" s="249"/>
      <c r="KFD12" s="249"/>
      <c r="KFE12" s="249"/>
      <c r="KFF12" s="249"/>
      <c r="KFG12" s="249"/>
      <c r="KFH12" s="249"/>
      <c r="KFI12" s="249"/>
      <c r="KFJ12" s="249"/>
      <c r="KFK12" s="249"/>
      <c r="KFL12" s="249"/>
      <c r="KFM12" s="249"/>
      <c r="KFN12" s="249"/>
      <c r="KFO12" s="249"/>
      <c r="KFP12" s="249"/>
      <c r="KFQ12" s="249"/>
      <c r="KFR12" s="249"/>
      <c r="KFS12" s="249"/>
      <c r="KFT12" s="249"/>
      <c r="KFU12" s="249"/>
      <c r="KFV12" s="249"/>
      <c r="KFW12" s="249"/>
      <c r="KFX12" s="249"/>
      <c r="KFY12" s="249"/>
      <c r="KFZ12" s="249"/>
      <c r="KGA12" s="249"/>
      <c r="KGB12" s="249"/>
      <c r="KGC12" s="249"/>
      <c r="KGD12" s="249"/>
      <c r="KGE12" s="249"/>
      <c r="KGF12" s="249"/>
      <c r="KGG12" s="249"/>
      <c r="KGH12" s="249"/>
      <c r="KGI12" s="249"/>
      <c r="KGJ12" s="249"/>
      <c r="KGK12" s="249"/>
      <c r="KGL12" s="249"/>
      <c r="KGM12" s="249"/>
      <c r="KGN12" s="249"/>
      <c r="KGO12" s="249"/>
      <c r="KGP12" s="249"/>
      <c r="KGQ12" s="249"/>
      <c r="KGR12" s="249"/>
      <c r="KGS12" s="249"/>
      <c r="KGT12" s="249"/>
      <c r="KGU12" s="249"/>
      <c r="KGV12" s="249"/>
      <c r="KGW12" s="249"/>
      <c r="KGX12" s="249"/>
      <c r="KGY12" s="249"/>
      <c r="KGZ12" s="249"/>
      <c r="KHA12" s="249"/>
      <c r="KHB12" s="249"/>
      <c r="KHC12" s="249"/>
      <c r="KHD12" s="249"/>
      <c r="KHE12" s="249"/>
      <c r="KHF12" s="249"/>
      <c r="KHG12" s="249"/>
      <c r="KHH12" s="249"/>
      <c r="KHI12" s="249"/>
      <c r="KHJ12" s="249"/>
      <c r="KHK12" s="249"/>
      <c r="KHL12" s="249"/>
      <c r="KHM12" s="249"/>
      <c r="KHN12" s="249"/>
      <c r="KHO12" s="249"/>
      <c r="KHP12" s="249"/>
      <c r="KHQ12" s="249"/>
      <c r="KHR12" s="249"/>
      <c r="KHS12" s="249"/>
      <c r="KHT12" s="249"/>
      <c r="KHU12" s="249"/>
      <c r="KHV12" s="249"/>
      <c r="KHW12" s="249"/>
      <c r="KHX12" s="249"/>
      <c r="KHY12" s="249"/>
      <c r="KHZ12" s="249"/>
      <c r="KIA12" s="249"/>
      <c r="KIB12" s="249"/>
      <c r="KIC12" s="249"/>
      <c r="KID12" s="249"/>
      <c r="KIE12" s="249"/>
      <c r="KIF12" s="249"/>
      <c r="KIG12" s="249"/>
      <c r="KIH12" s="249"/>
      <c r="KII12" s="249"/>
      <c r="KIJ12" s="249"/>
      <c r="KIK12" s="249"/>
      <c r="KIL12" s="249"/>
      <c r="KIM12" s="249"/>
      <c r="KIN12" s="249"/>
      <c r="KIO12" s="249"/>
      <c r="KIP12" s="249"/>
      <c r="KIQ12" s="249"/>
      <c r="KIR12" s="249"/>
      <c r="KIS12" s="249"/>
      <c r="KIT12" s="249"/>
      <c r="KIU12" s="249"/>
      <c r="KIV12" s="249"/>
      <c r="KIW12" s="249"/>
      <c r="KIX12" s="249"/>
      <c r="KIY12" s="249"/>
      <c r="KIZ12" s="249"/>
      <c r="KJA12" s="249"/>
      <c r="KJB12" s="249"/>
      <c r="KJC12" s="249"/>
      <c r="KJD12" s="249"/>
      <c r="KJE12" s="249"/>
      <c r="KJF12" s="249"/>
      <c r="KJG12" s="249"/>
      <c r="KJH12" s="249"/>
      <c r="KJI12" s="249"/>
      <c r="KJJ12" s="249"/>
      <c r="KJK12" s="249"/>
      <c r="KJL12" s="249"/>
      <c r="KJM12" s="249"/>
      <c r="KJN12" s="249"/>
      <c r="KJO12" s="249"/>
      <c r="KJP12" s="249"/>
      <c r="KJQ12" s="249"/>
      <c r="KJR12" s="249"/>
      <c r="KJS12" s="249"/>
      <c r="KJT12" s="249"/>
      <c r="KJU12" s="249"/>
      <c r="KJV12" s="249"/>
      <c r="KJW12" s="249"/>
      <c r="KJX12" s="249"/>
      <c r="KJY12" s="249"/>
      <c r="KJZ12" s="249"/>
      <c r="KKA12" s="249"/>
      <c r="KKB12" s="249"/>
      <c r="KKC12" s="249"/>
      <c r="KKD12" s="249"/>
      <c r="KKE12" s="249"/>
      <c r="KKF12" s="249"/>
      <c r="KKG12" s="249"/>
      <c r="KKH12" s="249"/>
      <c r="KKI12" s="249"/>
      <c r="KKJ12" s="249"/>
      <c r="KKK12" s="249"/>
      <c r="KKL12" s="249"/>
      <c r="KKM12" s="249"/>
      <c r="KKN12" s="249"/>
      <c r="KKO12" s="249"/>
      <c r="KKP12" s="249"/>
      <c r="KKQ12" s="249"/>
      <c r="KKR12" s="249"/>
      <c r="KKS12" s="249"/>
      <c r="KKT12" s="249"/>
      <c r="KKU12" s="249"/>
      <c r="KKV12" s="249"/>
      <c r="KKW12" s="249"/>
      <c r="KKX12" s="249"/>
      <c r="KKY12" s="249"/>
      <c r="KKZ12" s="249"/>
      <c r="KLA12" s="249"/>
      <c r="KLB12" s="249"/>
      <c r="KLC12" s="249"/>
      <c r="KLD12" s="249"/>
      <c r="KLE12" s="249"/>
      <c r="KLF12" s="249"/>
      <c r="KLG12" s="249"/>
      <c r="KLH12" s="249"/>
      <c r="KLI12" s="249"/>
      <c r="KLJ12" s="249"/>
      <c r="KLK12" s="249"/>
      <c r="KLL12" s="249"/>
      <c r="KLM12" s="249"/>
      <c r="KLN12" s="249"/>
      <c r="KLO12" s="249"/>
      <c r="KLP12" s="249"/>
      <c r="KLQ12" s="249"/>
      <c r="KLR12" s="249"/>
      <c r="KLS12" s="249"/>
      <c r="KLT12" s="249"/>
      <c r="KLU12" s="249"/>
      <c r="KLV12" s="249"/>
      <c r="KLW12" s="249"/>
      <c r="KLX12" s="249"/>
      <c r="KLY12" s="249"/>
      <c r="KLZ12" s="249"/>
      <c r="KMA12" s="249"/>
      <c r="KMB12" s="249"/>
      <c r="KMC12" s="249"/>
      <c r="KMD12" s="249"/>
      <c r="KME12" s="249"/>
      <c r="KMF12" s="249"/>
      <c r="KMG12" s="249"/>
      <c r="KMH12" s="249"/>
      <c r="KMI12" s="249"/>
      <c r="KMJ12" s="249"/>
      <c r="KMK12" s="249"/>
      <c r="KML12" s="249"/>
      <c r="KMM12" s="249"/>
      <c r="KMN12" s="249"/>
      <c r="KMO12" s="249"/>
      <c r="KMP12" s="249"/>
      <c r="KMQ12" s="249"/>
      <c r="KMR12" s="249"/>
      <c r="KMS12" s="249"/>
      <c r="KMT12" s="249"/>
      <c r="KMU12" s="249"/>
      <c r="KMV12" s="249"/>
      <c r="KMW12" s="249"/>
      <c r="KMX12" s="249"/>
      <c r="KMY12" s="249"/>
      <c r="KMZ12" s="249"/>
      <c r="KNA12" s="249"/>
      <c r="KNB12" s="249"/>
      <c r="KNC12" s="249"/>
      <c r="KND12" s="249"/>
      <c r="KNE12" s="249"/>
      <c r="KNF12" s="249"/>
      <c r="KNG12" s="249"/>
      <c r="KNH12" s="249"/>
      <c r="KNI12" s="249"/>
      <c r="KNJ12" s="249"/>
      <c r="KNK12" s="249"/>
      <c r="KNL12" s="249"/>
      <c r="KNM12" s="249"/>
      <c r="KNN12" s="249"/>
      <c r="KNO12" s="249"/>
      <c r="KNP12" s="249"/>
      <c r="KNQ12" s="249"/>
      <c r="KNR12" s="249"/>
      <c r="KNS12" s="249"/>
      <c r="KNT12" s="249"/>
      <c r="KNU12" s="249"/>
      <c r="KNV12" s="249"/>
      <c r="KNW12" s="249"/>
      <c r="KNX12" s="249"/>
      <c r="KNY12" s="249"/>
      <c r="KNZ12" s="249"/>
      <c r="KOA12" s="249"/>
      <c r="KOB12" s="249"/>
      <c r="KOC12" s="249"/>
      <c r="KOD12" s="249"/>
      <c r="KOE12" s="249"/>
      <c r="KOF12" s="249"/>
      <c r="KOG12" s="249"/>
      <c r="KOH12" s="249"/>
      <c r="KOI12" s="249"/>
      <c r="KOJ12" s="249"/>
      <c r="KOK12" s="249"/>
      <c r="KOL12" s="249"/>
      <c r="KOM12" s="249"/>
      <c r="KON12" s="249"/>
      <c r="KOO12" s="249"/>
      <c r="KOP12" s="249"/>
      <c r="KOQ12" s="249"/>
      <c r="KOR12" s="249"/>
      <c r="KOS12" s="249"/>
      <c r="KOT12" s="249"/>
      <c r="KOU12" s="249"/>
      <c r="KOV12" s="249"/>
      <c r="KOW12" s="249"/>
      <c r="KOX12" s="249"/>
      <c r="KOY12" s="249"/>
      <c r="KOZ12" s="249"/>
      <c r="KPA12" s="249"/>
      <c r="KPB12" s="249"/>
      <c r="KPC12" s="249"/>
      <c r="KPD12" s="249"/>
      <c r="KPE12" s="249"/>
      <c r="KPF12" s="249"/>
      <c r="KPG12" s="249"/>
      <c r="KPH12" s="249"/>
      <c r="KPI12" s="249"/>
      <c r="KPJ12" s="249"/>
      <c r="KPK12" s="249"/>
      <c r="KPL12" s="249"/>
      <c r="KPM12" s="249"/>
      <c r="KPN12" s="249"/>
      <c r="KPO12" s="249"/>
      <c r="KPP12" s="249"/>
      <c r="KPQ12" s="249"/>
      <c r="KPR12" s="249"/>
      <c r="KPS12" s="249"/>
      <c r="KPT12" s="249"/>
      <c r="KPU12" s="249"/>
      <c r="KPV12" s="249"/>
      <c r="KPW12" s="249"/>
      <c r="KPX12" s="249"/>
      <c r="KPY12" s="249"/>
      <c r="KPZ12" s="249"/>
      <c r="KQA12" s="249"/>
      <c r="KQB12" s="249"/>
      <c r="KQC12" s="249"/>
      <c r="KQD12" s="249"/>
      <c r="KQE12" s="249"/>
      <c r="KQF12" s="249"/>
      <c r="KQG12" s="249"/>
      <c r="KQH12" s="249"/>
      <c r="KQI12" s="249"/>
      <c r="KQJ12" s="249"/>
      <c r="KQK12" s="249"/>
      <c r="KQL12" s="249"/>
      <c r="KQM12" s="249"/>
      <c r="KQN12" s="249"/>
      <c r="KQO12" s="249"/>
      <c r="KQP12" s="249"/>
      <c r="KQQ12" s="249"/>
      <c r="KQR12" s="249"/>
      <c r="KQS12" s="249"/>
      <c r="KQT12" s="249"/>
      <c r="KQU12" s="249"/>
      <c r="KQV12" s="249"/>
      <c r="KQW12" s="249"/>
      <c r="KQX12" s="249"/>
      <c r="KQY12" s="249"/>
      <c r="KQZ12" s="249"/>
      <c r="KRA12" s="249"/>
      <c r="KRB12" s="249"/>
      <c r="KRC12" s="249"/>
      <c r="KRD12" s="249"/>
      <c r="KRE12" s="249"/>
      <c r="KRF12" s="249"/>
      <c r="KRG12" s="249"/>
      <c r="KRH12" s="249"/>
      <c r="KRI12" s="249"/>
      <c r="KRJ12" s="249"/>
      <c r="KRK12" s="249"/>
      <c r="KRL12" s="249"/>
      <c r="KRM12" s="249"/>
      <c r="KRN12" s="249"/>
      <c r="KRO12" s="249"/>
      <c r="KRP12" s="249"/>
      <c r="KRQ12" s="249"/>
      <c r="KRR12" s="249"/>
      <c r="KRS12" s="249"/>
      <c r="KRT12" s="249"/>
      <c r="KRU12" s="249"/>
      <c r="KRV12" s="249"/>
      <c r="KRW12" s="249"/>
      <c r="KRX12" s="249"/>
      <c r="KRY12" s="249"/>
      <c r="KRZ12" s="249"/>
      <c r="KSA12" s="249"/>
      <c r="KSB12" s="249"/>
      <c r="KSC12" s="249"/>
      <c r="KSD12" s="249"/>
      <c r="KSE12" s="249"/>
      <c r="KSF12" s="249"/>
      <c r="KSG12" s="249"/>
      <c r="KSH12" s="249"/>
      <c r="KSI12" s="249"/>
      <c r="KSJ12" s="249"/>
      <c r="KSK12" s="249"/>
      <c r="KSL12" s="249"/>
      <c r="KSM12" s="249"/>
      <c r="KSN12" s="249"/>
      <c r="KSO12" s="249"/>
      <c r="KSP12" s="249"/>
      <c r="KSQ12" s="249"/>
      <c r="KSR12" s="249"/>
      <c r="KSS12" s="249"/>
      <c r="KST12" s="249"/>
      <c r="KSU12" s="249"/>
      <c r="KSV12" s="249"/>
      <c r="KSW12" s="249"/>
      <c r="KSX12" s="249"/>
      <c r="KSY12" s="249"/>
      <c r="KSZ12" s="249"/>
      <c r="KTA12" s="249"/>
      <c r="KTB12" s="249"/>
      <c r="KTC12" s="249"/>
      <c r="KTD12" s="249"/>
      <c r="KTE12" s="249"/>
      <c r="KTF12" s="249"/>
      <c r="KTG12" s="249"/>
      <c r="KTH12" s="249"/>
      <c r="KTI12" s="249"/>
      <c r="KTJ12" s="249"/>
      <c r="KTK12" s="249"/>
      <c r="KTL12" s="249"/>
      <c r="KTM12" s="249"/>
      <c r="KTN12" s="249"/>
      <c r="KTO12" s="249"/>
      <c r="KTP12" s="249"/>
      <c r="KTQ12" s="249"/>
      <c r="KTR12" s="249"/>
      <c r="KTS12" s="249"/>
      <c r="KTT12" s="249"/>
      <c r="KTU12" s="249"/>
      <c r="KTV12" s="249"/>
      <c r="KTW12" s="249"/>
      <c r="KTX12" s="249"/>
      <c r="KTY12" s="249"/>
      <c r="KTZ12" s="249"/>
      <c r="KUA12" s="249"/>
      <c r="KUB12" s="249"/>
      <c r="KUC12" s="249"/>
      <c r="KUD12" s="249"/>
      <c r="KUE12" s="249"/>
      <c r="KUF12" s="249"/>
      <c r="KUG12" s="249"/>
      <c r="KUH12" s="249"/>
      <c r="KUI12" s="249"/>
      <c r="KUJ12" s="249"/>
      <c r="KUK12" s="249"/>
      <c r="KUL12" s="249"/>
      <c r="KUM12" s="249"/>
      <c r="KUN12" s="249"/>
      <c r="KUO12" s="249"/>
      <c r="KUP12" s="249"/>
      <c r="KUQ12" s="249"/>
      <c r="KUR12" s="249"/>
      <c r="KUS12" s="249"/>
      <c r="KUT12" s="249"/>
      <c r="KUU12" s="249"/>
      <c r="KUV12" s="249"/>
      <c r="KUW12" s="249"/>
      <c r="KUX12" s="249"/>
      <c r="KUY12" s="249"/>
      <c r="KUZ12" s="249"/>
      <c r="KVA12" s="249"/>
      <c r="KVB12" s="249"/>
      <c r="KVC12" s="249"/>
      <c r="KVD12" s="249"/>
      <c r="KVE12" s="249"/>
      <c r="KVF12" s="249"/>
      <c r="KVG12" s="249"/>
      <c r="KVH12" s="249"/>
      <c r="KVI12" s="249"/>
      <c r="KVJ12" s="249"/>
      <c r="KVK12" s="249"/>
      <c r="KVL12" s="249"/>
      <c r="KVM12" s="249"/>
      <c r="KVN12" s="249"/>
      <c r="KVO12" s="249"/>
      <c r="KVP12" s="249"/>
      <c r="KVQ12" s="249"/>
      <c r="KVR12" s="249"/>
      <c r="KVS12" s="249"/>
      <c r="KVT12" s="249"/>
      <c r="KVU12" s="249"/>
      <c r="KVV12" s="249"/>
      <c r="KVW12" s="249"/>
      <c r="KVX12" s="249"/>
      <c r="KVY12" s="249"/>
      <c r="KVZ12" s="249"/>
      <c r="KWA12" s="249"/>
      <c r="KWB12" s="249"/>
      <c r="KWC12" s="249"/>
      <c r="KWD12" s="249"/>
      <c r="KWE12" s="249"/>
      <c r="KWF12" s="249"/>
      <c r="KWG12" s="249"/>
      <c r="KWH12" s="249"/>
      <c r="KWI12" s="249"/>
      <c r="KWJ12" s="249"/>
      <c r="KWK12" s="249"/>
      <c r="KWL12" s="249"/>
      <c r="KWM12" s="249"/>
      <c r="KWN12" s="249"/>
      <c r="KWO12" s="249"/>
      <c r="KWP12" s="249"/>
      <c r="KWQ12" s="249"/>
      <c r="KWR12" s="249"/>
      <c r="KWS12" s="249"/>
      <c r="KWT12" s="249"/>
      <c r="KWU12" s="249"/>
      <c r="KWV12" s="249"/>
      <c r="KWW12" s="249"/>
      <c r="KWX12" s="249"/>
      <c r="KWY12" s="249"/>
      <c r="KWZ12" s="249"/>
      <c r="KXA12" s="249"/>
      <c r="KXB12" s="249"/>
      <c r="KXC12" s="249"/>
      <c r="KXD12" s="249"/>
      <c r="KXE12" s="249"/>
      <c r="KXF12" s="249"/>
      <c r="KXG12" s="249"/>
      <c r="KXH12" s="249"/>
      <c r="KXI12" s="249"/>
      <c r="KXJ12" s="249"/>
      <c r="KXK12" s="249"/>
      <c r="KXL12" s="249"/>
      <c r="KXM12" s="249"/>
      <c r="KXN12" s="249"/>
      <c r="KXO12" s="249"/>
      <c r="KXP12" s="249"/>
      <c r="KXQ12" s="249"/>
      <c r="KXR12" s="249"/>
      <c r="KXS12" s="249"/>
      <c r="KXT12" s="249"/>
      <c r="KXU12" s="249"/>
      <c r="KXV12" s="249"/>
      <c r="KXW12" s="249"/>
      <c r="KXX12" s="249"/>
      <c r="KXY12" s="249"/>
      <c r="KXZ12" s="249"/>
      <c r="KYA12" s="249"/>
      <c r="KYB12" s="249"/>
      <c r="KYC12" s="249"/>
      <c r="KYD12" s="249"/>
      <c r="KYE12" s="249"/>
      <c r="KYF12" s="249"/>
      <c r="KYG12" s="249"/>
      <c r="KYH12" s="249"/>
      <c r="KYI12" s="249"/>
      <c r="KYJ12" s="249"/>
      <c r="KYK12" s="249"/>
      <c r="KYL12" s="249"/>
      <c r="KYM12" s="249"/>
      <c r="KYN12" s="249"/>
      <c r="KYO12" s="249"/>
      <c r="KYP12" s="249"/>
      <c r="KYQ12" s="249"/>
      <c r="KYR12" s="249"/>
      <c r="KYS12" s="249"/>
      <c r="KYT12" s="249"/>
      <c r="KYU12" s="249"/>
      <c r="KYV12" s="249"/>
      <c r="KYW12" s="249"/>
      <c r="KYX12" s="249"/>
      <c r="KYY12" s="249"/>
      <c r="KYZ12" s="249"/>
      <c r="KZA12" s="249"/>
      <c r="KZB12" s="249"/>
      <c r="KZC12" s="249"/>
      <c r="KZD12" s="249"/>
      <c r="KZE12" s="249"/>
      <c r="KZF12" s="249"/>
      <c r="KZG12" s="249"/>
      <c r="KZH12" s="249"/>
      <c r="KZI12" s="249"/>
      <c r="KZJ12" s="249"/>
      <c r="KZK12" s="249"/>
      <c r="KZL12" s="249"/>
      <c r="KZM12" s="249"/>
      <c r="KZN12" s="249"/>
      <c r="KZO12" s="249"/>
      <c r="KZP12" s="249"/>
      <c r="KZQ12" s="249"/>
      <c r="KZR12" s="249"/>
      <c r="KZS12" s="249"/>
      <c r="KZT12" s="249"/>
      <c r="KZU12" s="249"/>
      <c r="KZV12" s="249"/>
      <c r="KZW12" s="249"/>
      <c r="KZX12" s="249"/>
      <c r="KZY12" s="249"/>
      <c r="KZZ12" s="249"/>
      <c r="LAA12" s="249"/>
      <c r="LAB12" s="249"/>
      <c r="LAC12" s="249"/>
      <c r="LAD12" s="249"/>
      <c r="LAE12" s="249"/>
      <c r="LAF12" s="249"/>
      <c r="LAG12" s="249"/>
      <c r="LAH12" s="249"/>
      <c r="LAI12" s="249"/>
      <c r="LAJ12" s="249"/>
      <c r="LAK12" s="249"/>
      <c r="LAL12" s="249"/>
      <c r="LAM12" s="249"/>
      <c r="LAN12" s="249"/>
      <c r="LAO12" s="249"/>
      <c r="LAP12" s="249"/>
      <c r="LAQ12" s="249"/>
      <c r="LAR12" s="249"/>
      <c r="LAS12" s="249"/>
      <c r="LAT12" s="249"/>
      <c r="LAU12" s="249"/>
      <c r="LAV12" s="249"/>
      <c r="LAW12" s="249"/>
      <c r="LAX12" s="249"/>
      <c r="LAY12" s="249"/>
      <c r="LAZ12" s="249"/>
      <c r="LBA12" s="249"/>
      <c r="LBB12" s="249"/>
      <c r="LBC12" s="249"/>
      <c r="LBD12" s="249"/>
      <c r="LBE12" s="249"/>
      <c r="LBF12" s="249"/>
      <c r="LBG12" s="249"/>
      <c r="LBH12" s="249"/>
      <c r="LBI12" s="249"/>
      <c r="LBJ12" s="249"/>
      <c r="LBK12" s="249"/>
      <c r="LBL12" s="249"/>
      <c r="LBM12" s="249"/>
      <c r="LBN12" s="249"/>
      <c r="LBO12" s="249"/>
      <c r="LBP12" s="249"/>
      <c r="LBQ12" s="249"/>
      <c r="LBR12" s="249"/>
      <c r="LBS12" s="249"/>
      <c r="LBT12" s="249"/>
      <c r="LBU12" s="249"/>
      <c r="LBV12" s="249"/>
      <c r="LBW12" s="249"/>
      <c r="LBX12" s="249"/>
      <c r="LBY12" s="249"/>
      <c r="LBZ12" s="249"/>
      <c r="LCA12" s="249"/>
      <c r="LCB12" s="249"/>
      <c r="LCC12" s="249"/>
      <c r="LCD12" s="249"/>
      <c r="LCE12" s="249"/>
      <c r="LCF12" s="249"/>
      <c r="LCG12" s="249"/>
      <c r="LCH12" s="249"/>
      <c r="LCI12" s="249"/>
      <c r="LCJ12" s="249"/>
      <c r="LCK12" s="249"/>
      <c r="LCL12" s="249"/>
      <c r="LCM12" s="249"/>
      <c r="LCN12" s="249"/>
      <c r="LCO12" s="249"/>
      <c r="LCP12" s="249"/>
      <c r="LCQ12" s="249"/>
      <c r="LCR12" s="249"/>
      <c r="LCS12" s="249"/>
      <c r="LCT12" s="249"/>
      <c r="LCU12" s="249"/>
      <c r="LCV12" s="249"/>
      <c r="LCW12" s="249"/>
      <c r="LCX12" s="249"/>
      <c r="LCY12" s="249"/>
      <c r="LCZ12" s="249"/>
      <c r="LDA12" s="249"/>
      <c r="LDB12" s="249"/>
      <c r="LDC12" s="249"/>
      <c r="LDD12" s="249"/>
      <c r="LDE12" s="249"/>
      <c r="LDF12" s="249"/>
      <c r="LDG12" s="249"/>
      <c r="LDH12" s="249"/>
      <c r="LDI12" s="249"/>
      <c r="LDJ12" s="249"/>
      <c r="LDK12" s="249"/>
      <c r="LDL12" s="249"/>
      <c r="LDM12" s="249"/>
      <c r="LDN12" s="249"/>
      <c r="LDO12" s="249"/>
      <c r="LDP12" s="249"/>
      <c r="LDQ12" s="249"/>
      <c r="LDR12" s="249"/>
      <c r="LDS12" s="249"/>
      <c r="LDT12" s="249"/>
      <c r="LDU12" s="249"/>
      <c r="LDV12" s="249"/>
      <c r="LDW12" s="249"/>
      <c r="LDX12" s="249"/>
      <c r="LDY12" s="249"/>
      <c r="LDZ12" s="249"/>
      <c r="LEA12" s="249"/>
      <c r="LEB12" s="249"/>
      <c r="LEC12" s="249"/>
      <c r="LED12" s="249"/>
      <c r="LEE12" s="249"/>
      <c r="LEF12" s="249"/>
      <c r="LEG12" s="249"/>
      <c r="LEH12" s="249"/>
      <c r="LEI12" s="249"/>
      <c r="LEJ12" s="249"/>
      <c r="LEK12" s="249"/>
      <c r="LEL12" s="249"/>
      <c r="LEM12" s="249"/>
      <c r="LEN12" s="249"/>
      <c r="LEO12" s="249"/>
      <c r="LEP12" s="249"/>
      <c r="LEQ12" s="249"/>
      <c r="LER12" s="249"/>
      <c r="LES12" s="249"/>
      <c r="LET12" s="249"/>
      <c r="LEU12" s="249"/>
      <c r="LEV12" s="249"/>
      <c r="LEW12" s="249"/>
      <c r="LEX12" s="249"/>
      <c r="LEY12" s="249"/>
      <c r="LEZ12" s="249"/>
      <c r="LFA12" s="249"/>
      <c r="LFB12" s="249"/>
      <c r="LFC12" s="249"/>
      <c r="LFD12" s="249"/>
      <c r="LFE12" s="249"/>
      <c r="LFF12" s="249"/>
      <c r="LFG12" s="249"/>
      <c r="LFH12" s="249"/>
      <c r="LFI12" s="249"/>
      <c r="LFJ12" s="249"/>
      <c r="LFK12" s="249"/>
      <c r="LFL12" s="249"/>
      <c r="LFM12" s="249"/>
      <c r="LFN12" s="249"/>
      <c r="LFO12" s="249"/>
      <c r="LFP12" s="249"/>
      <c r="LFQ12" s="249"/>
      <c r="LFR12" s="249"/>
      <c r="LFS12" s="249"/>
      <c r="LFT12" s="249"/>
      <c r="LFU12" s="249"/>
      <c r="LFV12" s="249"/>
      <c r="LFW12" s="249"/>
      <c r="LFX12" s="249"/>
      <c r="LFY12" s="249"/>
      <c r="LFZ12" s="249"/>
      <c r="LGA12" s="249"/>
      <c r="LGB12" s="249"/>
      <c r="LGC12" s="249"/>
      <c r="LGD12" s="249"/>
      <c r="LGE12" s="249"/>
      <c r="LGF12" s="249"/>
      <c r="LGG12" s="249"/>
      <c r="LGH12" s="249"/>
      <c r="LGI12" s="249"/>
      <c r="LGJ12" s="249"/>
      <c r="LGK12" s="249"/>
      <c r="LGL12" s="249"/>
      <c r="LGM12" s="249"/>
      <c r="LGN12" s="249"/>
      <c r="LGO12" s="249"/>
      <c r="LGP12" s="249"/>
      <c r="LGQ12" s="249"/>
      <c r="LGR12" s="249"/>
      <c r="LGS12" s="249"/>
      <c r="LGT12" s="249"/>
      <c r="LGU12" s="249"/>
      <c r="LGV12" s="249"/>
      <c r="LGW12" s="249"/>
      <c r="LGX12" s="249"/>
      <c r="LGY12" s="249"/>
      <c r="LGZ12" s="249"/>
      <c r="LHA12" s="249"/>
      <c r="LHB12" s="249"/>
      <c r="LHC12" s="249"/>
      <c r="LHD12" s="249"/>
      <c r="LHE12" s="249"/>
      <c r="LHF12" s="249"/>
      <c r="LHG12" s="249"/>
      <c r="LHH12" s="249"/>
      <c r="LHI12" s="249"/>
      <c r="LHJ12" s="249"/>
      <c r="LHK12" s="249"/>
      <c r="LHL12" s="249"/>
      <c r="LHM12" s="249"/>
      <c r="LHN12" s="249"/>
      <c r="LHO12" s="249"/>
      <c r="LHP12" s="249"/>
      <c r="LHQ12" s="249"/>
      <c r="LHR12" s="249"/>
      <c r="LHS12" s="249"/>
      <c r="LHT12" s="249"/>
      <c r="LHU12" s="249"/>
      <c r="LHV12" s="249"/>
      <c r="LHW12" s="249"/>
      <c r="LHX12" s="249"/>
      <c r="LHY12" s="249"/>
      <c r="LHZ12" s="249"/>
      <c r="LIA12" s="249"/>
      <c r="LIB12" s="249"/>
      <c r="LIC12" s="249"/>
      <c r="LID12" s="249"/>
      <c r="LIE12" s="249"/>
      <c r="LIF12" s="249"/>
      <c r="LIG12" s="249"/>
      <c r="LIH12" s="249"/>
      <c r="LII12" s="249"/>
      <c r="LIJ12" s="249"/>
      <c r="LIK12" s="249"/>
      <c r="LIL12" s="249"/>
      <c r="LIM12" s="249"/>
      <c r="LIN12" s="249"/>
      <c r="LIO12" s="249"/>
      <c r="LIP12" s="249"/>
      <c r="LIQ12" s="249"/>
      <c r="LIR12" s="249"/>
      <c r="LIS12" s="249"/>
      <c r="LIT12" s="249"/>
      <c r="LIU12" s="249"/>
      <c r="LIV12" s="249"/>
      <c r="LIW12" s="249"/>
      <c r="LIX12" s="249"/>
      <c r="LIY12" s="249"/>
      <c r="LIZ12" s="249"/>
      <c r="LJA12" s="249"/>
      <c r="LJB12" s="249"/>
      <c r="LJC12" s="249"/>
      <c r="LJD12" s="249"/>
      <c r="LJE12" s="249"/>
      <c r="LJF12" s="249"/>
      <c r="LJG12" s="249"/>
      <c r="LJH12" s="249"/>
      <c r="LJI12" s="249"/>
      <c r="LJJ12" s="249"/>
      <c r="LJK12" s="249"/>
      <c r="LJL12" s="249"/>
      <c r="LJM12" s="249"/>
      <c r="LJN12" s="249"/>
      <c r="LJO12" s="249"/>
      <c r="LJP12" s="249"/>
      <c r="LJQ12" s="249"/>
      <c r="LJR12" s="249"/>
      <c r="LJS12" s="249"/>
      <c r="LJT12" s="249"/>
      <c r="LJU12" s="249"/>
      <c r="LJV12" s="249"/>
      <c r="LJW12" s="249"/>
      <c r="LJX12" s="249"/>
      <c r="LJY12" s="249"/>
      <c r="LJZ12" s="249"/>
      <c r="LKA12" s="249"/>
      <c r="LKB12" s="249"/>
      <c r="LKC12" s="249"/>
      <c r="LKD12" s="249"/>
      <c r="LKE12" s="249"/>
      <c r="LKF12" s="249"/>
      <c r="LKG12" s="249"/>
      <c r="LKH12" s="249"/>
      <c r="LKI12" s="249"/>
      <c r="LKJ12" s="249"/>
      <c r="LKK12" s="249"/>
      <c r="LKL12" s="249"/>
      <c r="LKM12" s="249"/>
      <c r="LKN12" s="249"/>
      <c r="LKO12" s="249"/>
      <c r="LKP12" s="249"/>
      <c r="LKQ12" s="249"/>
      <c r="LKR12" s="249"/>
      <c r="LKS12" s="249"/>
      <c r="LKT12" s="249"/>
      <c r="LKU12" s="249"/>
      <c r="LKV12" s="249"/>
      <c r="LKW12" s="249"/>
      <c r="LKX12" s="249"/>
      <c r="LKY12" s="249"/>
      <c r="LKZ12" s="249"/>
      <c r="LLA12" s="249"/>
      <c r="LLB12" s="249"/>
      <c r="LLC12" s="249"/>
      <c r="LLD12" s="249"/>
      <c r="LLE12" s="249"/>
      <c r="LLF12" s="249"/>
      <c r="LLG12" s="249"/>
      <c r="LLH12" s="249"/>
      <c r="LLI12" s="249"/>
      <c r="LLJ12" s="249"/>
      <c r="LLK12" s="249"/>
      <c r="LLL12" s="249"/>
      <c r="LLM12" s="249"/>
      <c r="LLN12" s="249"/>
      <c r="LLO12" s="249"/>
      <c r="LLP12" s="249"/>
      <c r="LLQ12" s="249"/>
      <c r="LLR12" s="249"/>
      <c r="LLS12" s="249"/>
      <c r="LLT12" s="249"/>
      <c r="LLU12" s="249"/>
      <c r="LLV12" s="249"/>
      <c r="LLW12" s="249"/>
      <c r="LLX12" s="249"/>
      <c r="LLY12" s="249"/>
      <c r="LLZ12" s="249"/>
      <c r="LMA12" s="249"/>
      <c r="LMB12" s="249"/>
      <c r="LMC12" s="249"/>
      <c r="LMD12" s="249"/>
      <c r="LME12" s="249"/>
      <c r="LMF12" s="249"/>
      <c r="LMG12" s="249"/>
      <c r="LMH12" s="249"/>
      <c r="LMI12" s="249"/>
      <c r="LMJ12" s="249"/>
      <c r="LMK12" s="249"/>
      <c r="LML12" s="249"/>
      <c r="LMM12" s="249"/>
      <c r="LMN12" s="249"/>
      <c r="LMO12" s="249"/>
      <c r="LMP12" s="249"/>
      <c r="LMQ12" s="249"/>
      <c r="LMR12" s="249"/>
      <c r="LMS12" s="249"/>
      <c r="LMT12" s="249"/>
      <c r="LMU12" s="249"/>
      <c r="LMV12" s="249"/>
      <c r="LMW12" s="249"/>
      <c r="LMX12" s="249"/>
      <c r="LMY12" s="249"/>
      <c r="LMZ12" s="249"/>
      <c r="LNA12" s="249"/>
      <c r="LNB12" s="249"/>
      <c r="LNC12" s="249"/>
      <c r="LND12" s="249"/>
      <c r="LNE12" s="249"/>
      <c r="LNF12" s="249"/>
      <c r="LNG12" s="249"/>
      <c r="LNH12" s="249"/>
      <c r="LNI12" s="249"/>
      <c r="LNJ12" s="249"/>
      <c r="LNK12" s="249"/>
      <c r="LNL12" s="249"/>
      <c r="LNM12" s="249"/>
      <c r="LNN12" s="249"/>
      <c r="LNO12" s="249"/>
      <c r="LNP12" s="249"/>
      <c r="LNQ12" s="249"/>
      <c r="LNR12" s="249"/>
      <c r="LNS12" s="249"/>
      <c r="LNT12" s="249"/>
      <c r="LNU12" s="249"/>
      <c r="LNV12" s="249"/>
      <c r="LNW12" s="249"/>
      <c r="LNX12" s="249"/>
      <c r="LNY12" s="249"/>
      <c r="LNZ12" s="249"/>
      <c r="LOA12" s="249"/>
      <c r="LOB12" s="249"/>
      <c r="LOC12" s="249"/>
      <c r="LOD12" s="249"/>
      <c r="LOE12" s="249"/>
      <c r="LOF12" s="249"/>
      <c r="LOG12" s="249"/>
      <c r="LOH12" s="249"/>
      <c r="LOI12" s="249"/>
      <c r="LOJ12" s="249"/>
      <c r="LOK12" s="249"/>
      <c r="LOL12" s="249"/>
      <c r="LOM12" s="249"/>
      <c r="LON12" s="249"/>
      <c r="LOO12" s="249"/>
      <c r="LOP12" s="249"/>
      <c r="LOQ12" s="249"/>
      <c r="LOR12" s="249"/>
      <c r="LOS12" s="249"/>
      <c r="LOT12" s="249"/>
      <c r="LOU12" s="249"/>
      <c r="LOV12" s="249"/>
      <c r="LOW12" s="249"/>
      <c r="LOX12" s="249"/>
      <c r="LOY12" s="249"/>
      <c r="LOZ12" s="249"/>
      <c r="LPA12" s="249"/>
      <c r="LPB12" s="249"/>
      <c r="LPC12" s="249"/>
      <c r="LPD12" s="249"/>
      <c r="LPE12" s="249"/>
      <c r="LPF12" s="249"/>
      <c r="LPG12" s="249"/>
      <c r="LPH12" s="249"/>
      <c r="LPI12" s="249"/>
      <c r="LPJ12" s="249"/>
      <c r="LPK12" s="249"/>
      <c r="LPL12" s="249"/>
      <c r="LPM12" s="249"/>
      <c r="LPN12" s="249"/>
      <c r="LPO12" s="249"/>
      <c r="LPP12" s="249"/>
      <c r="LPQ12" s="249"/>
      <c r="LPR12" s="249"/>
      <c r="LPS12" s="249"/>
      <c r="LPT12" s="249"/>
      <c r="LPU12" s="249"/>
      <c r="LPV12" s="249"/>
      <c r="LPW12" s="249"/>
      <c r="LPX12" s="249"/>
      <c r="LPY12" s="249"/>
      <c r="LPZ12" s="249"/>
      <c r="LQA12" s="249"/>
      <c r="LQB12" s="249"/>
      <c r="LQC12" s="249"/>
      <c r="LQD12" s="249"/>
      <c r="LQE12" s="249"/>
      <c r="LQF12" s="249"/>
      <c r="LQG12" s="249"/>
      <c r="LQH12" s="249"/>
      <c r="LQI12" s="249"/>
      <c r="LQJ12" s="249"/>
      <c r="LQK12" s="249"/>
      <c r="LQL12" s="249"/>
      <c r="LQM12" s="249"/>
      <c r="LQN12" s="249"/>
      <c r="LQO12" s="249"/>
      <c r="LQP12" s="249"/>
      <c r="LQQ12" s="249"/>
      <c r="LQR12" s="249"/>
      <c r="LQS12" s="249"/>
      <c r="LQT12" s="249"/>
      <c r="LQU12" s="249"/>
      <c r="LQV12" s="249"/>
      <c r="LQW12" s="249"/>
      <c r="LQX12" s="249"/>
      <c r="LQY12" s="249"/>
      <c r="LQZ12" s="249"/>
      <c r="LRA12" s="249"/>
      <c r="LRB12" s="249"/>
      <c r="LRC12" s="249"/>
      <c r="LRD12" s="249"/>
      <c r="LRE12" s="249"/>
      <c r="LRF12" s="249"/>
      <c r="LRG12" s="249"/>
      <c r="LRH12" s="249"/>
      <c r="LRI12" s="249"/>
      <c r="LRJ12" s="249"/>
      <c r="LRK12" s="249"/>
      <c r="LRL12" s="249"/>
      <c r="LRM12" s="249"/>
      <c r="LRN12" s="249"/>
      <c r="LRO12" s="249"/>
      <c r="LRP12" s="249"/>
      <c r="LRQ12" s="249"/>
      <c r="LRR12" s="249"/>
      <c r="LRS12" s="249"/>
      <c r="LRT12" s="249"/>
      <c r="LRU12" s="249"/>
      <c r="LRV12" s="249"/>
      <c r="LRW12" s="249"/>
      <c r="LRX12" s="249"/>
      <c r="LRY12" s="249"/>
      <c r="LRZ12" s="249"/>
      <c r="LSA12" s="249"/>
      <c r="LSB12" s="249"/>
      <c r="LSC12" s="249"/>
      <c r="LSD12" s="249"/>
      <c r="LSE12" s="249"/>
      <c r="LSF12" s="249"/>
      <c r="LSG12" s="249"/>
      <c r="LSH12" s="249"/>
      <c r="LSI12" s="249"/>
      <c r="LSJ12" s="249"/>
      <c r="LSK12" s="249"/>
      <c r="LSL12" s="249"/>
      <c r="LSM12" s="249"/>
      <c r="LSN12" s="249"/>
      <c r="LSO12" s="249"/>
      <c r="LSP12" s="249"/>
      <c r="LSQ12" s="249"/>
      <c r="LSR12" s="249"/>
      <c r="LSS12" s="249"/>
      <c r="LST12" s="249"/>
      <c r="LSU12" s="249"/>
      <c r="LSV12" s="249"/>
      <c r="LSW12" s="249"/>
      <c r="LSX12" s="249"/>
      <c r="LSY12" s="249"/>
      <c r="LSZ12" s="249"/>
      <c r="LTA12" s="249"/>
      <c r="LTB12" s="249"/>
      <c r="LTC12" s="249"/>
      <c r="LTD12" s="249"/>
      <c r="LTE12" s="249"/>
      <c r="LTF12" s="249"/>
      <c r="LTG12" s="249"/>
      <c r="LTH12" s="249"/>
      <c r="LTI12" s="249"/>
      <c r="LTJ12" s="249"/>
      <c r="LTK12" s="249"/>
      <c r="LTL12" s="249"/>
      <c r="LTM12" s="249"/>
      <c r="LTN12" s="249"/>
      <c r="LTO12" s="249"/>
      <c r="LTP12" s="249"/>
      <c r="LTQ12" s="249"/>
      <c r="LTR12" s="249"/>
      <c r="LTS12" s="249"/>
      <c r="LTT12" s="249"/>
      <c r="LTU12" s="249"/>
      <c r="LTV12" s="249"/>
      <c r="LTW12" s="249"/>
      <c r="LTX12" s="249"/>
      <c r="LTY12" s="249"/>
      <c r="LTZ12" s="249"/>
      <c r="LUA12" s="249"/>
      <c r="LUB12" s="249"/>
      <c r="LUC12" s="249"/>
      <c r="LUD12" s="249"/>
      <c r="LUE12" s="249"/>
      <c r="LUF12" s="249"/>
      <c r="LUG12" s="249"/>
      <c r="LUH12" s="249"/>
      <c r="LUI12" s="249"/>
      <c r="LUJ12" s="249"/>
      <c r="LUK12" s="249"/>
      <c r="LUL12" s="249"/>
      <c r="LUM12" s="249"/>
      <c r="LUN12" s="249"/>
      <c r="LUO12" s="249"/>
      <c r="LUP12" s="249"/>
      <c r="LUQ12" s="249"/>
      <c r="LUR12" s="249"/>
      <c r="LUS12" s="249"/>
      <c r="LUT12" s="249"/>
      <c r="LUU12" s="249"/>
      <c r="LUV12" s="249"/>
      <c r="LUW12" s="249"/>
      <c r="LUX12" s="249"/>
      <c r="LUY12" s="249"/>
      <c r="LUZ12" s="249"/>
      <c r="LVA12" s="249"/>
      <c r="LVB12" s="249"/>
      <c r="LVC12" s="249"/>
      <c r="LVD12" s="249"/>
      <c r="LVE12" s="249"/>
      <c r="LVF12" s="249"/>
      <c r="LVG12" s="249"/>
      <c r="LVH12" s="249"/>
      <c r="LVI12" s="249"/>
      <c r="LVJ12" s="249"/>
      <c r="LVK12" s="249"/>
      <c r="LVL12" s="249"/>
      <c r="LVM12" s="249"/>
      <c r="LVN12" s="249"/>
      <c r="LVO12" s="249"/>
      <c r="LVP12" s="249"/>
      <c r="LVQ12" s="249"/>
      <c r="LVR12" s="249"/>
      <c r="LVS12" s="249"/>
      <c r="LVT12" s="249"/>
      <c r="LVU12" s="249"/>
      <c r="LVV12" s="249"/>
      <c r="LVW12" s="249"/>
      <c r="LVX12" s="249"/>
      <c r="LVY12" s="249"/>
      <c r="LVZ12" s="249"/>
      <c r="LWA12" s="249"/>
      <c r="LWB12" s="249"/>
      <c r="LWC12" s="249"/>
      <c r="LWD12" s="249"/>
      <c r="LWE12" s="249"/>
      <c r="LWF12" s="249"/>
      <c r="LWG12" s="249"/>
      <c r="LWH12" s="249"/>
      <c r="LWI12" s="249"/>
      <c r="LWJ12" s="249"/>
      <c r="LWK12" s="249"/>
      <c r="LWL12" s="249"/>
      <c r="LWM12" s="249"/>
      <c r="LWN12" s="249"/>
      <c r="LWO12" s="249"/>
      <c r="LWP12" s="249"/>
      <c r="LWQ12" s="249"/>
      <c r="LWR12" s="249"/>
      <c r="LWS12" s="249"/>
      <c r="LWT12" s="249"/>
      <c r="LWU12" s="249"/>
      <c r="LWV12" s="249"/>
      <c r="LWW12" s="249"/>
      <c r="LWX12" s="249"/>
      <c r="LWY12" s="249"/>
      <c r="LWZ12" s="249"/>
      <c r="LXA12" s="249"/>
      <c r="LXB12" s="249"/>
      <c r="LXC12" s="249"/>
      <c r="LXD12" s="249"/>
      <c r="LXE12" s="249"/>
      <c r="LXF12" s="249"/>
      <c r="LXG12" s="249"/>
      <c r="LXH12" s="249"/>
      <c r="LXI12" s="249"/>
      <c r="LXJ12" s="249"/>
      <c r="LXK12" s="249"/>
      <c r="LXL12" s="249"/>
      <c r="LXM12" s="249"/>
      <c r="LXN12" s="249"/>
      <c r="LXO12" s="249"/>
      <c r="LXP12" s="249"/>
      <c r="LXQ12" s="249"/>
      <c r="LXR12" s="249"/>
      <c r="LXS12" s="249"/>
      <c r="LXT12" s="249"/>
      <c r="LXU12" s="249"/>
      <c r="LXV12" s="249"/>
      <c r="LXW12" s="249"/>
      <c r="LXX12" s="249"/>
      <c r="LXY12" s="249"/>
      <c r="LXZ12" s="249"/>
      <c r="LYA12" s="249"/>
      <c r="LYB12" s="249"/>
      <c r="LYC12" s="249"/>
      <c r="LYD12" s="249"/>
      <c r="LYE12" s="249"/>
      <c r="LYF12" s="249"/>
      <c r="LYG12" s="249"/>
      <c r="LYH12" s="249"/>
      <c r="LYI12" s="249"/>
      <c r="LYJ12" s="249"/>
      <c r="LYK12" s="249"/>
      <c r="LYL12" s="249"/>
      <c r="LYM12" s="249"/>
      <c r="LYN12" s="249"/>
      <c r="LYO12" s="249"/>
      <c r="LYP12" s="249"/>
      <c r="LYQ12" s="249"/>
      <c r="LYR12" s="249"/>
      <c r="LYS12" s="249"/>
      <c r="LYT12" s="249"/>
      <c r="LYU12" s="249"/>
      <c r="LYV12" s="249"/>
      <c r="LYW12" s="249"/>
      <c r="LYX12" s="249"/>
      <c r="LYY12" s="249"/>
      <c r="LYZ12" s="249"/>
      <c r="LZA12" s="249"/>
      <c r="LZB12" s="249"/>
      <c r="LZC12" s="249"/>
      <c r="LZD12" s="249"/>
      <c r="LZE12" s="249"/>
      <c r="LZF12" s="249"/>
      <c r="LZG12" s="249"/>
      <c r="LZH12" s="249"/>
      <c r="LZI12" s="249"/>
      <c r="LZJ12" s="249"/>
      <c r="LZK12" s="249"/>
      <c r="LZL12" s="249"/>
      <c r="LZM12" s="249"/>
      <c r="LZN12" s="249"/>
      <c r="LZO12" s="249"/>
      <c r="LZP12" s="249"/>
      <c r="LZQ12" s="249"/>
      <c r="LZR12" s="249"/>
      <c r="LZS12" s="249"/>
      <c r="LZT12" s="249"/>
      <c r="LZU12" s="249"/>
      <c r="LZV12" s="249"/>
      <c r="LZW12" s="249"/>
      <c r="LZX12" s="249"/>
      <c r="LZY12" s="249"/>
      <c r="LZZ12" s="249"/>
      <c r="MAA12" s="249"/>
      <c r="MAB12" s="249"/>
      <c r="MAC12" s="249"/>
      <c r="MAD12" s="249"/>
      <c r="MAE12" s="249"/>
      <c r="MAF12" s="249"/>
      <c r="MAG12" s="249"/>
      <c r="MAH12" s="249"/>
      <c r="MAI12" s="249"/>
      <c r="MAJ12" s="249"/>
      <c r="MAK12" s="249"/>
      <c r="MAL12" s="249"/>
      <c r="MAM12" s="249"/>
      <c r="MAN12" s="249"/>
      <c r="MAO12" s="249"/>
      <c r="MAP12" s="249"/>
      <c r="MAQ12" s="249"/>
      <c r="MAR12" s="249"/>
      <c r="MAS12" s="249"/>
      <c r="MAT12" s="249"/>
      <c r="MAU12" s="249"/>
      <c r="MAV12" s="249"/>
      <c r="MAW12" s="249"/>
      <c r="MAX12" s="249"/>
      <c r="MAY12" s="249"/>
      <c r="MAZ12" s="249"/>
      <c r="MBA12" s="249"/>
      <c r="MBB12" s="249"/>
      <c r="MBC12" s="249"/>
      <c r="MBD12" s="249"/>
      <c r="MBE12" s="249"/>
      <c r="MBF12" s="249"/>
      <c r="MBG12" s="249"/>
      <c r="MBH12" s="249"/>
      <c r="MBI12" s="249"/>
      <c r="MBJ12" s="249"/>
      <c r="MBK12" s="249"/>
      <c r="MBL12" s="249"/>
      <c r="MBM12" s="249"/>
      <c r="MBN12" s="249"/>
      <c r="MBO12" s="249"/>
      <c r="MBP12" s="249"/>
      <c r="MBQ12" s="249"/>
      <c r="MBR12" s="249"/>
      <c r="MBS12" s="249"/>
      <c r="MBT12" s="249"/>
      <c r="MBU12" s="249"/>
      <c r="MBV12" s="249"/>
      <c r="MBW12" s="249"/>
      <c r="MBX12" s="249"/>
      <c r="MBY12" s="249"/>
      <c r="MBZ12" s="249"/>
      <c r="MCA12" s="249"/>
      <c r="MCB12" s="249"/>
      <c r="MCC12" s="249"/>
      <c r="MCD12" s="249"/>
      <c r="MCE12" s="249"/>
      <c r="MCF12" s="249"/>
      <c r="MCG12" s="249"/>
      <c r="MCH12" s="249"/>
      <c r="MCI12" s="249"/>
      <c r="MCJ12" s="249"/>
      <c r="MCK12" s="249"/>
      <c r="MCL12" s="249"/>
      <c r="MCM12" s="249"/>
      <c r="MCN12" s="249"/>
      <c r="MCO12" s="249"/>
      <c r="MCP12" s="249"/>
      <c r="MCQ12" s="249"/>
      <c r="MCR12" s="249"/>
      <c r="MCS12" s="249"/>
      <c r="MCT12" s="249"/>
      <c r="MCU12" s="249"/>
      <c r="MCV12" s="249"/>
      <c r="MCW12" s="249"/>
      <c r="MCX12" s="249"/>
      <c r="MCY12" s="249"/>
      <c r="MCZ12" s="249"/>
      <c r="MDA12" s="249"/>
      <c r="MDB12" s="249"/>
      <c r="MDC12" s="249"/>
      <c r="MDD12" s="249"/>
      <c r="MDE12" s="249"/>
      <c r="MDF12" s="249"/>
      <c r="MDG12" s="249"/>
      <c r="MDH12" s="249"/>
      <c r="MDI12" s="249"/>
      <c r="MDJ12" s="249"/>
      <c r="MDK12" s="249"/>
      <c r="MDL12" s="249"/>
      <c r="MDM12" s="249"/>
      <c r="MDN12" s="249"/>
      <c r="MDO12" s="249"/>
      <c r="MDP12" s="249"/>
      <c r="MDQ12" s="249"/>
      <c r="MDR12" s="249"/>
      <c r="MDS12" s="249"/>
      <c r="MDT12" s="249"/>
      <c r="MDU12" s="249"/>
      <c r="MDV12" s="249"/>
      <c r="MDW12" s="249"/>
      <c r="MDX12" s="249"/>
      <c r="MDY12" s="249"/>
      <c r="MDZ12" s="249"/>
      <c r="MEA12" s="249"/>
      <c r="MEB12" s="249"/>
      <c r="MEC12" s="249"/>
      <c r="MED12" s="249"/>
      <c r="MEE12" s="249"/>
      <c r="MEF12" s="249"/>
      <c r="MEG12" s="249"/>
      <c r="MEH12" s="249"/>
      <c r="MEI12" s="249"/>
      <c r="MEJ12" s="249"/>
      <c r="MEK12" s="249"/>
      <c r="MEL12" s="249"/>
      <c r="MEM12" s="249"/>
      <c r="MEN12" s="249"/>
      <c r="MEO12" s="249"/>
      <c r="MEP12" s="249"/>
      <c r="MEQ12" s="249"/>
      <c r="MER12" s="249"/>
      <c r="MES12" s="249"/>
      <c r="MET12" s="249"/>
      <c r="MEU12" s="249"/>
      <c r="MEV12" s="249"/>
      <c r="MEW12" s="249"/>
      <c r="MEX12" s="249"/>
      <c r="MEY12" s="249"/>
      <c r="MEZ12" s="249"/>
      <c r="MFA12" s="249"/>
      <c r="MFB12" s="249"/>
      <c r="MFC12" s="249"/>
      <c r="MFD12" s="249"/>
      <c r="MFE12" s="249"/>
      <c r="MFF12" s="249"/>
      <c r="MFG12" s="249"/>
      <c r="MFH12" s="249"/>
      <c r="MFI12" s="249"/>
      <c r="MFJ12" s="249"/>
      <c r="MFK12" s="249"/>
      <c r="MFL12" s="249"/>
      <c r="MFM12" s="249"/>
      <c r="MFN12" s="249"/>
      <c r="MFO12" s="249"/>
      <c r="MFP12" s="249"/>
      <c r="MFQ12" s="249"/>
      <c r="MFR12" s="249"/>
      <c r="MFS12" s="249"/>
      <c r="MFT12" s="249"/>
      <c r="MFU12" s="249"/>
      <c r="MFV12" s="249"/>
      <c r="MFW12" s="249"/>
      <c r="MFX12" s="249"/>
      <c r="MFY12" s="249"/>
      <c r="MFZ12" s="249"/>
      <c r="MGA12" s="249"/>
      <c r="MGB12" s="249"/>
      <c r="MGC12" s="249"/>
      <c r="MGD12" s="249"/>
      <c r="MGE12" s="249"/>
      <c r="MGF12" s="249"/>
      <c r="MGG12" s="249"/>
      <c r="MGH12" s="249"/>
      <c r="MGI12" s="249"/>
      <c r="MGJ12" s="249"/>
      <c r="MGK12" s="249"/>
      <c r="MGL12" s="249"/>
      <c r="MGM12" s="249"/>
      <c r="MGN12" s="249"/>
      <c r="MGO12" s="249"/>
      <c r="MGP12" s="249"/>
      <c r="MGQ12" s="249"/>
      <c r="MGR12" s="249"/>
      <c r="MGS12" s="249"/>
      <c r="MGT12" s="249"/>
      <c r="MGU12" s="249"/>
      <c r="MGV12" s="249"/>
      <c r="MGW12" s="249"/>
      <c r="MGX12" s="249"/>
      <c r="MGY12" s="249"/>
      <c r="MGZ12" s="249"/>
      <c r="MHA12" s="249"/>
      <c r="MHB12" s="249"/>
      <c r="MHC12" s="249"/>
      <c r="MHD12" s="249"/>
      <c r="MHE12" s="249"/>
      <c r="MHF12" s="249"/>
      <c r="MHG12" s="249"/>
      <c r="MHH12" s="249"/>
      <c r="MHI12" s="249"/>
      <c r="MHJ12" s="249"/>
      <c r="MHK12" s="249"/>
      <c r="MHL12" s="249"/>
      <c r="MHM12" s="249"/>
      <c r="MHN12" s="249"/>
      <c r="MHO12" s="249"/>
      <c r="MHP12" s="249"/>
      <c r="MHQ12" s="249"/>
      <c r="MHR12" s="249"/>
      <c r="MHS12" s="249"/>
      <c r="MHT12" s="249"/>
      <c r="MHU12" s="249"/>
      <c r="MHV12" s="249"/>
      <c r="MHW12" s="249"/>
      <c r="MHX12" s="249"/>
      <c r="MHY12" s="249"/>
      <c r="MHZ12" s="249"/>
      <c r="MIA12" s="249"/>
      <c r="MIB12" s="249"/>
      <c r="MIC12" s="249"/>
      <c r="MID12" s="249"/>
      <c r="MIE12" s="249"/>
      <c r="MIF12" s="249"/>
      <c r="MIG12" s="249"/>
      <c r="MIH12" s="249"/>
      <c r="MII12" s="249"/>
      <c r="MIJ12" s="249"/>
      <c r="MIK12" s="249"/>
      <c r="MIL12" s="249"/>
      <c r="MIM12" s="249"/>
      <c r="MIN12" s="249"/>
      <c r="MIO12" s="249"/>
      <c r="MIP12" s="249"/>
      <c r="MIQ12" s="249"/>
      <c r="MIR12" s="249"/>
      <c r="MIS12" s="249"/>
      <c r="MIT12" s="249"/>
      <c r="MIU12" s="249"/>
      <c r="MIV12" s="249"/>
      <c r="MIW12" s="249"/>
      <c r="MIX12" s="249"/>
      <c r="MIY12" s="249"/>
      <c r="MIZ12" s="249"/>
      <c r="MJA12" s="249"/>
      <c r="MJB12" s="249"/>
      <c r="MJC12" s="249"/>
      <c r="MJD12" s="249"/>
      <c r="MJE12" s="249"/>
      <c r="MJF12" s="249"/>
      <c r="MJG12" s="249"/>
      <c r="MJH12" s="249"/>
      <c r="MJI12" s="249"/>
      <c r="MJJ12" s="249"/>
      <c r="MJK12" s="249"/>
      <c r="MJL12" s="249"/>
      <c r="MJM12" s="249"/>
      <c r="MJN12" s="249"/>
      <c r="MJO12" s="249"/>
      <c r="MJP12" s="249"/>
      <c r="MJQ12" s="249"/>
      <c r="MJR12" s="249"/>
      <c r="MJS12" s="249"/>
      <c r="MJT12" s="249"/>
      <c r="MJU12" s="249"/>
      <c r="MJV12" s="249"/>
      <c r="MJW12" s="249"/>
      <c r="MJX12" s="249"/>
      <c r="MJY12" s="249"/>
      <c r="MJZ12" s="249"/>
      <c r="MKA12" s="249"/>
      <c r="MKB12" s="249"/>
      <c r="MKC12" s="249"/>
      <c r="MKD12" s="249"/>
      <c r="MKE12" s="249"/>
      <c r="MKF12" s="249"/>
      <c r="MKG12" s="249"/>
      <c r="MKH12" s="249"/>
      <c r="MKI12" s="249"/>
      <c r="MKJ12" s="249"/>
      <c r="MKK12" s="249"/>
      <c r="MKL12" s="249"/>
      <c r="MKM12" s="249"/>
      <c r="MKN12" s="249"/>
      <c r="MKO12" s="249"/>
      <c r="MKP12" s="249"/>
      <c r="MKQ12" s="249"/>
      <c r="MKR12" s="249"/>
      <c r="MKS12" s="249"/>
      <c r="MKT12" s="249"/>
      <c r="MKU12" s="249"/>
      <c r="MKV12" s="249"/>
      <c r="MKW12" s="249"/>
      <c r="MKX12" s="249"/>
      <c r="MKY12" s="249"/>
      <c r="MKZ12" s="249"/>
      <c r="MLA12" s="249"/>
      <c r="MLB12" s="249"/>
      <c r="MLC12" s="249"/>
      <c r="MLD12" s="249"/>
      <c r="MLE12" s="249"/>
      <c r="MLF12" s="249"/>
      <c r="MLG12" s="249"/>
      <c r="MLH12" s="249"/>
      <c r="MLI12" s="249"/>
      <c r="MLJ12" s="249"/>
      <c r="MLK12" s="249"/>
      <c r="MLL12" s="249"/>
      <c r="MLM12" s="249"/>
      <c r="MLN12" s="249"/>
      <c r="MLO12" s="249"/>
      <c r="MLP12" s="249"/>
      <c r="MLQ12" s="249"/>
      <c r="MLR12" s="249"/>
      <c r="MLS12" s="249"/>
      <c r="MLT12" s="249"/>
      <c r="MLU12" s="249"/>
      <c r="MLV12" s="249"/>
      <c r="MLW12" s="249"/>
      <c r="MLX12" s="249"/>
      <c r="MLY12" s="249"/>
      <c r="MLZ12" s="249"/>
      <c r="MMA12" s="249"/>
      <c r="MMB12" s="249"/>
      <c r="MMC12" s="249"/>
      <c r="MMD12" s="249"/>
      <c r="MME12" s="249"/>
      <c r="MMF12" s="249"/>
      <c r="MMG12" s="249"/>
      <c r="MMH12" s="249"/>
      <c r="MMI12" s="249"/>
      <c r="MMJ12" s="249"/>
      <c r="MMK12" s="249"/>
      <c r="MML12" s="249"/>
      <c r="MMM12" s="249"/>
      <c r="MMN12" s="249"/>
      <c r="MMO12" s="249"/>
      <c r="MMP12" s="249"/>
      <c r="MMQ12" s="249"/>
      <c r="MMR12" s="249"/>
      <c r="MMS12" s="249"/>
      <c r="MMT12" s="249"/>
      <c r="MMU12" s="249"/>
      <c r="MMV12" s="249"/>
      <c r="MMW12" s="249"/>
      <c r="MMX12" s="249"/>
      <c r="MMY12" s="249"/>
      <c r="MMZ12" s="249"/>
      <c r="MNA12" s="249"/>
      <c r="MNB12" s="249"/>
      <c r="MNC12" s="249"/>
      <c r="MND12" s="249"/>
      <c r="MNE12" s="249"/>
      <c r="MNF12" s="249"/>
      <c r="MNG12" s="249"/>
      <c r="MNH12" s="249"/>
      <c r="MNI12" s="249"/>
      <c r="MNJ12" s="249"/>
      <c r="MNK12" s="249"/>
      <c r="MNL12" s="249"/>
      <c r="MNM12" s="249"/>
      <c r="MNN12" s="249"/>
      <c r="MNO12" s="249"/>
      <c r="MNP12" s="249"/>
      <c r="MNQ12" s="249"/>
      <c r="MNR12" s="249"/>
      <c r="MNS12" s="249"/>
      <c r="MNT12" s="249"/>
      <c r="MNU12" s="249"/>
      <c r="MNV12" s="249"/>
      <c r="MNW12" s="249"/>
      <c r="MNX12" s="249"/>
      <c r="MNY12" s="249"/>
      <c r="MNZ12" s="249"/>
      <c r="MOA12" s="249"/>
      <c r="MOB12" s="249"/>
      <c r="MOC12" s="249"/>
      <c r="MOD12" s="249"/>
      <c r="MOE12" s="249"/>
      <c r="MOF12" s="249"/>
      <c r="MOG12" s="249"/>
      <c r="MOH12" s="249"/>
      <c r="MOI12" s="249"/>
      <c r="MOJ12" s="249"/>
      <c r="MOK12" s="249"/>
      <c r="MOL12" s="249"/>
      <c r="MOM12" s="249"/>
      <c r="MON12" s="249"/>
      <c r="MOO12" s="249"/>
      <c r="MOP12" s="249"/>
      <c r="MOQ12" s="249"/>
      <c r="MOR12" s="249"/>
      <c r="MOS12" s="249"/>
      <c r="MOT12" s="249"/>
      <c r="MOU12" s="249"/>
      <c r="MOV12" s="249"/>
      <c r="MOW12" s="249"/>
      <c r="MOX12" s="249"/>
      <c r="MOY12" s="249"/>
      <c r="MOZ12" s="249"/>
      <c r="MPA12" s="249"/>
      <c r="MPB12" s="249"/>
      <c r="MPC12" s="249"/>
      <c r="MPD12" s="249"/>
      <c r="MPE12" s="249"/>
      <c r="MPF12" s="249"/>
      <c r="MPG12" s="249"/>
      <c r="MPH12" s="249"/>
      <c r="MPI12" s="249"/>
      <c r="MPJ12" s="249"/>
      <c r="MPK12" s="249"/>
      <c r="MPL12" s="249"/>
      <c r="MPM12" s="249"/>
      <c r="MPN12" s="249"/>
      <c r="MPO12" s="249"/>
      <c r="MPP12" s="249"/>
      <c r="MPQ12" s="249"/>
      <c r="MPR12" s="249"/>
      <c r="MPS12" s="249"/>
      <c r="MPT12" s="249"/>
      <c r="MPU12" s="249"/>
      <c r="MPV12" s="249"/>
      <c r="MPW12" s="249"/>
      <c r="MPX12" s="249"/>
      <c r="MPY12" s="249"/>
      <c r="MPZ12" s="249"/>
      <c r="MQA12" s="249"/>
      <c r="MQB12" s="249"/>
      <c r="MQC12" s="249"/>
      <c r="MQD12" s="249"/>
      <c r="MQE12" s="249"/>
      <c r="MQF12" s="249"/>
      <c r="MQG12" s="249"/>
      <c r="MQH12" s="249"/>
      <c r="MQI12" s="249"/>
      <c r="MQJ12" s="249"/>
      <c r="MQK12" s="249"/>
      <c r="MQL12" s="249"/>
      <c r="MQM12" s="249"/>
      <c r="MQN12" s="249"/>
      <c r="MQO12" s="249"/>
      <c r="MQP12" s="249"/>
      <c r="MQQ12" s="249"/>
      <c r="MQR12" s="249"/>
      <c r="MQS12" s="249"/>
      <c r="MQT12" s="249"/>
      <c r="MQU12" s="249"/>
      <c r="MQV12" s="249"/>
      <c r="MQW12" s="249"/>
      <c r="MQX12" s="249"/>
      <c r="MQY12" s="249"/>
      <c r="MQZ12" s="249"/>
      <c r="MRA12" s="249"/>
      <c r="MRB12" s="249"/>
      <c r="MRC12" s="249"/>
      <c r="MRD12" s="249"/>
      <c r="MRE12" s="249"/>
      <c r="MRF12" s="249"/>
      <c r="MRG12" s="249"/>
      <c r="MRH12" s="249"/>
      <c r="MRI12" s="249"/>
      <c r="MRJ12" s="249"/>
      <c r="MRK12" s="249"/>
      <c r="MRL12" s="249"/>
      <c r="MRM12" s="249"/>
      <c r="MRN12" s="249"/>
      <c r="MRO12" s="249"/>
      <c r="MRP12" s="249"/>
      <c r="MRQ12" s="249"/>
      <c r="MRR12" s="249"/>
      <c r="MRS12" s="249"/>
      <c r="MRT12" s="249"/>
      <c r="MRU12" s="249"/>
      <c r="MRV12" s="249"/>
      <c r="MRW12" s="249"/>
      <c r="MRX12" s="249"/>
      <c r="MRY12" s="249"/>
      <c r="MRZ12" s="249"/>
      <c r="MSA12" s="249"/>
      <c r="MSB12" s="249"/>
      <c r="MSC12" s="249"/>
      <c r="MSD12" s="249"/>
      <c r="MSE12" s="249"/>
      <c r="MSF12" s="249"/>
      <c r="MSG12" s="249"/>
      <c r="MSH12" s="249"/>
      <c r="MSI12" s="249"/>
      <c r="MSJ12" s="249"/>
      <c r="MSK12" s="249"/>
      <c r="MSL12" s="249"/>
      <c r="MSM12" s="249"/>
      <c r="MSN12" s="249"/>
      <c r="MSO12" s="249"/>
      <c r="MSP12" s="249"/>
      <c r="MSQ12" s="249"/>
      <c r="MSR12" s="249"/>
      <c r="MSS12" s="249"/>
      <c r="MST12" s="249"/>
      <c r="MSU12" s="249"/>
      <c r="MSV12" s="249"/>
      <c r="MSW12" s="249"/>
      <c r="MSX12" s="249"/>
      <c r="MSY12" s="249"/>
      <c r="MSZ12" s="249"/>
      <c r="MTA12" s="249"/>
      <c r="MTB12" s="249"/>
      <c r="MTC12" s="249"/>
      <c r="MTD12" s="249"/>
      <c r="MTE12" s="249"/>
      <c r="MTF12" s="249"/>
      <c r="MTG12" s="249"/>
      <c r="MTH12" s="249"/>
      <c r="MTI12" s="249"/>
      <c r="MTJ12" s="249"/>
      <c r="MTK12" s="249"/>
      <c r="MTL12" s="249"/>
      <c r="MTM12" s="249"/>
      <c r="MTN12" s="249"/>
      <c r="MTO12" s="249"/>
      <c r="MTP12" s="249"/>
      <c r="MTQ12" s="249"/>
      <c r="MTR12" s="249"/>
      <c r="MTS12" s="249"/>
      <c r="MTT12" s="249"/>
      <c r="MTU12" s="249"/>
      <c r="MTV12" s="249"/>
      <c r="MTW12" s="249"/>
      <c r="MTX12" s="249"/>
      <c r="MTY12" s="249"/>
      <c r="MTZ12" s="249"/>
      <c r="MUA12" s="249"/>
      <c r="MUB12" s="249"/>
      <c r="MUC12" s="249"/>
      <c r="MUD12" s="249"/>
      <c r="MUE12" s="249"/>
      <c r="MUF12" s="249"/>
      <c r="MUG12" s="249"/>
      <c r="MUH12" s="249"/>
      <c r="MUI12" s="249"/>
      <c r="MUJ12" s="249"/>
      <c r="MUK12" s="249"/>
      <c r="MUL12" s="249"/>
      <c r="MUM12" s="249"/>
      <c r="MUN12" s="249"/>
      <c r="MUO12" s="249"/>
      <c r="MUP12" s="249"/>
      <c r="MUQ12" s="249"/>
      <c r="MUR12" s="249"/>
      <c r="MUS12" s="249"/>
      <c r="MUT12" s="249"/>
      <c r="MUU12" s="249"/>
      <c r="MUV12" s="249"/>
      <c r="MUW12" s="249"/>
      <c r="MUX12" s="249"/>
      <c r="MUY12" s="249"/>
      <c r="MUZ12" s="249"/>
      <c r="MVA12" s="249"/>
      <c r="MVB12" s="249"/>
      <c r="MVC12" s="249"/>
      <c r="MVD12" s="249"/>
      <c r="MVE12" s="249"/>
      <c r="MVF12" s="249"/>
      <c r="MVG12" s="249"/>
      <c r="MVH12" s="249"/>
      <c r="MVI12" s="249"/>
      <c r="MVJ12" s="249"/>
      <c r="MVK12" s="249"/>
      <c r="MVL12" s="249"/>
      <c r="MVM12" s="249"/>
      <c r="MVN12" s="249"/>
      <c r="MVO12" s="249"/>
      <c r="MVP12" s="249"/>
      <c r="MVQ12" s="249"/>
      <c r="MVR12" s="249"/>
      <c r="MVS12" s="249"/>
      <c r="MVT12" s="249"/>
      <c r="MVU12" s="249"/>
      <c r="MVV12" s="249"/>
      <c r="MVW12" s="249"/>
      <c r="MVX12" s="249"/>
      <c r="MVY12" s="249"/>
      <c r="MVZ12" s="249"/>
      <c r="MWA12" s="249"/>
      <c r="MWB12" s="249"/>
      <c r="MWC12" s="249"/>
      <c r="MWD12" s="249"/>
      <c r="MWE12" s="249"/>
      <c r="MWF12" s="249"/>
      <c r="MWG12" s="249"/>
      <c r="MWH12" s="249"/>
      <c r="MWI12" s="249"/>
      <c r="MWJ12" s="249"/>
      <c r="MWK12" s="249"/>
      <c r="MWL12" s="249"/>
      <c r="MWM12" s="249"/>
      <c r="MWN12" s="249"/>
      <c r="MWO12" s="249"/>
      <c r="MWP12" s="249"/>
      <c r="MWQ12" s="249"/>
      <c r="MWR12" s="249"/>
      <c r="MWS12" s="249"/>
      <c r="MWT12" s="249"/>
      <c r="MWU12" s="249"/>
      <c r="MWV12" s="249"/>
      <c r="MWW12" s="249"/>
      <c r="MWX12" s="249"/>
      <c r="MWY12" s="249"/>
      <c r="MWZ12" s="249"/>
      <c r="MXA12" s="249"/>
      <c r="MXB12" s="249"/>
      <c r="MXC12" s="249"/>
      <c r="MXD12" s="249"/>
      <c r="MXE12" s="249"/>
      <c r="MXF12" s="249"/>
      <c r="MXG12" s="249"/>
      <c r="MXH12" s="249"/>
      <c r="MXI12" s="249"/>
      <c r="MXJ12" s="249"/>
      <c r="MXK12" s="249"/>
      <c r="MXL12" s="249"/>
      <c r="MXM12" s="249"/>
      <c r="MXN12" s="249"/>
      <c r="MXO12" s="249"/>
      <c r="MXP12" s="249"/>
      <c r="MXQ12" s="249"/>
      <c r="MXR12" s="249"/>
      <c r="MXS12" s="249"/>
      <c r="MXT12" s="249"/>
      <c r="MXU12" s="249"/>
      <c r="MXV12" s="249"/>
      <c r="MXW12" s="249"/>
      <c r="MXX12" s="249"/>
      <c r="MXY12" s="249"/>
      <c r="MXZ12" s="249"/>
      <c r="MYA12" s="249"/>
      <c r="MYB12" s="249"/>
      <c r="MYC12" s="249"/>
      <c r="MYD12" s="249"/>
      <c r="MYE12" s="249"/>
      <c r="MYF12" s="249"/>
      <c r="MYG12" s="249"/>
      <c r="MYH12" s="249"/>
      <c r="MYI12" s="249"/>
      <c r="MYJ12" s="249"/>
      <c r="MYK12" s="249"/>
      <c r="MYL12" s="249"/>
      <c r="MYM12" s="249"/>
      <c r="MYN12" s="249"/>
      <c r="MYO12" s="249"/>
      <c r="MYP12" s="249"/>
      <c r="MYQ12" s="249"/>
      <c r="MYR12" s="249"/>
      <c r="MYS12" s="249"/>
      <c r="MYT12" s="249"/>
      <c r="MYU12" s="249"/>
      <c r="MYV12" s="249"/>
      <c r="MYW12" s="249"/>
      <c r="MYX12" s="249"/>
      <c r="MYY12" s="249"/>
      <c r="MYZ12" s="249"/>
      <c r="MZA12" s="249"/>
      <c r="MZB12" s="249"/>
      <c r="MZC12" s="249"/>
      <c r="MZD12" s="249"/>
      <c r="MZE12" s="249"/>
      <c r="MZF12" s="249"/>
      <c r="MZG12" s="249"/>
      <c r="MZH12" s="249"/>
      <c r="MZI12" s="249"/>
      <c r="MZJ12" s="249"/>
      <c r="MZK12" s="249"/>
      <c r="MZL12" s="249"/>
      <c r="MZM12" s="249"/>
      <c r="MZN12" s="249"/>
      <c r="MZO12" s="249"/>
      <c r="MZP12" s="249"/>
      <c r="MZQ12" s="249"/>
      <c r="MZR12" s="249"/>
      <c r="MZS12" s="249"/>
      <c r="MZT12" s="249"/>
      <c r="MZU12" s="249"/>
      <c r="MZV12" s="249"/>
      <c r="MZW12" s="249"/>
      <c r="MZX12" s="249"/>
      <c r="MZY12" s="249"/>
      <c r="MZZ12" s="249"/>
      <c r="NAA12" s="249"/>
      <c r="NAB12" s="249"/>
      <c r="NAC12" s="249"/>
      <c r="NAD12" s="249"/>
      <c r="NAE12" s="249"/>
      <c r="NAF12" s="249"/>
      <c r="NAG12" s="249"/>
      <c r="NAH12" s="249"/>
      <c r="NAI12" s="249"/>
      <c r="NAJ12" s="249"/>
      <c r="NAK12" s="249"/>
      <c r="NAL12" s="249"/>
      <c r="NAM12" s="249"/>
      <c r="NAN12" s="249"/>
      <c r="NAO12" s="249"/>
      <c r="NAP12" s="249"/>
      <c r="NAQ12" s="249"/>
      <c r="NAR12" s="249"/>
      <c r="NAS12" s="249"/>
      <c r="NAT12" s="249"/>
      <c r="NAU12" s="249"/>
      <c r="NAV12" s="249"/>
      <c r="NAW12" s="249"/>
      <c r="NAX12" s="249"/>
      <c r="NAY12" s="249"/>
      <c r="NAZ12" s="249"/>
      <c r="NBA12" s="249"/>
      <c r="NBB12" s="249"/>
      <c r="NBC12" s="249"/>
      <c r="NBD12" s="249"/>
      <c r="NBE12" s="249"/>
      <c r="NBF12" s="249"/>
      <c r="NBG12" s="249"/>
      <c r="NBH12" s="249"/>
      <c r="NBI12" s="249"/>
      <c r="NBJ12" s="249"/>
      <c r="NBK12" s="249"/>
      <c r="NBL12" s="249"/>
      <c r="NBM12" s="249"/>
      <c r="NBN12" s="249"/>
      <c r="NBO12" s="249"/>
      <c r="NBP12" s="249"/>
      <c r="NBQ12" s="249"/>
      <c r="NBR12" s="249"/>
      <c r="NBS12" s="249"/>
      <c r="NBT12" s="249"/>
      <c r="NBU12" s="249"/>
      <c r="NBV12" s="249"/>
      <c r="NBW12" s="249"/>
      <c r="NBX12" s="249"/>
      <c r="NBY12" s="249"/>
      <c r="NBZ12" s="249"/>
      <c r="NCA12" s="249"/>
      <c r="NCB12" s="249"/>
      <c r="NCC12" s="249"/>
      <c r="NCD12" s="249"/>
      <c r="NCE12" s="249"/>
      <c r="NCF12" s="249"/>
      <c r="NCG12" s="249"/>
      <c r="NCH12" s="249"/>
      <c r="NCI12" s="249"/>
      <c r="NCJ12" s="249"/>
      <c r="NCK12" s="249"/>
      <c r="NCL12" s="249"/>
      <c r="NCM12" s="249"/>
      <c r="NCN12" s="249"/>
      <c r="NCO12" s="249"/>
      <c r="NCP12" s="249"/>
      <c r="NCQ12" s="249"/>
      <c r="NCR12" s="249"/>
      <c r="NCS12" s="249"/>
      <c r="NCT12" s="249"/>
      <c r="NCU12" s="249"/>
      <c r="NCV12" s="249"/>
      <c r="NCW12" s="249"/>
      <c r="NCX12" s="249"/>
      <c r="NCY12" s="249"/>
      <c r="NCZ12" s="249"/>
      <c r="NDA12" s="249"/>
      <c r="NDB12" s="249"/>
      <c r="NDC12" s="249"/>
      <c r="NDD12" s="249"/>
      <c r="NDE12" s="249"/>
      <c r="NDF12" s="249"/>
      <c r="NDG12" s="249"/>
      <c r="NDH12" s="249"/>
      <c r="NDI12" s="249"/>
      <c r="NDJ12" s="249"/>
      <c r="NDK12" s="249"/>
      <c r="NDL12" s="249"/>
      <c r="NDM12" s="249"/>
      <c r="NDN12" s="249"/>
      <c r="NDO12" s="249"/>
      <c r="NDP12" s="249"/>
      <c r="NDQ12" s="249"/>
      <c r="NDR12" s="249"/>
      <c r="NDS12" s="249"/>
      <c r="NDT12" s="249"/>
      <c r="NDU12" s="249"/>
      <c r="NDV12" s="249"/>
      <c r="NDW12" s="249"/>
      <c r="NDX12" s="249"/>
      <c r="NDY12" s="249"/>
      <c r="NDZ12" s="249"/>
      <c r="NEA12" s="249"/>
      <c r="NEB12" s="249"/>
      <c r="NEC12" s="249"/>
      <c r="NED12" s="249"/>
      <c r="NEE12" s="249"/>
      <c r="NEF12" s="249"/>
      <c r="NEG12" s="249"/>
      <c r="NEH12" s="249"/>
      <c r="NEI12" s="249"/>
      <c r="NEJ12" s="249"/>
      <c r="NEK12" s="249"/>
      <c r="NEL12" s="249"/>
      <c r="NEM12" s="249"/>
      <c r="NEN12" s="249"/>
      <c r="NEO12" s="249"/>
      <c r="NEP12" s="249"/>
      <c r="NEQ12" s="249"/>
      <c r="NER12" s="249"/>
      <c r="NES12" s="249"/>
      <c r="NET12" s="249"/>
      <c r="NEU12" s="249"/>
      <c r="NEV12" s="249"/>
      <c r="NEW12" s="249"/>
      <c r="NEX12" s="249"/>
      <c r="NEY12" s="249"/>
      <c r="NEZ12" s="249"/>
      <c r="NFA12" s="249"/>
      <c r="NFB12" s="249"/>
      <c r="NFC12" s="249"/>
      <c r="NFD12" s="249"/>
      <c r="NFE12" s="249"/>
      <c r="NFF12" s="249"/>
      <c r="NFG12" s="249"/>
      <c r="NFH12" s="249"/>
      <c r="NFI12" s="249"/>
      <c r="NFJ12" s="249"/>
      <c r="NFK12" s="249"/>
      <c r="NFL12" s="249"/>
      <c r="NFM12" s="249"/>
      <c r="NFN12" s="249"/>
      <c r="NFO12" s="249"/>
      <c r="NFP12" s="249"/>
      <c r="NFQ12" s="249"/>
      <c r="NFR12" s="249"/>
      <c r="NFS12" s="249"/>
      <c r="NFT12" s="249"/>
      <c r="NFU12" s="249"/>
      <c r="NFV12" s="249"/>
      <c r="NFW12" s="249"/>
      <c r="NFX12" s="249"/>
      <c r="NFY12" s="249"/>
      <c r="NFZ12" s="249"/>
      <c r="NGA12" s="249"/>
      <c r="NGB12" s="249"/>
      <c r="NGC12" s="249"/>
      <c r="NGD12" s="249"/>
      <c r="NGE12" s="249"/>
      <c r="NGF12" s="249"/>
      <c r="NGG12" s="249"/>
      <c r="NGH12" s="249"/>
      <c r="NGI12" s="249"/>
      <c r="NGJ12" s="249"/>
      <c r="NGK12" s="249"/>
      <c r="NGL12" s="249"/>
      <c r="NGM12" s="249"/>
      <c r="NGN12" s="249"/>
      <c r="NGO12" s="249"/>
      <c r="NGP12" s="249"/>
      <c r="NGQ12" s="249"/>
      <c r="NGR12" s="249"/>
      <c r="NGS12" s="249"/>
      <c r="NGT12" s="249"/>
      <c r="NGU12" s="249"/>
      <c r="NGV12" s="249"/>
      <c r="NGW12" s="249"/>
      <c r="NGX12" s="249"/>
      <c r="NGY12" s="249"/>
      <c r="NGZ12" s="249"/>
      <c r="NHA12" s="249"/>
      <c r="NHB12" s="249"/>
      <c r="NHC12" s="249"/>
      <c r="NHD12" s="249"/>
      <c r="NHE12" s="249"/>
      <c r="NHF12" s="249"/>
      <c r="NHG12" s="249"/>
      <c r="NHH12" s="249"/>
      <c r="NHI12" s="249"/>
      <c r="NHJ12" s="249"/>
      <c r="NHK12" s="249"/>
      <c r="NHL12" s="249"/>
      <c r="NHM12" s="249"/>
      <c r="NHN12" s="249"/>
      <c r="NHO12" s="249"/>
      <c r="NHP12" s="249"/>
      <c r="NHQ12" s="249"/>
      <c r="NHR12" s="249"/>
      <c r="NHS12" s="249"/>
      <c r="NHT12" s="249"/>
      <c r="NHU12" s="249"/>
      <c r="NHV12" s="249"/>
      <c r="NHW12" s="249"/>
      <c r="NHX12" s="249"/>
      <c r="NHY12" s="249"/>
      <c r="NHZ12" s="249"/>
      <c r="NIA12" s="249"/>
      <c r="NIB12" s="249"/>
      <c r="NIC12" s="249"/>
      <c r="NID12" s="249"/>
      <c r="NIE12" s="249"/>
      <c r="NIF12" s="249"/>
      <c r="NIG12" s="249"/>
      <c r="NIH12" s="249"/>
      <c r="NII12" s="249"/>
      <c r="NIJ12" s="249"/>
      <c r="NIK12" s="249"/>
      <c r="NIL12" s="249"/>
      <c r="NIM12" s="249"/>
      <c r="NIN12" s="249"/>
      <c r="NIO12" s="249"/>
      <c r="NIP12" s="249"/>
      <c r="NIQ12" s="249"/>
      <c r="NIR12" s="249"/>
      <c r="NIS12" s="249"/>
      <c r="NIT12" s="249"/>
      <c r="NIU12" s="249"/>
      <c r="NIV12" s="249"/>
      <c r="NIW12" s="249"/>
      <c r="NIX12" s="249"/>
      <c r="NIY12" s="249"/>
      <c r="NIZ12" s="249"/>
      <c r="NJA12" s="249"/>
      <c r="NJB12" s="249"/>
      <c r="NJC12" s="249"/>
      <c r="NJD12" s="249"/>
      <c r="NJE12" s="249"/>
      <c r="NJF12" s="249"/>
      <c r="NJG12" s="249"/>
      <c r="NJH12" s="249"/>
      <c r="NJI12" s="249"/>
      <c r="NJJ12" s="249"/>
      <c r="NJK12" s="249"/>
      <c r="NJL12" s="249"/>
      <c r="NJM12" s="249"/>
      <c r="NJN12" s="249"/>
      <c r="NJO12" s="249"/>
      <c r="NJP12" s="249"/>
      <c r="NJQ12" s="249"/>
      <c r="NJR12" s="249"/>
      <c r="NJS12" s="249"/>
      <c r="NJT12" s="249"/>
      <c r="NJU12" s="249"/>
      <c r="NJV12" s="249"/>
      <c r="NJW12" s="249"/>
      <c r="NJX12" s="249"/>
      <c r="NJY12" s="249"/>
      <c r="NJZ12" s="249"/>
      <c r="NKA12" s="249"/>
      <c r="NKB12" s="249"/>
      <c r="NKC12" s="249"/>
      <c r="NKD12" s="249"/>
      <c r="NKE12" s="249"/>
      <c r="NKF12" s="249"/>
      <c r="NKG12" s="249"/>
      <c r="NKH12" s="249"/>
      <c r="NKI12" s="249"/>
      <c r="NKJ12" s="249"/>
      <c r="NKK12" s="249"/>
      <c r="NKL12" s="249"/>
      <c r="NKM12" s="249"/>
      <c r="NKN12" s="249"/>
      <c r="NKO12" s="249"/>
      <c r="NKP12" s="249"/>
      <c r="NKQ12" s="249"/>
      <c r="NKR12" s="249"/>
      <c r="NKS12" s="249"/>
      <c r="NKT12" s="249"/>
      <c r="NKU12" s="249"/>
      <c r="NKV12" s="249"/>
      <c r="NKW12" s="249"/>
      <c r="NKX12" s="249"/>
      <c r="NKY12" s="249"/>
      <c r="NKZ12" s="249"/>
      <c r="NLA12" s="249"/>
      <c r="NLB12" s="249"/>
      <c r="NLC12" s="249"/>
      <c r="NLD12" s="249"/>
      <c r="NLE12" s="249"/>
      <c r="NLF12" s="249"/>
      <c r="NLG12" s="249"/>
      <c r="NLH12" s="249"/>
      <c r="NLI12" s="249"/>
      <c r="NLJ12" s="249"/>
      <c r="NLK12" s="249"/>
      <c r="NLL12" s="249"/>
      <c r="NLM12" s="249"/>
      <c r="NLN12" s="249"/>
      <c r="NLO12" s="249"/>
      <c r="NLP12" s="249"/>
      <c r="NLQ12" s="249"/>
      <c r="NLR12" s="249"/>
      <c r="NLS12" s="249"/>
      <c r="NLT12" s="249"/>
      <c r="NLU12" s="249"/>
      <c r="NLV12" s="249"/>
      <c r="NLW12" s="249"/>
      <c r="NLX12" s="249"/>
      <c r="NLY12" s="249"/>
      <c r="NLZ12" s="249"/>
      <c r="NMA12" s="249"/>
      <c r="NMB12" s="249"/>
      <c r="NMC12" s="249"/>
      <c r="NMD12" s="249"/>
      <c r="NME12" s="249"/>
      <c r="NMF12" s="249"/>
      <c r="NMG12" s="249"/>
      <c r="NMH12" s="249"/>
      <c r="NMI12" s="249"/>
      <c r="NMJ12" s="249"/>
      <c r="NMK12" s="249"/>
      <c r="NML12" s="249"/>
      <c r="NMM12" s="249"/>
      <c r="NMN12" s="249"/>
      <c r="NMO12" s="249"/>
      <c r="NMP12" s="249"/>
      <c r="NMQ12" s="249"/>
      <c r="NMR12" s="249"/>
      <c r="NMS12" s="249"/>
      <c r="NMT12" s="249"/>
      <c r="NMU12" s="249"/>
      <c r="NMV12" s="249"/>
      <c r="NMW12" s="249"/>
      <c r="NMX12" s="249"/>
      <c r="NMY12" s="249"/>
      <c r="NMZ12" s="249"/>
      <c r="NNA12" s="249"/>
      <c r="NNB12" s="249"/>
      <c r="NNC12" s="249"/>
      <c r="NND12" s="249"/>
      <c r="NNE12" s="249"/>
      <c r="NNF12" s="249"/>
      <c r="NNG12" s="249"/>
      <c r="NNH12" s="249"/>
      <c r="NNI12" s="249"/>
      <c r="NNJ12" s="249"/>
      <c r="NNK12" s="249"/>
      <c r="NNL12" s="249"/>
      <c r="NNM12" s="249"/>
      <c r="NNN12" s="249"/>
      <c r="NNO12" s="249"/>
      <c r="NNP12" s="249"/>
      <c r="NNQ12" s="249"/>
      <c r="NNR12" s="249"/>
      <c r="NNS12" s="249"/>
      <c r="NNT12" s="249"/>
      <c r="NNU12" s="249"/>
      <c r="NNV12" s="249"/>
      <c r="NNW12" s="249"/>
      <c r="NNX12" s="249"/>
      <c r="NNY12" s="249"/>
      <c r="NNZ12" s="249"/>
      <c r="NOA12" s="249"/>
      <c r="NOB12" s="249"/>
      <c r="NOC12" s="249"/>
      <c r="NOD12" s="249"/>
      <c r="NOE12" s="249"/>
      <c r="NOF12" s="249"/>
      <c r="NOG12" s="249"/>
      <c r="NOH12" s="249"/>
      <c r="NOI12" s="249"/>
      <c r="NOJ12" s="249"/>
      <c r="NOK12" s="249"/>
      <c r="NOL12" s="249"/>
      <c r="NOM12" s="249"/>
      <c r="NON12" s="249"/>
      <c r="NOO12" s="249"/>
      <c r="NOP12" s="249"/>
      <c r="NOQ12" s="249"/>
      <c r="NOR12" s="249"/>
      <c r="NOS12" s="249"/>
      <c r="NOT12" s="249"/>
      <c r="NOU12" s="249"/>
      <c r="NOV12" s="249"/>
      <c r="NOW12" s="249"/>
      <c r="NOX12" s="249"/>
      <c r="NOY12" s="249"/>
      <c r="NOZ12" s="249"/>
      <c r="NPA12" s="249"/>
      <c r="NPB12" s="249"/>
      <c r="NPC12" s="249"/>
      <c r="NPD12" s="249"/>
      <c r="NPE12" s="249"/>
      <c r="NPF12" s="249"/>
      <c r="NPG12" s="249"/>
      <c r="NPH12" s="249"/>
      <c r="NPI12" s="249"/>
      <c r="NPJ12" s="249"/>
      <c r="NPK12" s="249"/>
      <c r="NPL12" s="249"/>
      <c r="NPM12" s="249"/>
      <c r="NPN12" s="249"/>
      <c r="NPO12" s="249"/>
      <c r="NPP12" s="249"/>
      <c r="NPQ12" s="249"/>
      <c r="NPR12" s="249"/>
      <c r="NPS12" s="249"/>
      <c r="NPT12" s="249"/>
      <c r="NPU12" s="249"/>
      <c r="NPV12" s="249"/>
      <c r="NPW12" s="249"/>
      <c r="NPX12" s="249"/>
      <c r="NPY12" s="249"/>
      <c r="NPZ12" s="249"/>
      <c r="NQA12" s="249"/>
      <c r="NQB12" s="249"/>
      <c r="NQC12" s="249"/>
      <c r="NQD12" s="249"/>
      <c r="NQE12" s="249"/>
      <c r="NQF12" s="249"/>
      <c r="NQG12" s="249"/>
      <c r="NQH12" s="249"/>
      <c r="NQI12" s="249"/>
      <c r="NQJ12" s="249"/>
      <c r="NQK12" s="249"/>
      <c r="NQL12" s="249"/>
      <c r="NQM12" s="249"/>
      <c r="NQN12" s="249"/>
      <c r="NQO12" s="249"/>
      <c r="NQP12" s="249"/>
      <c r="NQQ12" s="249"/>
      <c r="NQR12" s="249"/>
      <c r="NQS12" s="249"/>
      <c r="NQT12" s="249"/>
      <c r="NQU12" s="249"/>
      <c r="NQV12" s="249"/>
      <c r="NQW12" s="249"/>
      <c r="NQX12" s="249"/>
      <c r="NQY12" s="249"/>
      <c r="NQZ12" s="249"/>
      <c r="NRA12" s="249"/>
      <c r="NRB12" s="249"/>
      <c r="NRC12" s="249"/>
      <c r="NRD12" s="249"/>
      <c r="NRE12" s="249"/>
      <c r="NRF12" s="249"/>
      <c r="NRG12" s="249"/>
      <c r="NRH12" s="249"/>
      <c r="NRI12" s="249"/>
      <c r="NRJ12" s="249"/>
      <c r="NRK12" s="249"/>
      <c r="NRL12" s="249"/>
      <c r="NRM12" s="249"/>
      <c r="NRN12" s="249"/>
      <c r="NRO12" s="249"/>
      <c r="NRP12" s="249"/>
      <c r="NRQ12" s="249"/>
      <c r="NRR12" s="249"/>
      <c r="NRS12" s="249"/>
      <c r="NRT12" s="249"/>
      <c r="NRU12" s="249"/>
      <c r="NRV12" s="249"/>
      <c r="NRW12" s="249"/>
      <c r="NRX12" s="249"/>
      <c r="NRY12" s="249"/>
      <c r="NRZ12" s="249"/>
      <c r="NSA12" s="249"/>
      <c r="NSB12" s="249"/>
      <c r="NSC12" s="249"/>
      <c r="NSD12" s="249"/>
      <c r="NSE12" s="249"/>
      <c r="NSF12" s="249"/>
      <c r="NSG12" s="249"/>
      <c r="NSH12" s="249"/>
      <c r="NSI12" s="249"/>
      <c r="NSJ12" s="249"/>
      <c r="NSK12" s="249"/>
      <c r="NSL12" s="249"/>
      <c r="NSM12" s="249"/>
      <c r="NSN12" s="249"/>
      <c r="NSO12" s="249"/>
      <c r="NSP12" s="249"/>
      <c r="NSQ12" s="249"/>
      <c r="NSR12" s="249"/>
      <c r="NSS12" s="249"/>
      <c r="NST12" s="249"/>
      <c r="NSU12" s="249"/>
      <c r="NSV12" s="249"/>
      <c r="NSW12" s="249"/>
      <c r="NSX12" s="249"/>
      <c r="NSY12" s="249"/>
      <c r="NSZ12" s="249"/>
      <c r="NTA12" s="249"/>
      <c r="NTB12" s="249"/>
      <c r="NTC12" s="249"/>
      <c r="NTD12" s="249"/>
      <c r="NTE12" s="249"/>
      <c r="NTF12" s="249"/>
      <c r="NTG12" s="249"/>
      <c r="NTH12" s="249"/>
      <c r="NTI12" s="249"/>
      <c r="NTJ12" s="249"/>
      <c r="NTK12" s="249"/>
      <c r="NTL12" s="249"/>
      <c r="NTM12" s="249"/>
      <c r="NTN12" s="249"/>
      <c r="NTO12" s="249"/>
      <c r="NTP12" s="249"/>
      <c r="NTQ12" s="249"/>
      <c r="NTR12" s="249"/>
      <c r="NTS12" s="249"/>
      <c r="NTT12" s="249"/>
      <c r="NTU12" s="249"/>
      <c r="NTV12" s="249"/>
      <c r="NTW12" s="249"/>
      <c r="NTX12" s="249"/>
      <c r="NTY12" s="249"/>
      <c r="NTZ12" s="249"/>
      <c r="NUA12" s="249"/>
      <c r="NUB12" s="249"/>
      <c r="NUC12" s="249"/>
      <c r="NUD12" s="249"/>
      <c r="NUE12" s="249"/>
      <c r="NUF12" s="249"/>
      <c r="NUG12" s="249"/>
      <c r="NUH12" s="249"/>
      <c r="NUI12" s="249"/>
      <c r="NUJ12" s="249"/>
      <c r="NUK12" s="249"/>
      <c r="NUL12" s="249"/>
      <c r="NUM12" s="249"/>
      <c r="NUN12" s="249"/>
      <c r="NUO12" s="249"/>
      <c r="NUP12" s="249"/>
      <c r="NUQ12" s="249"/>
      <c r="NUR12" s="249"/>
      <c r="NUS12" s="249"/>
      <c r="NUT12" s="249"/>
      <c r="NUU12" s="249"/>
      <c r="NUV12" s="249"/>
      <c r="NUW12" s="249"/>
      <c r="NUX12" s="249"/>
      <c r="NUY12" s="249"/>
      <c r="NUZ12" s="249"/>
      <c r="NVA12" s="249"/>
      <c r="NVB12" s="249"/>
      <c r="NVC12" s="249"/>
      <c r="NVD12" s="249"/>
      <c r="NVE12" s="249"/>
      <c r="NVF12" s="249"/>
      <c r="NVG12" s="249"/>
      <c r="NVH12" s="249"/>
      <c r="NVI12" s="249"/>
      <c r="NVJ12" s="249"/>
      <c r="NVK12" s="249"/>
      <c r="NVL12" s="249"/>
      <c r="NVM12" s="249"/>
      <c r="NVN12" s="249"/>
      <c r="NVO12" s="249"/>
      <c r="NVP12" s="249"/>
      <c r="NVQ12" s="249"/>
      <c r="NVR12" s="249"/>
      <c r="NVS12" s="249"/>
      <c r="NVT12" s="249"/>
      <c r="NVU12" s="249"/>
      <c r="NVV12" s="249"/>
      <c r="NVW12" s="249"/>
      <c r="NVX12" s="249"/>
      <c r="NVY12" s="249"/>
      <c r="NVZ12" s="249"/>
      <c r="NWA12" s="249"/>
      <c r="NWB12" s="249"/>
      <c r="NWC12" s="249"/>
      <c r="NWD12" s="249"/>
      <c r="NWE12" s="249"/>
      <c r="NWF12" s="249"/>
      <c r="NWG12" s="249"/>
      <c r="NWH12" s="249"/>
      <c r="NWI12" s="249"/>
      <c r="NWJ12" s="249"/>
      <c r="NWK12" s="249"/>
      <c r="NWL12" s="249"/>
      <c r="NWM12" s="249"/>
      <c r="NWN12" s="249"/>
      <c r="NWO12" s="249"/>
      <c r="NWP12" s="249"/>
      <c r="NWQ12" s="249"/>
      <c r="NWR12" s="249"/>
      <c r="NWS12" s="249"/>
      <c r="NWT12" s="249"/>
      <c r="NWU12" s="249"/>
      <c r="NWV12" s="249"/>
      <c r="NWW12" s="249"/>
      <c r="NWX12" s="249"/>
      <c r="NWY12" s="249"/>
      <c r="NWZ12" s="249"/>
      <c r="NXA12" s="249"/>
      <c r="NXB12" s="249"/>
      <c r="NXC12" s="249"/>
      <c r="NXD12" s="249"/>
      <c r="NXE12" s="249"/>
      <c r="NXF12" s="249"/>
      <c r="NXG12" s="249"/>
      <c r="NXH12" s="249"/>
      <c r="NXI12" s="249"/>
      <c r="NXJ12" s="249"/>
      <c r="NXK12" s="249"/>
      <c r="NXL12" s="249"/>
      <c r="NXM12" s="249"/>
      <c r="NXN12" s="249"/>
      <c r="NXO12" s="249"/>
      <c r="NXP12" s="249"/>
      <c r="NXQ12" s="249"/>
      <c r="NXR12" s="249"/>
      <c r="NXS12" s="249"/>
      <c r="NXT12" s="249"/>
      <c r="NXU12" s="249"/>
      <c r="NXV12" s="249"/>
      <c r="NXW12" s="249"/>
      <c r="NXX12" s="249"/>
      <c r="NXY12" s="249"/>
      <c r="NXZ12" s="249"/>
      <c r="NYA12" s="249"/>
      <c r="NYB12" s="249"/>
      <c r="NYC12" s="249"/>
      <c r="NYD12" s="249"/>
      <c r="NYE12" s="249"/>
      <c r="NYF12" s="249"/>
      <c r="NYG12" s="249"/>
      <c r="NYH12" s="249"/>
      <c r="NYI12" s="249"/>
      <c r="NYJ12" s="249"/>
      <c r="NYK12" s="249"/>
      <c r="NYL12" s="249"/>
      <c r="NYM12" s="249"/>
      <c r="NYN12" s="249"/>
      <c r="NYO12" s="249"/>
      <c r="NYP12" s="249"/>
      <c r="NYQ12" s="249"/>
      <c r="NYR12" s="249"/>
      <c r="NYS12" s="249"/>
      <c r="NYT12" s="249"/>
      <c r="NYU12" s="249"/>
      <c r="NYV12" s="249"/>
      <c r="NYW12" s="249"/>
      <c r="NYX12" s="249"/>
      <c r="NYY12" s="249"/>
      <c r="NYZ12" s="249"/>
      <c r="NZA12" s="249"/>
      <c r="NZB12" s="249"/>
      <c r="NZC12" s="249"/>
      <c r="NZD12" s="249"/>
      <c r="NZE12" s="249"/>
      <c r="NZF12" s="249"/>
      <c r="NZG12" s="249"/>
      <c r="NZH12" s="249"/>
      <c r="NZI12" s="249"/>
      <c r="NZJ12" s="249"/>
      <c r="NZK12" s="249"/>
      <c r="NZL12" s="249"/>
      <c r="NZM12" s="249"/>
      <c r="NZN12" s="249"/>
      <c r="NZO12" s="249"/>
      <c r="NZP12" s="249"/>
      <c r="NZQ12" s="249"/>
      <c r="NZR12" s="249"/>
      <c r="NZS12" s="249"/>
      <c r="NZT12" s="249"/>
      <c r="NZU12" s="249"/>
      <c r="NZV12" s="249"/>
      <c r="NZW12" s="249"/>
      <c r="NZX12" s="249"/>
      <c r="NZY12" s="249"/>
      <c r="NZZ12" s="249"/>
      <c r="OAA12" s="249"/>
      <c r="OAB12" s="249"/>
      <c r="OAC12" s="249"/>
      <c r="OAD12" s="249"/>
      <c r="OAE12" s="249"/>
      <c r="OAF12" s="249"/>
      <c r="OAG12" s="249"/>
      <c r="OAH12" s="249"/>
      <c r="OAI12" s="249"/>
      <c r="OAJ12" s="249"/>
      <c r="OAK12" s="249"/>
      <c r="OAL12" s="249"/>
      <c r="OAM12" s="249"/>
      <c r="OAN12" s="249"/>
      <c r="OAO12" s="249"/>
      <c r="OAP12" s="249"/>
      <c r="OAQ12" s="249"/>
      <c r="OAR12" s="249"/>
      <c r="OAS12" s="249"/>
      <c r="OAT12" s="249"/>
      <c r="OAU12" s="249"/>
      <c r="OAV12" s="249"/>
      <c r="OAW12" s="249"/>
      <c r="OAX12" s="249"/>
      <c r="OAY12" s="249"/>
      <c r="OAZ12" s="249"/>
      <c r="OBA12" s="249"/>
      <c r="OBB12" s="249"/>
      <c r="OBC12" s="249"/>
      <c r="OBD12" s="249"/>
      <c r="OBE12" s="249"/>
      <c r="OBF12" s="249"/>
      <c r="OBG12" s="249"/>
      <c r="OBH12" s="249"/>
      <c r="OBI12" s="249"/>
      <c r="OBJ12" s="249"/>
      <c r="OBK12" s="249"/>
      <c r="OBL12" s="249"/>
      <c r="OBM12" s="249"/>
      <c r="OBN12" s="249"/>
      <c r="OBO12" s="249"/>
      <c r="OBP12" s="249"/>
      <c r="OBQ12" s="249"/>
      <c r="OBR12" s="249"/>
      <c r="OBS12" s="249"/>
      <c r="OBT12" s="249"/>
      <c r="OBU12" s="249"/>
      <c r="OBV12" s="249"/>
      <c r="OBW12" s="249"/>
      <c r="OBX12" s="249"/>
      <c r="OBY12" s="249"/>
      <c r="OBZ12" s="249"/>
      <c r="OCA12" s="249"/>
      <c r="OCB12" s="249"/>
      <c r="OCC12" s="249"/>
      <c r="OCD12" s="249"/>
      <c r="OCE12" s="249"/>
      <c r="OCF12" s="249"/>
      <c r="OCG12" s="249"/>
      <c r="OCH12" s="249"/>
      <c r="OCI12" s="249"/>
      <c r="OCJ12" s="249"/>
      <c r="OCK12" s="249"/>
      <c r="OCL12" s="249"/>
      <c r="OCM12" s="249"/>
      <c r="OCN12" s="249"/>
      <c r="OCO12" s="249"/>
      <c r="OCP12" s="249"/>
      <c r="OCQ12" s="249"/>
      <c r="OCR12" s="249"/>
      <c r="OCS12" s="249"/>
      <c r="OCT12" s="249"/>
      <c r="OCU12" s="249"/>
      <c r="OCV12" s="249"/>
      <c r="OCW12" s="249"/>
      <c r="OCX12" s="249"/>
      <c r="OCY12" s="249"/>
      <c r="OCZ12" s="249"/>
      <c r="ODA12" s="249"/>
      <c r="ODB12" s="249"/>
      <c r="ODC12" s="249"/>
      <c r="ODD12" s="249"/>
      <c r="ODE12" s="249"/>
      <c r="ODF12" s="249"/>
      <c r="ODG12" s="249"/>
      <c r="ODH12" s="249"/>
      <c r="ODI12" s="249"/>
      <c r="ODJ12" s="249"/>
      <c r="ODK12" s="249"/>
      <c r="ODL12" s="249"/>
      <c r="ODM12" s="249"/>
      <c r="ODN12" s="249"/>
      <c r="ODO12" s="249"/>
      <c r="ODP12" s="249"/>
      <c r="ODQ12" s="249"/>
      <c r="ODR12" s="249"/>
      <c r="ODS12" s="249"/>
      <c r="ODT12" s="249"/>
      <c r="ODU12" s="249"/>
      <c r="ODV12" s="249"/>
      <c r="ODW12" s="249"/>
      <c r="ODX12" s="249"/>
      <c r="ODY12" s="249"/>
      <c r="ODZ12" s="249"/>
      <c r="OEA12" s="249"/>
      <c r="OEB12" s="249"/>
      <c r="OEC12" s="249"/>
      <c r="OED12" s="249"/>
      <c r="OEE12" s="249"/>
      <c r="OEF12" s="249"/>
      <c r="OEG12" s="249"/>
      <c r="OEH12" s="249"/>
      <c r="OEI12" s="249"/>
      <c r="OEJ12" s="249"/>
      <c r="OEK12" s="249"/>
      <c r="OEL12" s="249"/>
      <c r="OEM12" s="249"/>
      <c r="OEN12" s="249"/>
      <c r="OEO12" s="249"/>
      <c r="OEP12" s="249"/>
      <c r="OEQ12" s="249"/>
      <c r="OER12" s="249"/>
      <c r="OES12" s="249"/>
      <c r="OET12" s="249"/>
      <c r="OEU12" s="249"/>
      <c r="OEV12" s="249"/>
      <c r="OEW12" s="249"/>
      <c r="OEX12" s="249"/>
      <c r="OEY12" s="249"/>
      <c r="OEZ12" s="249"/>
      <c r="OFA12" s="249"/>
      <c r="OFB12" s="249"/>
      <c r="OFC12" s="249"/>
      <c r="OFD12" s="249"/>
      <c r="OFE12" s="249"/>
      <c r="OFF12" s="249"/>
      <c r="OFG12" s="249"/>
      <c r="OFH12" s="249"/>
      <c r="OFI12" s="249"/>
      <c r="OFJ12" s="249"/>
      <c r="OFK12" s="249"/>
      <c r="OFL12" s="249"/>
      <c r="OFM12" s="249"/>
      <c r="OFN12" s="249"/>
      <c r="OFO12" s="249"/>
      <c r="OFP12" s="249"/>
      <c r="OFQ12" s="249"/>
      <c r="OFR12" s="249"/>
      <c r="OFS12" s="249"/>
      <c r="OFT12" s="249"/>
      <c r="OFU12" s="249"/>
      <c r="OFV12" s="249"/>
      <c r="OFW12" s="249"/>
      <c r="OFX12" s="249"/>
      <c r="OFY12" s="249"/>
      <c r="OFZ12" s="249"/>
      <c r="OGA12" s="249"/>
      <c r="OGB12" s="249"/>
      <c r="OGC12" s="249"/>
      <c r="OGD12" s="249"/>
      <c r="OGE12" s="249"/>
      <c r="OGF12" s="249"/>
      <c r="OGG12" s="249"/>
      <c r="OGH12" s="249"/>
      <c r="OGI12" s="249"/>
      <c r="OGJ12" s="249"/>
      <c r="OGK12" s="249"/>
      <c r="OGL12" s="249"/>
      <c r="OGM12" s="249"/>
      <c r="OGN12" s="249"/>
      <c r="OGO12" s="249"/>
      <c r="OGP12" s="249"/>
      <c r="OGQ12" s="249"/>
      <c r="OGR12" s="249"/>
      <c r="OGS12" s="249"/>
      <c r="OGT12" s="249"/>
      <c r="OGU12" s="249"/>
      <c r="OGV12" s="249"/>
      <c r="OGW12" s="249"/>
      <c r="OGX12" s="249"/>
      <c r="OGY12" s="249"/>
      <c r="OGZ12" s="249"/>
      <c r="OHA12" s="249"/>
      <c r="OHB12" s="249"/>
      <c r="OHC12" s="249"/>
      <c r="OHD12" s="249"/>
      <c r="OHE12" s="249"/>
      <c r="OHF12" s="249"/>
      <c r="OHG12" s="249"/>
      <c r="OHH12" s="249"/>
      <c r="OHI12" s="249"/>
      <c r="OHJ12" s="249"/>
      <c r="OHK12" s="249"/>
      <c r="OHL12" s="249"/>
      <c r="OHM12" s="249"/>
      <c r="OHN12" s="249"/>
      <c r="OHO12" s="249"/>
      <c r="OHP12" s="249"/>
      <c r="OHQ12" s="249"/>
      <c r="OHR12" s="249"/>
      <c r="OHS12" s="249"/>
      <c r="OHT12" s="249"/>
      <c r="OHU12" s="249"/>
      <c r="OHV12" s="249"/>
      <c r="OHW12" s="249"/>
      <c r="OHX12" s="249"/>
      <c r="OHY12" s="249"/>
      <c r="OHZ12" s="249"/>
      <c r="OIA12" s="249"/>
      <c r="OIB12" s="249"/>
      <c r="OIC12" s="249"/>
      <c r="OID12" s="249"/>
      <c r="OIE12" s="249"/>
      <c r="OIF12" s="249"/>
      <c r="OIG12" s="249"/>
      <c r="OIH12" s="249"/>
      <c r="OII12" s="249"/>
      <c r="OIJ12" s="249"/>
      <c r="OIK12" s="249"/>
      <c r="OIL12" s="249"/>
      <c r="OIM12" s="249"/>
      <c r="OIN12" s="249"/>
      <c r="OIO12" s="249"/>
      <c r="OIP12" s="249"/>
      <c r="OIQ12" s="249"/>
      <c r="OIR12" s="249"/>
      <c r="OIS12" s="249"/>
      <c r="OIT12" s="249"/>
      <c r="OIU12" s="249"/>
      <c r="OIV12" s="249"/>
      <c r="OIW12" s="249"/>
      <c r="OIX12" s="249"/>
      <c r="OIY12" s="249"/>
      <c r="OIZ12" s="249"/>
      <c r="OJA12" s="249"/>
      <c r="OJB12" s="249"/>
      <c r="OJC12" s="249"/>
      <c r="OJD12" s="249"/>
      <c r="OJE12" s="249"/>
      <c r="OJF12" s="249"/>
      <c r="OJG12" s="249"/>
      <c r="OJH12" s="249"/>
      <c r="OJI12" s="249"/>
      <c r="OJJ12" s="249"/>
      <c r="OJK12" s="249"/>
      <c r="OJL12" s="249"/>
      <c r="OJM12" s="249"/>
      <c r="OJN12" s="249"/>
      <c r="OJO12" s="249"/>
      <c r="OJP12" s="249"/>
      <c r="OJQ12" s="249"/>
      <c r="OJR12" s="249"/>
      <c r="OJS12" s="249"/>
      <c r="OJT12" s="249"/>
      <c r="OJU12" s="249"/>
      <c r="OJV12" s="249"/>
      <c r="OJW12" s="249"/>
      <c r="OJX12" s="249"/>
      <c r="OJY12" s="249"/>
      <c r="OJZ12" s="249"/>
      <c r="OKA12" s="249"/>
      <c r="OKB12" s="249"/>
      <c r="OKC12" s="249"/>
      <c r="OKD12" s="249"/>
      <c r="OKE12" s="249"/>
      <c r="OKF12" s="249"/>
      <c r="OKG12" s="249"/>
      <c r="OKH12" s="249"/>
      <c r="OKI12" s="249"/>
      <c r="OKJ12" s="249"/>
      <c r="OKK12" s="249"/>
      <c r="OKL12" s="249"/>
      <c r="OKM12" s="249"/>
      <c r="OKN12" s="249"/>
      <c r="OKO12" s="249"/>
      <c r="OKP12" s="249"/>
      <c r="OKQ12" s="249"/>
      <c r="OKR12" s="249"/>
      <c r="OKS12" s="249"/>
      <c r="OKT12" s="249"/>
      <c r="OKU12" s="249"/>
      <c r="OKV12" s="249"/>
      <c r="OKW12" s="249"/>
      <c r="OKX12" s="249"/>
      <c r="OKY12" s="249"/>
      <c r="OKZ12" s="249"/>
      <c r="OLA12" s="249"/>
      <c r="OLB12" s="249"/>
      <c r="OLC12" s="249"/>
      <c r="OLD12" s="249"/>
      <c r="OLE12" s="249"/>
      <c r="OLF12" s="249"/>
      <c r="OLG12" s="249"/>
      <c r="OLH12" s="249"/>
      <c r="OLI12" s="249"/>
      <c r="OLJ12" s="249"/>
      <c r="OLK12" s="249"/>
      <c r="OLL12" s="249"/>
      <c r="OLM12" s="249"/>
      <c r="OLN12" s="249"/>
      <c r="OLO12" s="249"/>
      <c r="OLP12" s="249"/>
      <c r="OLQ12" s="249"/>
      <c r="OLR12" s="249"/>
      <c r="OLS12" s="249"/>
      <c r="OLT12" s="249"/>
      <c r="OLU12" s="249"/>
      <c r="OLV12" s="249"/>
      <c r="OLW12" s="249"/>
      <c r="OLX12" s="249"/>
      <c r="OLY12" s="249"/>
      <c r="OLZ12" s="249"/>
      <c r="OMA12" s="249"/>
      <c r="OMB12" s="249"/>
      <c r="OMC12" s="249"/>
      <c r="OMD12" s="249"/>
      <c r="OME12" s="249"/>
      <c r="OMF12" s="249"/>
      <c r="OMG12" s="249"/>
      <c r="OMH12" s="249"/>
      <c r="OMI12" s="249"/>
      <c r="OMJ12" s="249"/>
      <c r="OMK12" s="249"/>
      <c r="OML12" s="249"/>
      <c r="OMM12" s="249"/>
      <c r="OMN12" s="249"/>
      <c r="OMO12" s="249"/>
      <c r="OMP12" s="249"/>
      <c r="OMQ12" s="249"/>
      <c r="OMR12" s="249"/>
      <c r="OMS12" s="249"/>
      <c r="OMT12" s="249"/>
      <c r="OMU12" s="249"/>
      <c r="OMV12" s="249"/>
      <c r="OMW12" s="249"/>
      <c r="OMX12" s="249"/>
      <c r="OMY12" s="249"/>
      <c r="OMZ12" s="249"/>
      <c r="ONA12" s="249"/>
      <c r="ONB12" s="249"/>
      <c r="ONC12" s="249"/>
      <c r="OND12" s="249"/>
      <c r="ONE12" s="249"/>
      <c r="ONF12" s="249"/>
      <c r="ONG12" s="249"/>
      <c r="ONH12" s="249"/>
      <c r="ONI12" s="249"/>
      <c r="ONJ12" s="249"/>
      <c r="ONK12" s="249"/>
      <c r="ONL12" s="249"/>
      <c r="ONM12" s="249"/>
      <c r="ONN12" s="249"/>
      <c r="ONO12" s="249"/>
      <c r="ONP12" s="249"/>
      <c r="ONQ12" s="249"/>
      <c r="ONR12" s="249"/>
      <c r="ONS12" s="249"/>
      <c r="ONT12" s="249"/>
      <c r="ONU12" s="249"/>
      <c r="ONV12" s="249"/>
      <c r="ONW12" s="249"/>
      <c r="ONX12" s="249"/>
      <c r="ONY12" s="249"/>
      <c r="ONZ12" s="249"/>
      <c r="OOA12" s="249"/>
      <c r="OOB12" s="249"/>
      <c r="OOC12" s="249"/>
      <c r="OOD12" s="249"/>
      <c r="OOE12" s="249"/>
      <c r="OOF12" s="249"/>
      <c r="OOG12" s="249"/>
      <c r="OOH12" s="249"/>
      <c r="OOI12" s="249"/>
      <c r="OOJ12" s="249"/>
      <c r="OOK12" s="249"/>
      <c r="OOL12" s="249"/>
      <c r="OOM12" s="249"/>
      <c r="OON12" s="249"/>
      <c r="OOO12" s="249"/>
      <c r="OOP12" s="249"/>
      <c r="OOQ12" s="249"/>
      <c r="OOR12" s="249"/>
      <c r="OOS12" s="249"/>
      <c r="OOT12" s="249"/>
      <c r="OOU12" s="249"/>
      <c r="OOV12" s="249"/>
      <c r="OOW12" s="249"/>
      <c r="OOX12" s="249"/>
      <c r="OOY12" s="249"/>
      <c r="OOZ12" s="249"/>
      <c r="OPA12" s="249"/>
      <c r="OPB12" s="249"/>
      <c r="OPC12" s="249"/>
      <c r="OPD12" s="249"/>
      <c r="OPE12" s="249"/>
      <c r="OPF12" s="249"/>
      <c r="OPG12" s="249"/>
      <c r="OPH12" s="249"/>
      <c r="OPI12" s="249"/>
      <c r="OPJ12" s="249"/>
      <c r="OPK12" s="249"/>
      <c r="OPL12" s="249"/>
      <c r="OPM12" s="249"/>
      <c r="OPN12" s="249"/>
      <c r="OPO12" s="249"/>
      <c r="OPP12" s="249"/>
      <c r="OPQ12" s="249"/>
      <c r="OPR12" s="249"/>
      <c r="OPS12" s="249"/>
      <c r="OPT12" s="249"/>
      <c r="OPU12" s="249"/>
      <c r="OPV12" s="249"/>
      <c r="OPW12" s="249"/>
      <c r="OPX12" s="249"/>
      <c r="OPY12" s="249"/>
      <c r="OPZ12" s="249"/>
      <c r="OQA12" s="249"/>
      <c r="OQB12" s="249"/>
      <c r="OQC12" s="249"/>
      <c r="OQD12" s="249"/>
      <c r="OQE12" s="249"/>
      <c r="OQF12" s="249"/>
      <c r="OQG12" s="249"/>
      <c r="OQH12" s="249"/>
      <c r="OQI12" s="249"/>
      <c r="OQJ12" s="249"/>
      <c r="OQK12" s="249"/>
      <c r="OQL12" s="249"/>
      <c r="OQM12" s="249"/>
      <c r="OQN12" s="249"/>
      <c r="OQO12" s="249"/>
      <c r="OQP12" s="249"/>
      <c r="OQQ12" s="249"/>
      <c r="OQR12" s="249"/>
      <c r="OQS12" s="249"/>
      <c r="OQT12" s="249"/>
      <c r="OQU12" s="249"/>
      <c r="OQV12" s="249"/>
      <c r="OQW12" s="249"/>
      <c r="OQX12" s="249"/>
      <c r="OQY12" s="249"/>
      <c r="OQZ12" s="249"/>
      <c r="ORA12" s="249"/>
      <c r="ORB12" s="249"/>
      <c r="ORC12" s="249"/>
      <c r="ORD12" s="249"/>
      <c r="ORE12" s="249"/>
      <c r="ORF12" s="249"/>
      <c r="ORG12" s="249"/>
      <c r="ORH12" s="249"/>
      <c r="ORI12" s="249"/>
      <c r="ORJ12" s="249"/>
      <c r="ORK12" s="249"/>
      <c r="ORL12" s="249"/>
      <c r="ORM12" s="249"/>
      <c r="ORN12" s="249"/>
      <c r="ORO12" s="249"/>
      <c r="ORP12" s="249"/>
      <c r="ORQ12" s="249"/>
      <c r="ORR12" s="249"/>
      <c r="ORS12" s="249"/>
      <c r="ORT12" s="249"/>
      <c r="ORU12" s="249"/>
      <c r="ORV12" s="249"/>
      <c r="ORW12" s="249"/>
      <c r="ORX12" s="249"/>
      <c r="ORY12" s="249"/>
      <c r="ORZ12" s="249"/>
      <c r="OSA12" s="249"/>
      <c r="OSB12" s="249"/>
      <c r="OSC12" s="249"/>
      <c r="OSD12" s="249"/>
      <c r="OSE12" s="249"/>
      <c r="OSF12" s="249"/>
      <c r="OSG12" s="249"/>
      <c r="OSH12" s="249"/>
      <c r="OSI12" s="249"/>
      <c r="OSJ12" s="249"/>
      <c r="OSK12" s="249"/>
      <c r="OSL12" s="249"/>
      <c r="OSM12" s="249"/>
      <c r="OSN12" s="249"/>
      <c r="OSO12" s="249"/>
      <c r="OSP12" s="249"/>
      <c r="OSQ12" s="249"/>
      <c r="OSR12" s="249"/>
      <c r="OSS12" s="249"/>
      <c r="OST12" s="249"/>
      <c r="OSU12" s="249"/>
      <c r="OSV12" s="249"/>
      <c r="OSW12" s="249"/>
      <c r="OSX12" s="249"/>
      <c r="OSY12" s="249"/>
      <c r="OSZ12" s="249"/>
      <c r="OTA12" s="249"/>
      <c r="OTB12" s="249"/>
      <c r="OTC12" s="249"/>
      <c r="OTD12" s="249"/>
      <c r="OTE12" s="249"/>
      <c r="OTF12" s="249"/>
      <c r="OTG12" s="249"/>
      <c r="OTH12" s="249"/>
      <c r="OTI12" s="249"/>
      <c r="OTJ12" s="249"/>
      <c r="OTK12" s="249"/>
      <c r="OTL12" s="249"/>
      <c r="OTM12" s="249"/>
      <c r="OTN12" s="249"/>
      <c r="OTO12" s="249"/>
      <c r="OTP12" s="249"/>
      <c r="OTQ12" s="249"/>
      <c r="OTR12" s="249"/>
      <c r="OTS12" s="249"/>
      <c r="OTT12" s="249"/>
      <c r="OTU12" s="249"/>
      <c r="OTV12" s="249"/>
      <c r="OTW12" s="249"/>
      <c r="OTX12" s="249"/>
      <c r="OTY12" s="249"/>
      <c r="OTZ12" s="249"/>
      <c r="OUA12" s="249"/>
      <c r="OUB12" s="249"/>
      <c r="OUC12" s="249"/>
      <c r="OUD12" s="249"/>
      <c r="OUE12" s="249"/>
      <c r="OUF12" s="249"/>
      <c r="OUG12" s="249"/>
      <c r="OUH12" s="249"/>
      <c r="OUI12" s="249"/>
      <c r="OUJ12" s="249"/>
      <c r="OUK12" s="249"/>
      <c r="OUL12" s="249"/>
      <c r="OUM12" s="249"/>
      <c r="OUN12" s="249"/>
      <c r="OUO12" s="249"/>
      <c r="OUP12" s="249"/>
      <c r="OUQ12" s="249"/>
      <c r="OUR12" s="249"/>
      <c r="OUS12" s="249"/>
      <c r="OUT12" s="249"/>
      <c r="OUU12" s="249"/>
      <c r="OUV12" s="249"/>
      <c r="OUW12" s="249"/>
      <c r="OUX12" s="249"/>
      <c r="OUY12" s="249"/>
      <c r="OUZ12" s="249"/>
      <c r="OVA12" s="249"/>
      <c r="OVB12" s="249"/>
      <c r="OVC12" s="249"/>
      <c r="OVD12" s="249"/>
      <c r="OVE12" s="249"/>
      <c r="OVF12" s="249"/>
      <c r="OVG12" s="249"/>
      <c r="OVH12" s="249"/>
      <c r="OVI12" s="249"/>
      <c r="OVJ12" s="249"/>
      <c r="OVK12" s="249"/>
      <c r="OVL12" s="249"/>
      <c r="OVM12" s="249"/>
      <c r="OVN12" s="249"/>
      <c r="OVO12" s="249"/>
      <c r="OVP12" s="249"/>
      <c r="OVQ12" s="249"/>
      <c r="OVR12" s="249"/>
      <c r="OVS12" s="249"/>
      <c r="OVT12" s="249"/>
      <c r="OVU12" s="249"/>
      <c r="OVV12" s="249"/>
      <c r="OVW12" s="249"/>
      <c r="OVX12" s="249"/>
      <c r="OVY12" s="249"/>
      <c r="OVZ12" s="249"/>
      <c r="OWA12" s="249"/>
      <c r="OWB12" s="249"/>
      <c r="OWC12" s="249"/>
      <c r="OWD12" s="249"/>
      <c r="OWE12" s="249"/>
      <c r="OWF12" s="249"/>
      <c r="OWG12" s="249"/>
      <c r="OWH12" s="249"/>
      <c r="OWI12" s="249"/>
      <c r="OWJ12" s="249"/>
      <c r="OWK12" s="249"/>
      <c r="OWL12" s="249"/>
      <c r="OWM12" s="249"/>
      <c r="OWN12" s="249"/>
      <c r="OWO12" s="249"/>
      <c r="OWP12" s="249"/>
      <c r="OWQ12" s="249"/>
      <c r="OWR12" s="249"/>
      <c r="OWS12" s="249"/>
      <c r="OWT12" s="249"/>
      <c r="OWU12" s="249"/>
      <c r="OWV12" s="249"/>
      <c r="OWW12" s="249"/>
      <c r="OWX12" s="249"/>
      <c r="OWY12" s="249"/>
      <c r="OWZ12" s="249"/>
      <c r="OXA12" s="249"/>
      <c r="OXB12" s="249"/>
      <c r="OXC12" s="249"/>
      <c r="OXD12" s="249"/>
      <c r="OXE12" s="249"/>
      <c r="OXF12" s="249"/>
      <c r="OXG12" s="249"/>
      <c r="OXH12" s="249"/>
      <c r="OXI12" s="249"/>
      <c r="OXJ12" s="249"/>
      <c r="OXK12" s="249"/>
      <c r="OXL12" s="249"/>
      <c r="OXM12" s="249"/>
      <c r="OXN12" s="249"/>
      <c r="OXO12" s="249"/>
      <c r="OXP12" s="249"/>
      <c r="OXQ12" s="249"/>
      <c r="OXR12" s="249"/>
      <c r="OXS12" s="249"/>
      <c r="OXT12" s="249"/>
      <c r="OXU12" s="249"/>
      <c r="OXV12" s="249"/>
      <c r="OXW12" s="249"/>
      <c r="OXX12" s="249"/>
      <c r="OXY12" s="249"/>
      <c r="OXZ12" s="249"/>
      <c r="OYA12" s="249"/>
      <c r="OYB12" s="249"/>
      <c r="OYC12" s="249"/>
      <c r="OYD12" s="249"/>
      <c r="OYE12" s="249"/>
      <c r="OYF12" s="249"/>
      <c r="OYG12" s="249"/>
      <c r="OYH12" s="249"/>
      <c r="OYI12" s="249"/>
      <c r="OYJ12" s="249"/>
      <c r="OYK12" s="249"/>
      <c r="OYL12" s="249"/>
      <c r="OYM12" s="249"/>
      <c r="OYN12" s="249"/>
      <c r="OYO12" s="249"/>
      <c r="OYP12" s="249"/>
      <c r="OYQ12" s="249"/>
      <c r="OYR12" s="249"/>
      <c r="OYS12" s="249"/>
      <c r="OYT12" s="249"/>
      <c r="OYU12" s="249"/>
      <c r="OYV12" s="249"/>
      <c r="OYW12" s="249"/>
      <c r="OYX12" s="249"/>
      <c r="OYY12" s="249"/>
      <c r="OYZ12" s="249"/>
      <c r="OZA12" s="249"/>
      <c r="OZB12" s="249"/>
      <c r="OZC12" s="249"/>
      <c r="OZD12" s="249"/>
      <c r="OZE12" s="249"/>
      <c r="OZF12" s="249"/>
      <c r="OZG12" s="249"/>
      <c r="OZH12" s="249"/>
      <c r="OZI12" s="249"/>
      <c r="OZJ12" s="249"/>
      <c r="OZK12" s="249"/>
      <c r="OZL12" s="249"/>
      <c r="OZM12" s="249"/>
      <c r="OZN12" s="249"/>
      <c r="OZO12" s="249"/>
      <c r="OZP12" s="249"/>
      <c r="OZQ12" s="249"/>
      <c r="OZR12" s="249"/>
      <c r="OZS12" s="249"/>
      <c r="OZT12" s="249"/>
      <c r="OZU12" s="249"/>
      <c r="OZV12" s="249"/>
      <c r="OZW12" s="249"/>
      <c r="OZX12" s="249"/>
      <c r="OZY12" s="249"/>
      <c r="OZZ12" s="249"/>
      <c r="PAA12" s="249"/>
      <c r="PAB12" s="249"/>
      <c r="PAC12" s="249"/>
      <c r="PAD12" s="249"/>
      <c r="PAE12" s="249"/>
      <c r="PAF12" s="249"/>
      <c r="PAG12" s="249"/>
      <c r="PAH12" s="249"/>
      <c r="PAI12" s="249"/>
      <c r="PAJ12" s="249"/>
      <c r="PAK12" s="249"/>
      <c r="PAL12" s="249"/>
      <c r="PAM12" s="249"/>
      <c r="PAN12" s="249"/>
      <c r="PAO12" s="249"/>
      <c r="PAP12" s="249"/>
      <c r="PAQ12" s="249"/>
      <c r="PAR12" s="249"/>
      <c r="PAS12" s="249"/>
      <c r="PAT12" s="249"/>
      <c r="PAU12" s="249"/>
      <c r="PAV12" s="249"/>
      <c r="PAW12" s="249"/>
      <c r="PAX12" s="249"/>
      <c r="PAY12" s="249"/>
      <c r="PAZ12" s="249"/>
      <c r="PBA12" s="249"/>
      <c r="PBB12" s="249"/>
      <c r="PBC12" s="249"/>
      <c r="PBD12" s="249"/>
      <c r="PBE12" s="249"/>
      <c r="PBF12" s="249"/>
      <c r="PBG12" s="249"/>
      <c r="PBH12" s="249"/>
      <c r="PBI12" s="249"/>
      <c r="PBJ12" s="249"/>
      <c r="PBK12" s="249"/>
      <c r="PBL12" s="249"/>
      <c r="PBM12" s="249"/>
      <c r="PBN12" s="249"/>
      <c r="PBO12" s="249"/>
      <c r="PBP12" s="249"/>
      <c r="PBQ12" s="249"/>
      <c r="PBR12" s="249"/>
      <c r="PBS12" s="249"/>
      <c r="PBT12" s="249"/>
      <c r="PBU12" s="249"/>
      <c r="PBV12" s="249"/>
      <c r="PBW12" s="249"/>
      <c r="PBX12" s="249"/>
      <c r="PBY12" s="249"/>
      <c r="PBZ12" s="249"/>
      <c r="PCA12" s="249"/>
      <c r="PCB12" s="249"/>
      <c r="PCC12" s="249"/>
      <c r="PCD12" s="249"/>
      <c r="PCE12" s="249"/>
      <c r="PCF12" s="249"/>
      <c r="PCG12" s="249"/>
      <c r="PCH12" s="249"/>
      <c r="PCI12" s="249"/>
      <c r="PCJ12" s="249"/>
      <c r="PCK12" s="249"/>
      <c r="PCL12" s="249"/>
      <c r="PCM12" s="249"/>
      <c r="PCN12" s="249"/>
      <c r="PCO12" s="249"/>
      <c r="PCP12" s="249"/>
      <c r="PCQ12" s="249"/>
      <c r="PCR12" s="249"/>
      <c r="PCS12" s="249"/>
      <c r="PCT12" s="249"/>
      <c r="PCU12" s="249"/>
      <c r="PCV12" s="249"/>
      <c r="PCW12" s="249"/>
      <c r="PCX12" s="249"/>
      <c r="PCY12" s="249"/>
      <c r="PCZ12" s="249"/>
      <c r="PDA12" s="249"/>
      <c r="PDB12" s="249"/>
      <c r="PDC12" s="249"/>
      <c r="PDD12" s="249"/>
      <c r="PDE12" s="249"/>
      <c r="PDF12" s="249"/>
      <c r="PDG12" s="249"/>
      <c r="PDH12" s="249"/>
      <c r="PDI12" s="249"/>
      <c r="PDJ12" s="249"/>
      <c r="PDK12" s="249"/>
      <c r="PDL12" s="249"/>
      <c r="PDM12" s="249"/>
      <c r="PDN12" s="249"/>
      <c r="PDO12" s="249"/>
      <c r="PDP12" s="249"/>
      <c r="PDQ12" s="249"/>
      <c r="PDR12" s="249"/>
      <c r="PDS12" s="249"/>
      <c r="PDT12" s="249"/>
      <c r="PDU12" s="249"/>
      <c r="PDV12" s="249"/>
      <c r="PDW12" s="249"/>
      <c r="PDX12" s="249"/>
      <c r="PDY12" s="249"/>
      <c r="PDZ12" s="249"/>
      <c r="PEA12" s="249"/>
      <c r="PEB12" s="249"/>
      <c r="PEC12" s="249"/>
      <c r="PED12" s="249"/>
      <c r="PEE12" s="249"/>
      <c r="PEF12" s="249"/>
      <c r="PEG12" s="249"/>
      <c r="PEH12" s="249"/>
      <c r="PEI12" s="249"/>
      <c r="PEJ12" s="249"/>
      <c r="PEK12" s="249"/>
      <c r="PEL12" s="249"/>
      <c r="PEM12" s="249"/>
      <c r="PEN12" s="249"/>
      <c r="PEO12" s="249"/>
      <c r="PEP12" s="249"/>
      <c r="PEQ12" s="249"/>
      <c r="PER12" s="249"/>
      <c r="PES12" s="249"/>
      <c r="PET12" s="249"/>
      <c r="PEU12" s="249"/>
      <c r="PEV12" s="249"/>
      <c r="PEW12" s="249"/>
      <c r="PEX12" s="249"/>
      <c r="PEY12" s="249"/>
      <c r="PEZ12" s="249"/>
      <c r="PFA12" s="249"/>
      <c r="PFB12" s="249"/>
      <c r="PFC12" s="249"/>
      <c r="PFD12" s="249"/>
      <c r="PFE12" s="249"/>
      <c r="PFF12" s="249"/>
      <c r="PFG12" s="249"/>
      <c r="PFH12" s="249"/>
      <c r="PFI12" s="249"/>
      <c r="PFJ12" s="249"/>
      <c r="PFK12" s="249"/>
      <c r="PFL12" s="249"/>
      <c r="PFM12" s="249"/>
      <c r="PFN12" s="249"/>
      <c r="PFO12" s="249"/>
      <c r="PFP12" s="249"/>
      <c r="PFQ12" s="249"/>
      <c r="PFR12" s="249"/>
      <c r="PFS12" s="249"/>
      <c r="PFT12" s="249"/>
      <c r="PFU12" s="249"/>
      <c r="PFV12" s="249"/>
      <c r="PFW12" s="249"/>
      <c r="PFX12" s="249"/>
      <c r="PFY12" s="249"/>
      <c r="PFZ12" s="249"/>
      <c r="PGA12" s="249"/>
      <c r="PGB12" s="249"/>
      <c r="PGC12" s="249"/>
      <c r="PGD12" s="249"/>
      <c r="PGE12" s="249"/>
      <c r="PGF12" s="249"/>
      <c r="PGG12" s="249"/>
      <c r="PGH12" s="249"/>
      <c r="PGI12" s="249"/>
      <c r="PGJ12" s="249"/>
      <c r="PGK12" s="249"/>
      <c r="PGL12" s="249"/>
      <c r="PGM12" s="249"/>
      <c r="PGN12" s="249"/>
      <c r="PGO12" s="249"/>
      <c r="PGP12" s="249"/>
      <c r="PGQ12" s="249"/>
      <c r="PGR12" s="249"/>
      <c r="PGS12" s="249"/>
      <c r="PGT12" s="249"/>
      <c r="PGU12" s="249"/>
      <c r="PGV12" s="249"/>
      <c r="PGW12" s="249"/>
      <c r="PGX12" s="249"/>
      <c r="PGY12" s="249"/>
      <c r="PGZ12" s="249"/>
      <c r="PHA12" s="249"/>
      <c r="PHB12" s="249"/>
      <c r="PHC12" s="249"/>
      <c r="PHD12" s="249"/>
      <c r="PHE12" s="249"/>
      <c r="PHF12" s="249"/>
      <c r="PHG12" s="249"/>
      <c r="PHH12" s="249"/>
      <c r="PHI12" s="249"/>
      <c r="PHJ12" s="249"/>
      <c r="PHK12" s="249"/>
      <c r="PHL12" s="249"/>
      <c r="PHM12" s="249"/>
      <c r="PHN12" s="249"/>
      <c r="PHO12" s="249"/>
      <c r="PHP12" s="249"/>
      <c r="PHQ12" s="249"/>
      <c r="PHR12" s="249"/>
      <c r="PHS12" s="249"/>
      <c r="PHT12" s="249"/>
      <c r="PHU12" s="249"/>
      <c r="PHV12" s="249"/>
      <c r="PHW12" s="249"/>
      <c r="PHX12" s="249"/>
      <c r="PHY12" s="249"/>
      <c r="PHZ12" s="249"/>
      <c r="PIA12" s="249"/>
      <c r="PIB12" s="249"/>
      <c r="PIC12" s="249"/>
      <c r="PID12" s="249"/>
      <c r="PIE12" s="249"/>
      <c r="PIF12" s="249"/>
      <c r="PIG12" s="249"/>
      <c r="PIH12" s="249"/>
      <c r="PII12" s="249"/>
      <c r="PIJ12" s="249"/>
      <c r="PIK12" s="249"/>
      <c r="PIL12" s="249"/>
      <c r="PIM12" s="249"/>
      <c r="PIN12" s="249"/>
      <c r="PIO12" s="249"/>
      <c r="PIP12" s="249"/>
      <c r="PIQ12" s="249"/>
      <c r="PIR12" s="249"/>
      <c r="PIS12" s="249"/>
      <c r="PIT12" s="249"/>
      <c r="PIU12" s="249"/>
      <c r="PIV12" s="249"/>
      <c r="PIW12" s="249"/>
      <c r="PIX12" s="249"/>
      <c r="PIY12" s="249"/>
      <c r="PIZ12" s="249"/>
      <c r="PJA12" s="249"/>
      <c r="PJB12" s="249"/>
      <c r="PJC12" s="249"/>
      <c r="PJD12" s="249"/>
      <c r="PJE12" s="249"/>
      <c r="PJF12" s="249"/>
      <c r="PJG12" s="249"/>
      <c r="PJH12" s="249"/>
      <c r="PJI12" s="249"/>
      <c r="PJJ12" s="249"/>
      <c r="PJK12" s="249"/>
      <c r="PJL12" s="249"/>
      <c r="PJM12" s="249"/>
      <c r="PJN12" s="249"/>
      <c r="PJO12" s="249"/>
      <c r="PJP12" s="249"/>
      <c r="PJQ12" s="249"/>
      <c r="PJR12" s="249"/>
      <c r="PJS12" s="249"/>
      <c r="PJT12" s="249"/>
      <c r="PJU12" s="249"/>
      <c r="PJV12" s="249"/>
      <c r="PJW12" s="249"/>
      <c r="PJX12" s="249"/>
      <c r="PJY12" s="249"/>
      <c r="PJZ12" s="249"/>
      <c r="PKA12" s="249"/>
      <c r="PKB12" s="249"/>
      <c r="PKC12" s="249"/>
      <c r="PKD12" s="249"/>
      <c r="PKE12" s="249"/>
      <c r="PKF12" s="249"/>
      <c r="PKG12" s="249"/>
      <c r="PKH12" s="249"/>
      <c r="PKI12" s="249"/>
      <c r="PKJ12" s="249"/>
      <c r="PKK12" s="249"/>
      <c r="PKL12" s="249"/>
      <c r="PKM12" s="249"/>
      <c r="PKN12" s="249"/>
      <c r="PKO12" s="249"/>
      <c r="PKP12" s="249"/>
      <c r="PKQ12" s="249"/>
      <c r="PKR12" s="249"/>
      <c r="PKS12" s="249"/>
      <c r="PKT12" s="249"/>
      <c r="PKU12" s="249"/>
      <c r="PKV12" s="249"/>
      <c r="PKW12" s="249"/>
      <c r="PKX12" s="249"/>
      <c r="PKY12" s="249"/>
      <c r="PKZ12" s="249"/>
      <c r="PLA12" s="249"/>
      <c r="PLB12" s="249"/>
      <c r="PLC12" s="249"/>
      <c r="PLD12" s="249"/>
      <c r="PLE12" s="249"/>
      <c r="PLF12" s="249"/>
      <c r="PLG12" s="249"/>
      <c r="PLH12" s="249"/>
      <c r="PLI12" s="249"/>
      <c r="PLJ12" s="249"/>
      <c r="PLK12" s="249"/>
      <c r="PLL12" s="249"/>
      <c r="PLM12" s="249"/>
      <c r="PLN12" s="249"/>
      <c r="PLO12" s="249"/>
      <c r="PLP12" s="249"/>
      <c r="PLQ12" s="249"/>
      <c r="PLR12" s="249"/>
      <c r="PLS12" s="249"/>
      <c r="PLT12" s="249"/>
      <c r="PLU12" s="249"/>
      <c r="PLV12" s="249"/>
      <c r="PLW12" s="249"/>
      <c r="PLX12" s="249"/>
      <c r="PLY12" s="249"/>
      <c r="PLZ12" s="249"/>
      <c r="PMA12" s="249"/>
      <c r="PMB12" s="249"/>
      <c r="PMC12" s="249"/>
      <c r="PMD12" s="249"/>
      <c r="PME12" s="249"/>
      <c r="PMF12" s="249"/>
      <c r="PMG12" s="249"/>
      <c r="PMH12" s="249"/>
      <c r="PMI12" s="249"/>
      <c r="PMJ12" s="249"/>
      <c r="PMK12" s="249"/>
      <c r="PML12" s="249"/>
      <c r="PMM12" s="249"/>
      <c r="PMN12" s="249"/>
      <c r="PMO12" s="249"/>
      <c r="PMP12" s="249"/>
      <c r="PMQ12" s="249"/>
      <c r="PMR12" s="249"/>
      <c r="PMS12" s="249"/>
      <c r="PMT12" s="249"/>
      <c r="PMU12" s="249"/>
      <c r="PMV12" s="249"/>
      <c r="PMW12" s="249"/>
      <c r="PMX12" s="249"/>
      <c r="PMY12" s="249"/>
      <c r="PMZ12" s="249"/>
      <c r="PNA12" s="249"/>
      <c r="PNB12" s="249"/>
      <c r="PNC12" s="249"/>
      <c r="PND12" s="249"/>
      <c r="PNE12" s="249"/>
      <c r="PNF12" s="249"/>
      <c r="PNG12" s="249"/>
      <c r="PNH12" s="249"/>
      <c r="PNI12" s="249"/>
      <c r="PNJ12" s="249"/>
      <c r="PNK12" s="249"/>
      <c r="PNL12" s="249"/>
      <c r="PNM12" s="249"/>
      <c r="PNN12" s="249"/>
      <c r="PNO12" s="249"/>
      <c r="PNP12" s="249"/>
      <c r="PNQ12" s="249"/>
      <c r="PNR12" s="249"/>
      <c r="PNS12" s="249"/>
      <c r="PNT12" s="249"/>
      <c r="PNU12" s="249"/>
      <c r="PNV12" s="249"/>
      <c r="PNW12" s="249"/>
      <c r="PNX12" s="249"/>
      <c r="PNY12" s="249"/>
      <c r="PNZ12" s="249"/>
      <c r="POA12" s="249"/>
      <c r="POB12" s="249"/>
      <c r="POC12" s="249"/>
      <c r="POD12" s="249"/>
      <c r="POE12" s="249"/>
      <c r="POF12" s="249"/>
      <c r="POG12" s="249"/>
      <c r="POH12" s="249"/>
      <c r="POI12" s="249"/>
      <c r="POJ12" s="249"/>
      <c r="POK12" s="249"/>
      <c r="POL12" s="249"/>
      <c r="POM12" s="249"/>
      <c r="PON12" s="249"/>
      <c r="POO12" s="249"/>
      <c r="POP12" s="249"/>
      <c r="POQ12" s="249"/>
      <c r="POR12" s="249"/>
      <c r="POS12" s="249"/>
      <c r="POT12" s="249"/>
      <c r="POU12" s="249"/>
      <c r="POV12" s="249"/>
      <c r="POW12" s="249"/>
      <c r="POX12" s="249"/>
      <c r="POY12" s="249"/>
      <c r="POZ12" s="249"/>
      <c r="PPA12" s="249"/>
      <c r="PPB12" s="249"/>
      <c r="PPC12" s="249"/>
      <c r="PPD12" s="249"/>
      <c r="PPE12" s="249"/>
      <c r="PPF12" s="249"/>
      <c r="PPG12" s="249"/>
      <c r="PPH12" s="249"/>
      <c r="PPI12" s="249"/>
      <c r="PPJ12" s="249"/>
      <c r="PPK12" s="249"/>
      <c r="PPL12" s="249"/>
      <c r="PPM12" s="249"/>
      <c r="PPN12" s="249"/>
      <c r="PPO12" s="249"/>
      <c r="PPP12" s="249"/>
      <c r="PPQ12" s="249"/>
      <c r="PPR12" s="249"/>
      <c r="PPS12" s="249"/>
      <c r="PPT12" s="249"/>
      <c r="PPU12" s="249"/>
      <c r="PPV12" s="249"/>
      <c r="PPW12" s="249"/>
      <c r="PPX12" s="249"/>
      <c r="PPY12" s="249"/>
      <c r="PPZ12" s="249"/>
      <c r="PQA12" s="249"/>
      <c r="PQB12" s="249"/>
      <c r="PQC12" s="249"/>
      <c r="PQD12" s="249"/>
      <c r="PQE12" s="249"/>
      <c r="PQF12" s="249"/>
      <c r="PQG12" s="249"/>
      <c r="PQH12" s="249"/>
      <c r="PQI12" s="249"/>
      <c r="PQJ12" s="249"/>
      <c r="PQK12" s="249"/>
      <c r="PQL12" s="249"/>
      <c r="PQM12" s="249"/>
      <c r="PQN12" s="249"/>
      <c r="PQO12" s="249"/>
      <c r="PQP12" s="249"/>
      <c r="PQQ12" s="249"/>
      <c r="PQR12" s="249"/>
      <c r="PQS12" s="249"/>
      <c r="PQT12" s="249"/>
      <c r="PQU12" s="249"/>
      <c r="PQV12" s="249"/>
      <c r="PQW12" s="249"/>
      <c r="PQX12" s="249"/>
      <c r="PQY12" s="249"/>
      <c r="PQZ12" s="249"/>
      <c r="PRA12" s="249"/>
      <c r="PRB12" s="249"/>
      <c r="PRC12" s="249"/>
      <c r="PRD12" s="249"/>
      <c r="PRE12" s="249"/>
      <c r="PRF12" s="249"/>
      <c r="PRG12" s="249"/>
      <c r="PRH12" s="249"/>
      <c r="PRI12" s="249"/>
      <c r="PRJ12" s="249"/>
      <c r="PRK12" s="249"/>
      <c r="PRL12" s="249"/>
      <c r="PRM12" s="249"/>
      <c r="PRN12" s="249"/>
      <c r="PRO12" s="249"/>
      <c r="PRP12" s="249"/>
      <c r="PRQ12" s="249"/>
      <c r="PRR12" s="249"/>
      <c r="PRS12" s="249"/>
      <c r="PRT12" s="249"/>
      <c r="PRU12" s="249"/>
      <c r="PRV12" s="249"/>
      <c r="PRW12" s="249"/>
      <c r="PRX12" s="249"/>
      <c r="PRY12" s="249"/>
      <c r="PRZ12" s="249"/>
      <c r="PSA12" s="249"/>
      <c r="PSB12" s="249"/>
      <c r="PSC12" s="249"/>
      <c r="PSD12" s="249"/>
      <c r="PSE12" s="249"/>
      <c r="PSF12" s="249"/>
      <c r="PSG12" s="249"/>
      <c r="PSH12" s="249"/>
      <c r="PSI12" s="249"/>
      <c r="PSJ12" s="249"/>
      <c r="PSK12" s="249"/>
      <c r="PSL12" s="249"/>
      <c r="PSM12" s="249"/>
      <c r="PSN12" s="249"/>
      <c r="PSO12" s="249"/>
      <c r="PSP12" s="249"/>
      <c r="PSQ12" s="249"/>
      <c r="PSR12" s="249"/>
      <c r="PSS12" s="249"/>
      <c r="PST12" s="249"/>
      <c r="PSU12" s="249"/>
      <c r="PSV12" s="249"/>
      <c r="PSW12" s="249"/>
      <c r="PSX12" s="249"/>
      <c r="PSY12" s="249"/>
      <c r="PSZ12" s="249"/>
      <c r="PTA12" s="249"/>
      <c r="PTB12" s="249"/>
      <c r="PTC12" s="249"/>
      <c r="PTD12" s="249"/>
      <c r="PTE12" s="249"/>
      <c r="PTF12" s="249"/>
      <c r="PTG12" s="249"/>
      <c r="PTH12" s="249"/>
      <c r="PTI12" s="249"/>
      <c r="PTJ12" s="249"/>
      <c r="PTK12" s="249"/>
      <c r="PTL12" s="249"/>
      <c r="PTM12" s="249"/>
      <c r="PTN12" s="249"/>
      <c r="PTO12" s="249"/>
      <c r="PTP12" s="249"/>
      <c r="PTQ12" s="249"/>
      <c r="PTR12" s="249"/>
      <c r="PTS12" s="249"/>
      <c r="PTT12" s="249"/>
      <c r="PTU12" s="249"/>
      <c r="PTV12" s="249"/>
      <c r="PTW12" s="249"/>
      <c r="PTX12" s="249"/>
      <c r="PTY12" s="249"/>
      <c r="PTZ12" s="249"/>
      <c r="PUA12" s="249"/>
      <c r="PUB12" s="249"/>
      <c r="PUC12" s="249"/>
      <c r="PUD12" s="249"/>
      <c r="PUE12" s="249"/>
      <c r="PUF12" s="249"/>
      <c r="PUG12" s="249"/>
      <c r="PUH12" s="249"/>
      <c r="PUI12" s="249"/>
      <c r="PUJ12" s="249"/>
      <c r="PUK12" s="249"/>
      <c r="PUL12" s="249"/>
      <c r="PUM12" s="249"/>
      <c r="PUN12" s="249"/>
      <c r="PUO12" s="249"/>
      <c r="PUP12" s="249"/>
      <c r="PUQ12" s="249"/>
      <c r="PUR12" s="249"/>
      <c r="PUS12" s="249"/>
      <c r="PUT12" s="249"/>
      <c r="PUU12" s="249"/>
      <c r="PUV12" s="249"/>
      <c r="PUW12" s="249"/>
      <c r="PUX12" s="249"/>
      <c r="PUY12" s="249"/>
      <c r="PUZ12" s="249"/>
      <c r="PVA12" s="249"/>
      <c r="PVB12" s="249"/>
      <c r="PVC12" s="249"/>
      <c r="PVD12" s="249"/>
      <c r="PVE12" s="249"/>
      <c r="PVF12" s="249"/>
      <c r="PVG12" s="249"/>
      <c r="PVH12" s="249"/>
      <c r="PVI12" s="249"/>
      <c r="PVJ12" s="249"/>
      <c r="PVK12" s="249"/>
      <c r="PVL12" s="249"/>
      <c r="PVM12" s="249"/>
      <c r="PVN12" s="249"/>
      <c r="PVO12" s="249"/>
      <c r="PVP12" s="249"/>
      <c r="PVQ12" s="249"/>
      <c r="PVR12" s="249"/>
      <c r="PVS12" s="249"/>
      <c r="PVT12" s="249"/>
      <c r="PVU12" s="249"/>
      <c r="PVV12" s="249"/>
      <c r="PVW12" s="249"/>
      <c r="PVX12" s="249"/>
      <c r="PVY12" s="249"/>
      <c r="PVZ12" s="249"/>
      <c r="PWA12" s="249"/>
      <c r="PWB12" s="249"/>
      <c r="PWC12" s="249"/>
      <c r="PWD12" s="249"/>
      <c r="PWE12" s="249"/>
      <c r="PWF12" s="249"/>
      <c r="PWG12" s="249"/>
      <c r="PWH12" s="249"/>
      <c r="PWI12" s="249"/>
      <c r="PWJ12" s="249"/>
      <c r="PWK12" s="249"/>
      <c r="PWL12" s="249"/>
      <c r="PWM12" s="249"/>
      <c r="PWN12" s="249"/>
      <c r="PWO12" s="249"/>
      <c r="PWP12" s="249"/>
      <c r="PWQ12" s="249"/>
      <c r="PWR12" s="249"/>
      <c r="PWS12" s="249"/>
      <c r="PWT12" s="249"/>
      <c r="PWU12" s="249"/>
      <c r="PWV12" s="249"/>
      <c r="PWW12" s="249"/>
      <c r="PWX12" s="249"/>
      <c r="PWY12" s="249"/>
      <c r="PWZ12" s="249"/>
      <c r="PXA12" s="249"/>
      <c r="PXB12" s="249"/>
      <c r="PXC12" s="249"/>
      <c r="PXD12" s="249"/>
      <c r="PXE12" s="249"/>
      <c r="PXF12" s="249"/>
      <c r="PXG12" s="249"/>
      <c r="PXH12" s="249"/>
      <c r="PXI12" s="249"/>
      <c r="PXJ12" s="249"/>
      <c r="PXK12" s="249"/>
      <c r="PXL12" s="249"/>
      <c r="PXM12" s="249"/>
      <c r="PXN12" s="249"/>
      <c r="PXO12" s="249"/>
      <c r="PXP12" s="249"/>
      <c r="PXQ12" s="249"/>
      <c r="PXR12" s="249"/>
      <c r="PXS12" s="249"/>
      <c r="PXT12" s="249"/>
      <c r="PXU12" s="249"/>
      <c r="PXV12" s="249"/>
      <c r="PXW12" s="249"/>
      <c r="PXX12" s="249"/>
      <c r="PXY12" s="249"/>
      <c r="PXZ12" s="249"/>
      <c r="PYA12" s="249"/>
      <c r="PYB12" s="249"/>
      <c r="PYC12" s="249"/>
      <c r="PYD12" s="249"/>
      <c r="PYE12" s="249"/>
      <c r="PYF12" s="249"/>
      <c r="PYG12" s="249"/>
      <c r="PYH12" s="249"/>
      <c r="PYI12" s="249"/>
      <c r="PYJ12" s="249"/>
      <c r="PYK12" s="249"/>
      <c r="PYL12" s="249"/>
      <c r="PYM12" s="249"/>
      <c r="PYN12" s="249"/>
      <c r="PYO12" s="249"/>
      <c r="PYP12" s="249"/>
      <c r="PYQ12" s="249"/>
      <c r="PYR12" s="249"/>
      <c r="PYS12" s="249"/>
      <c r="PYT12" s="249"/>
      <c r="PYU12" s="249"/>
      <c r="PYV12" s="249"/>
      <c r="PYW12" s="249"/>
      <c r="PYX12" s="249"/>
      <c r="PYY12" s="249"/>
      <c r="PYZ12" s="249"/>
      <c r="PZA12" s="249"/>
      <c r="PZB12" s="249"/>
      <c r="PZC12" s="249"/>
      <c r="PZD12" s="249"/>
      <c r="PZE12" s="249"/>
      <c r="PZF12" s="249"/>
      <c r="PZG12" s="249"/>
      <c r="PZH12" s="249"/>
      <c r="PZI12" s="249"/>
      <c r="PZJ12" s="249"/>
      <c r="PZK12" s="249"/>
      <c r="PZL12" s="249"/>
      <c r="PZM12" s="249"/>
      <c r="PZN12" s="249"/>
      <c r="PZO12" s="249"/>
      <c r="PZP12" s="249"/>
      <c r="PZQ12" s="249"/>
      <c r="PZR12" s="249"/>
      <c r="PZS12" s="249"/>
      <c r="PZT12" s="249"/>
      <c r="PZU12" s="249"/>
      <c r="PZV12" s="249"/>
      <c r="PZW12" s="249"/>
      <c r="PZX12" s="249"/>
      <c r="PZY12" s="249"/>
      <c r="PZZ12" s="249"/>
      <c r="QAA12" s="249"/>
      <c r="QAB12" s="249"/>
      <c r="QAC12" s="249"/>
      <c r="QAD12" s="249"/>
      <c r="QAE12" s="249"/>
      <c r="QAF12" s="249"/>
      <c r="QAG12" s="249"/>
      <c r="QAH12" s="249"/>
      <c r="QAI12" s="249"/>
      <c r="QAJ12" s="249"/>
      <c r="QAK12" s="249"/>
      <c r="QAL12" s="249"/>
      <c r="QAM12" s="249"/>
      <c r="QAN12" s="249"/>
      <c r="QAO12" s="249"/>
      <c r="QAP12" s="249"/>
      <c r="QAQ12" s="249"/>
      <c r="QAR12" s="249"/>
      <c r="QAS12" s="249"/>
      <c r="QAT12" s="249"/>
      <c r="QAU12" s="249"/>
      <c r="QAV12" s="249"/>
      <c r="QAW12" s="249"/>
      <c r="QAX12" s="249"/>
      <c r="QAY12" s="249"/>
      <c r="QAZ12" s="249"/>
      <c r="QBA12" s="249"/>
      <c r="QBB12" s="249"/>
      <c r="QBC12" s="249"/>
      <c r="QBD12" s="249"/>
      <c r="QBE12" s="249"/>
      <c r="QBF12" s="249"/>
      <c r="QBG12" s="249"/>
      <c r="QBH12" s="249"/>
      <c r="QBI12" s="249"/>
      <c r="QBJ12" s="249"/>
      <c r="QBK12" s="249"/>
      <c r="QBL12" s="249"/>
      <c r="QBM12" s="249"/>
      <c r="QBN12" s="249"/>
      <c r="QBO12" s="249"/>
      <c r="QBP12" s="249"/>
      <c r="QBQ12" s="249"/>
      <c r="QBR12" s="249"/>
      <c r="QBS12" s="249"/>
      <c r="QBT12" s="249"/>
      <c r="QBU12" s="249"/>
      <c r="QBV12" s="249"/>
      <c r="QBW12" s="249"/>
      <c r="QBX12" s="249"/>
      <c r="QBY12" s="249"/>
      <c r="QBZ12" s="249"/>
      <c r="QCA12" s="249"/>
      <c r="QCB12" s="249"/>
      <c r="QCC12" s="249"/>
      <c r="QCD12" s="249"/>
      <c r="QCE12" s="249"/>
      <c r="QCF12" s="249"/>
      <c r="QCG12" s="249"/>
      <c r="QCH12" s="249"/>
      <c r="QCI12" s="249"/>
      <c r="QCJ12" s="249"/>
      <c r="QCK12" s="249"/>
      <c r="QCL12" s="249"/>
      <c r="QCM12" s="249"/>
      <c r="QCN12" s="249"/>
      <c r="QCO12" s="249"/>
      <c r="QCP12" s="249"/>
      <c r="QCQ12" s="249"/>
      <c r="QCR12" s="249"/>
      <c r="QCS12" s="249"/>
      <c r="QCT12" s="249"/>
      <c r="QCU12" s="249"/>
      <c r="QCV12" s="249"/>
      <c r="QCW12" s="249"/>
      <c r="QCX12" s="249"/>
      <c r="QCY12" s="249"/>
      <c r="QCZ12" s="249"/>
      <c r="QDA12" s="249"/>
      <c r="QDB12" s="249"/>
      <c r="QDC12" s="249"/>
      <c r="QDD12" s="249"/>
      <c r="QDE12" s="249"/>
      <c r="QDF12" s="249"/>
      <c r="QDG12" s="249"/>
      <c r="QDH12" s="249"/>
      <c r="QDI12" s="249"/>
      <c r="QDJ12" s="249"/>
      <c r="QDK12" s="249"/>
      <c r="QDL12" s="249"/>
      <c r="QDM12" s="249"/>
      <c r="QDN12" s="249"/>
      <c r="QDO12" s="249"/>
      <c r="QDP12" s="249"/>
      <c r="QDQ12" s="249"/>
      <c r="QDR12" s="249"/>
      <c r="QDS12" s="249"/>
      <c r="QDT12" s="249"/>
      <c r="QDU12" s="249"/>
      <c r="QDV12" s="249"/>
      <c r="QDW12" s="249"/>
      <c r="QDX12" s="249"/>
      <c r="QDY12" s="249"/>
      <c r="QDZ12" s="249"/>
      <c r="QEA12" s="249"/>
      <c r="QEB12" s="249"/>
      <c r="QEC12" s="249"/>
      <c r="QED12" s="249"/>
      <c r="QEE12" s="249"/>
      <c r="QEF12" s="249"/>
      <c r="QEG12" s="249"/>
      <c r="QEH12" s="249"/>
      <c r="QEI12" s="249"/>
      <c r="QEJ12" s="249"/>
      <c r="QEK12" s="249"/>
      <c r="QEL12" s="249"/>
      <c r="QEM12" s="249"/>
      <c r="QEN12" s="249"/>
      <c r="QEO12" s="249"/>
      <c r="QEP12" s="249"/>
      <c r="QEQ12" s="249"/>
      <c r="QER12" s="249"/>
      <c r="QES12" s="249"/>
      <c r="QET12" s="249"/>
      <c r="QEU12" s="249"/>
      <c r="QEV12" s="249"/>
      <c r="QEW12" s="249"/>
      <c r="QEX12" s="249"/>
      <c r="QEY12" s="249"/>
      <c r="QEZ12" s="249"/>
      <c r="QFA12" s="249"/>
      <c r="QFB12" s="249"/>
      <c r="QFC12" s="249"/>
      <c r="QFD12" s="249"/>
      <c r="QFE12" s="249"/>
      <c r="QFF12" s="249"/>
      <c r="QFG12" s="249"/>
      <c r="QFH12" s="249"/>
      <c r="QFI12" s="249"/>
      <c r="QFJ12" s="249"/>
      <c r="QFK12" s="249"/>
      <c r="QFL12" s="249"/>
      <c r="QFM12" s="249"/>
      <c r="QFN12" s="249"/>
      <c r="QFO12" s="249"/>
      <c r="QFP12" s="249"/>
      <c r="QFQ12" s="249"/>
      <c r="QFR12" s="249"/>
      <c r="QFS12" s="249"/>
      <c r="QFT12" s="249"/>
      <c r="QFU12" s="249"/>
      <c r="QFV12" s="249"/>
      <c r="QFW12" s="249"/>
      <c r="QFX12" s="249"/>
      <c r="QFY12" s="249"/>
      <c r="QFZ12" s="249"/>
      <c r="QGA12" s="249"/>
      <c r="QGB12" s="249"/>
      <c r="QGC12" s="249"/>
      <c r="QGD12" s="249"/>
      <c r="QGE12" s="249"/>
      <c r="QGF12" s="249"/>
      <c r="QGG12" s="249"/>
      <c r="QGH12" s="249"/>
      <c r="QGI12" s="249"/>
      <c r="QGJ12" s="249"/>
      <c r="QGK12" s="249"/>
      <c r="QGL12" s="249"/>
      <c r="QGM12" s="249"/>
      <c r="QGN12" s="249"/>
      <c r="QGO12" s="249"/>
      <c r="QGP12" s="249"/>
      <c r="QGQ12" s="249"/>
      <c r="QGR12" s="249"/>
      <c r="QGS12" s="249"/>
      <c r="QGT12" s="249"/>
      <c r="QGU12" s="249"/>
      <c r="QGV12" s="249"/>
      <c r="QGW12" s="249"/>
      <c r="QGX12" s="249"/>
      <c r="QGY12" s="249"/>
      <c r="QGZ12" s="249"/>
      <c r="QHA12" s="249"/>
      <c r="QHB12" s="249"/>
      <c r="QHC12" s="249"/>
      <c r="QHD12" s="249"/>
      <c r="QHE12" s="249"/>
      <c r="QHF12" s="249"/>
      <c r="QHG12" s="249"/>
      <c r="QHH12" s="249"/>
      <c r="QHI12" s="249"/>
      <c r="QHJ12" s="249"/>
      <c r="QHK12" s="249"/>
      <c r="QHL12" s="249"/>
      <c r="QHM12" s="249"/>
      <c r="QHN12" s="249"/>
      <c r="QHO12" s="249"/>
      <c r="QHP12" s="249"/>
      <c r="QHQ12" s="249"/>
      <c r="QHR12" s="249"/>
      <c r="QHS12" s="249"/>
      <c r="QHT12" s="249"/>
      <c r="QHU12" s="249"/>
      <c r="QHV12" s="249"/>
      <c r="QHW12" s="249"/>
      <c r="QHX12" s="249"/>
      <c r="QHY12" s="249"/>
      <c r="QHZ12" s="249"/>
      <c r="QIA12" s="249"/>
      <c r="QIB12" s="249"/>
      <c r="QIC12" s="249"/>
      <c r="QID12" s="249"/>
      <c r="QIE12" s="249"/>
      <c r="QIF12" s="249"/>
      <c r="QIG12" s="249"/>
      <c r="QIH12" s="249"/>
      <c r="QII12" s="249"/>
      <c r="QIJ12" s="249"/>
      <c r="QIK12" s="249"/>
      <c r="QIL12" s="249"/>
      <c r="QIM12" s="249"/>
      <c r="QIN12" s="249"/>
      <c r="QIO12" s="249"/>
      <c r="QIP12" s="249"/>
      <c r="QIQ12" s="249"/>
      <c r="QIR12" s="249"/>
      <c r="QIS12" s="249"/>
      <c r="QIT12" s="249"/>
      <c r="QIU12" s="249"/>
      <c r="QIV12" s="249"/>
      <c r="QIW12" s="249"/>
      <c r="QIX12" s="249"/>
      <c r="QIY12" s="249"/>
      <c r="QIZ12" s="249"/>
      <c r="QJA12" s="249"/>
      <c r="QJB12" s="249"/>
      <c r="QJC12" s="249"/>
      <c r="QJD12" s="249"/>
      <c r="QJE12" s="249"/>
      <c r="QJF12" s="249"/>
      <c r="QJG12" s="249"/>
      <c r="QJH12" s="249"/>
      <c r="QJI12" s="249"/>
      <c r="QJJ12" s="249"/>
      <c r="QJK12" s="249"/>
      <c r="QJL12" s="249"/>
      <c r="QJM12" s="249"/>
      <c r="QJN12" s="249"/>
      <c r="QJO12" s="249"/>
      <c r="QJP12" s="249"/>
      <c r="QJQ12" s="249"/>
      <c r="QJR12" s="249"/>
      <c r="QJS12" s="249"/>
      <c r="QJT12" s="249"/>
      <c r="QJU12" s="249"/>
      <c r="QJV12" s="249"/>
      <c r="QJW12" s="249"/>
      <c r="QJX12" s="249"/>
      <c r="QJY12" s="249"/>
      <c r="QJZ12" s="249"/>
      <c r="QKA12" s="249"/>
      <c r="QKB12" s="249"/>
      <c r="QKC12" s="249"/>
      <c r="QKD12" s="249"/>
      <c r="QKE12" s="249"/>
      <c r="QKF12" s="249"/>
      <c r="QKG12" s="249"/>
      <c r="QKH12" s="249"/>
      <c r="QKI12" s="249"/>
      <c r="QKJ12" s="249"/>
      <c r="QKK12" s="249"/>
      <c r="QKL12" s="249"/>
      <c r="QKM12" s="249"/>
      <c r="QKN12" s="249"/>
      <c r="QKO12" s="249"/>
      <c r="QKP12" s="249"/>
      <c r="QKQ12" s="249"/>
      <c r="QKR12" s="249"/>
      <c r="QKS12" s="249"/>
      <c r="QKT12" s="249"/>
      <c r="QKU12" s="249"/>
      <c r="QKV12" s="249"/>
      <c r="QKW12" s="249"/>
      <c r="QKX12" s="249"/>
      <c r="QKY12" s="249"/>
      <c r="QKZ12" s="249"/>
      <c r="QLA12" s="249"/>
      <c r="QLB12" s="249"/>
      <c r="QLC12" s="249"/>
      <c r="QLD12" s="249"/>
      <c r="QLE12" s="249"/>
      <c r="QLF12" s="249"/>
      <c r="QLG12" s="249"/>
      <c r="QLH12" s="249"/>
      <c r="QLI12" s="249"/>
      <c r="QLJ12" s="249"/>
      <c r="QLK12" s="249"/>
      <c r="QLL12" s="249"/>
      <c r="QLM12" s="249"/>
      <c r="QLN12" s="249"/>
      <c r="QLO12" s="249"/>
      <c r="QLP12" s="249"/>
      <c r="QLQ12" s="249"/>
      <c r="QLR12" s="249"/>
      <c r="QLS12" s="249"/>
      <c r="QLT12" s="249"/>
      <c r="QLU12" s="249"/>
      <c r="QLV12" s="249"/>
      <c r="QLW12" s="249"/>
      <c r="QLX12" s="249"/>
      <c r="QLY12" s="249"/>
      <c r="QLZ12" s="249"/>
      <c r="QMA12" s="249"/>
      <c r="QMB12" s="249"/>
      <c r="QMC12" s="249"/>
      <c r="QMD12" s="249"/>
      <c r="QME12" s="249"/>
      <c r="QMF12" s="249"/>
      <c r="QMG12" s="249"/>
      <c r="QMH12" s="249"/>
      <c r="QMI12" s="249"/>
      <c r="QMJ12" s="249"/>
      <c r="QMK12" s="249"/>
      <c r="QML12" s="249"/>
      <c r="QMM12" s="249"/>
      <c r="QMN12" s="249"/>
      <c r="QMO12" s="249"/>
      <c r="QMP12" s="249"/>
      <c r="QMQ12" s="249"/>
      <c r="QMR12" s="249"/>
      <c r="QMS12" s="249"/>
      <c r="QMT12" s="249"/>
      <c r="QMU12" s="249"/>
      <c r="QMV12" s="249"/>
      <c r="QMW12" s="249"/>
      <c r="QMX12" s="249"/>
      <c r="QMY12" s="249"/>
      <c r="QMZ12" s="249"/>
      <c r="QNA12" s="249"/>
      <c r="QNB12" s="249"/>
      <c r="QNC12" s="249"/>
      <c r="QND12" s="249"/>
      <c r="QNE12" s="249"/>
      <c r="QNF12" s="249"/>
      <c r="QNG12" s="249"/>
      <c r="QNH12" s="249"/>
      <c r="QNI12" s="249"/>
      <c r="QNJ12" s="249"/>
      <c r="QNK12" s="249"/>
      <c r="QNL12" s="249"/>
      <c r="QNM12" s="249"/>
      <c r="QNN12" s="249"/>
      <c r="QNO12" s="249"/>
      <c r="QNP12" s="249"/>
      <c r="QNQ12" s="249"/>
      <c r="QNR12" s="249"/>
      <c r="QNS12" s="249"/>
      <c r="QNT12" s="249"/>
      <c r="QNU12" s="249"/>
      <c r="QNV12" s="249"/>
      <c r="QNW12" s="249"/>
      <c r="QNX12" s="249"/>
      <c r="QNY12" s="249"/>
      <c r="QNZ12" s="249"/>
      <c r="QOA12" s="249"/>
      <c r="QOB12" s="249"/>
      <c r="QOC12" s="249"/>
      <c r="QOD12" s="249"/>
      <c r="QOE12" s="249"/>
      <c r="QOF12" s="249"/>
      <c r="QOG12" s="249"/>
      <c r="QOH12" s="249"/>
      <c r="QOI12" s="249"/>
      <c r="QOJ12" s="249"/>
      <c r="QOK12" s="249"/>
      <c r="QOL12" s="249"/>
      <c r="QOM12" s="249"/>
      <c r="QON12" s="249"/>
      <c r="QOO12" s="249"/>
      <c r="QOP12" s="249"/>
      <c r="QOQ12" s="249"/>
      <c r="QOR12" s="249"/>
      <c r="QOS12" s="249"/>
      <c r="QOT12" s="249"/>
      <c r="QOU12" s="249"/>
      <c r="QOV12" s="249"/>
      <c r="QOW12" s="249"/>
      <c r="QOX12" s="249"/>
      <c r="QOY12" s="249"/>
      <c r="QOZ12" s="249"/>
      <c r="QPA12" s="249"/>
      <c r="QPB12" s="249"/>
      <c r="QPC12" s="249"/>
      <c r="QPD12" s="249"/>
      <c r="QPE12" s="249"/>
      <c r="QPF12" s="249"/>
      <c r="QPG12" s="249"/>
      <c r="QPH12" s="249"/>
      <c r="QPI12" s="249"/>
      <c r="QPJ12" s="249"/>
      <c r="QPK12" s="249"/>
      <c r="QPL12" s="249"/>
      <c r="QPM12" s="249"/>
      <c r="QPN12" s="249"/>
      <c r="QPO12" s="249"/>
      <c r="QPP12" s="249"/>
      <c r="QPQ12" s="249"/>
      <c r="QPR12" s="249"/>
      <c r="QPS12" s="249"/>
      <c r="QPT12" s="249"/>
      <c r="QPU12" s="249"/>
      <c r="QPV12" s="249"/>
      <c r="QPW12" s="249"/>
      <c r="QPX12" s="249"/>
      <c r="QPY12" s="249"/>
      <c r="QPZ12" s="249"/>
      <c r="QQA12" s="249"/>
      <c r="QQB12" s="249"/>
      <c r="QQC12" s="249"/>
      <c r="QQD12" s="249"/>
      <c r="QQE12" s="249"/>
      <c r="QQF12" s="249"/>
      <c r="QQG12" s="249"/>
      <c r="QQH12" s="249"/>
      <c r="QQI12" s="249"/>
      <c r="QQJ12" s="249"/>
      <c r="QQK12" s="249"/>
      <c r="QQL12" s="249"/>
      <c r="QQM12" s="249"/>
      <c r="QQN12" s="249"/>
      <c r="QQO12" s="249"/>
      <c r="QQP12" s="249"/>
      <c r="QQQ12" s="249"/>
      <c r="QQR12" s="249"/>
      <c r="QQS12" s="249"/>
      <c r="QQT12" s="249"/>
      <c r="QQU12" s="249"/>
      <c r="QQV12" s="249"/>
      <c r="QQW12" s="249"/>
      <c r="QQX12" s="249"/>
      <c r="QQY12" s="249"/>
      <c r="QQZ12" s="249"/>
      <c r="QRA12" s="249"/>
      <c r="QRB12" s="249"/>
      <c r="QRC12" s="249"/>
      <c r="QRD12" s="249"/>
      <c r="QRE12" s="249"/>
      <c r="QRF12" s="249"/>
      <c r="QRG12" s="249"/>
      <c r="QRH12" s="249"/>
      <c r="QRI12" s="249"/>
      <c r="QRJ12" s="249"/>
      <c r="QRK12" s="249"/>
      <c r="QRL12" s="249"/>
      <c r="QRM12" s="249"/>
      <c r="QRN12" s="249"/>
      <c r="QRO12" s="249"/>
      <c r="QRP12" s="249"/>
      <c r="QRQ12" s="249"/>
      <c r="QRR12" s="249"/>
      <c r="QRS12" s="249"/>
      <c r="QRT12" s="249"/>
      <c r="QRU12" s="249"/>
      <c r="QRV12" s="249"/>
      <c r="QRW12" s="249"/>
      <c r="QRX12" s="249"/>
      <c r="QRY12" s="249"/>
      <c r="QRZ12" s="249"/>
      <c r="QSA12" s="249"/>
      <c r="QSB12" s="249"/>
      <c r="QSC12" s="249"/>
      <c r="QSD12" s="249"/>
      <c r="QSE12" s="249"/>
      <c r="QSF12" s="249"/>
      <c r="QSG12" s="249"/>
      <c r="QSH12" s="249"/>
      <c r="QSI12" s="249"/>
      <c r="QSJ12" s="249"/>
      <c r="QSK12" s="249"/>
      <c r="QSL12" s="249"/>
      <c r="QSM12" s="249"/>
      <c r="QSN12" s="249"/>
      <c r="QSO12" s="249"/>
      <c r="QSP12" s="249"/>
      <c r="QSQ12" s="249"/>
      <c r="QSR12" s="249"/>
      <c r="QSS12" s="249"/>
      <c r="QST12" s="249"/>
      <c r="QSU12" s="249"/>
      <c r="QSV12" s="249"/>
      <c r="QSW12" s="249"/>
      <c r="QSX12" s="249"/>
      <c r="QSY12" s="249"/>
      <c r="QSZ12" s="249"/>
      <c r="QTA12" s="249"/>
      <c r="QTB12" s="249"/>
      <c r="QTC12" s="249"/>
      <c r="QTD12" s="249"/>
      <c r="QTE12" s="249"/>
      <c r="QTF12" s="249"/>
      <c r="QTG12" s="249"/>
      <c r="QTH12" s="249"/>
      <c r="QTI12" s="249"/>
      <c r="QTJ12" s="249"/>
      <c r="QTK12" s="249"/>
      <c r="QTL12" s="249"/>
      <c r="QTM12" s="249"/>
      <c r="QTN12" s="249"/>
      <c r="QTO12" s="249"/>
      <c r="QTP12" s="249"/>
      <c r="QTQ12" s="249"/>
      <c r="QTR12" s="249"/>
      <c r="QTS12" s="249"/>
      <c r="QTT12" s="249"/>
      <c r="QTU12" s="249"/>
      <c r="QTV12" s="249"/>
      <c r="QTW12" s="249"/>
      <c r="QTX12" s="249"/>
      <c r="QTY12" s="249"/>
      <c r="QTZ12" s="249"/>
      <c r="QUA12" s="249"/>
      <c r="QUB12" s="249"/>
      <c r="QUC12" s="249"/>
      <c r="QUD12" s="249"/>
      <c r="QUE12" s="249"/>
      <c r="QUF12" s="249"/>
      <c r="QUG12" s="249"/>
      <c r="QUH12" s="249"/>
      <c r="QUI12" s="249"/>
      <c r="QUJ12" s="249"/>
      <c r="QUK12" s="249"/>
      <c r="QUL12" s="249"/>
      <c r="QUM12" s="249"/>
      <c r="QUN12" s="249"/>
      <c r="QUO12" s="249"/>
      <c r="QUP12" s="249"/>
      <c r="QUQ12" s="249"/>
      <c r="QUR12" s="249"/>
      <c r="QUS12" s="249"/>
      <c r="QUT12" s="249"/>
      <c r="QUU12" s="249"/>
      <c r="QUV12" s="249"/>
      <c r="QUW12" s="249"/>
      <c r="QUX12" s="249"/>
      <c r="QUY12" s="249"/>
      <c r="QUZ12" s="249"/>
      <c r="QVA12" s="249"/>
      <c r="QVB12" s="249"/>
      <c r="QVC12" s="249"/>
      <c r="QVD12" s="249"/>
      <c r="QVE12" s="249"/>
      <c r="QVF12" s="249"/>
      <c r="QVG12" s="249"/>
      <c r="QVH12" s="249"/>
      <c r="QVI12" s="249"/>
      <c r="QVJ12" s="249"/>
      <c r="QVK12" s="249"/>
      <c r="QVL12" s="249"/>
      <c r="QVM12" s="249"/>
      <c r="QVN12" s="249"/>
      <c r="QVO12" s="249"/>
      <c r="QVP12" s="249"/>
      <c r="QVQ12" s="249"/>
      <c r="QVR12" s="249"/>
      <c r="QVS12" s="249"/>
      <c r="QVT12" s="249"/>
      <c r="QVU12" s="249"/>
      <c r="QVV12" s="249"/>
      <c r="QVW12" s="249"/>
      <c r="QVX12" s="249"/>
      <c r="QVY12" s="249"/>
      <c r="QVZ12" s="249"/>
      <c r="QWA12" s="249"/>
      <c r="QWB12" s="249"/>
      <c r="QWC12" s="249"/>
      <c r="QWD12" s="249"/>
      <c r="QWE12" s="249"/>
      <c r="QWF12" s="249"/>
      <c r="QWG12" s="249"/>
      <c r="QWH12" s="249"/>
      <c r="QWI12" s="249"/>
      <c r="QWJ12" s="249"/>
      <c r="QWK12" s="249"/>
      <c r="QWL12" s="249"/>
      <c r="QWM12" s="249"/>
      <c r="QWN12" s="249"/>
      <c r="QWO12" s="249"/>
      <c r="QWP12" s="249"/>
      <c r="QWQ12" s="249"/>
      <c r="QWR12" s="249"/>
      <c r="QWS12" s="249"/>
      <c r="QWT12" s="249"/>
      <c r="QWU12" s="249"/>
      <c r="QWV12" s="249"/>
      <c r="QWW12" s="249"/>
      <c r="QWX12" s="249"/>
      <c r="QWY12" s="249"/>
      <c r="QWZ12" s="249"/>
      <c r="QXA12" s="249"/>
      <c r="QXB12" s="249"/>
      <c r="QXC12" s="249"/>
      <c r="QXD12" s="249"/>
      <c r="QXE12" s="249"/>
      <c r="QXF12" s="249"/>
      <c r="QXG12" s="249"/>
      <c r="QXH12" s="249"/>
      <c r="QXI12" s="249"/>
      <c r="QXJ12" s="249"/>
      <c r="QXK12" s="249"/>
      <c r="QXL12" s="249"/>
      <c r="QXM12" s="249"/>
      <c r="QXN12" s="249"/>
      <c r="QXO12" s="249"/>
      <c r="QXP12" s="249"/>
      <c r="QXQ12" s="249"/>
      <c r="QXR12" s="249"/>
      <c r="QXS12" s="249"/>
      <c r="QXT12" s="249"/>
      <c r="QXU12" s="249"/>
      <c r="QXV12" s="249"/>
      <c r="QXW12" s="249"/>
      <c r="QXX12" s="249"/>
      <c r="QXY12" s="249"/>
      <c r="QXZ12" s="249"/>
      <c r="QYA12" s="249"/>
      <c r="QYB12" s="249"/>
      <c r="QYC12" s="249"/>
      <c r="QYD12" s="249"/>
      <c r="QYE12" s="249"/>
      <c r="QYF12" s="249"/>
      <c r="QYG12" s="249"/>
      <c r="QYH12" s="249"/>
      <c r="QYI12" s="249"/>
      <c r="QYJ12" s="249"/>
      <c r="QYK12" s="249"/>
      <c r="QYL12" s="249"/>
      <c r="QYM12" s="249"/>
      <c r="QYN12" s="249"/>
      <c r="QYO12" s="249"/>
      <c r="QYP12" s="249"/>
      <c r="QYQ12" s="249"/>
      <c r="QYR12" s="249"/>
      <c r="QYS12" s="249"/>
      <c r="QYT12" s="249"/>
      <c r="QYU12" s="249"/>
      <c r="QYV12" s="249"/>
      <c r="QYW12" s="249"/>
      <c r="QYX12" s="249"/>
      <c r="QYY12" s="249"/>
      <c r="QYZ12" s="249"/>
      <c r="QZA12" s="249"/>
      <c r="QZB12" s="249"/>
      <c r="QZC12" s="249"/>
      <c r="QZD12" s="249"/>
      <c r="QZE12" s="249"/>
      <c r="QZF12" s="249"/>
      <c r="QZG12" s="249"/>
      <c r="QZH12" s="249"/>
      <c r="QZI12" s="249"/>
      <c r="QZJ12" s="249"/>
      <c r="QZK12" s="249"/>
      <c r="QZL12" s="249"/>
      <c r="QZM12" s="249"/>
      <c r="QZN12" s="249"/>
      <c r="QZO12" s="249"/>
      <c r="QZP12" s="249"/>
      <c r="QZQ12" s="249"/>
      <c r="QZR12" s="249"/>
      <c r="QZS12" s="249"/>
      <c r="QZT12" s="249"/>
      <c r="QZU12" s="249"/>
      <c r="QZV12" s="249"/>
      <c r="QZW12" s="249"/>
      <c r="QZX12" s="249"/>
      <c r="QZY12" s="249"/>
      <c r="QZZ12" s="249"/>
      <c r="RAA12" s="249"/>
      <c r="RAB12" s="249"/>
      <c r="RAC12" s="249"/>
      <c r="RAD12" s="249"/>
      <c r="RAE12" s="249"/>
      <c r="RAF12" s="249"/>
      <c r="RAG12" s="249"/>
      <c r="RAH12" s="249"/>
      <c r="RAI12" s="249"/>
      <c r="RAJ12" s="249"/>
      <c r="RAK12" s="249"/>
      <c r="RAL12" s="249"/>
      <c r="RAM12" s="249"/>
      <c r="RAN12" s="249"/>
      <c r="RAO12" s="249"/>
      <c r="RAP12" s="249"/>
      <c r="RAQ12" s="249"/>
      <c r="RAR12" s="249"/>
      <c r="RAS12" s="249"/>
      <c r="RAT12" s="249"/>
      <c r="RAU12" s="249"/>
      <c r="RAV12" s="249"/>
      <c r="RAW12" s="249"/>
      <c r="RAX12" s="249"/>
      <c r="RAY12" s="249"/>
      <c r="RAZ12" s="249"/>
      <c r="RBA12" s="249"/>
      <c r="RBB12" s="249"/>
      <c r="RBC12" s="249"/>
      <c r="RBD12" s="249"/>
      <c r="RBE12" s="249"/>
      <c r="RBF12" s="249"/>
      <c r="RBG12" s="249"/>
      <c r="RBH12" s="249"/>
      <c r="RBI12" s="249"/>
      <c r="RBJ12" s="249"/>
      <c r="RBK12" s="249"/>
      <c r="RBL12" s="249"/>
      <c r="RBM12" s="249"/>
      <c r="RBN12" s="249"/>
      <c r="RBO12" s="249"/>
      <c r="RBP12" s="249"/>
      <c r="RBQ12" s="249"/>
      <c r="RBR12" s="249"/>
      <c r="RBS12" s="249"/>
      <c r="RBT12" s="249"/>
      <c r="RBU12" s="249"/>
      <c r="RBV12" s="249"/>
      <c r="RBW12" s="249"/>
      <c r="RBX12" s="249"/>
      <c r="RBY12" s="249"/>
      <c r="RBZ12" s="249"/>
      <c r="RCA12" s="249"/>
      <c r="RCB12" s="249"/>
      <c r="RCC12" s="249"/>
      <c r="RCD12" s="249"/>
      <c r="RCE12" s="249"/>
      <c r="RCF12" s="249"/>
      <c r="RCG12" s="249"/>
      <c r="RCH12" s="249"/>
      <c r="RCI12" s="249"/>
      <c r="RCJ12" s="249"/>
      <c r="RCK12" s="249"/>
      <c r="RCL12" s="249"/>
      <c r="RCM12" s="249"/>
      <c r="RCN12" s="249"/>
      <c r="RCO12" s="249"/>
      <c r="RCP12" s="249"/>
      <c r="RCQ12" s="249"/>
      <c r="RCR12" s="249"/>
      <c r="RCS12" s="249"/>
      <c r="RCT12" s="249"/>
      <c r="RCU12" s="249"/>
      <c r="RCV12" s="249"/>
      <c r="RCW12" s="249"/>
      <c r="RCX12" s="249"/>
      <c r="RCY12" s="249"/>
      <c r="RCZ12" s="249"/>
      <c r="RDA12" s="249"/>
      <c r="RDB12" s="249"/>
      <c r="RDC12" s="249"/>
      <c r="RDD12" s="249"/>
      <c r="RDE12" s="249"/>
      <c r="RDF12" s="249"/>
      <c r="RDG12" s="249"/>
      <c r="RDH12" s="249"/>
      <c r="RDI12" s="249"/>
      <c r="RDJ12" s="249"/>
      <c r="RDK12" s="249"/>
      <c r="RDL12" s="249"/>
      <c r="RDM12" s="249"/>
      <c r="RDN12" s="249"/>
      <c r="RDO12" s="249"/>
      <c r="RDP12" s="249"/>
      <c r="RDQ12" s="249"/>
      <c r="RDR12" s="249"/>
      <c r="RDS12" s="249"/>
      <c r="RDT12" s="249"/>
      <c r="RDU12" s="249"/>
      <c r="RDV12" s="249"/>
      <c r="RDW12" s="249"/>
      <c r="RDX12" s="249"/>
      <c r="RDY12" s="249"/>
      <c r="RDZ12" s="249"/>
      <c r="REA12" s="249"/>
      <c r="REB12" s="249"/>
      <c r="REC12" s="249"/>
      <c r="RED12" s="249"/>
      <c r="REE12" s="249"/>
      <c r="REF12" s="249"/>
      <c r="REG12" s="249"/>
      <c r="REH12" s="249"/>
      <c r="REI12" s="249"/>
      <c r="REJ12" s="249"/>
      <c r="REK12" s="249"/>
      <c r="REL12" s="249"/>
      <c r="REM12" s="249"/>
      <c r="REN12" s="249"/>
      <c r="REO12" s="249"/>
      <c r="REP12" s="249"/>
      <c r="REQ12" s="249"/>
      <c r="RER12" s="249"/>
      <c r="RES12" s="249"/>
      <c r="RET12" s="249"/>
      <c r="REU12" s="249"/>
      <c r="REV12" s="249"/>
      <c r="REW12" s="249"/>
      <c r="REX12" s="249"/>
      <c r="REY12" s="249"/>
      <c r="REZ12" s="249"/>
      <c r="RFA12" s="249"/>
      <c r="RFB12" s="249"/>
      <c r="RFC12" s="249"/>
      <c r="RFD12" s="249"/>
      <c r="RFE12" s="249"/>
      <c r="RFF12" s="249"/>
      <c r="RFG12" s="249"/>
      <c r="RFH12" s="249"/>
      <c r="RFI12" s="249"/>
      <c r="RFJ12" s="249"/>
      <c r="RFK12" s="249"/>
      <c r="RFL12" s="249"/>
      <c r="RFM12" s="249"/>
      <c r="RFN12" s="249"/>
      <c r="RFO12" s="249"/>
      <c r="RFP12" s="249"/>
      <c r="RFQ12" s="249"/>
      <c r="RFR12" s="249"/>
      <c r="RFS12" s="249"/>
      <c r="RFT12" s="249"/>
      <c r="RFU12" s="249"/>
      <c r="RFV12" s="249"/>
      <c r="RFW12" s="249"/>
      <c r="RFX12" s="249"/>
      <c r="RFY12" s="249"/>
      <c r="RFZ12" s="249"/>
      <c r="RGA12" s="249"/>
      <c r="RGB12" s="249"/>
      <c r="RGC12" s="249"/>
      <c r="RGD12" s="249"/>
      <c r="RGE12" s="249"/>
      <c r="RGF12" s="249"/>
      <c r="RGG12" s="249"/>
      <c r="RGH12" s="249"/>
      <c r="RGI12" s="249"/>
      <c r="RGJ12" s="249"/>
      <c r="RGK12" s="249"/>
      <c r="RGL12" s="249"/>
      <c r="RGM12" s="249"/>
      <c r="RGN12" s="249"/>
      <c r="RGO12" s="249"/>
      <c r="RGP12" s="249"/>
      <c r="RGQ12" s="249"/>
      <c r="RGR12" s="249"/>
      <c r="RGS12" s="249"/>
      <c r="RGT12" s="249"/>
      <c r="RGU12" s="249"/>
      <c r="RGV12" s="249"/>
      <c r="RGW12" s="249"/>
      <c r="RGX12" s="249"/>
      <c r="RGY12" s="249"/>
      <c r="RGZ12" s="249"/>
      <c r="RHA12" s="249"/>
      <c r="RHB12" s="249"/>
      <c r="RHC12" s="249"/>
      <c r="RHD12" s="249"/>
      <c r="RHE12" s="249"/>
      <c r="RHF12" s="249"/>
      <c r="RHG12" s="249"/>
      <c r="RHH12" s="249"/>
      <c r="RHI12" s="249"/>
      <c r="RHJ12" s="249"/>
      <c r="RHK12" s="249"/>
      <c r="RHL12" s="249"/>
      <c r="RHM12" s="249"/>
      <c r="RHN12" s="249"/>
      <c r="RHO12" s="249"/>
      <c r="RHP12" s="249"/>
      <c r="RHQ12" s="249"/>
      <c r="RHR12" s="249"/>
      <c r="RHS12" s="249"/>
      <c r="RHT12" s="249"/>
      <c r="RHU12" s="249"/>
      <c r="RHV12" s="249"/>
      <c r="RHW12" s="249"/>
      <c r="RHX12" s="249"/>
      <c r="RHY12" s="249"/>
      <c r="RHZ12" s="249"/>
      <c r="RIA12" s="249"/>
      <c r="RIB12" s="249"/>
      <c r="RIC12" s="249"/>
      <c r="RID12" s="249"/>
      <c r="RIE12" s="249"/>
      <c r="RIF12" s="249"/>
      <c r="RIG12" s="249"/>
      <c r="RIH12" s="249"/>
      <c r="RII12" s="249"/>
      <c r="RIJ12" s="249"/>
      <c r="RIK12" s="249"/>
      <c r="RIL12" s="249"/>
      <c r="RIM12" s="249"/>
      <c r="RIN12" s="249"/>
      <c r="RIO12" s="249"/>
      <c r="RIP12" s="249"/>
      <c r="RIQ12" s="249"/>
      <c r="RIR12" s="249"/>
      <c r="RIS12" s="249"/>
      <c r="RIT12" s="249"/>
      <c r="RIU12" s="249"/>
      <c r="RIV12" s="249"/>
      <c r="RIW12" s="249"/>
      <c r="RIX12" s="249"/>
      <c r="RIY12" s="249"/>
      <c r="RIZ12" s="249"/>
      <c r="RJA12" s="249"/>
      <c r="RJB12" s="249"/>
      <c r="RJC12" s="249"/>
      <c r="RJD12" s="249"/>
      <c r="RJE12" s="249"/>
      <c r="RJF12" s="249"/>
      <c r="RJG12" s="249"/>
      <c r="RJH12" s="249"/>
      <c r="RJI12" s="249"/>
      <c r="RJJ12" s="249"/>
      <c r="RJK12" s="249"/>
      <c r="RJL12" s="249"/>
      <c r="RJM12" s="249"/>
      <c r="RJN12" s="249"/>
      <c r="RJO12" s="249"/>
      <c r="RJP12" s="249"/>
      <c r="RJQ12" s="249"/>
      <c r="RJR12" s="249"/>
      <c r="RJS12" s="249"/>
      <c r="RJT12" s="249"/>
      <c r="RJU12" s="249"/>
      <c r="RJV12" s="249"/>
      <c r="RJW12" s="249"/>
      <c r="RJX12" s="249"/>
      <c r="RJY12" s="249"/>
      <c r="RJZ12" s="249"/>
      <c r="RKA12" s="249"/>
      <c r="RKB12" s="249"/>
      <c r="RKC12" s="249"/>
      <c r="RKD12" s="249"/>
      <c r="RKE12" s="249"/>
      <c r="RKF12" s="249"/>
      <c r="RKG12" s="249"/>
      <c r="RKH12" s="249"/>
      <c r="RKI12" s="249"/>
      <c r="RKJ12" s="249"/>
      <c r="RKK12" s="249"/>
      <c r="RKL12" s="249"/>
      <c r="RKM12" s="249"/>
      <c r="RKN12" s="249"/>
      <c r="RKO12" s="249"/>
      <c r="RKP12" s="249"/>
      <c r="RKQ12" s="249"/>
      <c r="RKR12" s="249"/>
      <c r="RKS12" s="249"/>
      <c r="RKT12" s="249"/>
      <c r="RKU12" s="249"/>
      <c r="RKV12" s="249"/>
      <c r="RKW12" s="249"/>
      <c r="RKX12" s="249"/>
      <c r="RKY12" s="249"/>
      <c r="RKZ12" s="249"/>
      <c r="RLA12" s="249"/>
      <c r="RLB12" s="249"/>
      <c r="RLC12" s="249"/>
      <c r="RLD12" s="249"/>
      <c r="RLE12" s="249"/>
      <c r="RLF12" s="249"/>
      <c r="RLG12" s="249"/>
      <c r="RLH12" s="249"/>
      <c r="RLI12" s="249"/>
      <c r="RLJ12" s="249"/>
      <c r="RLK12" s="249"/>
      <c r="RLL12" s="249"/>
      <c r="RLM12" s="249"/>
      <c r="RLN12" s="249"/>
      <c r="RLO12" s="249"/>
      <c r="RLP12" s="249"/>
      <c r="RLQ12" s="249"/>
      <c r="RLR12" s="249"/>
      <c r="RLS12" s="249"/>
      <c r="RLT12" s="249"/>
      <c r="RLU12" s="249"/>
      <c r="RLV12" s="249"/>
      <c r="RLW12" s="249"/>
      <c r="RLX12" s="249"/>
      <c r="RLY12" s="249"/>
      <c r="RLZ12" s="249"/>
      <c r="RMA12" s="249"/>
      <c r="RMB12" s="249"/>
      <c r="RMC12" s="249"/>
      <c r="RMD12" s="249"/>
      <c r="RME12" s="249"/>
      <c r="RMF12" s="249"/>
      <c r="RMG12" s="249"/>
      <c r="RMH12" s="249"/>
      <c r="RMI12" s="249"/>
      <c r="RMJ12" s="249"/>
      <c r="RMK12" s="249"/>
      <c r="RML12" s="249"/>
      <c r="RMM12" s="249"/>
      <c r="RMN12" s="249"/>
      <c r="RMO12" s="249"/>
      <c r="RMP12" s="249"/>
      <c r="RMQ12" s="249"/>
      <c r="RMR12" s="249"/>
      <c r="RMS12" s="249"/>
      <c r="RMT12" s="249"/>
      <c r="RMU12" s="249"/>
      <c r="RMV12" s="249"/>
      <c r="RMW12" s="249"/>
      <c r="RMX12" s="249"/>
      <c r="RMY12" s="249"/>
      <c r="RMZ12" s="249"/>
      <c r="RNA12" s="249"/>
      <c r="RNB12" s="249"/>
      <c r="RNC12" s="249"/>
      <c r="RND12" s="249"/>
      <c r="RNE12" s="249"/>
      <c r="RNF12" s="249"/>
      <c r="RNG12" s="249"/>
      <c r="RNH12" s="249"/>
      <c r="RNI12" s="249"/>
      <c r="RNJ12" s="249"/>
      <c r="RNK12" s="249"/>
      <c r="RNL12" s="249"/>
      <c r="RNM12" s="249"/>
      <c r="RNN12" s="249"/>
      <c r="RNO12" s="249"/>
      <c r="RNP12" s="249"/>
      <c r="RNQ12" s="249"/>
      <c r="RNR12" s="249"/>
      <c r="RNS12" s="249"/>
      <c r="RNT12" s="249"/>
      <c r="RNU12" s="249"/>
      <c r="RNV12" s="249"/>
      <c r="RNW12" s="249"/>
      <c r="RNX12" s="249"/>
      <c r="RNY12" s="249"/>
      <c r="RNZ12" s="249"/>
      <c r="ROA12" s="249"/>
      <c r="ROB12" s="249"/>
      <c r="ROC12" s="249"/>
      <c r="ROD12" s="249"/>
      <c r="ROE12" s="249"/>
      <c r="ROF12" s="249"/>
      <c r="ROG12" s="249"/>
      <c r="ROH12" s="249"/>
      <c r="ROI12" s="249"/>
      <c r="ROJ12" s="249"/>
      <c r="ROK12" s="249"/>
      <c r="ROL12" s="249"/>
      <c r="ROM12" s="249"/>
      <c r="RON12" s="249"/>
      <c r="ROO12" s="249"/>
      <c r="ROP12" s="249"/>
      <c r="ROQ12" s="249"/>
      <c r="ROR12" s="249"/>
      <c r="ROS12" s="249"/>
      <c r="ROT12" s="249"/>
      <c r="ROU12" s="249"/>
      <c r="ROV12" s="249"/>
      <c r="ROW12" s="249"/>
      <c r="ROX12" s="249"/>
      <c r="ROY12" s="249"/>
      <c r="ROZ12" s="249"/>
      <c r="RPA12" s="249"/>
      <c r="RPB12" s="249"/>
      <c r="RPC12" s="249"/>
      <c r="RPD12" s="249"/>
      <c r="RPE12" s="249"/>
      <c r="RPF12" s="249"/>
      <c r="RPG12" s="249"/>
      <c r="RPH12" s="249"/>
      <c r="RPI12" s="249"/>
      <c r="RPJ12" s="249"/>
      <c r="RPK12" s="249"/>
      <c r="RPL12" s="249"/>
      <c r="RPM12" s="249"/>
      <c r="RPN12" s="249"/>
      <c r="RPO12" s="249"/>
      <c r="RPP12" s="249"/>
      <c r="RPQ12" s="249"/>
      <c r="RPR12" s="249"/>
      <c r="RPS12" s="249"/>
      <c r="RPT12" s="249"/>
      <c r="RPU12" s="249"/>
      <c r="RPV12" s="249"/>
      <c r="RPW12" s="249"/>
      <c r="RPX12" s="249"/>
      <c r="RPY12" s="249"/>
      <c r="RPZ12" s="249"/>
      <c r="RQA12" s="249"/>
      <c r="RQB12" s="249"/>
      <c r="RQC12" s="249"/>
      <c r="RQD12" s="249"/>
      <c r="RQE12" s="249"/>
      <c r="RQF12" s="249"/>
      <c r="RQG12" s="249"/>
      <c r="RQH12" s="249"/>
      <c r="RQI12" s="249"/>
      <c r="RQJ12" s="249"/>
      <c r="RQK12" s="249"/>
      <c r="RQL12" s="249"/>
      <c r="RQM12" s="249"/>
      <c r="RQN12" s="249"/>
      <c r="RQO12" s="249"/>
      <c r="RQP12" s="249"/>
      <c r="RQQ12" s="249"/>
      <c r="RQR12" s="249"/>
      <c r="RQS12" s="249"/>
      <c r="RQT12" s="249"/>
      <c r="RQU12" s="249"/>
      <c r="RQV12" s="249"/>
      <c r="RQW12" s="249"/>
      <c r="RQX12" s="249"/>
      <c r="RQY12" s="249"/>
      <c r="RQZ12" s="249"/>
      <c r="RRA12" s="249"/>
      <c r="RRB12" s="249"/>
      <c r="RRC12" s="249"/>
      <c r="RRD12" s="249"/>
      <c r="RRE12" s="249"/>
      <c r="RRF12" s="249"/>
      <c r="RRG12" s="249"/>
      <c r="RRH12" s="249"/>
      <c r="RRI12" s="249"/>
      <c r="RRJ12" s="249"/>
      <c r="RRK12" s="249"/>
      <c r="RRL12" s="249"/>
      <c r="RRM12" s="249"/>
      <c r="RRN12" s="249"/>
      <c r="RRO12" s="249"/>
      <c r="RRP12" s="249"/>
      <c r="RRQ12" s="249"/>
      <c r="RRR12" s="249"/>
      <c r="RRS12" s="249"/>
      <c r="RRT12" s="249"/>
      <c r="RRU12" s="249"/>
      <c r="RRV12" s="249"/>
      <c r="RRW12" s="249"/>
      <c r="RRX12" s="249"/>
      <c r="RRY12" s="249"/>
      <c r="RRZ12" s="249"/>
      <c r="RSA12" s="249"/>
      <c r="RSB12" s="249"/>
      <c r="RSC12" s="249"/>
      <c r="RSD12" s="249"/>
      <c r="RSE12" s="249"/>
      <c r="RSF12" s="249"/>
      <c r="RSG12" s="249"/>
      <c r="RSH12" s="249"/>
      <c r="RSI12" s="249"/>
      <c r="RSJ12" s="249"/>
      <c r="RSK12" s="249"/>
      <c r="RSL12" s="249"/>
      <c r="RSM12" s="249"/>
      <c r="RSN12" s="249"/>
      <c r="RSO12" s="249"/>
      <c r="RSP12" s="249"/>
      <c r="RSQ12" s="249"/>
      <c r="RSR12" s="249"/>
      <c r="RSS12" s="249"/>
      <c r="RST12" s="249"/>
      <c r="RSU12" s="249"/>
      <c r="RSV12" s="249"/>
      <c r="RSW12" s="249"/>
      <c r="RSX12" s="249"/>
      <c r="RSY12" s="249"/>
      <c r="RSZ12" s="249"/>
      <c r="RTA12" s="249"/>
      <c r="RTB12" s="249"/>
      <c r="RTC12" s="249"/>
      <c r="RTD12" s="249"/>
      <c r="RTE12" s="249"/>
      <c r="RTF12" s="249"/>
      <c r="RTG12" s="249"/>
      <c r="RTH12" s="249"/>
      <c r="RTI12" s="249"/>
      <c r="RTJ12" s="249"/>
      <c r="RTK12" s="249"/>
      <c r="RTL12" s="249"/>
      <c r="RTM12" s="249"/>
      <c r="RTN12" s="249"/>
      <c r="RTO12" s="249"/>
      <c r="RTP12" s="249"/>
      <c r="RTQ12" s="249"/>
      <c r="RTR12" s="249"/>
      <c r="RTS12" s="249"/>
      <c r="RTT12" s="249"/>
      <c r="RTU12" s="249"/>
      <c r="RTV12" s="249"/>
      <c r="RTW12" s="249"/>
      <c r="RTX12" s="249"/>
      <c r="RTY12" s="249"/>
      <c r="RTZ12" s="249"/>
      <c r="RUA12" s="249"/>
      <c r="RUB12" s="249"/>
      <c r="RUC12" s="249"/>
      <c r="RUD12" s="249"/>
      <c r="RUE12" s="249"/>
      <c r="RUF12" s="249"/>
      <c r="RUG12" s="249"/>
      <c r="RUH12" s="249"/>
      <c r="RUI12" s="249"/>
      <c r="RUJ12" s="249"/>
      <c r="RUK12" s="249"/>
      <c r="RUL12" s="249"/>
      <c r="RUM12" s="249"/>
      <c r="RUN12" s="249"/>
      <c r="RUO12" s="249"/>
      <c r="RUP12" s="249"/>
      <c r="RUQ12" s="249"/>
      <c r="RUR12" s="249"/>
      <c r="RUS12" s="249"/>
      <c r="RUT12" s="249"/>
      <c r="RUU12" s="249"/>
      <c r="RUV12" s="249"/>
      <c r="RUW12" s="249"/>
      <c r="RUX12" s="249"/>
      <c r="RUY12" s="249"/>
      <c r="RUZ12" s="249"/>
      <c r="RVA12" s="249"/>
      <c r="RVB12" s="249"/>
      <c r="RVC12" s="249"/>
      <c r="RVD12" s="249"/>
      <c r="RVE12" s="249"/>
      <c r="RVF12" s="249"/>
      <c r="RVG12" s="249"/>
      <c r="RVH12" s="249"/>
      <c r="RVI12" s="249"/>
      <c r="RVJ12" s="249"/>
      <c r="RVK12" s="249"/>
      <c r="RVL12" s="249"/>
      <c r="RVM12" s="249"/>
      <c r="RVN12" s="249"/>
      <c r="RVO12" s="249"/>
      <c r="RVP12" s="249"/>
      <c r="RVQ12" s="249"/>
      <c r="RVR12" s="249"/>
      <c r="RVS12" s="249"/>
      <c r="RVT12" s="249"/>
      <c r="RVU12" s="249"/>
      <c r="RVV12" s="249"/>
      <c r="RVW12" s="249"/>
      <c r="RVX12" s="249"/>
      <c r="RVY12" s="249"/>
      <c r="RVZ12" s="249"/>
      <c r="RWA12" s="249"/>
      <c r="RWB12" s="249"/>
      <c r="RWC12" s="249"/>
      <c r="RWD12" s="249"/>
      <c r="RWE12" s="249"/>
      <c r="RWF12" s="249"/>
      <c r="RWG12" s="249"/>
      <c r="RWH12" s="249"/>
      <c r="RWI12" s="249"/>
      <c r="RWJ12" s="249"/>
      <c r="RWK12" s="249"/>
      <c r="RWL12" s="249"/>
      <c r="RWM12" s="249"/>
      <c r="RWN12" s="249"/>
      <c r="RWO12" s="249"/>
      <c r="RWP12" s="249"/>
      <c r="RWQ12" s="249"/>
      <c r="RWR12" s="249"/>
      <c r="RWS12" s="249"/>
      <c r="RWT12" s="249"/>
      <c r="RWU12" s="249"/>
      <c r="RWV12" s="249"/>
      <c r="RWW12" s="249"/>
      <c r="RWX12" s="249"/>
      <c r="RWY12" s="249"/>
      <c r="RWZ12" s="249"/>
      <c r="RXA12" s="249"/>
      <c r="RXB12" s="249"/>
      <c r="RXC12" s="249"/>
      <c r="RXD12" s="249"/>
      <c r="RXE12" s="249"/>
      <c r="RXF12" s="249"/>
      <c r="RXG12" s="249"/>
      <c r="RXH12" s="249"/>
      <c r="RXI12" s="249"/>
      <c r="RXJ12" s="249"/>
      <c r="RXK12" s="249"/>
      <c r="RXL12" s="249"/>
      <c r="RXM12" s="249"/>
      <c r="RXN12" s="249"/>
      <c r="RXO12" s="249"/>
      <c r="RXP12" s="249"/>
      <c r="RXQ12" s="249"/>
      <c r="RXR12" s="249"/>
      <c r="RXS12" s="249"/>
      <c r="RXT12" s="249"/>
      <c r="RXU12" s="249"/>
      <c r="RXV12" s="249"/>
      <c r="RXW12" s="249"/>
      <c r="RXX12" s="249"/>
      <c r="RXY12" s="249"/>
      <c r="RXZ12" s="249"/>
      <c r="RYA12" s="249"/>
      <c r="RYB12" s="249"/>
      <c r="RYC12" s="249"/>
      <c r="RYD12" s="249"/>
      <c r="RYE12" s="249"/>
      <c r="RYF12" s="249"/>
      <c r="RYG12" s="249"/>
      <c r="RYH12" s="249"/>
      <c r="RYI12" s="249"/>
      <c r="RYJ12" s="249"/>
      <c r="RYK12" s="249"/>
      <c r="RYL12" s="249"/>
      <c r="RYM12" s="249"/>
      <c r="RYN12" s="249"/>
      <c r="RYO12" s="249"/>
      <c r="RYP12" s="249"/>
      <c r="RYQ12" s="249"/>
      <c r="RYR12" s="249"/>
      <c r="RYS12" s="249"/>
      <c r="RYT12" s="249"/>
      <c r="RYU12" s="249"/>
      <c r="RYV12" s="249"/>
      <c r="RYW12" s="249"/>
      <c r="RYX12" s="249"/>
      <c r="RYY12" s="249"/>
      <c r="RYZ12" s="249"/>
      <c r="RZA12" s="249"/>
      <c r="RZB12" s="249"/>
      <c r="RZC12" s="249"/>
      <c r="RZD12" s="249"/>
      <c r="RZE12" s="249"/>
      <c r="RZF12" s="249"/>
      <c r="RZG12" s="249"/>
      <c r="RZH12" s="249"/>
      <c r="RZI12" s="249"/>
      <c r="RZJ12" s="249"/>
      <c r="RZK12" s="249"/>
      <c r="RZL12" s="249"/>
      <c r="RZM12" s="249"/>
      <c r="RZN12" s="249"/>
      <c r="RZO12" s="249"/>
      <c r="RZP12" s="249"/>
      <c r="RZQ12" s="249"/>
      <c r="RZR12" s="249"/>
      <c r="RZS12" s="249"/>
      <c r="RZT12" s="249"/>
      <c r="RZU12" s="249"/>
      <c r="RZV12" s="249"/>
      <c r="RZW12" s="249"/>
      <c r="RZX12" s="249"/>
      <c r="RZY12" s="249"/>
      <c r="RZZ12" s="249"/>
      <c r="SAA12" s="249"/>
      <c r="SAB12" s="249"/>
      <c r="SAC12" s="249"/>
      <c r="SAD12" s="249"/>
      <c r="SAE12" s="249"/>
      <c r="SAF12" s="249"/>
      <c r="SAG12" s="249"/>
      <c r="SAH12" s="249"/>
      <c r="SAI12" s="249"/>
      <c r="SAJ12" s="249"/>
      <c r="SAK12" s="249"/>
      <c r="SAL12" s="249"/>
      <c r="SAM12" s="249"/>
      <c r="SAN12" s="249"/>
      <c r="SAO12" s="249"/>
      <c r="SAP12" s="249"/>
      <c r="SAQ12" s="249"/>
      <c r="SAR12" s="249"/>
      <c r="SAS12" s="249"/>
      <c r="SAT12" s="249"/>
      <c r="SAU12" s="249"/>
      <c r="SAV12" s="249"/>
      <c r="SAW12" s="249"/>
      <c r="SAX12" s="249"/>
      <c r="SAY12" s="249"/>
      <c r="SAZ12" s="249"/>
      <c r="SBA12" s="249"/>
      <c r="SBB12" s="249"/>
      <c r="SBC12" s="249"/>
      <c r="SBD12" s="249"/>
      <c r="SBE12" s="249"/>
      <c r="SBF12" s="249"/>
      <c r="SBG12" s="249"/>
      <c r="SBH12" s="249"/>
      <c r="SBI12" s="249"/>
      <c r="SBJ12" s="249"/>
      <c r="SBK12" s="249"/>
      <c r="SBL12" s="249"/>
      <c r="SBM12" s="249"/>
      <c r="SBN12" s="249"/>
      <c r="SBO12" s="249"/>
      <c r="SBP12" s="249"/>
      <c r="SBQ12" s="249"/>
      <c r="SBR12" s="249"/>
      <c r="SBS12" s="249"/>
      <c r="SBT12" s="249"/>
      <c r="SBU12" s="249"/>
      <c r="SBV12" s="249"/>
      <c r="SBW12" s="249"/>
      <c r="SBX12" s="249"/>
      <c r="SBY12" s="249"/>
      <c r="SBZ12" s="249"/>
      <c r="SCA12" s="249"/>
      <c r="SCB12" s="249"/>
      <c r="SCC12" s="249"/>
      <c r="SCD12" s="249"/>
      <c r="SCE12" s="249"/>
      <c r="SCF12" s="249"/>
      <c r="SCG12" s="249"/>
      <c r="SCH12" s="249"/>
      <c r="SCI12" s="249"/>
      <c r="SCJ12" s="249"/>
      <c r="SCK12" s="249"/>
      <c r="SCL12" s="249"/>
      <c r="SCM12" s="249"/>
      <c r="SCN12" s="249"/>
      <c r="SCO12" s="249"/>
      <c r="SCP12" s="249"/>
      <c r="SCQ12" s="249"/>
      <c r="SCR12" s="249"/>
      <c r="SCS12" s="249"/>
      <c r="SCT12" s="249"/>
      <c r="SCU12" s="249"/>
      <c r="SCV12" s="249"/>
      <c r="SCW12" s="249"/>
      <c r="SCX12" s="249"/>
      <c r="SCY12" s="249"/>
      <c r="SCZ12" s="249"/>
      <c r="SDA12" s="249"/>
      <c r="SDB12" s="249"/>
      <c r="SDC12" s="249"/>
      <c r="SDD12" s="249"/>
      <c r="SDE12" s="249"/>
      <c r="SDF12" s="249"/>
      <c r="SDG12" s="249"/>
      <c r="SDH12" s="249"/>
      <c r="SDI12" s="249"/>
      <c r="SDJ12" s="249"/>
      <c r="SDK12" s="249"/>
      <c r="SDL12" s="249"/>
      <c r="SDM12" s="249"/>
      <c r="SDN12" s="249"/>
      <c r="SDO12" s="249"/>
      <c r="SDP12" s="249"/>
      <c r="SDQ12" s="249"/>
      <c r="SDR12" s="249"/>
      <c r="SDS12" s="249"/>
      <c r="SDT12" s="249"/>
      <c r="SDU12" s="249"/>
      <c r="SDV12" s="249"/>
      <c r="SDW12" s="249"/>
      <c r="SDX12" s="249"/>
      <c r="SDY12" s="249"/>
      <c r="SDZ12" s="249"/>
      <c r="SEA12" s="249"/>
      <c r="SEB12" s="249"/>
      <c r="SEC12" s="249"/>
      <c r="SED12" s="249"/>
      <c r="SEE12" s="249"/>
      <c r="SEF12" s="249"/>
      <c r="SEG12" s="249"/>
      <c r="SEH12" s="249"/>
      <c r="SEI12" s="249"/>
      <c r="SEJ12" s="249"/>
      <c r="SEK12" s="249"/>
      <c r="SEL12" s="249"/>
      <c r="SEM12" s="249"/>
      <c r="SEN12" s="249"/>
      <c r="SEO12" s="249"/>
      <c r="SEP12" s="249"/>
      <c r="SEQ12" s="249"/>
      <c r="SER12" s="249"/>
      <c r="SES12" s="249"/>
      <c r="SET12" s="249"/>
      <c r="SEU12" s="249"/>
      <c r="SEV12" s="249"/>
      <c r="SEW12" s="249"/>
      <c r="SEX12" s="249"/>
      <c r="SEY12" s="249"/>
      <c r="SEZ12" s="249"/>
      <c r="SFA12" s="249"/>
      <c r="SFB12" s="249"/>
      <c r="SFC12" s="249"/>
      <c r="SFD12" s="249"/>
      <c r="SFE12" s="249"/>
      <c r="SFF12" s="249"/>
      <c r="SFG12" s="249"/>
      <c r="SFH12" s="249"/>
      <c r="SFI12" s="249"/>
      <c r="SFJ12" s="249"/>
      <c r="SFK12" s="249"/>
      <c r="SFL12" s="249"/>
      <c r="SFM12" s="249"/>
      <c r="SFN12" s="249"/>
      <c r="SFO12" s="249"/>
      <c r="SFP12" s="249"/>
      <c r="SFQ12" s="249"/>
      <c r="SFR12" s="249"/>
      <c r="SFS12" s="249"/>
      <c r="SFT12" s="249"/>
      <c r="SFU12" s="249"/>
      <c r="SFV12" s="249"/>
      <c r="SFW12" s="249"/>
      <c r="SFX12" s="249"/>
      <c r="SFY12" s="249"/>
      <c r="SFZ12" s="249"/>
      <c r="SGA12" s="249"/>
      <c r="SGB12" s="249"/>
      <c r="SGC12" s="249"/>
      <c r="SGD12" s="249"/>
      <c r="SGE12" s="249"/>
      <c r="SGF12" s="249"/>
      <c r="SGG12" s="249"/>
      <c r="SGH12" s="249"/>
      <c r="SGI12" s="249"/>
      <c r="SGJ12" s="249"/>
      <c r="SGK12" s="249"/>
      <c r="SGL12" s="249"/>
      <c r="SGM12" s="249"/>
      <c r="SGN12" s="249"/>
      <c r="SGO12" s="249"/>
      <c r="SGP12" s="249"/>
      <c r="SGQ12" s="249"/>
      <c r="SGR12" s="249"/>
      <c r="SGS12" s="249"/>
      <c r="SGT12" s="249"/>
      <c r="SGU12" s="249"/>
      <c r="SGV12" s="249"/>
      <c r="SGW12" s="249"/>
      <c r="SGX12" s="249"/>
      <c r="SGY12" s="249"/>
      <c r="SGZ12" s="249"/>
      <c r="SHA12" s="249"/>
      <c r="SHB12" s="249"/>
      <c r="SHC12" s="249"/>
      <c r="SHD12" s="249"/>
      <c r="SHE12" s="249"/>
      <c r="SHF12" s="249"/>
      <c r="SHG12" s="249"/>
      <c r="SHH12" s="249"/>
      <c r="SHI12" s="249"/>
      <c r="SHJ12" s="249"/>
      <c r="SHK12" s="249"/>
      <c r="SHL12" s="249"/>
      <c r="SHM12" s="249"/>
      <c r="SHN12" s="249"/>
      <c r="SHO12" s="249"/>
      <c r="SHP12" s="249"/>
      <c r="SHQ12" s="249"/>
      <c r="SHR12" s="249"/>
      <c r="SHS12" s="249"/>
      <c r="SHT12" s="249"/>
      <c r="SHU12" s="249"/>
      <c r="SHV12" s="249"/>
      <c r="SHW12" s="249"/>
      <c r="SHX12" s="249"/>
      <c r="SHY12" s="249"/>
      <c r="SHZ12" s="249"/>
      <c r="SIA12" s="249"/>
      <c r="SIB12" s="249"/>
      <c r="SIC12" s="249"/>
      <c r="SID12" s="249"/>
      <c r="SIE12" s="249"/>
      <c r="SIF12" s="249"/>
      <c r="SIG12" s="249"/>
      <c r="SIH12" s="249"/>
      <c r="SII12" s="249"/>
      <c r="SIJ12" s="249"/>
      <c r="SIK12" s="249"/>
      <c r="SIL12" s="249"/>
      <c r="SIM12" s="249"/>
      <c r="SIN12" s="249"/>
      <c r="SIO12" s="249"/>
      <c r="SIP12" s="249"/>
      <c r="SIQ12" s="249"/>
      <c r="SIR12" s="249"/>
      <c r="SIS12" s="249"/>
      <c r="SIT12" s="249"/>
      <c r="SIU12" s="249"/>
      <c r="SIV12" s="249"/>
      <c r="SIW12" s="249"/>
      <c r="SIX12" s="249"/>
      <c r="SIY12" s="249"/>
      <c r="SIZ12" s="249"/>
      <c r="SJA12" s="249"/>
      <c r="SJB12" s="249"/>
      <c r="SJC12" s="249"/>
      <c r="SJD12" s="249"/>
      <c r="SJE12" s="249"/>
      <c r="SJF12" s="249"/>
      <c r="SJG12" s="249"/>
      <c r="SJH12" s="249"/>
      <c r="SJI12" s="249"/>
      <c r="SJJ12" s="249"/>
      <c r="SJK12" s="249"/>
      <c r="SJL12" s="249"/>
      <c r="SJM12" s="249"/>
      <c r="SJN12" s="249"/>
      <c r="SJO12" s="249"/>
      <c r="SJP12" s="249"/>
      <c r="SJQ12" s="249"/>
      <c r="SJR12" s="249"/>
      <c r="SJS12" s="249"/>
      <c r="SJT12" s="249"/>
      <c r="SJU12" s="249"/>
      <c r="SJV12" s="249"/>
      <c r="SJW12" s="249"/>
      <c r="SJX12" s="249"/>
      <c r="SJY12" s="249"/>
      <c r="SJZ12" s="249"/>
      <c r="SKA12" s="249"/>
      <c r="SKB12" s="249"/>
      <c r="SKC12" s="249"/>
      <c r="SKD12" s="249"/>
      <c r="SKE12" s="249"/>
      <c r="SKF12" s="249"/>
      <c r="SKG12" s="249"/>
      <c r="SKH12" s="249"/>
      <c r="SKI12" s="249"/>
      <c r="SKJ12" s="249"/>
      <c r="SKK12" s="249"/>
      <c r="SKL12" s="249"/>
      <c r="SKM12" s="249"/>
      <c r="SKN12" s="249"/>
      <c r="SKO12" s="249"/>
      <c r="SKP12" s="249"/>
      <c r="SKQ12" s="249"/>
      <c r="SKR12" s="249"/>
      <c r="SKS12" s="249"/>
      <c r="SKT12" s="249"/>
      <c r="SKU12" s="249"/>
      <c r="SKV12" s="249"/>
      <c r="SKW12" s="249"/>
      <c r="SKX12" s="249"/>
      <c r="SKY12" s="249"/>
      <c r="SKZ12" s="249"/>
      <c r="SLA12" s="249"/>
      <c r="SLB12" s="249"/>
      <c r="SLC12" s="249"/>
      <c r="SLD12" s="249"/>
      <c r="SLE12" s="249"/>
      <c r="SLF12" s="249"/>
      <c r="SLG12" s="249"/>
      <c r="SLH12" s="249"/>
      <c r="SLI12" s="249"/>
      <c r="SLJ12" s="249"/>
      <c r="SLK12" s="249"/>
      <c r="SLL12" s="249"/>
      <c r="SLM12" s="249"/>
      <c r="SLN12" s="249"/>
      <c r="SLO12" s="249"/>
      <c r="SLP12" s="249"/>
      <c r="SLQ12" s="249"/>
      <c r="SLR12" s="249"/>
      <c r="SLS12" s="249"/>
      <c r="SLT12" s="249"/>
      <c r="SLU12" s="249"/>
      <c r="SLV12" s="249"/>
      <c r="SLW12" s="249"/>
      <c r="SLX12" s="249"/>
      <c r="SLY12" s="249"/>
      <c r="SLZ12" s="249"/>
      <c r="SMA12" s="249"/>
      <c r="SMB12" s="249"/>
      <c r="SMC12" s="249"/>
      <c r="SMD12" s="249"/>
      <c r="SME12" s="249"/>
      <c r="SMF12" s="249"/>
      <c r="SMG12" s="249"/>
      <c r="SMH12" s="249"/>
      <c r="SMI12" s="249"/>
      <c r="SMJ12" s="249"/>
      <c r="SMK12" s="249"/>
      <c r="SML12" s="249"/>
      <c r="SMM12" s="249"/>
      <c r="SMN12" s="249"/>
      <c r="SMO12" s="249"/>
      <c r="SMP12" s="249"/>
      <c r="SMQ12" s="249"/>
      <c r="SMR12" s="249"/>
      <c r="SMS12" s="249"/>
      <c r="SMT12" s="249"/>
      <c r="SMU12" s="249"/>
      <c r="SMV12" s="249"/>
      <c r="SMW12" s="249"/>
      <c r="SMX12" s="249"/>
      <c r="SMY12" s="249"/>
      <c r="SMZ12" s="249"/>
      <c r="SNA12" s="249"/>
      <c r="SNB12" s="249"/>
      <c r="SNC12" s="249"/>
      <c r="SND12" s="249"/>
      <c r="SNE12" s="249"/>
      <c r="SNF12" s="249"/>
      <c r="SNG12" s="249"/>
      <c r="SNH12" s="249"/>
      <c r="SNI12" s="249"/>
      <c r="SNJ12" s="249"/>
      <c r="SNK12" s="249"/>
      <c r="SNL12" s="249"/>
      <c r="SNM12" s="249"/>
      <c r="SNN12" s="249"/>
      <c r="SNO12" s="249"/>
      <c r="SNP12" s="249"/>
      <c r="SNQ12" s="249"/>
      <c r="SNR12" s="249"/>
      <c r="SNS12" s="249"/>
      <c r="SNT12" s="249"/>
      <c r="SNU12" s="249"/>
      <c r="SNV12" s="249"/>
      <c r="SNW12" s="249"/>
      <c r="SNX12" s="249"/>
      <c r="SNY12" s="249"/>
      <c r="SNZ12" s="249"/>
      <c r="SOA12" s="249"/>
      <c r="SOB12" s="249"/>
      <c r="SOC12" s="249"/>
      <c r="SOD12" s="249"/>
      <c r="SOE12" s="249"/>
      <c r="SOF12" s="249"/>
      <c r="SOG12" s="249"/>
      <c r="SOH12" s="249"/>
      <c r="SOI12" s="249"/>
      <c r="SOJ12" s="249"/>
      <c r="SOK12" s="249"/>
      <c r="SOL12" s="249"/>
      <c r="SOM12" s="249"/>
      <c r="SON12" s="249"/>
      <c r="SOO12" s="249"/>
      <c r="SOP12" s="249"/>
      <c r="SOQ12" s="249"/>
      <c r="SOR12" s="249"/>
      <c r="SOS12" s="249"/>
      <c r="SOT12" s="249"/>
      <c r="SOU12" s="249"/>
      <c r="SOV12" s="249"/>
      <c r="SOW12" s="249"/>
      <c r="SOX12" s="249"/>
      <c r="SOY12" s="249"/>
      <c r="SOZ12" s="249"/>
      <c r="SPA12" s="249"/>
      <c r="SPB12" s="249"/>
      <c r="SPC12" s="249"/>
      <c r="SPD12" s="249"/>
      <c r="SPE12" s="249"/>
      <c r="SPF12" s="249"/>
      <c r="SPG12" s="249"/>
      <c r="SPH12" s="249"/>
      <c r="SPI12" s="249"/>
      <c r="SPJ12" s="249"/>
      <c r="SPK12" s="249"/>
      <c r="SPL12" s="249"/>
      <c r="SPM12" s="249"/>
      <c r="SPN12" s="249"/>
      <c r="SPO12" s="249"/>
      <c r="SPP12" s="249"/>
      <c r="SPQ12" s="249"/>
      <c r="SPR12" s="249"/>
      <c r="SPS12" s="249"/>
      <c r="SPT12" s="249"/>
      <c r="SPU12" s="249"/>
      <c r="SPV12" s="249"/>
      <c r="SPW12" s="249"/>
      <c r="SPX12" s="249"/>
      <c r="SPY12" s="249"/>
      <c r="SPZ12" s="249"/>
      <c r="SQA12" s="249"/>
      <c r="SQB12" s="249"/>
      <c r="SQC12" s="249"/>
      <c r="SQD12" s="249"/>
      <c r="SQE12" s="249"/>
      <c r="SQF12" s="249"/>
      <c r="SQG12" s="249"/>
      <c r="SQH12" s="249"/>
      <c r="SQI12" s="249"/>
      <c r="SQJ12" s="249"/>
      <c r="SQK12" s="249"/>
      <c r="SQL12" s="249"/>
      <c r="SQM12" s="249"/>
      <c r="SQN12" s="249"/>
      <c r="SQO12" s="249"/>
      <c r="SQP12" s="249"/>
      <c r="SQQ12" s="249"/>
      <c r="SQR12" s="249"/>
      <c r="SQS12" s="249"/>
      <c r="SQT12" s="249"/>
      <c r="SQU12" s="249"/>
      <c r="SQV12" s="249"/>
      <c r="SQW12" s="249"/>
      <c r="SQX12" s="249"/>
      <c r="SQY12" s="249"/>
      <c r="SQZ12" s="249"/>
      <c r="SRA12" s="249"/>
      <c r="SRB12" s="249"/>
      <c r="SRC12" s="249"/>
      <c r="SRD12" s="249"/>
      <c r="SRE12" s="249"/>
      <c r="SRF12" s="249"/>
      <c r="SRG12" s="249"/>
      <c r="SRH12" s="249"/>
      <c r="SRI12" s="249"/>
      <c r="SRJ12" s="249"/>
      <c r="SRK12" s="249"/>
      <c r="SRL12" s="249"/>
      <c r="SRM12" s="249"/>
      <c r="SRN12" s="249"/>
      <c r="SRO12" s="249"/>
      <c r="SRP12" s="249"/>
      <c r="SRQ12" s="249"/>
      <c r="SRR12" s="249"/>
      <c r="SRS12" s="249"/>
      <c r="SRT12" s="249"/>
      <c r="SRU12" s="249"/>
      <c r="SRV12" s="249"/>
      <c r="SRW12" s="249"/>
      <c r="SRX12" s="249"/>
      <c r="SRY12" s="249"/>
      <c r="SRZ12" s="249"/>
      <c r="SSA12" s="249"/>
      <c r="SSB12" s="249"/>
      <c r="SSC12" s="249"/>
      <c r="SSD12" s="249"/>
      <c r="SSE12" s="249"/>
      <c r="SSF12" s="249"/>
      <c r="SSG12" s="249"/>
      <c r="SSH12" s="249"/>
      <c r="SSI12" s="249"/>
      <c r="SSJ12" s="249"/>
      <c r="SSK12" s="249"/>
      <c r="SSL12" s="249"/>
      <c r="SSM12" s="249"/>
      <c r="SSN12" s="249"/>
      <c r="SSO12" s="249"/>
      <c r="SSP12" s="249"/>
      <c r="SSQ12" s="249"/>
      <c r="SSR12" s="249"/>
      <c r="SSS12" s="249"/>
      <c r="SST12" s="249"/>
      <c r="SSU12" s="249"/>
      <c r="SSV12" s="249"/>
      <c r="SSW12" s="249"/>
      <c r="SSX12" s="249"/>
      <c r="SSY12" s="249"/>
      <c r="SSZ12" s="249"/>
      <c r="STA12" s="249"/>
      <c r="STB12" s="249"/>
      <c r="STC12" s="249"/>
      <c r="STD12" s="249"/>
      <c r="STE12" s="249"/>
      <c r="STF12" s="249"/>
      <c r="STG12" s="249"/>
      <c r="STH12" s="249"/>
      <c r="STI12" s="249"/>
      <c r="STJ12" s="249"/>
      <c r="STK12" s="249"/>
      <c r="STL12" s="249"/>
      <c r="STM12" s="249"/>
      <c r="STN12" s="249"/>
      <c r="STO12" s="249"/>
      <c r="STP12" s="249"/>
      <c r="STQ12" s="249"/>
      <c r="STR12" s="249"/>
      <c r="STS12" s="249"/>
      <c r="STT12" s="249"/>
      <c r="STU12" s="249"/>
      <c r="STV12" s="249"/>
      <c r="STW12" s="249"/>
      <c r="STX12" s="249"/>
      <c r="STY12" s="249"/>
      <c r="STZ12" s="249"/>
      <c r="SUA12" s="249"/>
      <c r="SUB12" s="249"/>
      <c r="SUC12" s="249"/>
      <c r="SUD12" s="249"/>
      <c r="SUE12" s="249"/>
      <c r="SUF12" s="249"/>
      <c r="SUG12" s="249"/>
      <c r="SUH12" s="249"/>
      <c r="SUI12" s="249"/>
      <c r="SUJ12" s="249"/>
      <c r="SUK12" s="249"/>
      <c r="SUL12" s="249"/>
      <c r="SUM12" s="249"/>
      <c r="SUN12" s="249"/>
      <c r="SUO12" s="249"/>
      <c r="SUP12" s="249"/>
      <c r="SUQ12" s="249"/>
      <c r="SUR12" s="249"/>
      <c r="SUS12" s="249"/>
      <c r="SUT12" s="249"/>
      <c r="SUU12" s="249"/>
      <c r="SUV12" s="249"/>
      <c r="SUW12" s="249"/>
      <c r="SUX12" s="249"/>
      <c r="SUY12" s="249"/>
      <c r="SUZ12" s="249"/>
      <c r="SVA12" s="249"/>
      <c r="SVB12" s="249"/>
      <c r="SVC12" s="249"/>
      <c r="SVD12" s="249"/>
      <c r="SVE12" s="249"/>
      <c r="SVF12" s="249"/>
      <c r="SVG12" s="249"/>
      <c r="SVH12" s="249"/>
      <c r="SVI12" s="249"/>
      <c r="SVJ12" s="249"/>
      <c r="SVK12" s="249"/>
      <c r="SVL12" s="249"/>
      <c r="SVM12" s="249"/>
      <c r="SVN12" s="249"/>
      <c r="SVO12" s="249"/>
      <c r="SVP12" s="249"/>
      <c r="SVQ12" s="249"/>
      <c r="SVR12" s="249"/>
      <c r="SVS12" s="249"/>
      <c r="SVT12" s="249"/>
      <c r="SVU12" s="249"/>
      <c r="SVV12" s="249"/>
      <c r="SVW12" s="249"/>
      <c r="SVX12" s="249"/>
      <c r="SVY12" s="249"/>
      <c r="SVZ12" s="249"/>
      <c r="SWA12" s="249"/>
      <c r="SWB12" s="249"/>
      <c r="SWC12" s="249"/>
      <c r="SWD12" s="249"/>
      <c r="SWE12" s="249"/>
      <c r="SWF12" s="249"/>
      <c r="SWG12" s="249"/>
      <c r="SWH12" s="249"/>
      <c r="SWI12" s="249"/>
      <c r="SWJ12" s="249"/>
      <c r="SWK12" s="249"/>
      <c r="SWL12" s="249"/>
      <c r="SWM12" s="249"/>
      <c r="SWN12" s="249"/>
      <c r="SWO12" s="249"/>
      <c r="SWP12" s="249"/>
      <c r="SWQ12" s="249"/>
      <c r="SWR12" s="249"/>
      <c r="SWS12" s="249"/>
      <c r="SWT12" s="249"/>
      <c r="SWU12" s="249"/>
      <c r="SWV12" s="249"/>
      <c r="SWW12" s="249"/>
      <c r="SWX12" s="249"/>
      <c r="SWY12" s="249"/>
      <c r="SWZ12" s="249"/>
      <c r="SXA12" s="249"/>
      <c r="SXB12" s="249"/>
      <c r="SXC12" s="249"/>
      <c r="SXD12" s="249"/>
      <c r="SXE12" s="249"/>
      <c r="SXF12" s="249"/>
      <c r="SXG12" s="249"/>
      <c r="SXH12" s="249"/>
      <c r="SXI12" s="249"/>
      <c r="SXJ12" s="249"/>
      <c r="SXK12" s="249"/>
      <c r="SXL12" s="249"/>
      <c r="SXM12" s="249"/>
      <c r="SXN12" s="249"/>
      <c r="SXO12" s="249"/>
      <c r="SXP12" s="249"/>
      <c r="SXQ12" s="249"/>
      <c r="SXR12" s="249"/>
      <c r="SXS12" s="249"/>
      <c r="SXT12" s="249"/>
      <c r="SXU12" s="249"/>
      <c r="SXV12" s="249"/>
      <c r="SXW12" s="249"/>
      <c r="SXX12" s="249"/>
      <c r="SXY12" s="249"/>
      <c r="SXZ12" s="249"/>
      <c r="SYA12" s="249"/>
      <c r="SYB12" s="249"/>
      <c r="SYC12" s="249"/>
      <c r="SYD12" s="249"/>
      <c r="SYE12" s="249"/>
      <c r="SYF12" s="249"/>
      <c r="SYG12" s="249"/>
      <c r="SYH12" s="249"/>
      <c r="SYI12" s="249"/>
      <c r="SYJ12" s="249"/>
      <c r="SYK12" s="249"/>
      <c r="SYL12" s="249"/>
      <c r="SYM12" s="249"/>
      <c r="SYN12" s="249"/>
      <c r="SYO12" s="249"/>
      <c r="SYP12" s="249"/>
      <c r="SYQ12" s="249"/>
      <c r="SYR12" s="249"/>
      <c r="SYS12" s="249"/>
      <c r="SYT12" s="249"/>
      <c r="SYU12" s="249"/>
      <c r="SYV12" s="249"/>
      <c r="SYW12" s="249"/>
      <c r="SYX12" s="249"/>
      <c r="SYY12" s="249"/>
      <c r="SYZ12" s="249"/>
      <c r="SZA12" s="249"/>
      <c r="SZB12" s="249"/>
      <c r="SZC12" s="249"/>
      <c r="SZD12" s="249"/>
      <c r="SZE12" s="249"/>
      <c r="SZF12" s="249"/>
      <c r="SZG12" s="249"/>
      <c r="SZH12" s="249"/>
      <c r="SZI12" s="249"/>
      <c r="SZJ12" s="249"/>
      <c r="SZK12" s="249"/>
      <c r="SZL12" s="249"/>
      <c r="SZM12" s="249"/>
      <c r="SZN12" s="249"/>
      <c r="SZO12" s="249"/>
      <c r="SZP12" s="249"/>
      <c r="SZQ12" s="249"/>
      <c r="SZR12" s="249"/>
      <c r="SZS12" s="249"/>
      <c r="SZT12" s="249"/>
      <c r="SZU12" s="249"/>
      <c r="SZV12" s="249"/>
      <c r="SZW12" s="249"/>
      <c r="SZX12" s="249"/>
      <c r="SZY12" s="249"/>
      <c r="SZZ12" s="249"/>
      <c r="TAA12" s="249"/>
      <c r="TAB12" s="249"/>
      <c r="TAC12" s="249"/>
      <c r="TAD12" s="249"/>
      <c r="TAE12" s="249"/>
      <c r="TAF12" s="249"/>
      <c r="TAG12" s="249"/>
      <c r="TAH12" s="249"/>
      <c r="TAI12" s="249"/>
      <c r="TAJ12" s="249"/>
      <c r="TAK12" s="249"/>
      <c r="TAL12" s="249"/>
      <c r="TAM12" s="249"/>
      <c r="TAN12" s="249"/>
      <c r="TAO12" s="249"/>
      <c r="TAP12" s="249"/>
      <c r="TAQ12" s="249"/>
      <c r="TAR12" s="249"/>
      <c r="TAS12" s="249"/>
      <c r="TAT12" s="249"/>
      <c r="TAU12" s="249"/>
      <c r="TAV12" s="249"/>
      <c r="TAW12" s="249"/>
      <c r="TAX12" s="249"/>
      <c r="TAY12" s="249"/>
      <c r="TAZ12" s="249"/>
      <c r="TBA12" s="249"/>
      <c r="TBB12" s="249"/>
      <c r="TBC12" s="249"/>
      <c r="TBD12" s="249"/>
      <c r="TBE12" s="249"/>
      <c r="TBF12" s="249"/>
      <c r="TBG12" s="249"/>
      <c r="TBH12" s="249"/>
      <c r="TBI12" s="249"/>
      <c r="TBJ12" s="249"/>
      <c r="TBK12" s="249"/>
      <c r="TBL12" s="249"/>
      <c r="TBM12" s="249"/>
      <c r="TBN12" s="249"/>
      <c r="TBO12" s="249"/>
      <c r="TBP12" s="249"/>
      <c r="TBQ12" s="249"/>
      <c r="TBR12" s="249"/>
      <c r="TBS12" s="249"/>
      <c r="TBT12" s="249"/>
      <c r="TBU12" s="249"/>
      <c r="TBV12" s="249"/>
      <c r="TBW12" s="249"/>
      <c r="TBX12" s="249"/>
      <c r="TBY12" s="249"/>
      <c r="TBZ12" s="249"/>
      <c r="TCA12" s="249"/>
      <c r="TCB12" s="249"/>
      <c r="TCC12" s="249"/>
      <c r="TCD12" s="249"/>
      <c r="TCE12" s="249"/>
      <c r="TCF12" s="249"/>
      <c r="TCG12" s="249"/>
      <c r="TCH12" s="249"/>
      <c r="TCI12" s="249"/>
      <c r="TCJ12" s="249"/>
      <c r="TCK12" s="249"/>
      <c r="TCL12" s="249"/>
      <c r="TCM12" s="249"/>
      <c r="TCN12" s="249"/>
      <c r="TCO12" s="249"/>
      <c r="TCP12" s="249"/>
      <c r="TCQ12" s="249"/>
      <c r="TCR12" s="249"/>
      <c r="TCS12" s="249"/>
      <c r="TCT12" s="249"/>
      <c r="TCU12" s="249"/>
      <c r="TCV12" s="249"/>
      <c r="TCW12" s="249"/>
      <c r="TCX12" s="249"/>
      <c r="TCY12" s="249"/>
      <c r="TCZ12" s="249"/>
      <c r="TDA12" s="249"/>
      <c r="TDB12" s="249"/>
      <c r="TDC12" s="249"/>
      <c r="TDD12" s="249"/>
      <c r="TDE12" s="249"/>
      <c r="TDF12" s="249"/>
      <c r="TDG12" s="249"/>
      <c r="TDH12" s="249"/>
      <c r="TDI12" s="249"/>
      <c r="TDJ12" s="249"/>
      <c r="TDK12" s="249"/>
      <c r="TDL12" s="249"/>
      <c r="TDM12" s="249"/>
      <c r="TDN12" s="249"/>
      <c r="TDO12" s="249"/>
      <c r="TDP12" s="249"/>
      <c r="TDQ12" s="249"/>
      <c r="TDR12" s="249"/>
      <c r="TDS12" s="249"/>
      <c r="TDT12" s="249"/>
      <c r="TDU12" s="249"/>
      <c r="TDV12" s="249"/>
      <c r="TDW12" s="249"/>
      <c r="TDX12" s="249"/>
      <c r="TDY12" s="249"/>
      <c r="TDZ12" s="249"/>
      <c r="TEA12" s="249"/>
      <c r="TEB12" s="249"/>
      <c r="TEC12" s="249"/>
      <c r="TED12" s="249"/>
      <c r="TEE12" s="249"/>
      <c r="TEF12" s="249"/>
      <c r="TEG12" s="249"/>
      <c r="TEH12" s="249"/>
      <c r="TEI12" s="249"/>
      <c r="TEJ12" s="249"/>
      <c r="TEK12" s="249"/>
      <c r="TEL12" s="249"/>
      <c r="TEM12" s="249"/>
      <c r="TEN12" s="249"/>
      <c r="TEO12" s="249"/>
      <c r="TEP12" s="249"/>
      <c r="TEQ12" s="249"/>
      <c r="TER12" s="249"/>
      <c r="TES12" s="249"/>
      <c r="TET12" s="249"/>
      <c r="TEU12" s="249"/>
      <c r="TEV12" s="249"/>
      <c r="TEW12" s="249"/>
      <c r="TEX12" s="249"/>
      <c r="TEY12" s="249"/>
      <c r="TEZ12" s="249"/>
      <c r="TFA12" s="249"/>
      <c r="TFB12" s="249"/>
      <c r="TFC12" s="249"/>
      <c r="TFD12" s="249"/>
      <c r="TFE12" s="249"/>
      <c r="TFF12" s="249"/>
      <c r="TFG12" s="249"/>
      <c r="TFH12" s="249"/>
      <c r="TFI12" s="249"/>
      <c r="TFJ12" s="249"/>
      <c r="TFK12" s="249"/>
      <c r="TFL12" s="249"/>
      <c r="TFM12" s="249"/>
      <c r="TFN12" s="249"/>
      <c r="TFO12" s="249"/>
      <c r="TFP12" s="249"/>
      <c r="TFQ12" s="249"/>
      <c r="TFR12" s="249"/>
      <c r="TFS12" s="249"/>
      <c r="TFT12" s="249"/>
      <c r="TFU12" s="249"/>
      <c r="TFV12" s="249"/>
      <c r="TFW12" s="249"/>
      <c r="TFX12" s="249"/>
      <c r="TFY12" s="249"/>
      <c r="TFZ12" s="249"/>
      <c r="TGA12" s="249"/>
      <c r="TGB12" s="249"/>
      <c r="TGC12" s="249"/>
      <c r="TGD12" s="249"/>
      <c r="TGE12" s="249"/>
      <c r="TGF12" s="249"/>
      <c r="TGG12" s="249"/>
      <c r="TGH12" s="249"/>
      <c r="TGI12" s="249"/>
      <c r="TGJ12" s="249"/>
      <c r="TGK12" s="249"/>
      <c r="TGL12" s="249"/>
      <c r="TGM12" s="249"/>
      <c r="TGN12" s="249"/>
      <c r="TGO12" s="249"/>
      <c r="TGP12" s="249"/>
      <c r="TGQ12" s="249"/>
      <c r="TGR12" s="249"/>
      <c r="TGS12" s="249"/>
      <c r="TGT12" s="249"/>
      <c r="TGU12" s="249"/>
      <c r="TGV12" s="249"/>
      <c r="TGW12" s="249"/>
      <c r="TGX12" s="249"/>
      <c r="TGY12" s="249"/>
      <c r="TGZ12" s="249"/>
      <c r="THA12" s="249"/>
      <c r="THB12" s="249"/>
      <c r="THC12" s="249"/>
      <c r="THD12" s="249"/>
      <c r="THE12" s="249"/>
      <c r="THF12" s="249"/>
      <c r="THG12" s="249"/>
      <c r="THH12" s="249"/>
      <c r="THI12" s="249"/>
      <c r="THJ12" s="249"/>
      <c r="THK12" s="249"/>
      <c r="THL12" s="249"/>
      <c r="THM12" s="249"/>
      <c r="THN12" s="249"/>
      <c r="THO12" s="249"/>
      <c r="THP12" s="249"/>
      <c r="THQ12" s="249"/>
      <c r="THR12" s="249"/>
      <c r="THS12" s="249"/>
      <c r="THT12" s="249"/>
      <c r="THU12" s="249"/>
      <c r="THV12" s="249"/>
      <c r="THW12" s="249"/>
      <c r="THX12" s="249"/>
      <c r="THY12" s="249"/>
      <c r="THZ12" s="249"/>
      <c r="TIA12" s="249"/>
      <c r="TIB12" s="249"/>
      <c r="TIC12" s="249"/>
      <c r="TID12" s="249"/>
      <c r="TIE12" s="249"/>
      <c r="TIF12" s="249"/>
      <c r="TIG12" s="249"/>
      <c r="TIH12" s="249"/>
      <c r="TII12" s="249"/>
      <c r="TIJ12" s="249"/>
      <c r="TIK12" s="249"/>
      <c r="TIL12" s="249"/>
      <c r="TIM12" s="249"/>
      <c r="TIN12" s="249"/>
      <c r="TIO12" s="249"/>
      <c r="TIP12" s="249"/>
      <c r="TIQ12" s="249"/>
      <c r="TIR12" s="249"/>
      <c r="TIS12" s="249"/>
      <c r="TIT12" s="249"/>
      <c r="TIU12" s="249"/>
      <c r="TIV12" s="249"/>
      <c r="TIW12" s="249"/>
      <c r="TIX12" s="249"/>
      <c r="TIY12" s="249"/>
      <c r="TIZ12" s="249"/>
      <c r="TJA12" s="249"/>
      <c r="TJB12" s="249"/>
      <c r="TJC12" s="249"/>
      <c r="TJD12" s="249"/>
      <c r="TJE12" s="249"/>
      <c r="TJF12" s="249"/>
      <c r="TJG12" s="249"/>
      <c r="TJH12" s="249"/>
      <c r="TJI12" s="249"/>
      <c r="TJJ12" s="249"/>
      <c r="TJK12" s="249"/>
      <c r="TJL12" s="249"/>
      <c r="TJM12" s="249"/>
      <c r="TJN12" s="249"/>
      <c r="TJO12" s="249"/>
      <c r="TJP12" s="249"/>
      <c r="TJQ12" s="249"/>
      <c r="TJR12" s="249"/>
      <c r="TJS12" s="249"/>
      <c r="TJT12" s="249"/>
      <c r="TJU12" s="249"/>
      <c r="TJV12" s="249"/>
      <c r="TJW12" s="249"/>
      <c r="TJX12" s="249"/>
      <c r="TJY12" s="249"/>
      <c r="TJZ12" s="249"/>
      <c r="TKA12" s="249"/>
      <c r="TKB12" s="249"/>
      <c r="TKC12" s="249"/>
      <c r="TKD12" s="249"/>
      <c r="TKE12" s="249"/>
      <c r="TKF12" s="249"/>
      <c r="TKG12" s="249"/>
      <c r="TKH12" s="249"/>
      <c r="TKI12" s="249"/>
      <c r="TKJ12" s="249"/>
      <c r="TKK12" s="249"/>
      <c r="TKL12" s="249"/>
      <c r="TKM12" s="249"/>
      <c r="TKN12" s="249"/>
      <c r="TKO12" s="249"/>
      <c r="TKP12" s="249"/>
      <c r="TKQ12" s="249"/>
      <c r="TKR12" s="249"/>
      <c r="TKS12" s="249"/>
      <c r="TKT12" s="249"/>
      <c r="TKU12" s="249"/>
      <c r="TKV12" s="249"/>
      <c r="TKW12" s="249"/>
      <c r="TKX12" s="249"/>
      <c r="TKY12" s="249"/>
      <c r="TKZ12" s="249"/>
      <c r="TLA12" s="249"/>
      <c r="TLB12" s="249"/>
      <c r="TLC12" s="249"/>
      <c r="TLD12" s="249"/>
      <c r="TLE12" s="249"/>
      <c r="TLF12" s="249"/>
      <c r="TLG12" s="249"/>
      <c r="TLH12" s="249"/>
      <c r="TLI12" s="249"/>
      <c r="TLJ12" s="249"/>
      <c r="TLK12" s="249"/>
      <c r="TLL12" s="249"/>
      <c r="TLM12" s="249"/>
      <c r="TLN12" s="249"/>
      <c r="TLO12" s="249"/>
      <c r="TLP12" s="249"/>
      <c r="TLQ12" s="249"/>
      <c r="TLR12" s="249"/>
      <c r="TLS12" s="249"/>
      <c r="TLT12" s="249"/>
      <c r="TLU12" s="249"/>
      <c r="TLV12" s="249"/>
      <c r="TLW12" s="249"/>
      <c r="TLX12" s="249"/>
      <c r="TLY12" s="249"/>
      <c r="TLZ12" s="249"/>
      <c r="TMA12" s="249"/>
      <c r="TMB12" s="249"/>
      <c r="TMC12" s="249"/>
      <c r="TMD12" s="249"/>
      <c r="TME12" s="249"/>
      <c r="TMF12" s="249"/>
      <c r="TMG12" s="249"/>
      <c r="TMH12" s="249"/>
      <c r="TMI12" s="249"/>
      <c r="TMJ12" s="249"/>
      <c r="TMK12" s="249"/>
      <c r="TML12" s="249"/>
      <c r="TMM12" s="249"/>
      <c r="TMN12" s="249"/>
      <c r="TMO12" s="249"/>
      <c r="TMP12" s="249"/>
      <c r="TMQ12" s="249"/>
      <c r="TMR12" s="249"/>
      <c r="TMS12" s="249"/>
      <c r="TMT12" s="249"/>
      <c r="TMU12" s="249"/>
      <c r="TMV12" s="249"/>
      <c r="TMW12" s="249"/>
      <c r="TMX12" s="249"/>
      <c r="TMY12" s="249"/>
      <c r="TMZ12" s="249"/>
      <c r="TNA12" s="249"/>
      <c r="TNB12" s="249"/>
      <c r="TNC12" s="249"/>
      <c r="TND12" s="249"/>
      <c r="TNE12" s="249"/>
      <c r="TNF12" s="249"/>
      <c r="TNG12" s="249"/>
      <c r="TNH12" s="249"/>
      <c r="TNI12" s="249"/>
      <c r="TNJ12" s="249"/>
      <c r="TNK12" s="249"/>
      <c r="TNL12" s="249"/>
      <c r="TNM12" s="249"/>
      <c r="TNN12" s="249"/>
      <c r="TNO12" s="249"/>
      <c r="TNP12" s="249"/>
      <c r="TNQ12" s="249"/>
      <c r="TNR12" s="249"/>
      <c r="TNS12" s="249"/>
      <c r="TNT12" s="249"/>
      <c r="TNU12" s="249"/>
      <c r="TNV12" s="249"/>
      <c r="TNW12" s="249"/>
      <c r="TNX12" s="249"/>
      <c r="TNY12" s="249"/>
      <c r="TNZ12" s="249"/>
      <c r="TOA12" s="249"/>
      <c r="TOB12" s="249"/>
      <c r="TOC12" s="249"/>
      <c r="TOD12" s="249"/>
      <c r="TOE12" s="249"/>
      <c r="TOF12" s="249"/>
      <c r="TOG12" s="249"/>
      <c r="TOH12" s="249"/>
      <c r="TOI12" s="249"/>
      <c r="TOJ12" s="249"/>
      <c r="TOK12" s="249"/>
      <c r="TOL12" s="249"/>
      <c r="TOM12" s="249"/>
      <c r="TON12" s="249"/>
      <c r="TOO12" s="249"/>
      <c r="TOP12" s="249"/>
      <c r="TOQ12" s="249"/>
      <c r="TOR12" s="249"/>
      <c r="TOS12" s="249"/>
      <c r="TOT12" s="249"/>
      <c r="TOU12" s="249"/>
      <c r="TOV12" s="249"/>
      <c r="TOW12" s="249"/>
      <c r="TOX12" s="249"/>
      <c r="TOY12" s="249"/>
      <c r="TOZ12" s="249"/>
      <c r="TPA12" s="249"/>
      <c r="TPB12" s="249"/>
      <c r="TPC12" s="249"/>
      <c r="TPD12" s="249"/>
      <c r="TPE12" s="249"/>
      <c r="TPF12" s="249"/>
      <c r="TPG12" s="249"/>
      <c r="TPH12" s="249"/>
      <c r="TPI12" s="249"/>
      <c r="TPJ12" s="249"/>
      <c r="TPK12" s="249"/>
      <c r="TPL12" s="249"/>
      <c r="TPM12" s="249"/>
      <c r="TPN12" s="249"/>
      <c r="TPO12" s="249"/>
      <c r="TPP12" s="249"/>
      <c r="TPQ12" s="249"/>
      <c r="TPR12" s="249"/>
      <c r="TPS12" s="249"/>
      <c r="TPT12" s="249"/>
      <c r="TPU12" s="249"/>
      <c r="TPV12" s="249"/>
      <c r="TPW12" s="249"/>
      <c r="TPX12" s="249"/>
      <c r="TPY12" s="249"/>
      <c r="TPZ12" s="249"/>
      <c r="TQA12" s="249"/>
      <c r="TQB12" s="249"/>
      <c r="TQC12" s="249"/>
      <c r="TQD12" s="249"/>
      <c r="TQE12" s="249"/>
      <c r="TQF12" s="249"/>
      <c r="TQG12" s="249"/>
      <c r="TQH12" s="249"/>
      <c r="TQI12" s="249"/>
      <c r="TQJ12" s="249"/>
      <c r="TQK12" s="249"/>
      <c r="TQL12" s="249"/>
      <c r="TQM12" s="249"/>
      <c r="TQN12" s="249"/>
      <c r="TQO12" s="249"/>
      <c r="TQP12" s="249"/>
      <c r="TQQ12" s="249"/>
      <c r="TQR12" s="249"/>
      <c r="TQS12" s="249"/>
      <c r="TQT12" s="249"/>
      <c r="TQU12" s="249"/>
      <c r="TQV12" s="249"/>
      <c r="TQW12" s="249"/>
      <c r="TQX12" s="249"/>
      <c r="TQY12" s="249"/>
      <c r="TQZ12" s="249"/>
      <c r="TRA12" s="249"/>
      <c r="TRB12" s="249"/>
      <c r="TRC12" s="249"/>
      <c r="TRD12" s="249"/>
      <c r="TRE12" s="249"/>
      <c r="TRF12" s="249"/>
      <c r="TRG12" s="249"/>
      <c r="TRH12" s="249"/>
      <c r="TRI12" s="249"/>
      <c r="TRJ12" s="249"/>
      <c r="TRK12" s="249"/>
      <c r="TRL12" s="249"/>
      <c r="TRM12" s="249"/>
      <c r="TRN12" s="249"/>
      <c r="TRO12" s="249"/>
      <c r="TRP12" s="249"/>
      <c r="TRQ12" s="249"/>
      <c r="TRR12" s="249"/>
      <c r="TRS12" s="249"/>
      <c r="TRT12" s="249"/>
      <c r="TRU12" s="249"/>
      <c r="TRV12" s="249"/>
      <c r="TRW12" s="249"/>
      <c r="TRX12" s="249"/>
      <c r="TRY12" s="249"/>
      <c r="TRZ12" s="249"/>
      <c r="TSA12" s="249"/>
      <c r="TSB12" s="249"/>
      <c r="TSC12" s="249"/>
      <c r="TSD12" s="249"/>
      <c r="TSE12" s="249"/>
      <c r="TSF12" s="249"/>
      <c r="TSG12" s="249"/>
      <c r="TSH12" s="249"/>
      <c r="TSI12" s="249"/>
      <c r="TSJ12" s="249"/>
      <c r="TSK12" s="249"/>
      <c r="TSL12" s="249"/>
      <c r="TSM12" s="249"/>
      <c r="TSN12" s="249"/>
      <c r="TSO12" s="249"/>
      <c r="TSP12" s="249"/>
      <c r="TSQ12" s="249"/>
      <c r="TSR12" s="249"/>
      <c r="TSS12" s="249"/>
      <c r="TST12" s="249"/>
      <c r="TSU12" s="249"/>
      <c r="TSV12" s="249"/>
      <c r="TSW12" s="249"/>
      <c r="TSX12" s="249"/>
      <c r="TSY12" s="249"/>
      <c r="TSZ12" s="249"/>
      <c r="TTA12" s="249"/>
      <c r="TTB12" s="249"/>
      <c r="TTC12" s="249"/>
      <c r="TTD12" s="249"/>
      <c r="TTE12" s="249"/>
      <c r="TTF12" s="249"/>
      <c r="TTG12" s="249"/>
      <c r="TTH12" s="249"/>
      <c r="TTI12" s="249"/>
      <c r="TTJ12" s="249"/>
      <c r="TTK12" s="249"/>
      <c r="TTL12" s="249"/>
      <c r="TTM12" s="249"/>
      <c r="TTN12" s="249"/>
      <c r="TTO12" s="249"/>
      <c r="TTP12" s="249"/>
      <c r="TTQ12" s="249"/>
      <c r="TTR12" s="249"/>
      <c r="TTS12" s="249"/>
      <c r="TTT12" s="249"/>
      <c r="TTU12" s="249"/>
      <c r="TTV12" s="249"/>
      <c r="TTW12" s="249"/>
      <c r="TTX12" s="249"/>
      <c r="TTY12" s="249"/>
      <c r="TTZ12" s="249"/>
      <c r="TUA12" s="249"/>
      <c r="TUB12" s="249"/>
      <c r="TUC12" s="249"/>
      <c r="TUD12" s="249"/>
      <c r="TUE12" s="249"/>
      <c r="TUF12" s="249"/>
      <c r="TUG12" s="249"/>
      <c r="TUH12" s="249"/>
      <c r="TUI12" s="249"/>
      <c r="TUJ12" s="249"/>
      <c r="TUK12" s="249"/>
      <c r="TUL12" s="249"/>
      <c r="TUM12" s="249"/>
      <c r="TUN12" s="249"/>
      <c r="TUO12" s="249"/>
      <c r="TUP12" s="249"/>
      <c r="TUQ12" s="249"/>
      <c r="TUR12" s="249"/>
      <c r="TUS12" s="249"/>
      <c r="TUT12" s="249"/>
      <c r="TUU12" s="249"/>
      <c r="TUV12" s="249"/>
      <c r="TUW12" s="249"/>
      <c r="TUX12" s="249"/>
      <c r="TUY12" s="249"/>
      <c r="TUZ12" s="249"/>
      <c r="TVA12" s="249"/>
      <c r="TVB12" s="249"/>
      <c r="TVC12" s="249"/>
      <c r="TVD12" s="249"/>
      <c r="TVE12" s="249"/>
      <c r="TVF12" s="249"/>
      <c r="TVG12" s="249"/>
      <c r="TVH12" s="249"/>
      <c r="TVI12" s="249"/>
      <c r="TVJ12" s="249"/>
      <c r="TVK12" s="249"/>
      <c r="TVL12" s="249"/>
      <c r="TVM12" s="249"/>
      <c r="TVN12" s="249"/>
      <c r="TVO12" s="249"/>
      <c r="TVP12" s="249"/>
      <c r="TVQ12" s="249"/>
      <c r="TVR12" s="249"/>
      <c r="TVS12" s="249"/>
      <c r="TVT12" s="249"/>
      <c r="TVU12" s="249"/>
      <c r="TVV12" s="249"/>
      <c r="TVW12" s="249"/>
      <c r="TVX12" s="249"/>
      <c r="TVY12" s="249"/>
      <c r="TVZ12" s="249"/>
      <c r="TWA12" s="249"/>
      <c r="TWB12" s="249"/>
      <c r="TWC12" s="249"/>
      <c r="TWD12" s="249"/>
      <c r="TWE12" s="249"/>
      <c r="TWF12" s="249"/>
      <c r="TWG12" s="249"/>
      <c r="TWH12" s="249"/>
      <c r="TWI12" s="249"/>
      <c r="TWJ12" s="249"/>
      <c r="TWK12" s="249"/>
      <c r="TWL12" s="249"/>
      <c r="TWM12" s="249"/>
      <c r="TWN12" s="249"/>
      <c r="TWO12" s="249"/>
      <c r="TWP12" s="249"/>
      <c r="TWQ12" s="249"/>
      <c r="TWR12" s="249"/>
      <c r="TWS12" s="249"/>
      <c r="TWT12" s="249"/>
      <c r="TWU12" s="249"/>
      <c r="TWV12" s="249"/>
      <c r="TWW12" s="249"/>
      <c r="TWX12" s="249"/>
      <c r="TWY12" s="249"/>
      <c r="TWZ12" s="249"/>
      <c r="TXA12" s="249"/>
      <c r="TXB12" s="249"/>
      <c r="TXC12" s="249"/>
      <c r="TXD12" s="249"/>
      <c r="TXE12" s="249"/>
      <c r="TXF12" s="249"/>
      <c r="TXG12" s="249"/>
      <c r="TXH12" s="249"/>
      <c r="TXI12" s="249"/>
      <c r="TXJ12" s="249"/>
      <c r="TXK12" s="249"/>
      <c r="TXL12" s="249"/>
      <c r="TXM12" s="249"/>
      <c r="TXN12" s="249"/>
      <c r="TXO12" s="249"/>
      <c r="TXP12" s="249"/>
      <c r="TXQ12" s="249"/>
      <c r="TXR12" s="249"/>
      <c r="TXS12" s="249"/>
      <c r="TXT12" s="249"/>
      <c r="TXU12" s="249"/>
      <c r="TXV12" s="249"/>
      <c r="TXW12" s="249"/>
      <c r="TXX12" s="249"/>
      <c r="TXY12" s="249"/>
      <c r="TXZ12" s="249"/>
      <c r="TYA12" s="249"/>
      <c r="TYB12" s="249"/>
      <c r="TYC12" s="249"/>
      <c r="TYD12" s="249"/>
      <c r="TYE12" s="249"/>
      <c r="TYF12" s="249"/>
      <c r="TYG12" s="249"/>
      <c r="TYH12" s="249"/>
      <c r="TYI12" s="249"/>
      <c r="TYJ12" s="249"/>
      <c r="TYK12" s="249"/>
      <c r="TYL12" s="249"/>
      <c r="TYM12" s="249"/>
      <c r="TYN12" s="249"/>
      <c r="TYO12" s="249"/>
      <c r="TYP12" s="249"/>
      <c r="TYQ12" s="249"/>
      <c r="TYR12" s="249"/>
      <c r="TYS12" s="249"/>
      <c r="TYT12" s="249"/>
      <c r="TYU12" s="249"/>
      <c r="TYV12" s="249"/>
      <c r="TYW12" s="249"/>
      <c r="TYX12" s="249"/>
      <c r="TYY12" s="249"/>
      <c r="TYZ12" s="249"/>
      <c r="TZA12" s="249"/>
      <c r="TZB12" s="249"/>
      <c r="TZC12" s="249"/>
      <c r="TZD12" s="249"/>
      <c r="TZE12" s="249"/>
      <c r="TZF12" s="249"/>
      <c r="TZG12" s="249"/>
      <c r="TZH12" s="249"/>
      <c r="TZI12" s="249"/>
      <c r="TZJ12" s="249"/>
      <c r="TZK12" s="249"/>
      <c r="TZL12" s="249"/>
      <c r="TZM12" s="249"/>
      <c r="TZN12" s="249"/>
      <c r="TZO12" s="249"/>
      <c r="TZP12" s="249"/>
      <c r="TZQ12" s="249"/>
      <c r="TZR12" s="249"/>
      <c r="TZS12" s="249"/>
      <c r="TZT12" s="249"/>
      <c r="TZU12" s="249"/>
      <c r="TZV12" s="249"/>
      <c r="TZW12" s="249"/>
      <c r="TZX12" s="249"/>
      <c r="TZY12" s="249"/>
      <c r="TZZ12" s="249"/>
      <c r="UAA12" s="249"/>
      <c r="UAB12" s="249"/>
      <c r="UAC12" s="249"/>
      <c r="UAD12" s="249"/>
      <c r="UAE12" s="249"/>
      <c r="UAF12" s="249"/>
      <c r="UAG12" s="249"/>
      <c r="UAH12" s="249"/>
      <c r="UAI12" s="249"/>
      <c r="UAJ12" s="249"/>
      <c r="UAK12" s="249"/>
      <c r="UAL12" s="249"/>
      <c r="UAM12" s="249"/>
      <c r="UAN12" s="249"/>
      <c r="UAO12" s="249"/>
      <c r="UAP12" s="249"/>
      <c r="UAQ12" s="249"/>
      <c r="UAR12" s="249"/>
      <c r="UAS12" s="249"/>
      <c r="UAT12" s="249"/>
      <c r="UAU12" s="249"/>
      <c r="UAV12" s="249"/>
      <c r="UAW12" s="249"/>
      <c r="UAX12" s="249"/>
      <c r="UAY12" s="249"/>
      <c r="UAZ12" s="249"/>
      <c r="UBA12" s="249"/>
      <c r="UBB12" s="249"/>
      <c r="UBC12" s="249"/>
      <c r="UBD12" s="249"/>
      <c r="UBE12" s="249"/>
      <c r="UBF12" s="249"/>
      <c r="UBG12" s="249"/>
      <c r="UBH12" s="249"/>
      <c r="UBI12" s="249"/>
      <c r="UBJ12" s="249"/>
      <c r="UBK12" s="249"/>
      <c r="UBL12" s="249"/>
      <c r="UBM12" s="249"/>
      <c r="UBN12" s="249"/>
      <c r="UBO12" s="249"/>
      <c r="UBP12" s="249"/>
      <c r="UBQ12" s="249"/>
      <c r="UBR12" s="249"/>
      <c r="UBS12" s="249"/>
      <c r="UBT12" s="249"/>
      <c r="UBU12" s="249"/>
      <c r="UBV12" s="249"/>
      <c r="UBW12" s="249"/>
      <c r="UBX12" s="249"/>
      <c r="UBY12" s="249"/>
      <c r="UBZ12" s="249"/>
      <c r="UCA12" s="249"/>
      <c r="UCB12" s="249"/>
      <c r="UCC12" s="249"/>
      <c r="UCD12" s="249"/>
      <c r="UCE12" s="249"/>
      <c r="UCF12" s="249"/>
      <c r="UCG12" s="249"/>
      <c r="UCH12" s="249"/>
      <c r="UCI12" s="249"/>
      <c r="UCJ12" s="249"/>
      <c r="UCK12" s="249"/>
      <c r="UCL12" s="249"/>
      <c r="UCM12" s="249"/>
      <c r="UCN12" s="249"/>
      <c r="UCO12" s="249"/>
      <c r="UCP12" s="249"/>
      <c r="UCQ12" s="249"/>
      <c r="UCR12" s="249"/>
      <c r="UCS12" s="249"/>
      <c r="UCT12" s="249"/>
      <c r="UCU12" s="249"/>
      <c r="UCV12" s="249"/>
      <c r="UCW12" s="249"/>
      <c r="UCX12" s="249"/>
      <c r="UCY12" s="249"/>
      <c r="UCZ12" s="249"/>
      <c r="UDA12" s="249"/>
      <c r="UDB12" s="249"/>
      <c r="UDC12" s="249"/>
      <c r="UDD12" s="249"/>
      <c r="UDE12" s="249"/>
      <c r="UDF12" s="249"/>
      <c r="UDG12" s="249"/>
      <c r="UDH12" s="249"/>
      <c r="UDI12" s="249"/>
      <c r="UDJ12" s="249"/>
      <c r="UDK12" s="249"/>
      <c r="UDL12" s="249"/>
      <c r="UDM12" s="249"/>
      <c r="UDN12" s="249"/>
      <c r="UDO12" s="249"/>
      <c r="UDP12" s="249"/>
      <c r="UDQ12" s="249"/>
      <c r="UDR12" s="249"/>
      <c r="UDS12" s="249"/>
      <c r="UDT12" s="249"/>
      <c r="UDU12" s="249"/>
      <c r="UDV12" s="249"/>
      <c r="UDW12" s="249"/>
      <c r="UDX12" s="249"/>
      <c r="UDY12" s="249"/>
      <c r="UDZ12" s="249"/>
      <c r="UEA12" s="249"/>
      <c r="UEB12" s="249"/>
      <c r="UEC12" s="249"/>
      <c r="UED12" s="249"/>
      <c r="UEE12" s="249"/>
      <c r="UEF12" s="249"/>
      <c r="UEG12" s="249"/>
      <c r="UEH12" s="249"/>
      <c r="UEI12" s="249"/>
      <c r="UEJ12" s="249"/>
      <c r="UEK12" s="249"/>
      <c r="UEL12" s="249"/>
      <c r="UEM12" s="249"/>
      <c r="UEN12" s="249"/>
      <c r="UEO12" s="249"/>
      <c r="UEP12" s="249"/>
      <c r="UEQ12" s="249"/>
      <c r="UER12" s="249"/>
      <c r="UES12" s="249"/>
      <c r="UET12" s="249"/>
      <c r="UEU12" s="249"/>
      <c r="UEV12" s="249"/>
      <c r="UEW12" s="249"/>
      <c r="UEX12" s="249"/>
      <c r="UEY12" s="249"/>
      <c r="UEZ12" s="249"/>
      <c r="UFA12" s="249"/>
      <c r="UFB12" s="249"/>
      <c r="UFC12" s="249"/>
      <c r="UFD12" s="249"/>
      <c r="UFE12" s="249"/>
      <c r="UFF12" s="249"/>
      <c r="UFG12" s="249"/>
      <c r="UFH12" s="249"/>
      <c r="UFI12" s="249"/>
      <c r="UFJ12" s="249"/>
      <c r="UFK12" s="249"/>
      <c r="UFL12" s="249"/>
      <c r="UFM12" s="249"/>
      <c r="UFN12" s="249"/>
      <c r="UFO12" s="249"/>
      <c r="UFP12" s="249"/>
      <c r="UFQ12" s="249"/>
      <c r="UFR12" s="249"/>
      <c r="UFS12" s="249"/>
      <c r="UFT12" s="249"/>
      <c r="UFU12" s="249"/>
      <c r="UFV12" s="249"/>
      <c r="UFW12" s="249"/>
      <c r="UFX12" s="249"/>
      <c r="UFY12" s="249"/>
      <c r="UFZ12" s="249"/>
      <c r="UGA12" s="249"/>
      <c r="UGB12" s="249"/>
      <c r="UGC12" s="249"/>
      <c r="UGD12" s="249"/>
      <c r="UGE12" s="249"/>
      <c r="UGF12" s="249"/>
      <c r="UGG12" s="249"/>
      <c r="UGH12" s="249"/>
      <c r="UGI12" s="249"/>
      <c r="UGJ12" s="249"/>
      <c r="UGK12" s="249"/>
      <c r="UGL12" s="249"/>
      <c r="UGM12" s="249"/>
      <c r="UGN12" s="249"/>
      <c r="UGO12" s="249"/>
      <c r="UGP12" s="249"/>
      <c r="UGQ12" s="249"/>
      <c r="UGR12" s="249"/>
      <c r="UGS12" s="249"/>
      <c r="UGT12" s="249"/>
      <c r="UGU12" s="249"/>
      <c r="UGV12" s="249"/>
      <c r="UGW12" s="249"/>
      <c r="UGX12" s="249"/>
      <c r="UGY12" s="249"/>
      <c r="UGZ12" s="249"/>
      <c r="UHA12" s="249"/>
      <c r="UHB12" s="249"/>
      <c r="UHC12" s="249"/>
      <c r="UHD12" s="249"/>
      <c r="UHE12" s="249"/>
      <c r="UHF12" s="249"/>
      <c r="UHG12" s="249"/>
      <c r="UHH12" s="249"/>
      <c r="UHI12" s="249"/>
      <c r="UHJ12" s="249"/>
      <c r="UHK12" s="249"/>
      <c r="UHL12" s="249"/>
      <c r="UHM12" s="249"/>
      <c r="UHN12" s="249"/>
      <c r="UHO12" s="249"/>
      <c r="UHP12" s="249"/>
      <c r="UHQ12" s="249"/>
      <c r="UHR12" s="249"/>
      <c r="UHS12" s="249"/>
      <c r="UHT12" s="249"/>
      <c r="UHU12" s="249"/>
      <c r="UHV12" s="249"/>
      <c r="UHW12" s="249"/>
      <c r="UHX12" s="249"/>
      <c r="UHY12" s="249"/>
      <c r="UHZ12" s="249"/>
      <c r="UIA12" s="249"/>
      <c r="UIB12" s="249"/>
      <c r="UIC12" s="249"/>
      <c r="UID12" s="249"/>
      <c r="UIE12" s="249"/>
      <c r="UIF12" s="249"/>
      <c r="UIG12" s="249"/>
      <c r="UIH12" s="249"/>
      <c r="UII12" s="249"/>
      <c r="UIJ12" s="249"/>
      <c r="UIK12" s="249"/>
      <c r="UIL12" s="249"/>
      <c r="UIM12" s="249"/>
      <c r="UIN12" s="249"/>
      <c r="UIO12" s="249"/>
      <c r="UIP12" s="249"/>
      <c r="UIQ12" s="249"/>
      <c r="UIR12" s="249"/>
      <c r="UIS12" s="249"/>
      <c r="UIT12" s="249"/>
      <c r="UIU12" s="249"/>
      <c r="UIV12" s="249"/>
      <c r="UIW12" s="249"/>
      <c r="UIX12" s="249"/>
      <c r="UIY12" s="249"/>
      <c r="UIZ12" s="249"/>
      <c r="UJA12" s="249"/>
      <c r="UJB12" s="249"/>
      <c r="UJC12" s="249"/>
      <c r="UJD12" s="249"/>
      <c r="UJE12" s="249"/>
      <c r="UJF12" s="249"/>
      <c r="UJG12" s="249"/>
      <c r="UJH12" s="249"/>
      <c r="UJI12" s="249"/>
      <c r="UJJ12" s="249"/>
      <c r="UJK12" s="249"/>
      <c r="UJL12" s="249"/>
      <c r="UJM12" s="249"/>
      <c r="UJN12" s="249"/>
      <c r="UJO12" s="249"/>
      <c r="UJP12" s="249"/>
      <c r="UJQ12" s="249"/>
      <c r="UJR12" s="249"/>
      <c r="UJS12" s="249"/>
      <c r="UJT12" s="249"/>
      <c r="UJU12" s="249"/>
      <c r="UJV12" s="249"/>
      <c r="UJW12" s="249"/>
      <c r="UJX12" s="249"/>
      <c r="UJY12" s="249"/>
      <c r="UJZ12" s="249"/>
      <c r="UKA12" s="249"/>
      <c r="UKB12" s="249"/>
      <c r="UKC12" s="249"/>
      <c r="UKD12" s="249"/>
      <c r="UKE12" s="249"/>
      <c r="UKF12" s="249"/>
      <c r="UKG12" s="249"/>
      <c r="UKH12" s="249"/>
      <c r="UKI12" s="249"/>
      <c r="UKJ12" s="249"/>
      <c r="UKK12" s="249"/>
      <c r="UKL12" s="249"/>
      <c r="UKM12" s="249"/>
      <c r="UKN12" s="249"/>
      <c r="UKO12" s="249"/>
      <c r="UKP12" s="249"/>
      <c r="UKQ12" s="249"/>
      <c r="UKR12" s="249"/>
      <c r="UKS12" s="249"/>
      <c r="UKT12" s="249"/>
      <c r="UKU12" s="249"/>
      <c r="UKV12" s="249"/>
      <c r="UKW12" s="249"/>
      <c r="UKX12" s="249"/>
      <c r="UKY12" s="249"/>
      <c r="UKZ12" s="249"/>
      <c r="ULA12" s="249"/>
      <c r="ULB12" s="249"/>
      <c r="ULC12" s="249"/>
      <c r="ULD12" s="249"/>
      <c r="ULE12" s="249"/>
      <c r="ULF12" s="249"/>
      <c r="ULG12" s="249"/>
      <c r="ULH12" s="249"/>
      <c r="ULI12" s="249"/>
      <c r="ULJ12" s="249"/>
      <c r="ULK12" s="249"/>
      <c r="ULL12" s="249"/>
      <c r="ULM12" s="249"/>
      <c r="ULN12" s="249"/>
      <c r="ULO12" s="249"/>
      <c r="ULP12" s="249"/>
      <c r="ULQ12" s="249"/>
      <c r="ULR12" s="249"/>
      <c r="ULS12" s="249"/>
      <c r="ULT12" s="249"/>
      <c r="ULU12" s="249"/>
      <c r="ULV12" s="249"/>
      <c r="ULW12" s="249"/>
      <c r="ULX12" s="249"/>
      <c r="ULY12" s="249"/>
      <c r="ULZ12" s="249"/>
      <c r="UMA12" s="249"/>
      <c r="UMB12" s="249"/>
      <c r="UMC12" s="249"/>
      <c r="UMD12" s="249"/>
      <c r="UME12" s="249"/>
      <c r="UMF12" s="249"/>
      <c r="UMG12" s="249"/>
      <c r="UMH12" s="249"/>
      <c r="UMI12" s="249"/>
      <c r="UMJ12" s="249"/>
      <c r="UMK12" s="249"/>
      <c r="UML12" s="249"/>
      <c r="UMM12" s="249"/>
      <c r="UMN12" s="249"/>
      <c r="UMO12" s="249"/>
      <c r="UMP12" s="249"/>
      <c r="UMQ12" s="249"/>
      <c r="UMR12" s="249"/>
      <c r="UMS12" s="249"/>
      <c r="UMT12" s="249"/>
      <c r="UMU12" s="249"/>
      <c r="UMV12" s="249"/>
      <c r="UMW12" s="249"/>
      <c r="UMX12" s="249"/>
      <c r="UMY12" s="249"/>
      <c r="UMZ12" s="249"/>
      <c r="UNA12" s="249"/>
      <c r="UNB12" s="249"/>
      <c r="UNC12" s="249"/>
      <c r="UND12" s="249"/>
      <c r="UNE12" s="249"/>
      <c r="UNF12" s="249"/>
      <c r="UNG12" s="249"/>
      <c r="UNH12" s="249"/>
      <c r="UNI12" s="249"/>
      <c r="UNJ12" s="249"/>
      <c r="UNK12" s="249"/>
      <c r="UNL12" s="249"/>
      <c r="UNM12" s="249"/>
      <c r="UNN12" s="249"/>
      <c r="UNO12" s="249"/>
      <c r="UNP12" s="249"/>
      <c r="UNQ12" s="249"/>
      <c r="UNR12" s="249"/>
      <c r="UNS12" s="249"/>
      <c r="UNT12" s="249"/>
      <c r="UNU12" s="249"/>
      <c r="UNV12" s="249"/>
      <c r="UNW12" s="249"/>
      <c r="UNX12" s="249"/>
      <c r="UNY12" s="249"/>
      <c r="UNZ12" s="249"/>
      <c r="UOA12" s="249"/>
      <c r="UOB12" s="249"/>
      <c r="UOC12" s="249"/>
      <c r="UOD12" s="249"/>
      <c r="UOE12" s="249"/>
      <c r="UOF12" s="249"/>
      <c r="UOG12" s="249"/>
      <c r="UOH12" s="249"/>
      <c r="UOI12" s="249"/>
      <c r="UOJ12" s="249"/>
      <c r="UOK12" s="249"/>
      <c r="UOL12" s="249"/>
      <c r="UOM12" s="249"/>
      <c r="UON12" s="249"/>
      <c r="UOO12" s="249"/>
      <c r="UOP12" s="249"/>
      <c r="UOQ12" s="249"/>
      <c r="UOR12" s="249"/>
      <c r="UOS12" s="249"/>
      <c r="UOT12" s="249"/>
      <c r="UOU12" s="249"/>
      <c r="UOV12" s="249"/>
      <c r="UOW12" s="249"/>
      <c r="UOX12" s="249"/>
      <c r="UOY12" s="249"/>
      <c r="UOZ12" s="249"/>
      <c r="UPA12" s="249"/>
      <c r="UPB12" s="249"/>
      <c r="UPC12" s="249"/>
      <c r="UPD12" s="249"/>
      <c r="UPE12" s="249"/>
      <c r="UPF12" s="249"/>
      <c r="UPG12" s="249"/>
      <c r="UPH12" s="249"/>
      <c r="UPI12" s="249"/>
      <c r="UPJ12" s="249"/>
      <c r="UPK12" s="249"/>
      <c r="UPL12" s="249"/>
      <c r="UPM12" s="249"/>
      <c r="UPN12" s="249"/>
      <c r="UPO12" s="249"/>
      <c r="UPP12" s="249"/>
      <c r="UPQ12" s="249"/>
      <c r="UPR12" s="249"/>
      <c r="UPS12" s="249"/>
      <c r="UPT12" s="249"/>
      <c r="UPU12" s="249"/>
      <c r="UPV12" s="249"/>
      <c r="UPW12" s="249"/>
      <c r="UPX12" s="249"/>
      <c r="UPY12" s="249"/>
      <c r="UPZ12" s="249"/>
      <c r="UQA12" s="249"/>
      <c r="UQB12" s="249"/>
      <c r="UQC12" s="249"/>
      <c r="UQD12" s="249"/>
      <c r="UQE12" s="249"/>
      <c r="UQF12" s="249"/>
      <c r="UQG12" s="249"/>
      <c r="UQH12" s="249"/>
      <c r="UQI12" s="249"/>
      <c r="UQJ12" s="249"/>
      <c r="UQK12" s="249"/>
      <c r="UQL12" s="249"/>
      <c r="UQM12" s="249"/>
      <c r="UQN12" s="249"/>
      <c r="UQO12" s="249"/>
      <c r="UQP12" s="249"/>
      <c r="UQQ12" s="249"/>
      <c r="UQR12" s="249"/>
      <c r="UQS12" s="249"/>
      <c r="UQT12" s="249"/>
      <c r="UQU12" s="249"/>
      <c r="UQV12" s="249"/>
      <c r="UQW12" s="249"/>
      <c r="UQX12" s="249"/>
      <c r="UQY12" s="249"/>
      <c r="UQZ12" s="249"/>
      <c r="URA12" s="249"/>
      <c r="URB12" s="249"/>
      <c r="URC12" s="249"/>
      <c r="URD12" s="249"/>
      <c r="URE12" s="249"/>
      <c r="URF12" s="249"/>
      <c r="URG12" s="249"/>
      <c r="URH12" s="249"/>
      <c r="URI12" s="249"/>
      <c r="URJ12" s="249"/>
      <c r="URK12" s="249"/>
      <c r="URL12" s="249"/>
      <c r="URM12" s="249"/>
      <c r="URN12" s="249"/>
      <c r="URO12" s="249"/>
      <c r="URP12" s="249"/>
      <c r="URQ12" s="249"/>
      <c r="URR12" s="249"/>
      <c r="URS12" s="249"/>
      <c r="URT12" s="249"/>
      <c r="URU12" s="249"/>
      <c r="URV12" s="249"/>
      <c r="URW12" s="249"/>
      <c r="URX12" s="249"/>
      <c r="URY12" s="249"/>
      <c r="URZ12" s="249"/>
      <c r="USA12" s="249"/>
      <c r="USB12" s="249"/>
      <c r="USC12" s="249"/>
      <c r="USD12" s="249"/>
      <c r="USE12" s="249"/>
      <c r="USF12" s="249"/>
      <c r="USG12" s="249"/>
      <c r="USH12" s="249"/>
      <c r="USI12" s="249"/>
      <c r="USJ12" s="249"/>
      <c r="USK12" s="249"/>
      <c r="USL12" s="249"/>
      <c r="USM12" s="249"/>
      <c r="USN12" s="249"/>
      <c r="USO12" s="249"/>
      <c r="USP12" s="249"/>
      <c r="USQ12" s="249"/>
      <c r="USR12" s="249"/>
      <c r="USS12" s="249"/>
      <c r="UST12" s="249"/>
      <c r="USU12" s="249"/>
      <c r="USV12" s="249"/>
      <c r="USW12" s="249"/>
      <c r="USX12" s="249"/>
      <c r="USY12" s="249"/>
      <c r="USZ12" s="249"/>
      <c r="UTA12" s="249"/>
      <c r="UTB12" s="249"/>
      <c r="UTC12" s="249"/>
      <c r="UTD12" s="249"/>
      <c r="UTE12" s="249"/>
      <c r="UTF12" s="249"/>
      <c r="UTG12" s="249"/>
      <c r="UTH12" s="249"/>
      <c r="UTI12" s="249"/>
      <c r="UTJ12" s="249"/>
      <c r="UTK12" s="249"/>
      <c r="UTL12" s="249"/>
      <c r="UTM12" s="249"/>
      <c r="UTN12" s="249"/>
      <c r="UTO12" s="249"/>
      <c r="UTP12" s="249"/>
      <c r="UTQ12" s="249"/>
      <c r="UTR12" s="249"/>
      <c r="UTS12" s="249"/>
      <c r="UTT12" s="249"/>
      <c r="UTU12" s="249"/>
      <c r="UTV12" s="249"/>
      <c r="UTW12" s="249"/>
      <c r="UTX12" s="249"/>
      <c r="UTY12" s="249"/>
      <c r="UTZ12" s="249"/>
      <c r="UUA12" s="249"/>
      <c r="UUB12" s="249"/>
      <c r="UUC12" s="249"/>
      <c r="UUD12" s="249"/>
      <c r="UUE12" s="249"/>
      <c r="UUF12" s="249"/>
      <c r="UUG12" s="249"/>
      <c r="UUH12" s="249"/>
      <c r="UUI12" s="249"/>
      <c r="UUJ12" s="249"/>
      <c r="UUK12" s="249"/>
      <c r="UUL12" s="249"/>
      <c r="UUM12" s="249"/>
      <c r="UUN12" s="249"/>
      <c r="UUO12" s="249"/>
      <c r="UUP12" s="249"/>
      <c r="UUQ12" s="249"/>
      <c r="UUR12" s="249"/>
      <c r="UUS12" s="249"/>
      <c r="UUT12" s="249"/>
      <c r="UUU12" s="249"/>
      <c r="UUV12" s="249"/>
      <c r="UUW12" s="249"/>
      <c r="UUX12" s="249"/>
      <c r="UUY12" s="249"/>
      <c r="UUZ12" s="249"/>
      <c r="UVA12" s="249"/>
      <c r="UVB12" s="249"/>
      <c r="UVC12" s="249"/>
      <c r="UVD12" s="249"/>
      <c r="UVE12" s="249"/>
      <c r="UVF12" s="249"/>
      <c r="UVG12" s="249"/>
      <c r="UVH12" s="249"/>
      <c r="UVI12" s="249"/>
      <c r="UVJ12" s="249"/>
      <c r="UVK12" s="249"/>
      <c r="UVL12" s="249"/>
      <c r="UVM12" s="249"/>
      <c r="UVN12" s="249"/>
      <c r="UVO12" s="249"/>
      <c r="UVP12" s="249"/>
      <c r="UVQ12" s="249"/>
      <c r="UVR12" s="249"/>
      <c r="UVS12" s="249"/>
      <c r="UVT12" s="249"/>
      <c r="UVU12" s="249"/>
      <c r="UVV12" s="249"/>
      <c r="UVW12" s="249"/>
      <c r="UVX12" s="249"/>
      <c r="UVY12" s="249"/>
      <c r="UVZ12" s="249"/>
      <c r="UWA12" s="249"/>
      <c r="UWB12" s="249"/>
      <c r="UWC12" s="249"/>
      <c r="UWD12" s="249"/>
      <c r="UWE12" s="249"/>
      <c r="UWF12" s="249"/>
      <c r="UWG12" s="249"/>
      <c r="UWH12" s="249"/>
      <c r="UWI12" s="249"/>
      <c r="UWJ12" s="249"/>
      <c r="UWK12" s="249"/>
      <c r="UWL12" s="249"/>
      <c r="UWM12" s="249"/>
      <c r="UWN12" s="249"/>
      <c r="UWO12" s="249"/>
      <c r="UWP12" s="249"/>
      <c r="UWQ12" s="249"/>
      <c r="UWR12" s="249"/>
      <c r="UWS12" s="249"/>
      <c r="UWT12" s="249"/>
      <c r="UWU12" s="249"/>
      <c r="UWV12" s="249"/>
      <c r="UWW12" s="249"/>
      <c r="UWX12" s="249"/>
      <c r="UWY12" s="249"/>
      <c r="UWZ12" s="249"/>
      <c r="UXA12" s="249"/>
      <c r="UXB12" s="249"/>
      <c r="UXC12" s="249"/>
      <c r="UXD12" s="249"/>
      <c r="UXE12" s="249"/>
      <c r="UXF12" s="249"/>
      <c r="UXG12" s="249"/>
      <c r="UXH12" s="249"/>
      <c r="UXI12" s="249"/>
      <c r="UXJ12" s="249"/>
      <c r="UXK12" s="249"/>
      <c r="UXL12" s="249"/>
      <c r="UXM12" s="249"/>
      <c r="UXN12" s="249"/>
      <c r="UXO12" s="249"/>
      <c r="UXP12" s="249"/>
      <c r="UXQ12" s="249"/>
      <c r="UXR12" s="249"/>
      <c r="UXS12" s="249"/>
      <c r="UXT12" s="249"/>
      <c r="UXU12" s="249"/>
      <c r="UXV12" s="249"/>
      <c r="UXW12" s="249"/>
      <c r="UXX12" s="249"/>
      <c r="UXY12" s="249"/>
      <c r="UXZ12" s="249"/>
      <c r="UYA12" s="249"/>
      <c r="UYB12" s="249"/>
      <c r="UYC12" s="249"/>
      <c r="UYD12" s="249"/>
      <c r="UYE12" s="249"/>
      <c r="UYF12" s="249"/>
      <c r="UYG12" s="249"/>
      <c r="UYH12" s="249"/>
      <c r="UYI12" s="249"/>
      <c r="UYJ12" s="249"/>
      <c r="UYK12" s="249"/>
      <c r="UYL12" s="249"/>
      <c r="UYM12" s="249"/>
      <c r="UYN12" s="249"/>
      <c r="UYO12" s="249"/>
      <c r="UYP12" s="249"/>
      <c r="UYQ12" s="249"/>
      <c r="UYR12" s="249"/>
      <c r="UYS12" s="249"/>
      <c r="UYT12" s="249"/>
      <c r="UYU12" s="249"/>
      <c r="UYV12" s="249"/>
      <c r="UYW12" s="249"/>
      <c r="UYX12" s="249"/>
      <c r="UYY12" s="249"/>
      <c r="UYZ12" s="249"/>
      <c r="UZA12" s="249"/>
      <c r="UZB12" s="249"/>
      <c r="UZC12" s="249"/>
      <c r="UZD12" s="249"/>
      <c r="UZE12" s="249"/>
      <c r="UZF12" s="249"/>
      <c r="UZG12" s="249"/>
      <c r="UZH12" s="249"/>
      <c r="UZI12" s="249"/>
      <c r="UZJ12" s="249"/>
      <c r="UZK12" s="249"/>
      <c r="UZL12" s="249"/>
      <c r="UZM12" s="249"/>
      <c r="UZN12" s="249"/>
      <c r="UZO12" s="249"/>
      <c r="UZP12" s="249"/>
      <c r="UZQ12" s="249"/>
      <c r="UZR12" s="249"/>
      <c r="UZS12" s="249"/>
      <c r="UZT12" s="249"/>
      <c r="UZU12" s="249"/>
      <c r="UZV12" s="249"/>
      <c r="UZW12" s="249"/>
      <c r="UZX12" s="249"/>
      <c r="UZY12" s="249"/>
      <c r="UZZ12" s="249"/>
      <c r="VAA12" s="249"/>
      <c r="VAB12" s="249"/>
      <c r="VAC12" s="249"/>
      <c r="VAD12" s="249"/>
      <c r="VAE12" s="249"/>
      <c r="VAF12" s="249"/>
      <c r="VAG12" s="249"/>
      <c r="VAH12" s="249"/>
      <c r="VAI12" s="249"/>
      <c r="VAJ12" s="249"/>
      <c r="VAK12" s="249"/>
      <c r="VAL12" s="249"/>
      <c r="VAM12" s="249"/>
      <c r="VAN12" s="249"/>
      <c r="VAO12" s="249"/>
      <c r="VAP12" s="249"/>
      <c r="VAQ12" s="249"/>
      <c r="VAR12" s="249"/>
      <c r="VAS12" s="249"/>
      <c r="VAT12" s="249"/>
      <c r="VAU12" s="249"/>
      <c r="VAV12" s="249"/>
      <c r="VAW12" s="249"/>
      <c r="VAX12" s="249"/>
      <c r="VAY12" s="249"/>
      <c r="VAZ12" s="249"/>
      <c r="VBA12" s="249"/>
      <c r="VBB12" s="249"/>
      <c r="VBC12" s="249"/>
      <c r="VBD12" s="249"/>
      <c r="VBE12" s="249"/>
      <c r="VBF12" s="249"/>
      <c r="VBG12" s="249"/>
      <c r="VBH12" s="249"/>
      <c r="VBI12" s="249"/>
      <c r="VBJ12" s="249"/>
      <c r="VBK12" s="249"/>
      <c r="VBL12" s="249"/>
      <c r="VBM12" s="249"/>
      <c r="VBN12" s="249"/>
      <c r="VBO12" s="249"/>
      <c r="VBP12" s="249"/>
      <c r="VBQ12" s="249"/>
      <c r="VBR12" s="249"/>
      <c r="VBS12" s="249"/>
      <c r="VBT12" s="249"/>
      <c r="VBU12" s="249"/>
      <c r="VBV12" s="249"/>
      <c r="VBW12" s="249"/>
      <c r="VBX12" s="249"/>
      <c r="VBY12" s="249"/>
      <c r="VBZ12" s="249"/>
      <c r="VCA12" s="249"/>
      <c r="VCB12" s="249"/>
      <c r="VCC12" s="249"/>
      <c r="VCD12" s="249"/>
      <c r="VCE12" s="249"/>
      <c r="VCF12" s="249"/>
      <c r="VCG12" s="249"/>
      <c r="VCH12" s="249"/>
      <c r="VCI12" s="249"/>
      <c r="VCJ12" s="249"/>
      <c r="VCK12" s="249"/>
      <c r="VCL12" s="249"/>
      <c r="VCM12" s="249"/>
      <c r="VCN12" s="249"/>
      <c r="VCO12" s="249"/>
      <c r="VCP12" s="249"/>
      <c r="VCQ12" s="249"/>
      <c r="VCR12" s="249"/>
      <c r="VCS12" s="249"/>
      <c r="VCT12" s="249"/>
      <c r="VCU12" s="249"/>
      <c r="VCV12" s="249"/>
      <c r="VCW12" s="249"/>
      <c r="VCX12" s="249"/>
      <c r="VCY12" s="249"/>
      <c r="VCZ12" s="249"/>
      <c r="VDA12" s="249"/>
      <c r="VDB12" s="249"/>
      <c r="VDC12" s="249"/>
      <c r="VDD12" s="249"/>
      <c r="VDE12" s="249"/>
      <c r="VDF12" s="249"/>
      <c r="VDG12" s="249"/>
      <c r="VDH12" s="249"/>
      <c r="VDI12" s="249"/>
      <c r="VDJ12" s="249"/>
      <c r="VDK12" s="249"/>
      <c r="VDL12" s="249"/>
      <c r="VDM12" s="249"/>
      <c r="VDN12" s="249"/>
      <c r="VDO12" s="249"/>
      <c r="VDP12" s="249"/>
      <c r="VDQ12" s="249"/>
      <c r="VDR12" s="249"/>
      <c r="VDS12" s="249"/>
      <c r="VDT12" s="249"/>
      <c r="VDU12" s="249"/>
      <c r="VDV12" s="249"/>
      <c r="VDW12" s="249"/>
      <c r="VDX12" s="249"/>
      <c r="VDY12" s="249"/>
      <c r="VDZ12" s="249"/>
      <c r="VEA12" s="249"/>
      <c r="VEB12" s="249"/>
      <c r="VEC12" s="249"/>
      <c r="VED12" s="249"/>
      <c r="VEE12" s="249"/>
      <c r="VEF12" s="249"/>
      <c r="VEG12" s="249"/>
      <c r="VEH12" s="249"/>
      <c r="VEI12" s="249"/>
      <c r="VEJ12" s="249"/>
      <c r="VEK12" s="249"/>
      <c r="VEL12" s="249"/>
      <c r="VEM12" s="249"/>
      <c r="VEN12" s="249"/>
      <c r="VEO12" s="249"/>
      <c r="VEP12" s="249"/>
      <c r="VEQ12" s="249"/>
      <c r="VER12" s="249"/>
      <c r="VES12" s="249"/>
      <c r="VET12" s="249"/>
      <c r="VEU12" s="249"/>
      <c r="VEV12" s="249"/>
      <c r="VEW12" s="249"/>
      <c r="VEX12" s="249"/>
      <c r="VEY12" s="249"/>
      <c r="VEZ12" s="249"/>
      <c r="VFA12" s="249"/>
      <c r="VFB12" s="249"/>
      <c r="VFC12" s="249"/>
      <c r="VFD12" s="249"/>
      <c r="VFE12" s="249"/>
      <c r="VFF12" s="249"/>
      <c r="VFG12" s="249"/>
      <c r="VFH12" s="249"/>
      <c r="VFI12" s="249"/>
      <c r="VFJ12" s="249"/>
      <c r="VFK12" s="249"/>
      <c r="VFL12" s="249"/>
      <c r="VFM12" s="249"/>
      <c r="VFN12" s="249"/>
      <c r="VFO12" s="249"/>
      <c r="VFP12" s="249"/>
      <c r="VFQ12" s="249"/>
      <c r="VFR12" s="249"/>
      <c r="VFS12" s="249"/>
      <c r="VFT12" s="249"/>
      <c r="VFU12" s="249"/>
      <c r="VFV12" s="249"/>
      <c r="VFW12" s="249"/>
      <c r="VFX12" s="249"/>
      <c r="VFY12" s="249"/>
      <c r="VFZ12" s="249"/>
      <c r="VGA12" s="249"/>
      <c r="VGB12" s="249"/>
      <c r="VGC12" s="249"/>
      <c r="VGD12" s="249"/>
      <c r="VGE12" s="249"/>
      <c r="VGF12" s="249"/>
      <c r="VGG12" s="249"/>
      <c r="VGH12" s="249"/>
      <c r="VGI12" s="249"/>
      <c r="VGJ12" s="249"/>
      <c r="VGK12" s="249"/>
      <c r="VGL12" s="249"/>
      <c r="VGM12" s="249"/>
      <c r="VGN12" s="249"/>
      <c r="VGO12" s="249"/>
      <c r="VGP12" s="249"/>
      <c r="VGQ12" s="249"/>
      <c r="VGR12" s="249"/>
      <c r="VGS12" s="249"/>
      <c r="VGT12" s="249"/>
      <c r="VGU12" s="249"/>
      <c r="VGV12" s="249"/>
      <c r="VGW12" s="249"/>
      <c r="VGX12" s="249"/>
      <c r="VGY12" s="249"/>
      <c r="VGZ12" s="249"/>
      <c r="VHA12" s="249"/>
      <c r="VHB12" s="249"/>
      <c r="VHC12" s="249"/>
      <c r="VHD12" s="249"/>
      <c r="VHE12" s="249"/>
      <c r="VHF12" s="249"/>
      <c r="VHG12" s="249"/>
      <c r="VHH12" s="249"/>
      <c r="VHI12" s="249"/>
      <c r="VHJ12" s="249"/>
      <c r="VHK12" s="249"/>
      <c r="VHL12" s="249"/>
      <c r="VHM12" s="249"/>
      <c r="VHN12" s="249"/>
      <c r="VHO12" s="249"/>
      <c r="VHP12" s="249"/>
      <c r="VHQ12" s="249"/>
      <c r="VHR12" s="249"/>
      <c r="VHS12" s="249"/>
      <c r="VHT12" s="249"/>
      <c r="VHU12" s="249"/>
      <c r="VHV12" s="249"/>
      <c r="VHW12" s="249"/>
      <c r="VHX12" s="249"/>
      <c r="VHY12" s="249"/>
      <c r="VHZ12" s="249"/>
      <c r="VIA12" s="249"/>
      <c r="VIB12" s="249"/>
      <c r="VIC12" s="249"/>
      <c r="VID12" s="249"/>
      <c r="VIE12" s="249"/>
      <c r="VIF12" s="249"/>
      <c r="VIG12" s="249"/>
      <c r="VIH12" s="249"/>
      <c r="VII12" s="249"/>
      <c r="VIJ12" s="249"/>
      <c r="VIK12" s="249"/>
      <c r="VIL12" s="249"/>
      <c r="VIM12" s="249"/>
      <c r="VIN12" s="249"/>
      <c r="VIO12" s="249"/>
      <c r="VIP12" s="249"/>
      <c r="VIQ12" s="249"/>
      <c r="VIR12" s="249"/>
      <c r="VIS12" s="249"/>
      <c r="VIT12" s="249"/>
      <c r="VIU12" s="249"/>
      <c r="VIV12" s="249"/>
      <c r="VIW12" s="249"/>
      <c r="VIX12" s="249"/>
      <c r="VIY12" s="249"/>
      <c r="VIZ12" s="249"/>
      <c r="VJA12" s="249"/>
      <c r="VJB12" s="249"/>
      <c r="VJC12" s="249"/>
      <c r="VJD12" s="249"/>
      <c r="VJE12" s="249"/>
      <c r="VJF12" s="249"/>
      <c r="VJG12" s="249"/>
      <c r="VJH12" s="249"/>
      <c r="VJI12" s="249"/>
      <c r="VJJ12" s="249"/>
      <c r="VJK12" s="249"/>
      <c r="VJL12" s="249"/>
      <c r="VJM12" s="249"/>
      <c r="VJN12" s="249"/>
      <c r="VJO12" s="249"/>
      <c r="VJP12" s="249"/>
      <c r="VJQ12" s="249"/>
      <c r="VJR12" s="249"/>
      <c r="VJS12" s="249"/>
      <c r="VJT12" s="249"/>
      <c r="VJU12" s="249"/>
      <c r="VJV12" s="249"/>
      <c r="VJW12" s="249"/>
      <c r="VJX12" s="249"/>
      <c r="VJY12" s="249"/>
      <c r="VJZ12" s="249"/>
      <c r="VKA12" s="249"/>
      <c r="VKB12" s="249"/>
      <c r="VKC12" s="249"/>
      <c r="VKD12" s="249"/>
      <c r="VKE12" s="249"/>
      <c r="VKF12" s="249"/>
      <c r="VKG12" s="249"/>
      <c r="VKH12" s="249"/>
      <c r="VKI12" s="249"/>
      <c r="VKJ12" s="249"/>
      <c r="VKK12" s="249"/>
      <c r="VKL12" s="249"/>
      <c r="VKM12" s="249"/>
      <c r="VKN12" s="249"/>
      <c r="VKO12" s="249"/>
      <c r="VKP12" s="249"/>
      <c r="VKQ12" s="249"/>
      <c r="VKR12" s="249"/>
      <c r="VKS12" s="249"/>
      <c r="VKT12" s="249"/>
      <c r="VKU12" s="249"/>
      <c r="VKV12" s="249"/>
      <c r="VKW12" s="249"/>
      <c r="VKX12" s="249"/>
      <c r="VKY12" s="249"/>
      <c r="VKZ12" s="249"/>
      <c r="VLA12" s="249"/>
      <c r="VLB12" s="249"/>
      <c r="VLC12" s="249"/>
      <c r="VLD12" s="249"/>
      <c r="VLE12" s="249"/>
      <c r="VLF12" s="249"/>
      <c r="VLG12" s="249"/>
      <c r="VLH12" s="249"/>
      <c r="VLI12" s="249"/>
      <c r="VLJ12" s="249"/>
      <c r="VLK12" s="249"/>
      <c r="VLL12" s="249"/>
      <c r="VLM12" s="249"/>
      <c r="VLN12" s="249"/>
      <c r="VLO12" s="249"/>
      <c r="VLP12" s="249"/>
      <c r="VLQ12" s="249"/>
      <c r="VLR12" s="249"/>
      <c r="VLS12" s="249"/>
      <c r="VLT12" s="249"/>
      <c r="VLU12" s="249"/>
      <c r="VLV12" s="249"/>
      <c r="VLW12" s="249"/>
      <c r="VLX12" s="249"/>
      <c r="VLY12" s="249"/>
      <c r="VLZ12" s="249"/>
      <c r="VMA12" s="249"/>
      <c r="VMB12" s="249"/>
      <c r="VMC12" s="249"/>
      <c r="VMD12" s="249"/>
      <c r="VME12" s="249"/>
      <c r="VMF12" s="249"/>
      <c r="VMG12" s="249"/>
      <c r="VMH12" s="249"/>
      <c r="VMI12" s="249"/>
      <c r="VMJ12" s="249"/>
      <c r="VMK12" s="249"/>
      <c r="VML12" s="249"/>
      <c r="VMM12" s="249"/>
      <c r="VMN12" s="249"/>
      <c r="VMO12" s="249"/>
      <c r="VMP12" s="249"/>
      <c r="VMQ12" s="249"/>
      <c r="VMR12" s="249"/>
      <c r="VMS12" s="249"/>
      <c r="VMT12" s="249"/>
      <c r="VMU12" s="249"/>
      <c r="VMV12" s="249"/>
      <c r="VMW12" s="249"/>
      <c r="VMX12" s="249"/>
      <c r="VMY12" s="249"/>
      <c r="VMZ12" s="249"/>
      <c r="VNA12" s="249"/>
      <c r="VNB12" s="249"/>
      <c r="VNC12" s="249"/>
      <c r="VND12" s="249"/>
      <c r="VNE12" s="249"/>
      <c r="VNF12" s="249"/>
      <c r="VNG12" s="249"/>
      <c r="VNH12" s="249"/>
      <c r="VNI12" s="249"/>
      <c r="VNJ12" s="249"/>
      <c r="VNK12" s="249"/>
      <c r="VNL12" s="249"/>
      <c r="VNM12" s="249"/>
      <c r="VNN12" s="249"/>
      <c r="VNO12" s="249"/>
      <c r="VNP12" s="249"/>
      <c r="VNQ12" s="249"/>
      <c r="VNR12" s="249"/>
      <c r="VNS12" s="249"/>
      <c r="VNT12" s="249"/>
      <c r="VNU12" s="249"/>
      <c r="VNV12" s="249"/>
      <c r="VNW12" s="249"/>
      <c r="VNX12" s="249"/>
      <c r="VNY12" s="249"/>
      <c r="VNZ12" s="249"/>
      <c r="VOA12" s="249"/>
      <c r="VOB12" s="249"/>
      <c r="VOC12" s="249"/>
      <c r="VOD12" s="249"/>
      <c r="VOE12" s="249"/>
      <c r="VOF12" s="249"/>
      <c r="VOG12" s="249"/>
      <c r="VOH12" s="249"/>
      <c r="VOI12" s="249"/>
      <c r="VOJ12" s="249"/>
      <c r="VOK12" s="249"/>
      <c r="VOL12" s="249"/>
      <c r="VOM12" s="249"/>
      <c r="VON12" s="249"/>
      <c r="VOO12" s="249"/>
      <c r="VOP12" s="249"/>
      <c r="VOQ12" s="249"/>
      <c r="VOR12" s="249"/>
      <c r="VOS12" s="249"/>
      <c r="VOT12" s="249"/>
      <c r="VOU12" s="249"/>
      <c r="VOV12" s="249"/>
      <c r="VOW12" s="249"/>
      <c r="VOX12" s="249"/>
      <c r="VOY12" s="249"/>
      <c r="VOZ12" s="249"/>
      <c r="VPA12" s="249"/>
      <c r="VPB12" s="249"/>
      <c r="VPC12" s="249"/>
      <c r="VPD12" s="249"/>
      <c r="VPE12" s="249"/>
      <c r="VPF12" s="249"/>
      <c r="VPG12" s="249"/>
      <c r="VPH12" s="249"/>
      <c r="VPI12" s="249"/>
      <c r="VPJ12" s="249"/>
      <c r="VPK12" s="249"/>
      <c r="VPL12" s="249"/>
      <c r="VPM12" s="249"/>
      <c r="VPN12" s="249"/>
      <c r="VPO12" s="249"/>
      <c r="VPP12" s="249"/>
      <c r="VPQ12" s="249"/>
      <c r="VPR12" s="249"/>
      <c r="VPS12" s="249"/>
      <c r="VPT12" s="249"/>
      <c r="VPU12" s="249"/>
      <c r="VPV12" s="249"/>
      <c r="VPW12" s="249"/>
      <c r="VPX12" s="249"/>
      <c r="VPY12" s="249"/>
      <c r="VPZ12" s="249"/>
      <c r="VQA12" s="249"/>
      <c r="VQB12" s="249"/>
      <c r="VQC12" s="249"/>
      <c r="VQD12" s="249"/>
      <c r="VQE12" s="249"/>
      <c r="VQF12" s="249"/>
      <c r="VQG12" s="249"/>
      <c r="VQH12" s="249"/>
      <c r="VQI12" s="249"/>
      <c r="VQJ12" s="249"/>
      <c r="VQK12" s="249"/>
      <c r="VQL12" s="249"/>
      <c r="VQM12" s="249"/>
      <c r="VQN12" s="249"/>
      <c r="VQO12" s="249"/>
      <c r="VQP12" s="249"/>
      <c r="VQQ12" s="249"/>
      <c r="VQR12" s="249"/>
      <c r="VQS12" s="249"/>
      <c r="VQT12" s="249"/>
      <c r="VQU12" s="249"/>
      <c r="VQV12" s="249"/>
      <c r="VQW12" s="249"/>
      <c r="VQX12" s="249"/>
      <c r="VQY12" s="249"/>
      <c r="VQZ12" s="249"/>
      <c r="VRA12" s="249"/>
      <c r="VRB12" s="249"/>
      <c r="VRC12" s="249"/>
      <c r="VRD12" s="249"/>
      <c r="VRE12" s="249"/>
      <c r="VRF12" s="249"/>
      <c r="VRG12" s="249"/>
      <c r="VRH12" s="249"/>
      <c r="VRI12" s="249"/>
      <c r="VRJ12" s="249"/>
      <c r="VRK12" s="249"/>
      <c r="VRL12" s="249"/>
      <c r="VRM12" s="249"/>
      <c r="VRN12" s="249"/>
      <c r="VRO12" s="249"/>
      <c r="VRP12" s="249"/>
      <c r="VRQ12" s="249"/>
      <c r="VRR12" s="249"/>
      <c r="VRS12" s="249"/>
      <c r="VRT12" s="249"/>
      <c r="VRU12" s="249"/>
      <c r="VRV12" s="249"/>
      <c r="VRW12" s="249"/>
      <c r="VRX12" s="249"/>
      <c r="VRY12" s="249"/>
      <c r="VRZ12" s="249"/>
      <c r="VSA12" s="249"/>
      <c r="VSB12" s="249"/>
      <c r="VSC12" s="249"/>
      <c r="VSD12" s="249"/>
      <c r="VSE12" s="249"/>
      <c r="VSF12" s="249"/>
      <c r="VSG12" s="249"/>
      <c r="VSH12" s="249"/>
      <c r="VSI12" s="249"/>
      <c r="VSJ12" s="249"/>
      <c r="VSK12" s="249"/>
      <c r="VSL12" s="249"/>
      <c r="VSM12" s="249"/>
      <c r="VSN12" s="249"/>
      <c r="VSO12" s="249"/>
      <c r="VSP12" s="249"/>
      <c r="VSQ12" s="249"/>
      <c r="VSR12" s="249"/>
      <c r="VSS12" s="249"/>
      <c r="VST12" s="249"/>
      <c r="VSU12" s="249"/>
      <c r="VSV12" s="249"/>
      <c r="VSW12" s="249"/>
      <c r="VSX12" s="249"/>
      <c r="VSY12" s="249"/>
      <c r="VSZ12" s="249"/>
      <c r="VTA12" s="249"/>
      <c r="VTB12" s="249"/>
      <c r="VTC12" s="249"/>
      <c r="VTD12" s="249"/>
      <c r="VTE12" s="249"/>
      <c r="VTF12" s="249"/>
      <c r="VTG12" s="249"/>
      <c r="VTH12" s="249"/>
      <c r="VTI12" s="249"/>
      <c r="VTJ12" s="249"/>
      <c r="VTK12" s="249"/>
      <c r="VTL12" s="249"/>
      <c r="VTM12" s="249"/>
      <c r="VTN12" s="249"/>
      <c r="VTO12" s="249"/>
      <c r="VTP12" s="249"/>
      <c r="VTQ12" s="249"/>
      <c r="VTR12" s="249"/>
      <c r="VTS12" s="249"/>
      <c r="VTT12" s="249"/>
      <c r="VTU12" s="249"/>
      <c r="VTV12" s="249"/>
      <c r="VTW12" s="249"/>
      <c r="VTX12" s="249"/>
      <c r="VTY12" s="249"/>
      <c r="VTZ12" s="249"/>
      <c r="VUA12" s="249"/>
      <c r="VUB12" s="249"/>
      <c r="VUC12" s="249"/>
      <c r="VUD12" s="249"/>
      <c r="VUE12" s="249"/>
      <c r="VUF12" s="249"/>
      <c r="VUG12" s="249"/>
      <c r="VUH12" s="249"/>
      <c r="VUI12" s="249"/>
      <c r="VUJ12" s="249"/>
      <c r="VUK12" s="249"/>
      <c r="VUL12" s="249"/>
      <c r="VUM12" s="249"/>
      <c r="VUN12" s="249"/>
      <c r="VUO12" s="249"/>
      <c r="VUP12" s="249"/>
      <c r="VUQ12" s="249"/>
      <c r="VUR12" s="249"/>
      <c r="VUS12" s="249"/>
      <c r="VUT12" s="249"/>
      <c r="VUU12" s="249"/>
      <c r="VUV12" s="249"/>
      <c r="VUW12" s="249"/>
      <c r="VUX12" s="249"/>
      <c r="VUY12" s="249"/>
      <c r="VUZ12" s="249"/>
      <c r="VVA12" s="249"/>
      <c r="VVB12" s="249"/>
      <c r="VVC12" s="249"/>
      <c r="VVD12" s="249"/>
      <c r="VVE12" s="249"/>
      <c r="VVF12" s="249"/>
      <c r="VVG12" s="249"/>
      <c r="VVH12" s="249"/>
      <c r="VVI12" s="249"/>
      <c r="VVJ12" s="249"/>
      <c r="VVK12" s="249"/>
      <c r="VVL12" s="249"/>
      <c r="VVM12" s="249"/>
      <c r="VVN12" s="249"/>
      <c r="VVO12" s="249"/>
      <c r="VVP12" s="249"/>
      <c r="VVQ12" s="249"/>
      <c r="VVR12" s="249"/>
      <c r="VVS12" s="249"/>
      <c r="VVT12" s="249"/>
      <c r="VVU12" s="249"/>
      <c r="VVV12" s="249"/>
      <c r="VVW12" s="249"/>
      <c r="VVX12" s="249"/>
      <c r="VVY12" s="249"/>
      <c r="VVZ12" s="249"/>
      <c r="VWA12" s="249"/>
      <c r="VWB12" s="249"/>
      <c r="VWC12" s="249"/>
      <c r="VWD12" s="249"/>
      <c r="VWE12" s="249"/>
      <c r="VWF12" s="249"/>
      <c r="VWG12" s="249"/>
      <c r="VWH12" s="249"/>
      <c r="VWI12" s="249"/>
      <c r="VWJ12" s="249"/>
      <c r="VWK12" s="249"/>
      <c r="VWL12" s="249"/>
      <c r="VWM12" s="249"/>
      <c r="VWN12" s="249"/>
      <c r="VWO12" s="249"/>
      <c r="VWP12" s="249"/>
      <c r="VWQ12" s="249"/>
      <c r="VWR12" s="249"/>
      <c r="VWS12" s="249"/>
      <c r="VWT12" s="249"/>
      <c r="VWU12" s="249"/>
      <c r="VWV12" s="249"/>
      <c r="VWW12" s="249"/>
      <c r="VWX12" s="249"/>
      <c r="VWY12" s="249"/>
      <c r="VWZ12" s="249"/>
      <c r="VXA12" s="249"/>
      <c r="VXB12" s="249"/>
      <c r="VXC12" s="249"/>
      <c r="VXD12" s="249"/>
      <c r="VXE12" s="249"/>
      <c r="VXF12" s="249"/>
      <c r="VXG12" s="249"/>
      <c r="VXH12" s="249"/>
      <c r="VXI12" s="249"/>
      <c r="VXJ12" s="249"/>
      <c r="VXK12" s="249"/>
      <c r="VXL12" s="249"/>
      <c r="VXM12" s="249"/>
      <c r="VXN12" s="249"/>
      <c r="VXO12" s="249"/>
      <c r="VXP12" s="249"/>
      <c r="VXQ12" s="249"/>
      <c r="VXR12" s="249"/>
      <c r="VXS12" s="249"/>
      <c r="VXT12" s="249"/>
      <c r="VXU12" s="249"/>
      <c r="VXV12" s="249"/>
      <c r="VXW12" s="249"/>
      <c r="VXX12" s="249"/>
      <c r="VXY12" s="249"/>
      <c r="VXZ12" s="249"/>
      <c r="VYA12" s="249"/>
      <c r="VYB12" s="249"/>
      <c r="VYC12" s="249"/>
      <c r="VYD12" s="249"/>
      <c r="VYE12" s="249"/>
      <c r="VYF12" s="249"/>
      <c r="VYG12" s="249"/>
      <c r="VYH12" s="249"/>
      <c r="VYI12" s="249"/>
      <c r="VYJ12" s="249"/>
      <c r="VYK12" s="249"/>
      <c r="VYL12" s="249"/>
      <c r="VYM12" s="249"/>
      <c r="VYN12" s="249"/>
      <c r="VYO12" s="249"/>
      <c r="VYP12" s="249"/>
      <c r="VYQ12" s="249"/>
      <c r="VYR12" s="249"/>
      <c r="VYS12" s="249"/>
      <c r="VYT12" s="249"/>
      <c r="VYU12" s="249"/>
      <c r="VYV12" s="249"/>
      <c r="VYW12" s="249"/>
      <c r="VYX12" s="249"/>
      <c r="VYY12" s="249"/>
      <c r="VYZ12" s="249"/>
      <c r="VZA12" s="249"/>
      <c r="VZB12" s="249"/>
      <c r="VZC12" s="249"/>
      <c r="VZD12" s="249"/>
      <c r="VZE12" s="249"/>
      <c r="VZF12" s="249"/>
      <c r="VZG12" s="249"/>
      <c r="VZH12" s="249"/>
      <c r="VZI12" s="249"/>
      <c r="VZJ12" s="249"/>
      <c r="VZK12" s="249"/>
      <c r="VZL12" s="249"/>
      <c r="VZM12" s="249"/>
      <c r="VZN12" s="249"/>
      <c r="VZO12" s="249"/>
      <c r="VZP12" s="249"/>
      <c r="VZQ12" s="249"/>
      <c r="VZR12" s="249"/>
      <c r="VZS12" s="249"/>
      <c r="VZT12" s="249"/>
      <c r="VZU12" s="249"/>
      <c r="VZV12" s="249"/>
      <c r="VZW12" s="249"/>
      <c r="VZX12" s="249"/>
      <c r="VZY12" s="249"/>
      <c r="VZZ12" s="249"/>
      <c r="WAA12" s="249"/>
      <c r="WAB12" s="249"/>
      <c r="WAC12" s="249"/>
      <c r="WAD12" s="249"/>
      <c r="WAE12" s="249"/>
      <c r="WAF12" s="249"/>
      <c r="WAG12" s="249"/>
      <c r="WAH12" s="249"/>
      <c r="WAI12" s="249"/>
      <c r="WAJ12" s="249"/>
      <c r="WAK12" s="249"/>
      <c r="WAL12" s="249"/>
      <c r="WAM12" s="249"/>
      <c r="WAN12" s="249"/>
      <c r="WAO12" s="249"/>
      <c r="WAP12" s="249"/>
      <c r="WAQ12" s="249"/>
      <c r="WAR12" s="249"/>
      <c r="WAS12" s="249"/>
      <c r="WAT12" s="249"/>
      <c r="WAU12" s="249"/>
      <c r="WAV12" s="249"/>
      <c r="WAW12" s="249"/>
      <c r="WAX12" s="249"/>
      <c r="WAY12" s="249"/>
      <c r="WAZ12" s="249"/>
      <c r="WBA12" s="249"/>
      <c r="WBB12" s="249"/>
      <c r="WBC12" s="249"/>
      <c r="WBD12" s="249"/>
      <c r="WBE12" s="249"/>
      <c r="WBF12" s="249"/>
      <c r="WBG12" s="249"/>
      <c r="WBH12" s="249"/>
      <c r="WBI12" s="249"/>
      <c r="WBJ12" s="249"/>
      <c r="WBK12" s="249"/>
      <c r="WBL12" s="249"/>
      <c r="WBM12" s="249"/>
      <c r="WBN12" s="249"/>
      <c r="WBO12" s="249"/>
      <c r="WBP12" s="249"/>
      <c r="WBQ12" s="249"/>
      <c r="WBR12" s="249"/>
      <c r="WBS12" s="249"/>
      <c r="WBT12" s="249"/>
      <c r="WBU12" s="249"/>
      <c r="WBV12" s="249"/>
      <c r="WBW12" s="249"/>
      <c r="WBX12" s="249"/>
      <c r="WBY12" s="249"/>
      <c r="WBZ12" s="249"/>
      <c r="WCA12" s="249"/>
      <c r="WCB12" s="249"/>
      <c r="WCC12" s="249"/>
      <c r="WCD12" s="249"/>
      <c r="WCE12" s="249"/>
      <c r="WCF12" s="249"/>
      <c r="WCG12" s="249"/>
      <c r="WCH12" s="249"/>
      <c r="WCI12" s="249"/>
      <c r="WCJ12" s="249"/>
      <c r="WCK12" s="249"/>
      <c r="WCL12" s="249"/>
      <c r="WCM12" s="249"/>
      <c r="WCN12" s="249"/>
      <c r="WCO12" s="249"/>
      <c r="WCP12" s="249"/>
      <c r="WCQ12" s="249"/>
      <c r="WCR12" s="249"/>
      <c r="WCS12" s="249"/>
      <c r="WCT12" s="249"/>
      <c r="WCU12" s="249"/>
      <c r="WCV12" s="249"/>
      <c r="WCW12" s="249"/>
      <c r="WCX12" s="249"/>
      <c r="WCY12" s="249"/>
      <c r="WCZ12" s="249"/>
      <c r="WDA12" s="249"/>
      <c r="WDB12" s="249"/>
      <c r="WDC12" s="249"/>
      <c r="WDD12" s="249"/>
      <c r="WDE12" s="249"/>
      <c r="WDF12" s="249"/>
      <c r="WDG12" s="249"/>
      <c r="WDH12" s="249"/>
      <c r="WDI12" s="249"/>
      <c r="WDJ12" s="249"/>
      <c r="WDK12" s="249"/>
      <c r="WDL12" s="249"/>
      <c r="WDM12" s="249"/>
      <c r="WDN12" s="249"/>
      <c r="WDO12" s="249"/>
      <c r="WDP12" s="249"/>
      <c r="WDQ12" s="249"/>
      <c r="WDR12" s="249"/>
      <c r="WDS12" s="249"/>
      <c r="WDT12" s="249"/>
      <c r="WDU12" s="249"/>
      <c r="WDV12" s="249"/>
      <c r="WDW12" s="249"/>
      <c r="WDX12" s="249"/>
      <c r="WDY12" s="249"/>
      <c r="WDZ12" s="249"/>
      <c r="WEA12" s="249"/>
      <c r="WEB12" s="249"/>
      <c r="WEC12" s="249"/>
      <c r="WED12" s="249"/>
      <c r="WEE12" s="249"/>
      <c r="WEF12" s="249"/>
      <c r="WEG12" s="249"/>
      <c r="WEH12" s="249"/>
      <c r="WEI12" s="249"/>
      <c r="WEJ12" s="249"/>
      <c r="WEK12" s="249"/>
      <c r="WEL12" s="249"/>
      <c r="WEM12" s="249"/>
      <c r="WEN12" s="249"/>
      <c r="WEO12" s="249"/>
      <c r="WEP12" s="249"/>
      <c r="WEQ12" s="249"/>
      <c r="WER12" s="249"/>
      <c r="WES12" s="249"/>
      <c r="WET12" s="249"/>
      <c r="WEU12" s="249"/>
      <c r="WEV12" s="249"/>
      <c r="WEW12" s="249"/>
      <c r="WEX12" s="249"/>
      <c r="WEY12" s="249"/>
      <c r="WEZ12" s="249"/>
      <c r="WFA12" s="249"/>
      <c r="WFB12" s="249"/>
      <c r="WFC12" s="249"/>
      <c r="WFD12" s="249"/>
      <c r="WFE12" s="249"/>
      <c r="WFF12" s="249"/>
      <c r="WFG12" s="249"/>
      <c r="WFH12" s="249"/>
      <c r="WFI12" s="249"/>
      <c r="WFJ12" s="249"/>
      <c r="WFK12" s="249"/>
      <c r="WFL12" s="249"/>
      <c r="WFM12" s="249"/>
      <c r="WFN12" s="249"/>
      <c r="WFO12" s="249"/>
      <c r="WFP12" s="249"/>
      <c r="WFQ12" s="249"/>
      <c r="WFR12" s="249"/>
      <c r="WFS12" s="249"/>
      <c r="WFT12" s="249"/>
      <c r="WFU12" s="249"/>
      <c r="WFV12" s="249"/>
      <c r="WFW12" s="249"/>
      <c r="WFX12" s="249"/>
      <c r="WFY12" s="249"/>
      <c r="WFZ12" s="249"/>
      <c r="WGA12" s="249"/>
      <c r="WGB12" s="249"/>
      <c r="WGC12" s="249"/>
      <c r="WGD12" s="249"/>
      <c r="WGE12" s="249"/>
      <c r="WGF12" s="249"/>
      <c r="WGG12" s="249"/>
      <c r="WGH12" s="249"/>
      <c r="WGI12" s="249"/>
      <c r="WGJ12" s="249"/>
      <c r="WGK12" s="249"/>
      <c r="WGL12" s="249"/>
      <c r="WGM12" s="249"/>
      <c r="WGN12" s="249"/>
      <c r="WGO12" s="249"/>
      <c r="WGP12" s="249"/>
      <c r="WGQ12" s="249"/>
      <c r="WGR12" s="249"/>
      <c r="WGS12" s="249"/>
      <c r="WGT12" s="249"/>
      <c r="WGU12" s="249"/>
      <c r="WGV12" s="249"/>
      <c r="WGW12" s="249"/>
      <c r="WGX12" s="249"/>
      <c r="WGY12" s="249"/>
      <c r="WGZ12" s="249"/>
      <c r="WHA12" s="249"/>
      <c r="WHB12" s="249"/>
      <c r="WHC12" s="249"/>
      <c r="WHD12" s="249"/>
      <c r="WHE12" s="249"/>
      <c r="WHF12" s="249"/>
      <c r="WHG12" s="249"/>
      <c r="WHH12" s="249"/>
      <c r="WHI12" s="249"/>
      <c r="WHJ12" s="249"/>
      <c r="WHK12" s="249"/>
      <c r="WHL12" s="249"/>
      <c r="WHM12" s="249"/>
      <c r="WHN12" s="249"/>
      <c r="WHO12" s="249"/>
      <c r="WHP12" s="249"/>
      <c r="WHQ12" s="249"/>
      <c r="WHR12" s="249"/>
      <c r="WHS12" s="249"/>
      <c r="WHT12" s="249"/>
      <c r="WHU12" s="249"/>
      <c r="WHV12" s="249"/>
      <c r="WHW12" s="249"/>
      <c r="WHX12" s="249"/>
      <c r="WHY12" s="249"/>
      <c r="WHZ12" s="249"/>
      <c r="WIA12" s="249"/>
      <c r="WIB12" s="249"/>
      <c r="WIC12" s="249"/>
      <c r="WID12" s="249"/>
      <c r="WIE12" s="249"/>
      <c r="WIF12" s="249"/>
      <c r="WIG12" s="249"/>
      <c r="WIH12" s="249"/>
      <c r="WII12" s="249"/>
      <c r="WIJ12" s="249"/>
      <c r="WIK12" s="249"/>
      <c r="WIL12" s="249"/>
      <c r="WIM12" s="249"/>
      <c r="WIN12" s="249"/>
      <c r="WIO12" s="249"/>
      <c r="WIP12" s="249"/>
      <c r="WIQ12" s="249"/>
      <c r="WIR12" s="249"/>
      <c r="WIS12" s="249"/>
      <c r="WIT12" s="249"/>
      <c r="WIU12" s="249"/>
      <c r="WIV12" s="249"/>
      <c r="WIW12" s="249"/>
      <c r="WIX12" s="249"/>
      <c r="WIY12" s="249"/>
      <c r="WIZ12" s="249"/>
      <c r="WJA12" s="249"/>
      <c r="WJB12" s="249"/>
      <c r="WJC12" s="249"/>
      <c r="WJD12" s="249"/>
      <c r="WJE12" s="249"/>
      <c r="WJF12" s="249"/>
      <c r="WJG12" s="249"/>
      <c r="WJH12" s="249"/>
      <c r="WJI12" s="249"/>
      <c r="WJJ12" s="249"/>
      <c r="WJK12" s="249"/>
      <c r="WJL12" s="249"/>
      <c r="WJM12" s="249"/>
      <c r="WJN12" s="249"/>
      <c r="WJO12" s="249"/>
      <c r="WJP12" s="249"/>
      <c r="WJQ12" s="249"/>
      <c r="WJR12" s="249"/>
      <c r="WJS12" s="249"/>
      <c r="WJT12" s="249"/>
      <c r="WJU12" s="249"/>
      <c r="WJV12" s="249"/>
      <c r="WJW12" s="249"/>
      <c r="WJX12" s="249"/>
      <c r="WJY12" s="249"/>
      <c r="WJZ12" s="249"/>
      <c r="WKA12" s="249"/>
      <c r="WKB12" s="249"/>
      <c r="WKC12" s="249"/>
      <c r="WKD12" s="249"/>
      <c r="WKE12" s="249"/>
      <c r="WKF12" s="249"/>
      <c r="WKG12" s="249"/>
      <c r="WKH12" s="249"/>
      <c r="WKI12" s="249"/>
      <c r="WKJ12" s="249"/>
      <c r="WKK12" s="249"/>
      <c r="WKL12" s="249"/>
      <c r="WKM12" s="249"/>
      <c r="WKN12" s="249"/>
      <c r="WKO12" s="249"/>
      <c r="WKP12" s="249"/>
      <c r="WKQ12" s="249"/>
      <c r="WKR12" s="249"/>
      <c r="WKS12" s="249"/>
      <c r="WKT12" s="249"/>
      <c r="WKU12" s="249"/>
      <c r="WKV12" s="249"/>
      <c r="WKW12" s="249"/>
      <c r="WKX12" s="249"/>
      <c r="WKY12" s="249"/>
      <c r="WKZ12" s="249"/>
      <c r="WLA12" s="249"/>
      <c r="WLB12" s="249"/>
      <c r="WLC12" s="249"/>
      <c r="WLD12" s="249"/>
      <c r="WLE12" s="249"/>
      <c r="WLF12" s="249"/>
      <c r="WLG12" s="249"/>
      <c r="WLH12" s="249"/>
      <c r="WLI12" s="249"/>
      <c r="WLJ12" s="249"/>
      <c r="WLK12" s="249"/>
      <c r="WLL12" s="249"/>
      <c r="WLM12" s="249"/>
      <c r="WLN12" s="249"/>
      <c r="WLO12" s="249"/>
      <c r="WLP12" s="249"/>
      <c r="WLQ12" s="249"/>
      <c r="WLR12" s="249"/>
      <c r="WLS12" s="249"/>
      <c r="WLT12" s="249"/>
      <c r="WLU12" s="249"/>
      <c r="WLV12" s="249"/>
      <c r="WLW12" s="249"/>
      <c r="WLX12" s="249"/>
      <c r="WLY12" s="249"/>
      <c r="WLZ12" s="249"/>
      <c r="WMA12" s="249"/>
      <c r="WMB12" s="249"/>
      <c r="WMC12" s="249"/>
      <c r="WMD12" s="249"/>
      <c r="WME12" s="249"/>
      <c r="WMF12" s="249"/>
      <c r="WMG12" s="249"/>
      <c r="WMH12" s="249"/>
      <c r="WMI12" s="249"/>
      <c r="WMJ12" s="249"/>
      <c r="WMK12" s="249"/>
      <c r="WML12" s="249"/>
      <c r="WMM12" s="249"/>
      <c r="WMN12" s="249"/>
      <c r="WMO12" s="249"/>
      <c r="WMP12" s="249"/>
      <c r="WMQ12" s="249"/>
      <c r="WMR12" s="249"/>
      <c r="WMS12" s="249"/>
      <c r="WMT12" s="249"/>
      <c r="WMU12" s="249"/>
      <c r="WMV12" s="249"/>
      <c r="WMW12" s="249"/>
      <c r="WMX12" s="249"/>
      <c r="WMY12" s="249"/>
      <c r="WMZ12" s="249"/>
      <c r="WNA12" s="249"/>
      <c r="WNB12" s="249"/>
      <c r="WNC12" s="249"/>
      <c r="WND12" s="249"/>
      <c r="WNE12" s="249"/>
      <c r="WNF12" s="249"/>
      <c r="WNG12" s="249"/>
      <c r="WNH12" s="249"/>
      <c r="WNI12" s="249"/>
      <c r="WNJ12" s="249"/>
      <c r="WNK12" s="249"/>
      <c r="WNL12" s="249"/>
      <c r="WNM12" s="249"/>
      <c r="WNN12" s="249"/>
      <c r="WNO12" s="249"/>
      <c r="WNP12" s="249"/>
      <c r="WNQ12" s="249"/>
      <c r="WNR12" s="249"/>
      <c r="WNS12" s="249"/>
      <c r="WNT12" s="249"/>
      <c r="WNU12" s="249"/>
      <c r="WNV12" s="249"/>
      <c r="WNW12" s="249"/>
      <c r="WNX12" s="249"/>
      <c r="WNY12" s="249"/>
      <c r="WNZ12" s="249"/>
      <c r="WOA12" s="249"/>
      <c r="WOB12" s="249"/>
      <c r="WOC12" s="249"/>
      <c r="WOD12" s="249"/>
      <c r="WOE12" s="249"/>
      <c r="WOF12" s="249"/>
      <c r="WOG12" s="249"/>
      <c r="WOH12" s="249"/>
      <c r="WOI12" s="249"/>
      <c r="WOJ12" s="249"/>
      <c r="WOK12" s="249"/>
      <c r="WOL12" s="249"/>
      <c r="WOM12" s="249"/>
      <c r="WON12" s="249"/>
      <c r="WOO12" s="249"/>
      <c r="WOP12" s="249"/>
      <c r="WOQ12" s="249"/>
      <c r="WOR12" s="249"/>
      <c r="WOS12" s="249"/>
      <c r="WOT12" s="249"/>
      <c r="WOU12" s="249"/>
      <c r="WOV12" s="249"/>
      <c r="WOW12" s="249"/>
      <c r="WOX12" s="249"/>
      <c r="WOY12" s="249"/>
      <c r="WOZ12" s="249"/>
      <c r="WPA12" s="249"/>
      <c r="WPB12" s="249"/>
      <c r="WPC12" s="249"/>
      <c r="WPD12" s="249"/>
      <c r="WPE12" s="249"/>
      <c r="WPF12" s="249"/>
      <c r="WPG12" s="249"/>
      <c r="WPH12" s="249"/>
      <c r="WPI12" s="249"/>
      <c r="WPJ12" s="249"/>
      <c r="WPK12" s="249"/>
      <c r="WPL12" s="249"/>
      <c r="WPM12" s="249"/>
      <c r="WPN12" s="249"/>
      <c r="WPO12" s="249"/>
      <c r="WPP12" s="249"/>
      <c r="WPQ12" s="249"/>
      <c r="WPR12" s="249"/>
      <c r="WPS12" s="249"/>
      <c r="WPT12" s="249"/>
      <c r="WPU12" s="249"/>
      <c r="WPV12" s="249"/>
      <c r="WPW12" s="249"/>
      <c r="WPX12" s="249"/>
      <c r="WPY12" s="249"/>
      <c r="WPZ12" s="249"/>
      <c r="WQA12" s="249"/>
      <c r="WQB12" s="249"/>
      <c r="WQC12" s="249"/>
      <c r="WQD12" s="249"/>
      <c r="WQE12" s="249"/>
      <c r="WQF12" s="249"/>
      <c r="WQG12" s="249"/>
      <c r="WQH12" s="249"/>
      <c r="WQI12" s="249"/>
      <c r="WQJ12" s="249"/>
      <c r="WQK12" s="249"/>
      <c r="WQL12" s="249"/>
      <c r="WQM12" s="249"/>
      <c r="WQN12" s="249"/>
      <c r="WQO12" s="249"/>
      <c r="WQP12" s="249"/>
      <c r="WQQ12" s="249"/>
      <c r="WQR12" s="249"/>
      <c r="WQS12" s="249"/>
      <c r="WQT12" s="249"/>
      <c r="WQU12" s="249"/>
      <c r="WQV12" s="249"/>
      <c r="WQW12" s="249"/>
      <c r="WQX12" s="249"/>
      <c r="WQY12" s="249"/>
      <c r="WQZ12" s="249"/>
      <c r="WRA12" s="249"/>
      <c r="WRB12" s="249"/>
      <c r="WRC12" s="249"/>
      <c r="WRD12" s="249"/>
      <c r="WRE12" s="249"/>
      <c r="WRF12" s="249"/>
      <c r="WRG12" s="249"/>
      <c r="WRH12" s="249"/>
      <c r="WRI12" s="249"/>
      <c r="WRJ12" s="249"/>
      <c r="WRK12" s="249"/>
      <c r="WRL12" s="249"/>
      <c r="WRM12" s="249"/>
      <c r="WRN12" s="249"/>
      <c r="WRO12" s="249"/>
      <c r="WRP12" s="249"/>
      <c r="WRQ12" s="249"/>
      <c r="WRR12" s="249"/>
      <c r="WRS12" s="249"/>
      <c r="WRT12" s="249"/>
      <c r="WRU12" s="249"/>
      <c r="WRV12" s="249"/>
      <c r="WRW12" s="249"/>
      <c r="WRX12" s="249"/>
      <c r="WRY12" s="249"/>
      <c r="WRZ12" s="249"/>
      <c r="WSA12" s="249"/>
      <c r="WSB12" s="249"/>
      <c r="WSC12" s="249"/>
      <c r="WSD12" s="249"/>
      <c r="WSE12" s="249"/>
      <c r="WSF12" s="249"/>
      <c r="WSG12" s="249"/>
      <c r="WSH12" s="249"/>
      <c r="WSI12" s="249"/>
      <c r="WSJ12" s="249"/>
      <c r="WSK12" s="249"/>
      <c r="WSL12" s="249"/>
      <c r="WSM12" s="249"/>
      <c r="WSN12" s="249"/>
      <c r="WSO12" s="249"/>
      <c r="WSP12" s="249"/>
      <c r="WSQ12" s="249"/>
      <c r="WSR12" s="249"/>
      <c r="WSS12" s="249"/>
      <c r="WST12" s="249"/>
      <c r="WSU12" s="249"/>
      <c r="WSV12" s="249"/>
      <c r="WSW12" s="249"/>
      <c r="WSX12" s="249"/>
      <c r="WSY12" s="249"/>
      <c r="WSZ12" s="249"/>
      <c r="WTA12" s="249"/>
      <c r="WTB12" s="249"/>
      <c r="WTC12" s="249"/>
      <c r="WTD12" s="249"/>
      <c r="WTE12" s="249"/>
      <c r="WTF12" s="249"/>
      <c r="WTG12" s="249"/>
      <c r="WTH12" s="249"/>
      <c r="WTI12" s="249"/>
      <c r="WTJ12" s="249"/>
      <c r="WTK12" s="249"/>
      <c r="WTL12" s="249"/>
      <c r="WTM12" s="249"/>
      <c r="WTN12" s="249"/>
      <c r="WTO12" s="249"/>
      <c r="WTP12" s="249"/>
      <c r="WTQ12" s="249"/>
      <c r="WTR12" s="249"/>
      <c r="WTS12" s="249"/>
      <c r="WTT12" s="249"/>
      <c r="WTU12" s="249"/>
      <c r="WTV12" s="249"/>
      <c r="WTW12" s="249"/>
      <c r="WTX12" s="249"/>
      <c r="WTY12" s="249"/>
      <c r="WTZ12" s="249"/>
      <c r="WUA12" s="249"/>
      <c r="WUB12" s="249"/>
      <c r="WUC12" s="249"/>
      <c r="WUD12" s="249"/>
      <c r="WUE12" s="249"/>
      <c r="WUF12" s="249"/>
      <c r="WUG12" s="249"/>
      <c r="WUH12" s="249"/>
      <c r="WUI12" s="249"/>
      <c r="WUJ12" s="249"/>
      <c r="WUK12" s="249"/>
      <c r="WUL12" s="249"/>
      <c r="WUM12" s="249"/>
      <c r="WUN12" s="249"/>
      <c r="WUO12" s="249"/>
      <c r="WUP12" s="249"/>
      <c r="WUQ12" s="249"/>
      <c r="WUR12" s="249"/>
      <c r="WUS12" s="249"/>
      <c r="WUT12" s="249"/>
      <c r="WUU12" s="249"/>
      <c r="WUV12" s="249"/>
      <c r="WUW12" s="249"/>
      <c r="WUX12" s="249"/>
      <c r="WUY12" s="249"/>
      <c r="WUZ12" s="249"/>
      <c r="WVA12" s="249"/>
      <c r="WVB12" s="249"/>
      <c r="WVC12" s="249"/>
      <c r="WVD12" s="249"/>
      <c r="WVE12" s="249"/>
      <c r="WVF12" s="249"/>
      <c r="WVG12" s="249"/>
      <c r="WVH12" s="249"/>
      <c r="WVI12" s="249"/>
      <c r="WVJ12" s="249"/>
      <c r="WVK12" s="249"/>
      <c r="WVL12" s="249"/>
      <c r="WVM12" s="249"/>
      <c r="WVN12" s="249"/>
      <c r="WVO12" s="249"/>
      <c r="WVP12" s="249"/>
      <c r="WVQ12" s="249"/>
      <c r="WVR12" s="249"/>
      <c r="WVS12" s="249"/>
      <c r="WVT12" s="249"/>
      <c r="WVU12" s="249"/>
      <c r="WVV12" s="249"/>
      <c r="WVW12" s="249"/>
      <c r="WVX12" s="249"/>
      <c r="WVY12" s="249"/>
      <c r="WVZ12" s="249"/>
      <c r="WWA12" s="249"/>
      <c r="WWB12" s="249"/>
      <c r="WWC12" s="249"/>
      <c r="WWD12" s="249"/>
      <c r="WWE12" s="249"/>
      <c r="WWF12" s="249"/>
      <c r="WWG12" s="249"/>
      <c r="WWH12" s="249"/>
      <c r="WWI12" s="249"/>
      <c r="WWJ12" s="249"/>
      <c r="WWK12" s="249"/>
      <c r="WWL12" s="249"/>
      <c r="WWM12" s="249"/>
      <c r="WWN12" s="249"/>
      <c r="WWO12" s="249"/>
      <c r="WWP12" s="249"/>
      <c r="WWQ12" s="249"/>
      <c r="WWR12" s="249"/>
      <c r="WWS12" s="249"/>
      <c r="WWT12" s="249"/>
      <c r="WWU12" s="249"/>
      <c r="WWV12" s="249"/>
      <c r="WWW12" s="249"/>
      <c r="WWX12" s="249"/>
      <c r="WWY12" s="249"/>
      <c r="WWZ12" s="249"/>
      <c r="WXA12" s="249"/>
      <c r="WXB12" s="249"/>
      <c r="WXC12" s="249"/>
      <c r="WXD12" s="249"/>
      <c r="WXE12" s="249"/>
      <c r="WXF12" s="249"/>
      <c r="WXG12" s="249"/>
      <c r="WXH12" s="249"/>
      <c r="WXI12" s="249"/>
      <c r="WXJ12" s="249"/>
      <c r="WXK12" s="249"/>
      <c r="WXL12" s="249"/>
      <c r="WXM12" s="249"/>
      <c r="WXN12" s="249"/>
      <c r="WXO12" s="249"/>
      <c r="WXP12" s="249"/>
      <c r="WXQ12" s="249"/>
      <c r="WXR12" s="249"/>
      <c r="WXS12" s="249"/>
      <c r="WXT12" s="249"/>
      <c r="WXU12" s="249"/>
      <c r="WXV12" s="249"/>
      <c r="WXW12" s="249"/>
      <c r="WXX12" s="249"/>
      <c r="WXY12" s="249"/>
      <c r="WXZ12" s="249"/>
      <c r="WYA12" s="249"/>
      <c r="WYB12" s="249"/>
      <c r="WYC12" s="249"/>
      <c r="WYD12" s="249"/>
      <c r="WYE12" s="249"/>
      <c r="WYF12" s="249"/>
      <c r="WYG12" s="249"/>
      <c r="WYH12" s="249"/>
      <c r="WYI12" s="249"/>
      <c r="WYJ12" s="249"/>
      <c r="WYK12" s="249"/>
      <c r="WYL12" s="249"/>
      <c r="WYM12" s="249"/>
      <c r="WYN12" s="249"/>
      <c r="WYO12" s="249"/>
      <c r="WYP12" s="249"/>
      <c r="WYQ12" s="249"/>
      <c r="WYR12" s="249"/>
      <c r="WYS12" s="249"/>
      <c r="WYT12" s="249"/>
      <c r="WYU12" s="249"/>
      <c r="WYV12" s="249"/>
      <c r="WYW12" s="249"/>
      <c r="WYX12" s="249"/>
      <c r="WYY12" s="249"/>
      <c r="WYZ12" s="249"/>
      <c r="WZA12" s="249"/>
      <c r="WZB12" s="249"/>
      <c r="WZC12" s="249"/>
      <c r="WZD12" s="249"/>
      <c r="WZE12" s="249"/>
      <c r="WZF12" s="249"/>
      <c r="WZG12" s="249"/>
      <c r="WZH12" s="249"/>
      <c r="WZI12" s="249"/>
      <c r="WZJ12" s="249"/>
      <c r="WZK12" s="249"/>
      <c r="WZL12" s="249"/>
      <c r="WZM12" s="249"/>
      <c r="WZN12" s="249"/>
      <c r="WZO12" s="249"/>
      <c r="WZP12" s="249"/>
      <c r="WZQ12" s="249"/>
      <c r="WZR12" s="249"/>
      <c r="WZS12" s="249"/>
      <c r="WZT12" s="249"/>
      <c r="WZU12" s="249"/>
      <c r="WZV12" s="249"/>
      <c r="WZW12" s="249"/>
      <c r="WZX12" s="249"/>
      <c r="WZY12" s="249"/>
      <c r="WZZ12" s="249"/>
      <c r="XAA12" s="249"/>
      <c r="XAB12" s="249"/>
      <c r="XAC12" s="249"/>
      <c r="XAD12" s="249"/>
      <c r="XAE12" s="249"/>
      <c r="XAF12" s="249"/>
      <c r="XAG12" s="249"/>
      <c r="XAH12" s="249"/>
      <c r="XAI12" s="249"/>
      <c r="XAJ12" s="249"/>
      <c r="XAK12" s="249"/>
      <c r="XAL12" s="249"/>
      <c r="XAM12" s="249"/>
      <c r="XAN12" s="249"/>
      <c r="XAO12" s="249"/>
      <c r="XAP12" s="249"/>
      <c r="XAQ12" s="249"/>
      <c r="XAR12" s="249"/>
      <c r="XAS12" s="249"/>
      <c r="XAT12" s="249"/>
      <c r="XAU12" s="249"/>
      <c r="XAV12" s="249"/>
      <c r="XAW12" s="249"/>
      <c r="XAX12" s="249"/>
      <c r="XAY12" s="249"/>
      <c r="XAZ12" s="249"/>
      <c r="XBA12" s="249"/>
      <c r="XBB12" s="249"/>
      <c r="XBC12" s="249"/>
      <c r="XBD12" s="249"/>
      <c r="XBE12" s="249"/>
      <c r="XBF12" s="249"/>
      <c r="XBG12" s="249"/>
      <c r="XBH12" s="249"/>
      <c r="XBI12" s="249"/>
      <c r="XBJ12" s="249"/>
      <c r="XBK12" s="249"/>
      <c r="XBL12" s="249"/>
      <c r="XBM12" s="249"/>
      <c r="XBN12" s="249"/>
      <c r="XBO12" s="249"/>
      <c r="XBP12" s="249"/>
      <c r="XBQ12" s="249"/>
      <c r="XBR12" s="249"/>
      <c r="XBS12" s="249"/>
      <c r="XBT12" s="249"/>
      <c r="XBU12" s="249"/>
      <c r="XBV12" s="249"/>
      <c r="XBW12" s="249"/>
      <c r="XBX12" s="249"/>
      <c r="XBY12" s="249"/>
      <c r="XBZ12" s="249"/>
      <c r="XCA12" s="249"/>
      <c r="XCB12" s="249"/>
      <c r="XCC12" s="249"/>
      <c r="XCD12" s="249"/>
      <c r="XCE12" s="249"/>
      <c r="XCF12" s="249"/>
      <c r="XCG12" s="249"/>
      <c r="XCH12" s="249"/>
      <c r="XCI12" s="249"/>
      <c r="XCJ12" s="249"/>
      <c r="XCK12" s="249"/>
      <c r="XCL12" s="249"/>
      <c r="XCM12" s="249"/>
      <c r="XCN12" s="249"/>
      <c r="XCO12" s="249"/>
      <c r="XCP12" s="249"/>
      <c r="XCQ12" s="249"/>
      <c r="XCR12" s="249"/>
      <c r="XCS12" s="249"/>
      <c r="XCT12" s="249"/>
      <c r="XCU12" s="249"/>
      <c r="XCV12" s="249"/>
      <c r="XCW12" s="249"/>
      <c r="XCX12" s="249"/>
      <c r="XCY12" s="249"/>
      <c r="XCZ12" s="249"/>
      <c r="XDA12" s="249"/>
      <c r="XDB12" s="249"/>
      <c r="XDC12" s="249"/>
      <c r="XDD12" s="249"/>
      <c r="XDE12" s="249"/>
      <c r="XDF12" s="249"/>
      <c r="XDG12" s="249"/>
      <c r="XDH12" s="249"/>
      <c r="XDI12" s="249"/>
      <c r="XDJ12" s="249"/>
      <c r="XDK12" s="249"/>
      <c r="XDL12" s="249"/>
      <c r="XDM12" s="249"/>
      <c r="XDN12" s="249"/>
      <c r="XDO12" s="249"/>
      <c r="XDP12" s="249"/>
      <c r="XDQ12" s="249"/>
      <c r="XDR12" s="249"/>
      <c r="XDS12" s="249"/>
      <c r="XDT12" s="249"/>
      <c r="XDU12" s="249"/>
      <c r="XDV12" s="249"/>
      <c r="XDW12" s="249"/>
      <c r="XDX12" s="249"/>
      <c r="XDY12" s="249"/>
      <c r="XDZ12" s="249"/>
      <c r="XEA12" s="249"/>
      <c r="XEB12" s="249"/>
      <c r="XEC12" s="249"/>
      <c r="XED12" s="249"/>
      <c r="XEE12" s="249"/>
      <c r="XEF12" s="249"/>
      <c r="XEG12" s="249"/>
      <c r="XEH12" s="249"/>
      <c r="XEI12" s="249"/>
      <c r="XEJ12" s="249"/>
      <c r="XEK12" s="249"/>
      <c r="XEL12" s="249"/>
      <c r="XEM12" s="249"/>
      <c r="XEN12" s="249"/>
      <c r="XEO12" s="249"/>
      <c r="XEP12" s="249"/>
      <c r="XEQ12" s="249"/>
      <c r="XER12" s="249"/>
      <c r="XES12" s="249"/>
      <c r="XET12" s="249"/>
      <c r="XEU12" s="249"/>
      <c r="XEV12" s="249"/>
      <c r="XEW12" s="249"/>
      <c r="XEX12" s="249"/>
      <c r="XEY12" s="249"/>
      <c r="XEZ12" s="249"/>
      <c r="XFA12" s="249"/>
      <c r="XFB12" s="249"/>
    </row>
    <row r="13" spans="1:16382" s="224" customFormat="1" ht="13.5" customHeight="1">
      <c r="A13" s="225">
        <v>5</v>
      </c>
      <c r="B13" s="727"/>
      <c r="C13" s="241" t="s">
        <v>2242</v>
      </c>
      <c r="D13" s="241"/>
      <c r="E13" s="241"/>
      <c r="F13" s="241"/>
      <c r="G13" s="241"/>
      <c r="H13" s="728"/>
      <c r="I13" s="729"/>
      <c r="J13" s="729"/>
      <c r="K13" s="729" t="s">
        <v>2189</v>
      </c>
      <c r="L13" s="728" t="s">
        <v>817</v>
      </c>
      <c r="M13" s="730"/>
      <c r="N13" s="728" t="s">
        <v>879</v>
      </c>
      <c r="O13" s="731"/>
      <c r="P13" s="728" t="s">
        <v>932</v>
      </c>
      <c r="Q13" s="732" t="s">
        <v>864</v>
      </c>
      <c r="R13" s="732" t="s">
        <v>864</v>
      </c>
      <c r="S13" s="733"/>
      <c r="T13" s="734"/>
      <c r="U13" s="728"/>
      <c r="V13" s="731"/>
    </row>
    <row r="14" spans="1:16382" s="224" customFormat="1" ht="13.5" customHeight="1">
      <c r="A14" s="225">
        <v>6</v>
      </c>
      <c r="B14" s="727"/>
      <c r="C14" s="241" t="s">
        <v>2243</v>
      </c>
      <c r="D14" s="241"/>
      <c r="E14" s="241"/>
      <c r="F14" s="241"/>
      <c r="G14" s="241"/>
      <c r="H14" s="728" t="s">
        <v>2244</v>
      </c>
      <c r="I14" s="729"/>
      <c r="J14" s="729"/>
      <c r="K14" s="729" t="s">
        <v>888</v>
      </c>
      <c r="L14" s="728" t="s">
        <v>817</v>
      </c>
      <c r="M14" s="730"/>
      <c r="N14" s="728" t="s">
        <v>863</v>
      </c>
      <c r="O14" s="731" t="s">
        <v>864</v>
      </c>
      <c r="P14" s="728" t="s">
        <v>2245</v>
      </c>
      <c r="Q14" s="732" t="s">
        <v>864</v>
      </c>
      <c r="R14" s="732" t="s">
        <v>864</v>
      </c>
      <c r="S14" s="733" t="s">
        <v>2246</v>
      </c>
      <c r="T14" s="734"/>
      <c r="U14" s="728"/>
      <c r="V14" s="731"/>
    </row>
    <row r="15" spans="1:16382" s="224" customFormat="1" ht="13.5" customHeight="1">
      <c r="A15" s="225">
        <v>7</v>
      </c>
      <c r="B15" s="727"/>
      <c r="C15" s="241" t="s">
        <v>2247</v>
      </c>
      <c r="D15" s="241"/>
      <c r="E15" s="241"/>
      <c r="F15" s="241"/>
      <c r="G15" s="241"/>
      <c r="H15" s="728" t="s">
        <v>2248</v>
      </c>
      <c r="I15" s="729"/>
      <c r="J15" s="729"/>
      <c r="K15" s="729" t="s">
        <v>2249</v>
      </c>
      <c r="L15" s="728" t="s">
        <v>817</v>
      </c>
      <c r="M15" s="730"/>
      <c r="N15" s="728" t="s">
        <v>863</v>
      </c>
      <c r="O15" s="731" t="s">
        <v>864</v>
      </c>
      <c r="P15" s="728" t="s">
        <v>2250</v>
      </c>
      <c r="Q15" s="770" t="s">
        <v>864</v>
      </c>
      <c r="R15" s="732" t="s">
        <v>864</v>
      </c>
      <c r="S15" s="733"/>
      <c r="T15" s="734"/>
      <c r="U15" s="728"/>
      <c r="V15" s="731"/>
    </row>
    <row r="16" spans="1:16382" s="224" customFormat="1" ht="12" customHeight="1">
      <c r="A16" s="225">
        <f>SUBTOTAL(103,createCase291217[ID])</f>
        <v>7</v>
      </c>
      <c r="C16" s="225">
        <f>SUBTOTAL(103,createCase291217[Donnée (Niveau 2)])</f>
        <v>3</v>
      </c>
      <c r="D16" s="225">
        <f>SUBTOTAL(103,createCase291217[Donnée (Niveau 3)])</f>
        <v>0</v>
      </c>
      <c r="E16" s="225">
        <f>SUBTOTAL(103,createCase291217[Donnée (Niveau 4)])</f>
        <v>0</v>
      </c>
      <c r="F16" s="225">
        <f>SUBTOTAL(103,createCase291217[Donnée (Niveau 5)])</f>
        <v>0</v>
      </c>
      <c r="G16" s="225">
        <f>SUBTOTAL(103,createCase291217[Donnée (Niveau 6)])</f>
        <v>0</v>
      </c>
      <c r="H16" s="225">
        <f>SUBTOTAL(103,createCase291217[Description])</f>
        <v>5</v>
      </c>
      <c r="I16" s="225">
        <f>SUBTOTAL(103,createCase291217[Exemples])</f>
        <v>3</v>
      </c>
      <c r="J16" s="225"/>
      <c r="K16" s="239">
        <f>SUBTOTAL(103,createCase291217[Nouvelle balise])</f>
        <v>7</v>
      </c>
      <c r="L16" s="225"/>
      <c r="M16" s="274">
        <f>SUBTOTAL(103,createCase291217[Objet])</f>
        <v>1</v>
      </c>
      <c r="N16" s="225">
        <f>SUBTOTAL(103,createCase291217[Format (ou type)])</f>
        <v>7</v>
      </c>
      <c r="O16" s="274"/>
      <c r="P16" s="225"/>
      <c r="Q16" s="225"/>
      <c r="R16" s="225"/>
      <c r="T16" s="271">
        <f>SUBTOTAL(103,createCase291217[Commentaire Hub Santé])</f>
        <v>0</v>
      </c>
      <c r="U16" s="225">
        <f>SUBTOTAL(103,createCase291217[Commentaire Philippe Dreyfus])</f>
        <v>0</v>
      </c>
      <c r="V16" s="239"/>
      <c r="W16" s="225">
        <f>SUBTOTAL(103,createCase291217[Commentaire Yann Penverne])</f>
        <v>0</v>
      </c>
      <c r="X16" s="225">
        <f>SUBTOTAL(103,createCase291217[NexSIS])-COUNTIFS(createCase291217[NexSIS],"=X")</f>
        <v>0</v>
      </c>
      <c r="Y16" s="225">
        <f>SUBTOTAL(103,createCase291217[Métier])-COUNTIFS(createCase291217[Métier],"=X")</f>
        <v>0</v>
      </c>
    </row>
    <row r="17" spans="1:1012" s="128" customFormat="1" ht="12" customHeight="1">
      <c r="A17" s="3"/>
      <c r="B17" s="3"/>
      <c r="C17" s="131"/>
      <c r="D17" s="131"/>
      <c r="E17" s="131"/>
      <c r="F17" s="131"/>
      <c r="G17" s="5"/>
      <c r="H17" s="155"/>
      <c r="I17" s="225"/>
      <c r="J17" s="225"/>
      <c r="K17" s="155"/>
      <c r="L17" s="5"/>
      <c r="M17" s="56"/>
      <c r="N17" s="5"/>
      <c r="O17" s="56"/>
      <c r="P17" s="56"/>
      <c r="Q17" s="56"/>
      <c r="R17" s="56"/>
      <c r="S17"/>
      <c r="T17" s="178"/>
      <c r="U17" s="5"/>
      <c r="V17" s="159"/>
      <c r="W17" s="56"/>
      <c r="Y17" s="56"/>
      <c r="ALV17"/>
      <c r="ALW17"/>
      <c r="ALX17"/>
    </row>
    <row r="18" spans="1:1012" s="128" customFormat="1" ht="12" customHeight="1">
      <c r="A18" s="129"/>
      <c r="B18" s="129"/>
      <c r="C18" s="129"/>
      <c r="D18" s="129"/>
      <c r="E18" s="129"/>
      <c r="F18" s="129"/>
      <c r="G18" s="96"/>
      <c r="H18" s="96"/>
      <c r="I18" s="225"/>
      <c r="J18" s="225"/>
      <c r="K18" s="159"/>
      <c r="L18" s="96"/>
      <c r="M18" s="277"/>
      <c r="N18" s="96"/>
      <c r="O18" s="277"/>
      <c r="P18" s="96"/>
      <c r="Q18" s="96"/>
      <c r="R18" s="96"/>
      <c r="S18"/>
      <c r="T18" s="179"/>
      <c r="U18" s="96"/>
      <c r="V18" s="159"/>
      <c r="W18" s="96"/>
      <c r="Y18" s="96"/>
      <c r="ALV18"/>
      <c r="ALW18"/>
      <c r="ALX18"/>
    </row>
    <row r="19" spans="1:1012" s="128" customFormat="1" ht="12" customHeight="1">
      <c r="I19" s="224"/>
      <c r="J19" s="224"/>
      <c r="M19" s="277"/>
      <c r="N19" s="96"/>
      <c r="O19" s="277"/>
      <c r="P19" s="96"/>
      <c r="Q19" s="96"/>
      <c r="R19" s="96"/>
      <c r="S19"/>
      <c r="T19" s="179"/>
      <c r="U19" s="96"/>
      <c r="V19" s="159"/>
      <c r="W19" s="96"/>
      <c r="Y19" s="96"/>
      <c r="ALV19"/>
      <c r="ALW19"/>
      <c r="ALX19"/>
    </row>
    <row r="20" spans="1:1012" s="128" customFormat="1" ht="12" customHeight="1">
      <c r="I20" s="224"/>
      <c r="J20" s="224"/>
      <c r="M20" s="277"/>
      <c r="N20" s="96"/>
      <c r="O20" s="277"/>
      <c r="P20" s="96"/>
      <c r="Q20" s="96"/>
      <c r="R20" s="96"/>
      <c r="S20"/>
      <c r="T20" s="179"/>
      <c r="U20" s="96"/>
      <c r="V20" s="159"/>
      <c r="W20" s="96"/>
      <c r="Y20" s="96"/>
      <c r="ALV20"/>
      <c r="ALW20"/>
      <c r="ALX20"/>
    </row>
    <row r="21" spans="1:1012" s="128" customFormat="1" ht="12" customHeight="1">
      <c r="I21" s="224"/>
      <c r="J21" s="224"/>
      <c r="M21" s="277"/>
      <c r="N21" s="96"/>
      <c r="O21" s="277"/>
      <c r="P21" s="96"/>
      <c r="Q21" s="96"/>
      <c r="R21" s="96"/>
      <c r="S21"/>
      <c r="T21" s="179"/>
      <c r="U21" s="96"/>
      <c r="V21" s="159"/>
      <c r="W21" s="96"/>
      <c r="Y21" s="96"/>
      <c r="ALV21"/>
      <c r="ALW21"/>
      <c r="ALX21"/>
    </row>
    <row r="22" spans="1:1012" s="128" customFormat="1" ht="12" customHeight="1">
      <c r="I22" s="224"/>
      <c r="J22" s="224"/>
      <c r="M22" s="277"/>
      <c r="N22" s="96"/>
      <c r="O22" s="277"/>
      <c r="P22" s="96"/>
      <c r="Q22" s="96"/>
      <c r="R22" s="96"/>
      <c r="S22"/>
      <c r="T22" s="179"/>
      <c r="U22" s="96"/>
      <c r="V22" s="159"/>
      <c r="W22" s="96"/>
      <c r="Y22" s="96"/>
      <c r="ALV22"/>
      <c r="ALW22"/>
      <c r="ALX22"/>
    </row>
    <row r="23" spans="1:1012" ht="12" customHeight="1">
      <c r="G23" s="128"/>
      <c r="H23" s="128"/>
      <c r="I23" s="224"/>
      <c r="J23" s="224"/>
      <c r="K23" s="128"/>
      <c r="L23" s="128"/>
    </row>
    <row r="24" spans="1:1012" s="117" customFormat="1" ht="12" customHeight="1">
      <c r="A24" s="128"/>
      <c r="B24" s="128"/>
      <c r="C24" s="128"/>
      <c r="D24" s="128"/>
      <c r="E24" s="128"/>
      <c r="F24" s="128"/>
      <c r="G24" s="96"/>
      <c r="H24" s="96"/>
      <c r="I24" s="225"/>
      <c r="J24" s="225"/>
      <c r="K24" s="159"/>
      <c r="L24" s="96"/>
      <c r="M24" s="277"/>
      <c r="N24" s="96"/>
      <c r="O24" s="277"/>
      <c r="P24" s="96"/>
      <c r="Q24" s="96"/>
      <c r="R24" s="96"/>
      <c r="S24"/>
      <c r="T24" s="179"/>
      <c r="U24" s="96"/>
      <c r="V24" s="161"/>
      <c r="W24" s="96"/>
      <c r="Y24" s="96"/>
      <c r="ALW24"/>
    </row>
    <row r="25" spans="1:1012" ht="12" customHeight="1">
      <c r="A25" s="117"/>
      <c r="B25" s="117"/>
      <c r="C25" s="117"/>
      <c r="D25" s="117"/>
      <c r="E25" s="117"/>
      <c r="F25" s="117"/>
      <c r="G25" s="117"/>
      <c r="H25" s="117"/>
      <c r="I25" s="251"/>
      <c r="J25" s="251"/>
      <c r="K25" s="117"/>
      <c r="L25" s="117"/>
    </row>
    <row r="26" spans="1:1012" ht="12" customHeight="1">
      <c r="M26" s="125"/>
      <c r="N26" s="112"/>
      <c r="O26" s="125"/>
      <c r="P26" s="112"/>
      <c r="Q26" s="112"/>
      <c r="R26" s="112"/>
      <c r="T26" s="180"/>
      <c r="U26" s="112"/>
      <c r="W26" s="112"/>
      <c r="Y26" s="112"/>
    </row>
    <row r="38" spans="1:6" ht="12" customHeight="1">
      <c r="A38" s="130"/>
      <c r="B38" s="130"/>
      <c r="C38" s="130"/>
      <c r="D38" s="130"/>
      <c r="E38" s="130"/>
      <c r="F38" s="130"/>
    </row>
    <row r="39" spans="1:6" ht="12" customHeight="1">
      <c r="A39" s="130"/>
      <c r="B39" s="130"/>
      <c r="C39" s="130"/>
      <c r="D39" s="130"/>
      <c r="E39" s="130"/>
      <c r="F39" s="130"/>
    </row>
    <row r="40" spans="1:6" ht="12" customHeight="1">
      <c r="A40" s="130"/>
      <c r="B40" s="130"/>
      <c r="C40" s="130"/>
      <c r="D40" s="130"/>
      <c r="E40" s="130"/>
      <c r="F40" s="130"/>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29"/>
      <c r="B46" s="129"/>
      <c r="C46" s="129"/>
      <c r="D46" s="129"/>
      <c r="E46" s="129"/>
      <c r="F46" s="129"/>
    </row>
    <row r="47" spans="1:6" ht="12" customHeight="1">
      <c r="A47" s="129"/>
      <c r="B47" s="129"/>
      <c r="C47" s="129"/>
      <c r="D47" s="129"/>
      <c r="E47" s="129"/>
      <c r="F47" s="129"/>
    </row>
    <row r="48" spans="1:6" ht="12" customHeight="1">
      <c r="A48" s="129"/>
      <c r="B48" s="129"/>
      <c r="C48" s="129"/>
      <c r="D48" s="129"/>
      <c r="E48" s="129"/>
      <c r="F48" s="129"/>
    </row>
    <row r="49" spans="1:1011" ht="12" customHeight="1">
      <c r="A49" s="129"/>
      <c r="B49" s="129"/>
      <c r="C49" s="129"/>
      <c r="D49" s="129"/>
      <c r="E49" s="129"/>
      <c r="F49" s="129"/>
    </row>
    <row r="50" spans="1:1011" ht="12" customHeight="1">
      <c r="A50" s="129"/>
      <c r="B50" s="129"/>
      <c r="C50" s="129"/>
      <c r="D50" s="129"/>
      <c r="E50" s="129"/>
      <c r="F50" s="129"/>
    </row>
    <row r="51" spans="1:1011" ht="12" customHeight="1">
      <c r="A51" s="129"/>
      <c r="B51" s="129"/>
      <c r="C51" s="129"/>
      <c r="D51" s="129"/>
      <c r="E51" s="129"/>
      <c r="F51" s="129"/>
    </row>
    <row r="52" spans="1:1011" ht="12" customHeight="1">
      <c r="A52" s="129"/>
      <c r="B52" s="129"/>
      <c r="C52" s="129"/>
      <c r="D52" s="129"/>
      <c r="E52" s="129"/>
      <c r="F52" s="129"/>
    </row>
    <row r="53" spans="1:1011" s="117" customFormat="1" ht="12" customHeight="1">
      <c r="A53" s="129"/>
      <c r="B53" s="129"/>
      <c r="C53" s="129"/>
      <c r="D53" s="129"/>
      <c r="E53" s="129"/>
      <c r="F53" s="129"/>
      <c r="G53" s="96"/>
      <c r="H53" s="96"/>
      <c r="I53" s="225"/>
      <c r="J53" s="225"/>
      <c r="K53" s="159"/>
      <c r="L53" s="96"/>
      <c r="M53" s="277"/>
      <c r="N53" s="96"/>
      <c r="O53" s="277"/>
      <c r="P53" s="96"/>
      <c r="Q53" s="96"/>
      <c r="R53" s="96"/>
      <c r="S53"/>
      <c r="T53" s="179"/>
      <c r="U53" s="96"/>
      <c r="V53" s="161"/>
      <c r="W53" s="96"/>
      <c r="Y53" s="96"/>
      <c r="ALW53"/>
    </row>
    <row r="54" spans="1:1011" s="117" customFormat="1" ht="12" customHeight="1">
      <c r="A54" s="130"/>
      <c r="B54" s="130"/>
      <c r="C54" s="130"/>
      <c r="D54" s="130"/>
      <c r="E54" s="130"/>
      <c r="F54" s="130"/>
      <c r="G54" s="96"/>
      <c r="H54" s="96"/>
      <c r="I54" s="225"/>
      <c r="J54" s="225"/>
      <c r="K54" s="159"/>
      <c r="L54" s="96"/>
      <c r="M54" s="277"/>
      <c r="N54" s="96"/>
      <c r="O54" s="277"/>
      <c r="P54" s="96"/>
      <c r="Q54" s="96"/>
      <c r="R54" s="96"/>
      <c r="S54"/>
      <c r="T54" s="179"/>
      <c r="U54" s="96"/>
      <c r="V54" s="161"/>
      <c r="W54" s="96"/>
      <c r="Y54" s="96"/>
      <c r="ALW54"/>
    </row>
    <row r="55" spans="1:1011" s="117" customFormat="1" ht="12" customHeight="1">
      <c r="A55" s="123"/>
      <c r="B55" s="123"/>
      <c r="C55" s="123"/>
      <c r="D55" s="123"/>
      <c r="E55" s="123"/>
      <c r="F55" s="123"/>
      <c r="G55" s="112"/>
      <c r="H55" s="112"/>
      <c r="I55" s="276"/>
      <c r="J55" s="276"/>
      <c r="K55" s="161"/>
      <c r="L55" s="112"/>
      <c r="M55" s="125"/>
      <c r="N55" s="112"/>
      <c r="O55" s="125"/>
      <c r="P55" s="112"/>
      <c r="Q55" s="112"/>
      <c r="R55" s="112"/>
      <c r="S55"/>
      <c r="T55" s="180"/>
      <c r="U55" s="112"/>
      <c r="V55" s="161"/>
      <c r="W55" s="112"/>
      <c r="Y55" s="112"/>
      <c r="ALW55"/>
    </row>
    <row r="56" spans="1:1011" s="117" customFormat="1" ht="12" customHeight="1">
      <c r="A56" s="123"/>
      <c r="B56" s="123"/>
      <c r="C56" s="123"/>
      <c r="D56" s="123"/>
      <c r="E56" s="123"/>
      <c r="F56" s="123"/>
      <c r="G56" s="112"/>
      <c r="H56" s="112"/>
      <c r="I56" s="276"/>
      <c r="J56" s="276"/>
      <c r="K56" s="161"/>
      <c r="L56" s="112"/>
      <c r="M56" s="125"/>
      <c r="N56" s="112"/>
      <c r="O56" s="125"/>
      <c r="P56" s="112"/>
      <c r="Q56" s="112"/>
      <c r="R56" s="112"/>
      <c r="S56"/>
      <c r="T56" s="180"/>
      <c r="U56" s="112"/>
      <c r="V56" s="161"/>
      <c r="W56" s="112"/>
      <c r="Y56" s="112"/>
      <c r="ALW56"/>
    </row>
    <row r="57" spans="1:1011" s="117" customFormat="1" ht="12" customHeight="1">
      <c r="A57" s="123"/>
      <c r="B57" s="123"/>
      <c r="C57" s="123"/>
      <c r="D57" s="123"/>
      <c r="E57" s="123"/>
      <c r="F57" s="123"/>
      <c r="G57" s="112"/>
      <c r="H57" s="112"/>
      <c r="I57" s="276"/>
      <c r="J57" s="276"/>
      <c r="K57" s="161"/>
      <c r="L57" s="112"/>
      <c r="M57" s="125"/>
      <c r="N57" s="112"/>
      <c r="O57" s="125"/>
      <c r="P57" s="112"/>
      <c r="Q57" s="112"/>
      <c r="R57" s="112"/>
      <c r="S57"/>
      <c r="T57" s="180"/>
      <c r="U57" s="112"/>
      <c r="V57" s="161"/>
      <c r="W57" s="112"/>
      <c r="Y57" s="112"/>
      <c r="ALW57"/>
    </row>
    <row r="58" spans="1:1011" s="117" customFormat="1" ht="12" customHeight="1">
      <c r="A58" s="123"/>
      <c r="B58" s="123"/>
      <c r="C58" s="123"/>
      <c r="D58" s="123"/>
      <c r="E58" s="123"/>
      <c r="F58" s="123"/>
      <c r="G58" s="112"/>
      <c r="H58" s="112"/>
      <c r="I58" s="276"/>
      <c r="J58" s="276"/>
      <c r="K58" s="161"/>
      <c r="L58" s="112"/>
      <c r="M58" s="125"/>
      <c r="N58" s="112"/>
      <c r="O58" s="125"/>
      <c r="P58" s="112"/>
      <c r="Q58" s="112"/>
      <c r="R58" s="112"/>
      <c r="S58"/>
      <c r="T58" s="180"/>
      <c r="U58" s="112"/>
      <c r="V58" s="161"/>
      <c r="W58" s="112"/>
      <c r="Y58" s="112"/>
      <c r="ALW58"/>
    </row>
    <row r="59" spans="1:1011" s="117" customFormat="1" ht="12" customHeight="1">
      <c r="A59" s="123"/>
      <c r="B59" s="123"/>
      <c r="C59" s="123"/>
      <c r="D59" s="123"/>
      <c r="E59" s="123"/>
      <c r="F59" s="123"/>
      <c r="G59" s="112"/>
      <c r="H59" s="112"/>
      <c r="I59" s="276"/>
      <c r="J59" s="276"/>
      <c r="K59" s="161"/>
      <c r="L59" s="112"/>
      <c r="M59" s="125"/>
      <c r="N59" s="112"/>
      <c r="O59" s="125"/>
      <c r="P59" s="112"/>
      <c r="Q59" s="112"/>
      <c r="R59" s="112"/>
      <c r="S59"/>
      <c r="T59" s="180"/>
      <c r="U59" s="112"/>
      <c r="V59" s="161"/>
      <c r="W59" s="112"/>
      <c r="Y59" s="112"/>
      <c r="ALW59"/>
    </row>
    <row r="60" spans="1:1011" ht="12" customHeight="1">
      <c r="A60" s="123"/>
      <c r="B60" s="123"/>
      <c r="C60" s="123"/>
      <c r="D60" s="123"/>
      <c r="E60" s="123"/>
      <c r="F60" s="123"/>
      <c r="G60" s="112"/>
      <c r="H60" s="112"/>
      <c r="I60" s="276"/>
      <c r="J60" s="276"/>
      <c r="K60" s="161"/>
      <c r="L60" s="112"/>
      <c r="M60" s="125"/>
      <c r="N60" s="112"/>
      <c r="O60" s="125"/>
      <c r="P60" s="112"/>
      <c r="Q60" s="112"/>
      <c r="R60" s="112"/>
      <c r="T60" s="180"/>
      <c r="U60" s="112"/>
      <c r="W60" s="112"/>
      <c r="Y60" s="112"/>
    </row>
    <row r="61" spans="1:1011" ht="12" customHeight="1">
      <c r="A61" s="123"/>
      <c r="B61" s="123"/>
      <c r="C61" s="123"/>
      <c r="D61" s="123"/>
      <c r="E61" s="123"/>
      <c r="F61" s="123"/>
      <c r="G61" s="112"/>
      <c r="H61" s="112"/>
      <c r="I61" s="276"/>
      <c r="J61" s="276"/>
      <c r="K61" s="161"/>
      <c r="L61" s="112"/>
      <c r="M61" s="125"/>
      <c r="N61" s="112"/>
      <c r="O61" s="125"/>
      <c r="P61" s="112"/>
      <c r="Q61" s="112"/>
      <c r="R61" s="112"/>
      <c r="T61" s="180"/>
      <c r="U61" s="112"/>
      <c r="W61" s="112"/>
      <c r="Y61" s="112"/>
    </row>
    <row r="62" spans="1:1011" ht="12" customHeight="1">
      <c r="A62" s="130"/>
      <c r="B62" s="130"/>
      <c r="C62" s="130"/>
      <c r="D62" s="130"/>
      <c r="E62" s="130"/>
      <c r="F62" s="130"/>
    </row>
    <row r="63" spans="1:1011" ht="12" customHeight="1">
      <c r="A63" s="130"/>
      <c r="B63" s="130"/>
      <c r="C63" s="130"/>
      <c r="D63" s="130"/>
      <c r="E63" s="130"/>
      <c r="F63" s="130"/>
    </row>
    <row r="64" spans="1:1011" ht="12" customHeight="1">
      <c r="A64" s="130"/>
      <c r="B64" s="130"/>
      <c r="C64" s="130"/>
      <c r="D64" s="130"/>
      <c r="E64" s="130"/>
      <c r="F64" s="130"/>
    </row>
    <row r="65" spans="1:6" ht="12" customHeight="1">
      <c r="A65" s="136"/>
      <c r="B65" s="136"/>
      <c r="C65" s="136"/>
      <c r="D65" s="136"/>
      <c r="E65" s="136"/>
      <c r="F65" s="136"/>
    </row>
    <row r="66" spans="1:6" ht="12" customHeight="1">
      <c r="A66" s="136"/>
      <c r="B66" s="136"/>
      <c r="C66" s="136"/>
      <c r="D66" s="136"/>
      <c r="E66" s="136"/>
      <c r="F66" s="136"/>
    </row>
  </sheetData>
  <mergeCells count="2">
    <mergeCell ref="Q7:R7"/>
    <mergeCell ref="X7:Y7"/>
  </mergeCells>
  <conditionalFormatting sqref="A12:A15">
    <cfRule type="expression" dxfId="134" priority="4735">
      <formula>AND($X12=1,#REF!=1)</formula>
    </cfRule>
    <cfRule type="expression" dxfId="133" priority="4736">
      <formula>AND(NOT(ISBLANK($S12)),ISBLANK(#REF!),ISBLANK($X12))</formula>
    </cfRule>
    <cfRule type="expression" dxfId="132" priority="4737">
      <formula>OR($X12="X",#REF!="X")</formula>
    </cfRule>
  </conditionalFormatting>
  <conditionalFormatting sqref="A17:F18 A38:F878">
    <cfRule type="expression" dxfId="131" priority="148">
      <formula>OR($Y17="X",$W17="X")</formula>
    </cfRule>
    <cfRule type="expression" dxfId="130" priority="151">
      <formula>$W17=1</formula>
    </cfRule>
    <cfRule type="expression" dxfId="129" priority="149">
      <formula>AND($Y17=1,$W17=1)</formula>
    </cfRule>
    <cfRule type="expression" dxfId="128" priority="150">
      <formula>$Y17=1</formula>
    </cfRule>
  </conditionalFormatting>
  <conditionalFormatting sqref="A9:G9 A10:A11 C11:G11">
    <cfRule type="expression" dxfId="127" priority="69">
      <formula>AND($X9=1,#REF!=1)</formula>
    </cfRule>
    <cfRule type="expression" dxfId="126" priority="70">
      <formula>AND(NOT(ISBLANK($R9)),ISBLANK(#REF!),ISBLANK($X9))</formula>
    </cfRule>
    <cfRule type="expression" dxfId="125" priority="71">
      <formula>OR($X9="X",#REF!="X")</formula>
    </cfRule>
  </conditionalFormatting>
  <conditionalFormatting sqref="A9:G9 A10:A15 C11:G11">
    <cfRule type="expression" dxfId="124" priority="68">
      <formula>#REF!=1</formula>
    </cfRule>
  </conditionalFormatting>
  <conditionalFormatting sqref="A9:G9 A10:A15">
    <cfRule type="expression" dxfId="123" priority="67">
      <formula>$X9=1</formula>
    </cfRule>
  </conditionalFormatting>
  <conditionalFormatting sqref="B10 D10:G10 C12:C15 E12:G15">
    <cfRule type="expression" dxfId="122" priority="48">
      <formula>AND($X10=1,#REF!=1)</formula>
    </cfRule>
    <cfRule type="expression" dxfId="121" priority="52">
      <formula>#REF!=1</formula>
    </cfRule>
    <cfRule type="expression" dxfId="120" priority="51">
      <formula>OR($X10="X",#REF!="X")</formula>
    </cfRule>
  </conditionalFormatting>
  <conditionalFormatting sqref="B10 D10:G10">
    <cfRule type="expression" dxfId="119" priority="49">
      <formula>AND(NOT(ISBLANK($R10)),ISBLANK(#REF!),ISBLANK($X10))</formula>
    </cfRule>
  </conditionalFormatting>
  <conditionalFormatting sqref="B10">
    <cfRule type="expression" dxfId="118" priority="4703">
      <formula>AND($N10="X",#REF!&lt;&gt;"")</formula>
    </cfRule>
  </conditionalFormatting>
  <conditionalFormatting sqref="B10:B11">
    <cfRule type="expression" dxfId="117" priority="58">
      <formula>$X10=1</formula>
    </cfRule>
  </conditionalFormatting>
  <conditionalFormatting sqref="B11">
    <cfRule type="expression" dxfId="116" priority="61">
      <formula>AND(NOT(ISBLANK($R11)),ISBLANK(#REF!),ISBLANK($X11))</formula>
    </cfRule>
    <cfRule type="expression" dxfId="115" priority="59">
      <formula>#REF!=1</formula>
    </cfRule>
    <cfRule type="expression" dxfId="114" priority="62">
      <formula>OR($X11="X",#REF!="X")</formula>
    </cfRule>
  </conditionalFormatting>
  <conditionalFormatting sqref="B11:B15">
    <cfRule type="expression" dxfId="113" priority="60">
      <formula>AND($X11=1,#REF!=1)</formula>
    </cfRule>
  </conditionalFormatting>
  <conditionalFormatting sqref="B12:B15">
    <cfRule type="expression" dxfId="112" priority="4742">
      <formula>$X12=1</formula>
    </cfRule>
    <cfRule type="expression" dxfId="111" priority="4746">
      <formula>AND($N12="X",#REF!&lt;&gt;"")</formula>
    </cfRule>
    <cfRule type="expression" dxfId="110" priority="4745">
      <formula>#REF!=1</formula>
    </cfRule>
    <cfRule type="expression" dxfId="109" priority="4744">
      <formula>OR($X12="X",#REF!="X")</formula>
    </cfRule>
    <cfRule type="expression" dxfId="108" priority="4743">
      <formula>AND(NOT(ISBLANK($S12)),ISBLANK(#REF!),ISBLANK($X12))</formula>
    </cfRule>
  </conditionalFormatting>
  <conditionalFormatting sqref="C9 C11">
    <cfRule type="expression" dxfId="107" priority="72">
      <formula>AND($M9="X",$B9&lt;&gt;"")</formula>
    </cfRule>
  </conditionalFormatting>
  <conditionalFormatting sqref="C12:C15 E12:G15">
    <cfRule type="expression" dxfId="106" priority="4738">
      <formula>AND(NOT(ISBLANK($S12)),ISBLANK(#REF!),ISBLANK($X12))</formula>
    </cfRule>
  </conditionalFormatting>
  <conditionalFormatting sqref="D9 D11">
    <cfRule type="expression" dxfId="105" priority="73">
      <formula>AND($M9="X",OR($B9&lt;&gt;"",$C9&lt;&gt;""))</formula>
    </cfRule>
  </conditionalFormatting>
  <conditionalFormatting sqref="D10 C12:C15">
    <cfRule type="expression" dxfId="104" priority="4704">
      <formula>AND($N10="X",OR(#REF!&lt;&gt;"",$B10&lt;&gt;""))</formula>
    </cfRule>
  </conditionalFormatting>
  <conditionalFormatting sqref="D10:G10 C12:C15 E12:G15 C11:G11">
    <cfRule type="expression" dxfId="103" priority="66">
      <formula>$X10=1</formula>
    </cfRule>
  </conditionalFormatting>
  <conditionalFormatting sqref="E9 E11">
    <cfRule type="expression" dxfId="102" priority="74">
      <formula>AND($M9="X",OR($B9&lt;&gt;"",$C9&lt;&gt;"",$D9&lt;&gt;""))</formula>
    </cfRule>
  </conditionalFormatting>
  <conditionalFormatting sqref="E10">
    <cfRule type="expression" dxfId="101" priority="4705">
      <formula>AND($N10="X",OR(#REF!&lt;&gt;"",$B10&lt;&gt;"",$D10&lt;&gt;""))</formula>
    </cfRule>
  </conditionalFormatting>
  <conditionalFormatting sqref="E12:E15">
    <cfRule type="expression" dxfId="100" priority="4748">
      <formula>AND($N12="X",OR(#REF!&lt;&gt;"",$B12&lt;&gt;"",$C12&lt;&gt;""))</formula>
    </cfRule>
  </conditionalFormatting>
  <conditionalFormatting sqref="F1:F2">
    <cfRule type="dataBar" priority="146">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9 F11">
    <cfRule type="expression" dxfId="99" priority="75">
      <formula>AND($M9="X",OR($B9&lt;&gt;"",$C9&lt;&gt;"",$D9&lt;&gt;"",$E9&lt;&gt;""))</formula>
    </cfRule>
  </conditionalFormatting>
  <conditionalFormatting sqref="F10">
    <cfRule type="expression" dxfId="98" priority="4706">
      <formula>AND($N10="X",OR(#REF!&lt;&gt;"",$B10&lt;&gt;"",$D10&lt;&gt;"",$E10&lt;&gt;""))</formula>
    </cfRule>
  </conditionalFormatting>
  <conditionalFormatting sqref="F12:F15">
    <cfRule type="expression" dxfId="97" priority="4749">
      <formula>AND($N12="X",OR(#REF!&lt;&gt;"",$B12&lt;&gt;"",$C12&lt;&gt;"",$E12&lt;&gt;""))</formula>
    </cfRule>
  </conditionalFormatting>
  <conditionalFormatting sqref="G9 G11">
    <cfRule type="expression" dxfId="96" priority="76">
      <formula>AND($M9="X",OR($B9&lt;&gt;"",$C9&lt;&gt;"",$D9&lt;&gt;"",$E9&lt;&gt;"",$F9&lt;&gt;""))</formula>
    </cfRule>
  </conditionalFormatting>
  <conditionalFormatting sqref="G10">
    <cfRule type="expression" dxfId="95" priority="4707">
      <formula>AND($N10="X",OR(#REF!&lt;&gt;"",$B10&lt;&gt;"",$D10&lt;&gt;"",$E10&lt;&gt;"",$F10&lt;&gt;""))</formula>
    </cfRule>
  </conditionalFormatting>
  <conditionalFormatting sqref="G12:G15">
    <cfRule type="expression" dxfId="94" priority="4750">
      <formula>AND($N12="X",OR(#REF!&lt;&gt;"",$B12&lt;&gt;"",$C12&lt;&gt;"",$E12&lt;&gt;"",$F12&lt;&gt;""))</formula>
    </cfRule>
  </conditionalFormatting>
  <conditionalFormatting sqref="H17:H18 H38:H878">
    <cfRule type="expression" dxfId="93" priority="147">
      <formula>$L17="X"</formula>
    </cfRule>
  </conditionalFormatting>
  <conditionalFormatting sqref="I10 I12:I15">
    <cfRule type="expression" dxfId="92" priority="4692">
      <formula>$N10="X"</formula>
    </cfRule>
  </conditionalFormatting>
  <conditionalFormatting sqref="L9:L15">
    <cfRule type="cellIs" dxfId="91" priority="1" operator="equal">
      <formula>"1..1"</formula>
    </cfRule>
    <cfRule type="cellIs" dxfId="90" priority="3" operator="equal">
      <formula>"0..1"</formula>
    </cfRule>
    <cfRule type="cellIs" dxfId="89" priority="2" operator="equal">
      <formula>"0..n"</formula>
    </cfRule>
  </conditionalFormatting>
  <conditionalFormatting sqref="O11">
    <cfRule type="cellIs" dxfId="88" priority="141" operator="equal">
      <formula>"0..n"</formula>
    </cfRule>
    <cfRule type="cellIs" dxfId="87" priority="140" operator="equal">
      <formula>"1..1"</formula>
    </cfRule>
    <cfRule type="cellIs" dxfId="86" priority="14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AMC69"/>
  <sheetViews>
    <sheetView workbookViewId="0">
      <selection activeCell="E36" sqref="E36"/>
    </sheetView>
  </sheetViews>
  <sheetFormatPr baseColWidth="10" defaultColWidth="9.5" defaultRowHeight="15"/>
  <cols>
    <col min="1" max="1" width="4.6640625" style="128" customWidth="1"/>
    <col min="2" max="2" width="39.6640625" style="128" bestFit="1" customWidth="1"/>
    <col min="3" max="3" width="29.33203125" style="128" customWidth="1"/>
    <col min="4" max="5" width="11.6640625" style="128" customWidth="1"/>
    <col min="6" max="6" width="8.6640625" style="128" customWidth="1"/>
    <col min="7" max="7" width="10.1640625" style="96" customWidth="1"/>
    <col min="8" max="8" width="53.1640625" style="96" customWidth="1"/>
    <col min="9" max="9" width="33.5" style="225" customWidth="1"/>
    <col min="10" max="10" width="12" style="96" customWidth="1"/>
    <col min="11" max="11" width="17.83203125" style="159" customWidth="1"/>
    <col min="12" max="12" width="7.6640625" style="96" hidden="1" customWidth="1"/>
    <col min="13" max="13" width="9.6640625" style="96" hidden="1" customWidth="1"/>
    <col min="14" max="14" width="6.1640625" style="96" hidden="1" customWidth="1"/>
    <col min="15" max="15" width="10.6640625" style="96" hidden="1" customWidth="1"/>
    <col min="16" max="16" width="11.1640625" style="173" hidden="1" customWidth="1"/>
    <col min="17" max="17" width="10.5" style="96" customWidth="1"/>
    <col min="18" max="18" width="6" style="96" customWidth="1"/>
    <col min="19" max="19" width="18.5" style="96" customWidth="1"/>
    <col min="20" max="20" width="12.6640625" style="277" customWidth="1"/>
    <col min="21" max="21" width="28.1640625" style="96" customWidth="1"/>
    <col min="22" max="22" width="8.83203125" style="96" customWidth="1"/>
    <col min="23" max="23" width="8.1640625" style="96" customWidth="1"/>
    <col min="24" max="24" width="2.33203125" hidden="1" customWidth="1"/>
    <col min="25" max="25" width="22.6640625" style="179" hidden="1" customWidth="1"/>
    <col min="26" max="26" width="24.33203125" style="96" hidden="1" customWidth="1"/>
    <col min="27" max="27" width="24.5" style="159" hidden="1" customWidth="1"/>
    <col min="28" max="28" width="17.5" style="96" hidden="1" customWidth="1"/>
    <col min="29" max="29" width="0" hidden="1" customWidth="1"/>
    <col min="30" max="30" width="8" style="96" hidden="1" customWidth="1"/>
    <col min="31" max="31" width="8.83203125" style="128" customWidth="1"/>
    <col min="33" max="1013" width="9.5" style="128"/>
    <col min="1014" max="1014" width="9" style="128" customWidth="1"/>
    <col min="1015" max="1016" width="9" customWidth="1"/>
  </cols>
  <sheetData>
    <row r="1" spans="1:1014" ht="13.5" customHeight="1">
      <c r="A1" s="228" t="s">
        <v>2596</v>
      </c>
      <c r="C1" s="129" t="s">
        <v>813</v>
      </c>
      <c r="E1" s="150" t="s">
        <v>814</v>
      </c>
      <c r="F1" s="157">
        <f>createCase29[[#Totals],[Métier]] / createCase29[[#Totals],[ID]]</f>
        <v>0</v>
      </c>
      <c r="G1" s="128"/>
      <c r="AC1" s="96"/>
      <c r="AE1"/>
      <c r="AF1" s="128"/>
      <c r="ALZ1"/>
    </row>
    <row r="2" spans="1:1014" ht="13.5" customHeight="1">
      <c r="C2" s="141" t="s">
        <v>818</v>
      </c>
      <c r="D2" s="284"/>
      <c r="E2" s="152" t="s">
        <v>819</v>
      </c>
      <c r="F2" s="157">
        <f>createCase29[[#Totals],[NexSIS]] / createCase29[[#Totals],[ID]]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0" t="s">
        <v>912</v>
      </c>
      <c r="F5" s="146"/>
      <c r="G5" s="148"/>
      <c r="H5" s="148"/>
      <c r="I5" s="275"/>
      <c r="J5" s="148"/>
      <c r="K5" s="160"/>
      <c r="L5" s="148"/>
      <c r="M5" s="148"/>
      <c r="N5" s="148"/>
      <c r="O5" s="148"/>
      <c r="P5" s="186"/>
      <c r="Q5" s="148"/>
      <c r="R5" s="148"/>
      <c r="S5" s="148"/>
      <c r="T5" s="279"/>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7"/>
      <c r="E7" s="138"/>
      <c r="F7" s="138"/>
      <c r="L7" s="795" t="s">
        <v>828</v>
      </c>
      <c r="M7" s="795"/>
      <c r="N7" s="795"/>
      <c r="O7" s="795"/>
      <c r="V7" s="796" t="s">
        <v>829</v>
      </c>
      <c r="W7" s="796"/>
      <c r="AC7" s="795" t="s">
        <v>830</v>
      </c>
      <c r="AD7" s="795"/>
      <c r="AE7"/>
      <c r="AF7" s="128"/>
      <c r="ALZ7"/>
    </row>
    <row r="8" spans="1:1014" s="238" customFormat="1" ht="55.5" customHeight="1">
      <c r="A8" s="233" t="s">
        <v>831</v>
      </c>
      <c r="B8" s="381" t="s">
        <v>832</v>
      </c>
      <c r="C8" s="278" t="s">
        <v>833</v>
      </c>
      <c r="D8" s="278" t="s">
        <v>834</v>
      </c>
      <c r="E8" s="278" t="s">
        <v>835</v>
      </c>
      <c r="F8" s="278" t="s">
        <v>836</v>
      </c>
      <c r="G8" s="278"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3"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c r="C9" s="240"/>
      <c r="D9" s="727"/>
      <c r="E9" s="727"/>
      <c r="F9" s="727"/>
      <c r="G9" s="727"/>
      <c r="H9" s="728"/>
      <c r="I9" s="316"/>
      <c r="J9" s="728"/>
      <c r="K9" s="729"/>
      <c r="L9" s="728"/>
      <c r="M9" s="728"/>
      <c r="N9" s="728"/>
      <c r="O9" s="728"/>
      <c r="P9" s="730"/>
      <c r="Q9" s="728"/>
      <c r="R9" s="728"/>
      <c r="S9" s="728"/>
      <c r="T9" s="731"/>
      <c r="U9" s="728"/>
      <c r="V9" s="732"/>
      <c r="W9" s="732"/>
      <c r="X9" s="232"/>
      <c r="Y9" s="733"/>
      <c r="Z9" s="728"/>
      <c r="AA9" s="734"/>
      <c r="AB9" s="728"/>
      <c r="AC9" s="731"/>
      <c r="AD9" s="731"/>
    </row>
    <row r="10" spans="1:1014" s="224" customFormat="1" ht="13.5" customHeight="1">
      <c r="A10" s="225">
        <v>2</v>
      </c>
      <c r="B10" s="253"/>
      <c r="C10" s="221"/>
      <c r="D10" s="221"/>
      <c r="E10" s="221"/>
      <c r="F10" s="221"/>
      <c r="G10" s="221"/>
      <c r="H10" s="728"/>
      <c r="I10" s="131"/>
      <c r="J10" s="728"/>
      <c r="K10" s="729"/>
      <c r="L10" s="728"/>
      <c r="M10" s="728"/>
      <c r="N10" s="728"/>
      <c r="O10" s="728"/>
      <c r="P10" s="730"/>
      <c r="Q10" s="728"/>
      <c r="R10" s="728"/>
      <c r="S10" s="728"/>
      <c r="T10" s="731"/>
      <c r="U10" s="728"/>
      <c r="V10" s="732"/>
      <c r="W10" s="732"/>
      <c r="X10" s="232"/>
      <c r="Y10" s="733"/>
      <c r="Z10" s="728"/>
      <c r="AA10" s="734"/>
      <c r="AB10" s="728"/>
      <c r="AC10" s="731"/>
      <c r="AD10" s="731"/>
    </row>
    <row r="11" spans="1:1014" s="224" customFormat="1" ht="13.5" customHeight="1">
      <c r="A11" s="225">
        <v>3</v>
      </c>
      <c r="B11" s="217"/>
      <c r="C11" s="240"/>
      <c r="D11" s="241"/>
      <c r="E11" s="241"/>
      <c r="F11" s="241"/>
      <c r="G11" s="241"/>
      <c r="H11" s="728"/>
      <c r="I11" s="729"/>
      <c r="J11" s="728"/>
      <c r="K11" s="729"/>
      <c r="L11" s="728"/>
      <c r="M11" s="728"/>
      <c r="N11" s="728"/>
      <c r="O11" s="728"/>
      <c r="P11" s="730"/>
      <c r="Q11" s="728"/>
      <c r="R11" s="728"/>
      <c r="S11" s="728"/>
      <c r="T11" s="731"/>
      <c r="U11" s="728"/>
      <c r="V11" s="732"/>
      <c r="W11" s="732"/>
      <c r="X11" s="232"/>
      <c r="Y11" s="733"/>
      <c r="Z11" s="728"/>
      <c r="AA11" s="734"/>
      <c r="AB11" s="728"/>
      <c r="AC11" s="731"/>
      <c r="AD11" s="731"/>
    </row>
    <row r="12" spans="1:1014" s="224" customFormat="1" ht="13.5" customHeight="1">
      <c r="A12" s="225">
        <v>4</v>
      </c>
      <c r="B12" s="217"/>
      <c r="C12" s="240"/>
      <c r="D12" s="241"/>
      <c r="E12" s="241"/>
      <c r="F12" s="241"/>
      <c r="G12" s="241"/>
      <c r="H12" s="728"/>
      <c r="I12" s="729"/>
      <c r="J12" s="728"/>
      <c r="K12" s="729"/>
      <c r="L12" s="728"/>
      <c r="M12" s="728"/>
      <c r="N12" s="728"/>
      <c r="O12" s="728"/>
      <c r="P12" s="730"/>
      <c r="Q12" s="728"/>
      <c r="R12" s="728"/>
      <c r="S12" s="728"/>
      <c r="T12" s="731"/>
      <c r="U12" s="728"/>
      <c r="V12" s="732"/>
      <c r="W12" s="732"/>
      <c r="X12" s="232"/>
      <c r="Y12" s="733"/>
      <c r="Z12" s="728"/>
      <c r="AA12" s="734"/>
      <c r="AB12" s="728"/>
      <c r="AC12" s="731"/>
      <c r="AD12" s="731"/>
    </row>
    <row r="13" spans="1:1014" s="224" customFormat="1" ht="13.5" customHeight="1">
      <c r="A13" s="225">
        <v>5</v>
      </c>
      <c r="B13" s="217"/>
      <c r="C13" s="727"/>
      <c r="D13" s="241"/>
      <c r="E13" s="241"/>
      <c r="F13" s="241"/>
      <c r="G13" s="241"/>
      <c r="H13" s="728"/>
      <c r="I13" s="729"/>
      <c r="J13" s="728"/>
      <c r="K13" s="729"/>
      <c r="L13" s="728"/>
      <c r="M13" s="728"/>
      <c r="N13" s="728"/>
      <c r="O13" s="728"/>
      <c r="P13" s="730"/>
      <c r="Q13" s="728"/>
      <c r="R13" s="728"/>
      <c r="S13" s="243"/>
      <c r="T13" s="731"/>
      <c r="U13" s="728"/>
      <c r="V13" s="732"/>
      <c r="W13" s="732"/>
      <c r="X13" s="232"/>
      <c r="Y13" s="733"/>
      <c r="Z13" s="728"/>
      <c r="AA13" s="734"/>
      <c r="AB13" s="728"/>
      <c r="AC13" s="731"/>
      <c r="AD13" s="731"/>
    </row>
    <row r="14" spans="1:1014" s="224" customFormat="1" ht="13.5" customHeight="1">
      <c r="A14" s="225">
        <v>6</v>
      </c>
      <c r="B14" s="217"/>
      <c r="C14" s="727"/>
      <c r="D14" s="241"/>
      <c r="E14" s="241"/>
      <c r="F14" s="241"/>
      <c r="G14" s="241"/>
      <c r="H14" s="728"/>
      <c r="I14" s="729"/>
      <c r="J14" s="728"/>
      <c r="K14" s="729"/>
      <c r="L14" s="728"/>
      <c r="M14" s="728"/>
      <c r="N14" s="728"/>
      <c r="O14" s="728"/>
      <c r="P14" s="730"/>
      <c r="Q14" s="728"/>
      <c r="R14" s="728"/>
      <c r="S14" s="728"/>
      <c r="T14" s="731"/>
      <c r="U14" s="728"/>
      <c r="V14" s="732"/>
      <c r="W14" s="732"/>
      <c r="X14" s="232"/>
      <c r="Y14" s="733"/>
      <c r="Z14" s="728"/>
      <c r="AA14" s="734"/>
      <c r="AB14" s="728"/>
      <c r="AC14" s="731"/>
      <c r="AD14" s="731"/>
    </row>
    <row r="15" spans="1:1014" s="224" customFormat="1" ht="13.5" customHeight="1">
      <c r="A15" s="225">
        <v>7</v>
      </c>
      <c r="B15" s="217"/>
      <c r="C15" s="727"/>
      <c r="D15" s="241"/>
      <c r="E15" s="241"/>
      <c r="F15" s="241"/>
      <c r="G15" s="241"/>
      <c r="H15" s="728"/>
      <c r="I15" s="729"/>
      <c r="J15" s="728"/>
      <c r="K15" s="729"/>
      <c r="L15" s="728"/>
      <c r="M15" s="728"/>
      <c r="N15" s="728"/>
      <c r="O15" s="728"/>
      <c r="P15" s="730"/>
      <c r="Q15" s="728"/>
      <c r="R15" s="728"/>
      <c r="S15" s="728"/>
      <c r="T15" s="731"/>
      <c r="U15" s="728"/>
      <c r="V15" s="732"/>
      <c r="W15" s="732"/>
      <c r="X15" s="232"/>
      <c r="Y15" s="733"/>
      <c r="Z15" s="728"/>
      <c r="AA15" s="734"/>
      <c r="AB15" s="728"/>
      <c r="AC15" s="731"/>
      <c r="AD15" s="731"/>
    </row>
    <row r="16" spans="1:1014" s="224" customFormat="1" ht="13.5" customHeight="1">
      <c r="A16" s="225">
        <v>8</v>
      </c>
      <c r="B16" s="217"/>
      <c r="C16" s="727"/>
      <c r="D16" s="241"/>
      <c r="E16" s="241"/>
      <c r="F16" s="241"/>
      <c r="G16" s="241"/>
      <c r="H16" s="728"/>
      <c r="I16" s="729"/>
      <c r="J16" s="728"/>
      <c r="K16" s="729"/>
      <c r="L16" s="728"/>
      <c r="M16" s="728"/>
      <c r="N16" s="728"/>
      <c r="O16" s="728"/>
      <c r="P16" s="730"/>
      <c r="Q16" s="728"/>
      <c r="R16" s="728"/>
      <c r="S16" s="728"/>
      <c r="T16" s="731"/>
      <c r="U16" s="728"/>
      <c r="V16" s="732"/>
      <c r="W16" s="732"/>
      <c r="X16" s="232"/>
      <c r="Y16" s="733"/>
      <c r="Z16" s="728"/>
      <c r="AA16" s="734"/>
      <c r="AB16" s="728"/>
      <c r="AC16" s="731"/>
      <c r="AD16" s="731"/>
    </row>
    <row r="17" spans="1:1017" s="224" customFormat="1" ht="13.5" customHeight="1">
      <c r="A17" s="225">
        <v>9</v>
      </c>
      <c r="B17" s="217"/>
      <c r="C17" s="727"/>
      <c r="D17" s="241"/>
      <c r="E17" s="241"/>
      <c r="F17" s="241"/>
      <c r="G17" s="241"/>
      <c r="H17" s="728"/>
      <c r="I17" s="729"/>
      <c r="J17" s="728"/>
      <c r="K17" s="729"/>
      <c r="L17" s="728"/>
      <c r="M17" s="728"/>
      <c r="N17" s="728"/>
      <c r="O17" s="728"/>
      <c r="P17" s="730"/>
      <c r="Q17" s="728"/>
      <c r="R17" s="728"/>
      <c r="S17" s="728"/>
      <c r="T17" s="731"/>
      <c r="U17" s="728"/>
      <c r="V17" s="732"/>
      <c r="W17" s="732"/>
      <c r="X17" s="232"/>
      <c r="Y17" s="733"/>
      <c r="Z17" s="728"/>
      <c r="AA17" s="734"/>
      <c r="AB17" s="728"/>
      <c r="AC17" s="731"/>
      <c r="AD17" s="731"/>
    </row>
    <row r="18" spans="1:1017" s="224" customFormat="1" ht="13.5" customHeight="1">
      <c r="A18" s="225">
        <v>10</v>
      </c>
      <c r="B18" s="217"/>
      <c r="C18" s="727"/>
      <c r="D18" s="241"/>
      <c r="E18" s="241"/>
      <c r="F18" s="241"/>
      <c r="G18" s="241"/>
      <c r="H18" s="728"/>
      <c r="I18" s="729"/>
      <c r="J18" s="728"/>
      <c r="K18" s="729"/>
      <c r="L18" s="728"/>
      <c r="M18" s="728"/>
      <c r="N18" s="728"/>
      <c r="O18" s="728"/>
      <c r="P18" s="730"/>
      <c r="Q18" s="728"/>
      <c r="R18" s="728"/>
      <c r="S18" s="728"/>
      <c r="T18" s="731"/>
      <c r="U18" s="728"/>
      <c r="V18" s="732"/>
      <c r="W18" s="732"/>
      <c r="X18" s="232"/>
      <c r="Y18" s="733"/>
      <c r="Z18" s="728"/>
      <c r="AA18" s="734"/>
      <c r="AB18" s="728"/>
      <c r="AC18" s="731"/>
      <c r="AD18" s="731"/>
    </row>
    <row r="19" spans="1:1017" s="224" customFormat="1" ht="12" customHeight="1">
      <c r="A19" s="225">
        <f>SUBTOTAL(103,createCase29[ID])</f>
        <v>10</v>
      </c>
      <c r="C19" s="225">
        <f>SUBTOTAL(103,createCase29[Donnée (Niveau 2)])</f>
        <v>0</v>
      </c>
      <c r="D19" s="225">
        <f>SUBTOTAL(103,createCase29[Donnée (Niveau 3)])</f>
        <v>0</v>
      </c>
      <c r="E19" s="225">
        <f>SUBTOTAL(103,createCase29[Donnée (Niveau 4)])</f>
        <v>0</v>
      </c>
      <c r="F19" s="225">
        <f>SUBTOTAL(103,createCase29[Donnée (Niveau 5)])</f>
        <v>0</v>
      </c>
      <c r="G19" s="225">
        <f>SUBTOTAL(103,createCase29[Donnée (Niveau 6)])</f>
        <v>0</v>
      </c>
      <c r="H19" s="225">
        <f>SUBTOTAL(103,createCase29[Description])</f>
        <v>0</v>
      </c>
      <c r="I19" s="225">
        <f>SUBTOTAL(103,createCase29[Exemples])</f>
        <v>0</v>
      </c>
      <c r="J19" s="225">
        <f>SUBTOTAL(103,createCase29[Balise NexSIS])</f>
        <v>0</v>
      </c>
      <c r="K19" s="239">
        <f>SUBTOTAL(103,createCase29[Nouvelle balise])</f>
        <v>0</v>
      </c>
      <c r="L19" s="225">
        <f>SUBTOTAL(103,createCase29[Nantes - balise])</f>
        <v>0</v>
      </c>
      <c r="M19" s="225">
        <f>SUBTOTAL(103,createCase29[Nantes - description])</f>
        <v>0</v>
      </c>
      <c r="N19" s="225">
        <f>SUBTOTAL(103,createCase29[GT399])</f>
        <v>0</v>
      </c>
      <c r="O19" s="225">
        <f>SUBTOTAL(103,createCase29[GT399 description])</f>
        <v>0</v>
      </c>
      <c r="P19" s="234">
        <f>SUBTOTAL(103,createCase29[Priorisation])</f>
        <v>0</v>
      </c>
      <c r="Q19" s="225"/>
      <c r="R19" s="225">
        <f>SUBTOTAL(103,createCase29[Objet])</f>
        <v>0</v>
      </c>
      <c r="S19" s="225">
        <f>SUBTOTAL(103,createCase29[Format (ou type)])</f>
        <v>0</v>
      </c>
      <c r="T19" s="274"/>
      <c r="U19" s="225"/>
      <c r="V19" s="225"/>
      <c r="W19" s="225"/>
      <c r="Y19" s="271">
        <f>SUBTOTAL(103,createCase29[Commentaire Hub Santé])</f>
        <v>0</v>
      </c>
      <c r="Z19" s="225">
        <f>SUBTOTAL(103,createCase29[Commentaire Philippe Dreyfus])</f>
        <v>0</v>
      </c>
      <c r="AA19" s="239"/>
      <c r="AB19" s="225">
        <f>SUBTOTAL(103,createCase29[Commentaire Yann Penverne])</f>
        <v>0</v>
      </c>
      <c r="AC19" s="225">
        <f>SUBTOTAL(103,createCase29[NexSIS])-COUNTIFS(createCase29[NexSIS],"=X")</f>
        <v>0</v>
      </c>
      <c r="AD19" s="225">
        <f>SUBTOTAL(103,createCase29[Métier])-COUNTIFS(createCase29[Métier],"=X")</f>
        <v>0</v>
      </c>
    </row>
    <row r="20" spans="1:1017" s="128" customFormat="1" ht="12" customHeight="1">
      <c r="A20" s="3"/>
      <c r="B20" s="3"/>
      <c r="C20" s="131"/>
      <c r="D20" s="131"/>
      <c r="E20" s="131"/>
      <c r="F20" s="131"/>
      <c r="G20" s="5"/>
      <c r="H20" s="155"/>
      <c r="I20" s="225"/>
      <c r="J20" s="5"/>
      <c r="K20" s="155"/>
      <c r="L20" s="5"/>
      <c r="M20" s="5"/>
      <c r="N20" s="5"/>
      <c r="O20" s="5"/>
      <c r="P20" s="188"/>
      <c r="Q20" s="5"/>
      <c r="R20" s="5"/>
      <c r="S20" s="5"/>
      <c r="T20" s="56"/>
      <c r="U20" s="56"/>
      <c r="V20" s="56"/>
      <c r="W20" s="56"/>
      <c r="X20"/>
      <c r="Y20" s="178"/>
      <c r="Z20" s="5"/>
      <c r="AA20" s="159"/>
      <c r="AB20" s="56"/>
      <c r="AD20" s="56"/>
      <c r="AMA20"/>
      <c r="AMB20"/>
      <c r="AMC20"/>
    </row>
    <row r="21" spans="1:1017" s="128" customFormat="1" ht="12" customHeight="1">
      <c r="A21" s="129"/>
      <c r="B21" s="129"/>
      <c r="C21" s="129"/>
      <c r="D21" s="129"/>
      <c r="E21" s="129"/>
      <c r="F21" s="129"/>
      <c r="G21" s="96"/>
      <c r="H21" s="96"/>
      <c r="I21" s="225"/>
      <c r="J21" s="96"/>
      <c r="K21" s="159"/>
      <c r="L21" s="96"/>
      <c r="M21" s="96"/>
      <c r="N21" s="96"/>
      <c r="O21" s="96"/>
      <c r="P21" s="173"/>
      <c r="Q21" s="96"/>
      <c r="R21" s="96"/>
      <c r="S21" s="96"/>
      <c r="T21" s="277"/>
      <c r="U21" s="96"/>
      <c r="V21" s="96"/>
      <c r="W21" s="96"/>
      <c r="X21"/>
      <c r="Y21" s="179"/>
      <c r="Z21" s="96"/>
      <c r="AA21" s="159"/>
      <c r="AB21" s="96"/>
      <c r="AD21" s="96"/>
      <c r="AMA21"/>
      <c r="AMB21"/>
      <c r="AMC21"/>
    </row>
    <row r="22" spans="1:1017" s="128" customFormat="1" ht="12" customHeight="1">
      <c r="I22" s="224"/>
      <c r="P22" s="174"/>
      <c r="R22" s="96"/>
      <c r="S22" s="96"/>
      <c r="T22" s="277"/>
      <c r="U22" s="96"/>
      <c r="V22" s="96"/>
      <c r="W22" s="96"/>
      <c r="X22"/>
      <c r="Y22" s="179"/>
      <c r="Z22" s="96"/>
      <c r="AA22" s="159"/>
      <c r="AB22" s="96"/>
      <c r="AD22" s="96"/>
      <c r="AMA22"/>
      <c r="AMB22"/>
      <c r="AMC22"/>
    </row>
    <row r="23" spans="1:1017" s="128" customFormat="1" ht="12" customHeight="1">
      <c r="I23" s="224"/>
      <c r="P23" s="174"/>
      <c r="R23" s="96"/>
      <c r="S23" s="96"/>
      <c r="T23" s="277"/>
      <c r="U23" s="96"/>
      <c r="V23" s="96"/>
      <c r="W23" s="96"/>
      <c r="X23"/>
      <c r="Y23" s="179"/>
      <c r="Z23" s="96"/>
      <c r="AA23" s="159"/>
      <c r="AB23" s="96"/>
      <c r="AD23" s="96"/>
      <c r="AMA23"/>
      <c r="AMB23"/>
      <c r="AMC23"/>
    </row>
    <row r="24" spans="1:1017" s="128" customFormat="1" ht="12" customHeight="1">
      <c r="I24" s="224"/>
      <c r="P24" s="174"/>
      <c r="R24" s="96"/>
      <c r="S24" s="96"/>
      <c r="T24" s="277"/>
      <c r="U24" s="96"/>
      <c r="V24" s="96"/>
      <c r="W24" s="96"/>
      <c r="X24"/>
      <c r="Y24" s="179"/>
      <c r="Z24" s="96"/>
      <c r="AA24" s="159"/>
      <c r="AB24" s="96"/>
      <c r="AD24" s="96"/>
      <c r="AMA24"/>
      <c r="AMB24"/>
      <c r="AMC24"/>
    </row>
    <row r="25" spans="1:1017" s="128" customFormat="1" ht="12" customHeight="1">
      <c r="I25" s="224"/>
      <c r="P25" s="174"/>
      <c r="R25" s="96"/>
      <c r="S25" s="96"/>
      <c r="T25" s="277"/>
      <c r="U25" s="96"/>
      <c r="V25" s="96"/>
      <c r="W25" s="96"/>
      <c r="X25"/>
      <c r="Y25" s="179"/>
      <c r="Z25" s="96"/>
      <c r="AA25" s="159"/>
      <c r="AB25" s="96"/>
      <c r="AD25" s="96"/>
      <c r="AMA25"/>
      <c r="AMB25"/>
      <c r="AMC25"/>
    </row>
    <row r="26" spans="1:1017" ht="12" customHeight="1">
      <c r="G26" s="128"/>
      <c r="H26" s="128"/>
      <c r="I26" s="224"/>
      <c r="J26" s="128"/>
      <c r="K26" s="128"/>
      <c r="L26" s="128"/>
      <c r="M26" s="128"/>
      <c r="N26" s="128"/>
      <c r="O26" s="128"/>
      <c r="P26" s="174"/>
      <c r="Q26" s="128"/>
    </row>
    <row r="27" spans="1:1017" s="117" customFormat="1" ht="12" customHeight="1">
      <c r="A27" s="128"/>
      <c r="B27" s="128"/>
      <c r="C27" s="128"/>
      <c r="D27" s="128"/>
      <c r="E27" s="128"/>
      <c r="F27" s="128"/>
      <c r="G27" s="96"/>
      <c r="H27" s="96"/>
      <c r="I27" s="225"/>
      <c r="J27" s="96"/>
      <c r="K27" s="159"/>
      <c r="L27" s="96"/>
      <c r="M27" s="96"/>
      <c r="N27" s="96"/>
      <c r="O27" s="96"/>
      <c r="P27" s="173"/>
      <c r="Q27" s="96"/>
      <c r="R27" s="96"/>
      <c r="S27" s="96"/>
      <c r="T27" s="277"/>
      <c r="U27" s="96"/>
      <c r="V27" s="96"/>
      <c r="W27" s="96"/>
      <c r="X27"/>
      <c r="Y27" s="179"/>
      <c r="Z27" s="96"/>
      <c r="AA27" s="161"/>
      <c r="AB27" s="96"/>
      <c r="AD27" s="96"/>
      <c r="AMB27"/>
    </row>
    <row r="28" spans="1:1017" ht="12" customHeight="1">
      <c r="A28" s="117"/>
      <c r="B28" s="117"/>
      <c r="C28" s="117"/>
      <c r="D28" s="117"/>
      <c r="E28" s="117"/>
      <c r="F28" s="117"/>
      <c r="G28" s="117"/>
      <c r="H28" s="117"/>
      <c r="I28" s="251"/>
      <c r="J28" s="117"/>
      <c r="K28" s="117"/>
      <c r="L28" s="117"/>
      <c r="M28" s="117"/>
      <c r="N28" s="117"/>
      <c r="O28" s="117"/>
      <c r="P28" s="189"/>
      <c r="Q28" s="117"/>
    </row>
    <row r="29" spans="1:1017" ht="12" customHeight="1">
      <c r="R29" s="112"/>
      <c r="S29" s="112"/>
      <c r="T29" s="125"/>
      <c r="U29" s="112"/>
      <c r="V29" s="112"/>
      <c r="W29" s="112"/>
      <c r="Y29" s="180"/>
      <c r="Z29" s="112"/>
      <c r="AB29" s="112"/>
      <c r="AD29" s="112"/>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ht="12" customHeight="1">
      <c r="A52" s="129"/>
      <c r="B52" s="129"/>
      <c r="C52" s="129"/>
      <c r="D52" s="129"/>
      <c r="E52" s="129"/>
      <c r="F52" s="129"/>
    </row>
    <row r="53" spans="1:1016" ht="12" customHeight="1">
      <c r="A53" s="129"/>
      <c r="B53" s="129"/>
      <c r="C53" s="129"/>
      <c r="D53" s="129"/>
      <c r="E53" s="129"/>
      <c r="F53" s="129"/>
    </row>
    <row r="54" spans="1:1016" ht="12" customHeight="1">
      <c r="A54" s="129"/>
      <c r="B54" s="129"/>
      <c r="C54" s="129"/>
      <c r="D54" s="129"/>
      <c r="E54" s="129"/>
      <c r="F54" s="129"/>
    </row>
    <row r="55" spans="1:1016" ht="12" customHeight="1">
      <c r="A55" s="129"/>
      <c r="B55" s="129"/>
      <c r="C55" s="129"/>
      <c r="D55" s="129"/>
      <c r="E55" s="129"/>
      <c r="F55" s="129"/>
    </row>
    <row r="56" spans="1:1016" s="117" customFormat="1" ht="12" customHeight="1">
      <c r="A56" s="129"/>
      <c r="B56" s="129"/>
      <c r="C56" s="129"/>
      <c r="D56" s="129"/>
      <c r="E56" s="129"/>
      <c r="F56" s="129"/>
      <c r="G56" s="96"/>
      <c r="H56" s="96"/>
      <c r="I56" s="225"/>
      <c r="J56" s="96"/>
      <c r="K56" s="159"/>
      <c r="L56" s="96"/>
      <c r="M56" s="96"/>
      <c r="N56" s="96"/>
      <c r="O56" s="96"/>
      <c r="P56" s="173"/>
      <c r="Q56" s="96"/>
      <c r="R56" s="96"/>
      <c r="S56" s="96"/>
      <c r="T56" s="277"/>
      <c r="U56" s="96"/>
      <c r="V56" s="96"/>
      <c r="W56" s="96"/>
      <c r="X56"/>
      <c r="Y56" s="179"/>
      <c r="Z56" s="96"/>
      <c r="AA56" s="161"/>
      <c r="AB56" s="96"/>
      <c r="AD56" s="96"/>
      <c r="AMB56"/>
    </row>
    <row r="57" spans="1:1016" s="117" customFormat="1" ht="12" customHeight="1">
      <c r="A57" s="130"/>
      <c r="B57" s="130"/>
      <c r="C57" s="130"/>
      <c r="D57" s="130"/>
      <c r="E57" s="130"/>
      <c r="F57" s="130"/>
      <c r="G57" s="96"/>
      <c r="H57" s="96"/>
      <c r="I57" s="225"/>
      <c r="J57" s="96"/>
      <c r="K57" s="159"/>
      <c r="L57" s="96"/>
      <c r="M57" s="96"/>
      <c r="N57" s="96"/>
      <c r="O57" s="96"/>
      <c r="P57" s="173"/>
      <c r="Q57" s="96"/>
      <c r="R57" s="96"/>
      <c r="S57" s="96"/>
      <c r="T57" s="277"/>
      <c r="U57" s="96"/>
      <c r="V57" s="96"/>
      <c r="W57" s="96"/>
      <c r="X57"/>
      <c r="Y57" s="179"/>
      <c r="Z57" s="96"/>
      <c r="AA57" s="161"/>
      <c r="AB57" s="96"/>
      <c r="AD57" s="96"/>
      <c r="AMB57"/>
    </row>
    <row r="58" spans="1:1016" s="117" customFormat="1" ht="12" customHeight="1">
      <c r="A58" s="123"/>
      <c r="B58" s="123"/>
      <c r="C58" s="123"/>
      <c r="D58" s="123"/>
      <c r="E58" s="123"/>
      <c r="F58" s="123"/>
      <c r="G58" s="112"/>
      <c r="H58" s="112"/>
      <c r="I58" s="276"/>
      <c r="J58" s="112"/>
      <c r="K58" s="161"/>
      <c r="L58" s="112"/>
      <c r="M58" s="112"/>
      <c r="N58" s="112"/>
      <c r="O58" s="112"/>
      <c r="P58" s="190"/>
      <c r="Q58" s="112"/>
      <c r="R58" s="112"/>
      <c r="S58" s="112"/>
      <c r="T58" s="125"/>
      <c r="U58" s="112"/>
      <c r="V58" s="112"/>
      <c r="W58" s="112"/>
      <c r="X58"/>
      <c r="Y58" s="180"/>
      <c r="Z58" s="112"/>
      <c r="AA58" s="161"/>
      <c r="AB58" s="112"/>
      <c r="AD58" s="112"/>
      <c r="AMB58"/>
    </row>
    <row r="59" spans="1:1016" s="117" customFormat="1" ht="12" customHeight="1">
      <c r="A59" s="123"/>
      <c r="B59" s="123"/>
      <c r="C59" s="123"/>
      <c r="D59" s="123"/>
      <c r="E59" s="123"/>
      <c r="F59" s="123"/>
      <c r="G59" s="112"/>
      <c r="H59" s="112"/>
      <c r="I59" s="276"/>
      <c r="J59" s="112"/>
      <c r="K59" s="161"/>
      <c r="L59" s="112"/>
      <c r="M59" s="112"/>
      <c r="N59" s="112"/>
      <c r="O59" s="112"/>
      <c r="P59" s="190"/>
      <c r="Q59" s="112"/>
      <c r="R59" s="112"/>
      <c r="S59" s="112"/>
      <c r="T59" s="125"/>
      <c r="U59" s="112"/>
      <c r="V59" s="112"/>
      <c r="W59" s="112"/>
      <c r="X59"/>
      <c r="Y59" s="180"/>
      <c r="Z59" s="112"/>
      <c r="AA59" s="161"/>
      <c r="AB59" s="112"/>
      <c r="AD59" s="112"/>
      <c r="AMB59"/>
    </row>
    <row r="60" spans="1:1016" s="117" customFormat="1" ht="12" customHeight="1">
      <c r="A60" s="123"/>
      <c r="B60" s="123"/>
      <c r="C60" s="123"/>
      <c r="D60" s="123"/>
      <c r="E60" s="123"/>
      <c r="F60" s="123"/>
      <c r="G60" s="112"/>
      <c r="H60" s="112"/>
      <c r="I60" s="276"/>
      <c r="J60" s="112"/>
      <c r="K60" s="161"/>
      <c r="L60" s="112"/>
      <c r="M60" s="112"/>
      <c r="N60" s="112"/>
      <c r="O60" s="112"/>
      <c r="P60" s="190"/>
      <c r="Q60" s="112"/>
      <c r="R60" s="112"/>
      <c r="S60" s="112"/>
      <c r="T60" s="125"/>
      <c r="U60" s="112"/>
      <c r="V60" s="112"/>
      <c r="W60" s="112"/>
      <c r="X60"/>
      <c r="Y60" s="180"/>
      <c r="Z60" s="112"/>
      <c r="AA60" s="161"/>
      <c r="AB60" s="112"/>
      <c r="AD60" s="112"/>
      <c r="AMB60"/>
    </row>
    <row r="61" spans="1:1016" s="117" customFormat="1" ht="12" customHeight="1">
      <c r="A61" s="123"/>
      <c r="B61" s="123"/>
      <c r="C61" s="123"/>
      <c r="D61" s="123"/>
      <c r="E61" s="123"/>
      <c r="F61" s="123"/>
      <c r="G61" s="112"/>
      <c r="H61" s="112"/>
      <c r="I61" s="276"/>
      <c r="J61" s="112"/>
      <c r="K61" s="161"/>
      <c r="L61" s="112"/>
      <c r="M61" s="112"/>
      <c r="N61" s="112"/>
      <c r="O61" s="112"/>
      <c r="P61" s="190"/>
      <c r="Q61" s="112"/>
      <c r="R61" s="112"/>
      <c r="S61" s="112"/>
      <c r="T61" s="125"/>
      <c r="U61" s="112"/>
      <c r="V61" s="112"/>
      <c r="W61" s="112"/>
      <c r="X61"/>
      <c r="Y61" s="180"/>
      <c r="Z61" s="112"/>
      <c r="AA61" s="161"/>
      <c r="AB61" s="112"/>
      <c r="AD61" s="112"/>
      <c r="AMB61"/>
    </row>
    <row r="62" spans="1:1016" s="117" customFormat="1" ht="12" customHeight="1">
      <c r="A62" s="123"/>
      <c r="B62" s="123"/>
      <c r="C62" s="123"/>
      <c r="D62" s="123"/>
      <c r="E62" s="123"/>
      <c r="F62" s="123"/>
      <c r="G62" s="112"/>
      <c r="H62" s="112"/>
      <c r="I62" s="276"/>
      <c r="J62" s="112"/>
      <c r="K62" s="161"/>
      <c r="L62" s="112"/>
      <c r="M62" s="112"/>
      <c r="N62" s="112"/>
      <c r="O62" s="112"/>
      <c r="P62" s="190"/>
      <c r="Q62" s="112"/>
      <c r="R62" s="112"/>
      <c r="S62" s="112"/>
      <c r="T62" s="125"/>
      <c r="U62" s="112"/>
      <c r="V62" s="112"/>
      <c r="W62" s="112"/>
      <c r="X62"/>
      <c r="Y62" s="180"/>
      <c r="Z62" s="112"/>
      <c r="AA62" s="161"/>
      <c r="AB62" s="112"/>
      <c r="AD62" s="112"/>
      <c r="AMB62"/>
    </row>
    <row r="63" spans="1:1016" ht="12" customHeight="1">
      <c r="A63" s="123"/>
      <c r="B63" s="123"/>
      <c r="C63" s="123"/>
      <c r="D63" s="123"/>
      <c r="E63" s="123"/>
      <c r="F63" s="123"/>
      <c r="G63" s="112"/>
      <c r="H63" s="112"/>
      <c r="I63" s="276"/>
      <c r="J63" s="112"/>
      <c r="K63" s="161"/>
      <c r="L63" s="112"/>
      <c r="M63" s="112"/>
      <c r="N63" s="112"/>
      <c r="O63" s="112"/>
      <c r="P63" s="190"/>
      <c r="Q63" s="112"/>
      <c r="R63" s="112"/>
      <c r="S63" s="112"/>
      <c r="T63" s="125"/>
      <c r="U63" s="112"/>
      <c r="V63" s="112"/>
      <c r="W63" s="112"/>
      <c r="Y63" s="180"/>
      <c r="Z63" s="112"/>
      <c r="AB63" s="112"/>
      <c r="AD63" s="112"/>
    </row>
    <row r="64" spans="1:1016" ht="12" customHeight="1">
      <c r="A64" s="123"/>
      <c r="B64" s="123"/>
      <c r="C64" s="123"/>
      <c r="D64" s="123"/>
      <c r="E64" s="123"/>
      <c r="F64" s="123"/>
      <c r="G64" s="112"/>
      <c r="H64" s="112"/>
      <c r="I64" s="276"/>
      <c r="J64" s="112"/>
      <c r="K64" s="161"/>
      <c r="L64" s="112"/>
      <c r="M64" s="112"/>
      <c r="N64" s="112"/>
      <c r="O64" s="112"/>
      <c r="P64" s="190"/>
      <c r="Q64" s="112"/>
      <c r="R64" s="112"/>
      <c r="S64" s="112"/>
      <c r="T64" s="125"/>
      <c r="U64" s="112"/>
      <c r="V64" s="112"/>
      <c r="W64" s="112"/>
      <c r="Y64" s="180"/>
      <c r="Z64" s="112"/>
      <c r="AB64" s="112"/>
      <c r="AD64" s="112"/>
    </row>
    <row r="65" spans="1:6" ht="12" customHeight="1">
      <c r="A65" s="130"/>
      <c r="B65" s="130"/>
      <c r="C65" s="130"/>
      <c r="D65" s="130"/>
      <c r="E65" s="130"/>
      <c r="F65" s="130"/>
    </row>
    <row r="66" spans="1:6" ht="12" customHeight="1">
      <c r="A66" s="130"/>
      <c r="B66" s="130"/>
      <c r="C66" s="130"/>
      <c r="D66" s="130"/>
      <c r="E66" s="130"/>
      <c r="F66" s="130"/>
    </row>
    <row r="67" spans="1:6" ht="12" customHeight="1">
      <c r="A67" s="130"/>
      <c r="B67" s="130"/>
      <c r="C67" s="130"/>
      <c r="D67" s="130"/>
      <c r="E67" s="130"/>
      <c r="F67" s="130"/>
    </row>
    <row r="68" spans="1:6" ht="12" customHeight="1">
      <c r="A68" s="136"/>
      <c r="B68" s="136"/>
      <c r="C68" s="136"/>
      <c r="D68" s="136"/>
      <c r="E68" s="136"/>
      <c r="F68" s="136"/>
    </row>
    <row r="69" spans="1:6" ht="12" customHeight="1">
      <c r="A69" s="136"/>
      <c r="B69" s="136"/>
      <c r="C69" s="136"/>
      <c r="D69" s="136"/>
      <c r="E69" s="136"/>
      <c r="F69" s="136"/>
    </row>
  </sheetData>
  <mergeCells count="3">
    <mergeCell ref="L7:O7"/>
    <mergeCell ref="V7:W7"/>
    <mergeCell ref="AC7:AD7"/>
  </mergeCells>
  <conditionalFormatting sqref="A10:A18">
    <cfRule type="expression" dxfId="85" priority="8">
      <formula>OR($AD10="X",$AC10="X")</formula>
    </cfRule>
  </conditionalFormatting>
  <conditionalFormatting sqref="A20:F21 A41:F881">
    <cfRule type="expression" dxfId="84" priority="20">
      <formula>OR($AD20="X",$AB20="X")</formula>
    </cfRule>
    <cfRule type="expression" dxfId="83" priority="22">
      <formula>$AD20=1</formula>
    </cfRule>
    <cfRule type="expression" dxfId="82" priority="21">
      <formula>AND($AD20=1,$AB20=1)</formula>
    </cfRule>
    <cfRule type="expression" dxfId="81" priority="23">
      <formula>$AB20=1</formula>
    </cfRule>
  </conditionalFormatting>
  <conditionalFormatting sqref="A9:G9 A10:A18">
    <cfRule type="expression" dxfId="80" priority="27">
      <formula>$AC9=1</formula>
    </cfRule>
    <cfRule type="expression" dxfId="79" priority="26">
      <formula>$AD9=1</formula>
    </cfRule>
    <cfRule type="expression" dxfId="78" priority="25">
      <formula>AND($AD9=1,$AC9=1)</formula>
    </cfRule>
  </conditionalFormatting>
  <conditionalFormatting sqref="A9:G9">
    <cfRule type="expression" dxfId="77" priority="24">
      <formula>OR($AD9="X",$AC9="X")</formula>
    </cfRule>
  </conditionalFormatting>
  <conditionalFormatting sqref="A9:G18">
    <cfRule type="expression" dxfId="76" priority="28">
      <formula>AND(NOT(ISBLANK($W9)),ISBLANK($AC9),ISBLANK($AD9))</formula>
    </cfRule>
  </conditionalFormatting>
  <conditionalFormatting sqref="B10:G18">
    <cfRule type="expression" dxfId="75" priority="12">
      <formula>OR($AD10="X",$AC10="X")</formula>
    </cfRule>
    <cfRule type="expression" dxfId="74" priority="13">
      <formula>AND($AD10=1,$AC10=1)</formula>
    </cfRule>
    <cfRule type="expression" dxfId="73" priority="14">
      <formula>$AD10=1</formula>
    </cfRule>
    <cfRule type="expression" dxfId="72" priority="15">
      <formula>$AC10=1</formula>
    </cfRule>
  </conditionalFormatting>
  <conditionalFormatting sqref="C9:C18">
    <cfRule type="expression" dxfId="71" priority="11">
      <formula>AND($R9="X",$B9&lt;&gt;"")</formula>
    </cfRule>
  </conditionalFormatting>
  <conditionalFormatting sqref="D9:D18">
    <cfRule type="expression" dxfId="70" priority="2">
      <formula>AND($R9="X",OR($B9&lt;&gt;"",$C9&lt;&gt;""))</formula>
    </cfRule>
  </conditionalFormatting>
  <conditionalFormatting sqref="E9:E18">
    <cfRule type="expression" dxfId="69" priority="3">
      <formula>AND($R9="X",OR($B9&lt;&gt;"",$C9&lt;&gt;"",$D9&lt;&gt;""))</formula>
    </cfRule>
  </conditionalFormatting>
  <conditionalFormatting sqref="F1:F2">
    <cfRule type="dataBar" priority="18">
      <dataBar>
        <cfvo type="num" val="0"/>
        <cfvo type="num" val="1"/>
        <color rgb="FF63C384"/>
      </dataBar>
      <extLst>
        <ext xmlns:x14="http://schemas.microsoft.com/office/spreadsheetml/2009/9/main" uri="{B025F937-C7B1-47D3-B67F-A62EFF666E3E}">
          <x14:id>{0D35D3CE-22F2-4362-B6DA-743694BD32B0}</x14:id>
        </ext>
      </extLst>
    </cfRule>
  </conditionalFormatting>
  <conditionalFormatting sqref="F9:F18">
    <cfRule type="expression" dxfId="68" priority="4">
      <formula>AND($R9="X",OR($B9&lt;&gt;"",$C9&lt;&gt;"",$D9&lt;&gt;"",$E9&lt;&gt;""))</formula>
    </cfRule>
  </conditionalFormatting>
  <conditionalFormatting sqref="G9:G18">
    <cfRule type="expression" dxfId="67" priority="1">
      <formula>AND($R9="X",OR($B9&lt;&gt;"",$C9&lt;&gt;"",$D9&lt;&gt;"",$E9&lt;&gt;"",$F9&lt;&gt;""))</formula>
    </cfRule>
  </conditionalFormatting>
  <conditionalFormatting sqref="H20:H21 H41:H881">
    <cfRule type="expression" dxfId="66" priority="19">
      <formula>$Q20="X"</formula>
    </cfRule>
  </conditionalFormatting>
  <conditionalFormatting sqref="I11:I18">
    <cfRule type="expression" dxfId="65" priority="10">
      <formula>$R11="X"</formula>
    </cfRule>
  </conditionalFormatting>
  <conditionalFormatting sqref="Q9:Q18">
    <cfRule type="cellIs" dxfId="64" priority="5" operator="equal">
      <formula>"1..1"</formula>
    </cfRule>
    <cfRule type="cellIs" dxfId="63" priority="6" operator="equal">
      <formula>"0..n"</formula>
    </cfRule>
    <cfRule type="cellIs" dxfId="62" priority="7"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D35D3CE-22F2-4362-B6DA-743694BD32B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779"/>
      <c r="L1" s="779"/>
      <c r="M1" s="779"/>
      <c r="N1" s="779"/>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I9" activePane="bottomRight" state="frozen"/>
      <selection pane="topRight"/>
      <selection pane="bottomLeft"/>
      <selection pane="bottomRight" activeCell="K29" sqref="K29"/>
    </sheetView>
  </sheetViews>
  <sheetFormatPr baseColWidth="10" defaultColWidth="9" defaultRowHeight="14.25" customHeight="1"/>
  <cols>
    <col min="1" max="1" width="3.1640625" customWidth="1"/>
    <col min="2" max="2" width="12.83203125" bestFit="1" customWidth="1"/>
    <col min="3" max="3" width="31.33203125" customWidth="1"/>
    <col min="4" max="4" width="8.83203125" customWidth="1"/>
    <col min="5" max="7" width="11.6640625" customWidth="1"/>
    <col min="8" max="8" width="52" style="57" customWidth="1"/>
    <col min="9" max="9" width="22.33203125" customWidth="1"/>
    <col min="10" max="10" width="14.1640625" hidden="1" customWidth="1"/>
    <col min="11" max="11" width="16" customWidth="1"/>
    <col min="12" max="12" width="10.83203125" hidden="1" customWidth="1"/>
    <col min="13" max="13" width="7.6640625" hidden="1" customWidth="1"/>
    <col min="14" max="14" width="8.6640625" hidden="1" customWidth="1"/>
    <col min="15" max="15" width="7" hidden="1" customWidth="1"/>
    <col min="16" max="16" width="9.1640625" hidden="1" customWidth="1"/>
    <col min="17" max="17" width="11" bestFit="1" customWidth="1"/>
    <col min="18" max="18" width="7.1640625" customWidth="1"/>
    <col min="20" max="20" width="14.1640625" bestFit="1" customWidth="1"/>
    <col min="21" max="21" width="12.5" bestFit="1" customWidth="1"/>
    <col min="22" max="23" width="9" style="95"/>
    <col min="24" max="30" width="0" hidden="1" customWidth="1"/>
  </cols>
  <sheetData>
    <row r="1" spans="1:1014" ht="14.25" customHeight="1">
      <c r="A1" s="228" t="s">
        <v>2597</v>
      </c>
      <c r="B1" s="128"/>
      <c r="C1" s="129" t="s">
        <v>813</v>
      </c>
      <c r="D1" s="128"/>
      <c r="E1" s="150" t="s">
        <v>814</v>
      </c>
      <c r="F1" s="157"/>
      <c r="G1" s="128"/>
      <c r="H1" s="148"/>
      <c r="I1" s="275"/>
      <c r="J1" s="148"/>
      <c r="K1" s="159"/>
      <c r="L1" s="96"/>
      <c r="M1" s="96"/>
      <c r="N1" s="96"/>
      <c r="O1" s="794" t="s">
        <v>816</v>
      </c>
      <c r="P1" s="794"/>
      <c r="Q1" s="96"/>
      <c r="R1" s="96"/>
      <c r="S1" s="96"/>
      <c r="T1" s="277"/>
      <c r="U1" s="96"/>
      <c r="V1" s="277"/>
      <c r="W1" s="277"/>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4"/>
      <c r="E2" s="152" t="s">
        <v>819</v>
      </c>
      <c r="F2" s="157"/>
      <c r="G2" s="128"/>
      <c r="H2" s="148"/>
      <c r="I2" s="275"/>
      <c r="J2" s="148"/>
      <c r="K2" s="159"/>
      <c r="L2" s="96"/>
      <c r="M2" s="96"/>
      <c r="N2" s="96"/>
      <c r="O2" s="96"/>
      <c r="P2" s="173"/>
      <c r="Q2" s="96"/>
      <c r="R2" s="96"/>
      <c r="S2" s="96"/>
      <c r="T2" s="277"/>
      <c r="U2" s="96"/>
      <c r="V2" s="277"/>
      <c r="W2" s="277"/>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7"/>
      <c r="U3" s="96"/>
      <c r="V3" s="277"/>
      <c r="W3" s="277"/>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7"/>
      <c r="U4" s="96"/>
      <c r="V4" s="277"/>
      <c r="W4" s="277"/>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0" t="s">
        <v>912</v>
      </c>
      <c r="F5" s="146"/>
      <c r="G5" s="148"/>
      <c r="H5" s="148"/>
      <c r="I5" s="275"/>
      <c r="J5" s="148"/>
      <c r="K5" s="160"/>
      <c r="L5" s="148"/>
      <c r="M5" s="148"/>
      <c r="N5" s="148"/>
      <c r="O5" s="148"/>
      <c r="P5" s="186"/>
      <c r="Q5" s="148"/>
      <c r="R5" s="148"/>
      <c r="S5" s="148"/>
      <c r="T5" s="279"/>
      <c r="U5" s="148"/>
      <c r="V5" s="279"/>
      <c r="W5" s="279"/>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7"/>
      <c r="U6" s="96"/>
      <c r="V6" s="277"/>
      <c r="W6" s="277"/>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7"/>
      <c r="E7" s="138"/>
      <c r="F7" s="138"/>
      <c r="G7" s="96"/>
      <c r="H7" s="96"/>
      <c r="I7" s="225"/>
      <c r="J7" s="96"/>
      <c r="K7" s="159"/>
      <c r="L7" s="795" t="s">
        <v>828</v>
      </c>
      <c r="M7" s="795"/>
      <c r="N7" s="795"/>
      <c r="O7" s="795"/>
      <c r="P7" s="173"/>
      <c r="Q7" s="96"/>
      <c r="R7" s="96"/>
      <c r="S7" s="96"/>
      <c r="T7" s="277"/>
      <c r="U7" s="96"/>
      <c r="V7" s="702" t="s">
        <v>829</v>
      </c>
      <c r="W7" s="702" t="s">
        <v>829</v>
      </c>
      <c r="Y7" s="179"/>
      <c r="Z7" s="96"/>
      <c r="AA7" s="159"/>
      <c r="AB7" s="96"/>
      <c r="AC7" s="795" t="s">
        <v>830</v>
      </c>
      <c r="AD7" s="795"/>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2" t="s">
        <v>831</v>
      </c>
      <c r="B8" s="278" t="s">
        <v>832</v>
      </c>
      <c r="C8" s="278" t="s">
        <v>833</v>
      </c>
      <c r="D8" s="278" t="s">
        <v>834</v>
      </c>
      <c r="E8" s="278" t="s">
        <v>835</v>
      </c>
      <c r="F8" s="278" t="s">
        <v>836</v>
      </c>
      <c r="G8" s="278" t="s">
        <v>837</v>
      </c>
      <c r="H8" s="403" t="s">
        <v>9</v>
      </c>
      <c r="I8" s="403" t="s">
        <v>838</v>
      </c>
      <c r="J8" s="403" t="s">
        <v>841</v>
      </c>
      <c r="K8" s="403" t="s">
        <v>842</v>
      </c>
      <c r="L8" s="403" t="s">
        <v>843</v>
      </c>
      <c r="M8" s="403" t="s">
        <v>844</v>
      </c>
      <c r="N8" s="403" t="s">
        <v>845</v>
      </c>
      <c r="O8" s="403" t="s">
        <v>846</v>
      </c>
      <c r="P8" s="403" t="s">
        <v>847</v>
      </c>
      <c r="Q8" s="403" t="s">
        <v>677</v>
      </c>
      <c r="R8" s="403" t="s">
        <v>3</v>
      </c>
      <c r="S8" s="403" t="s">
        <v>2598</v>
      </c>
      <c r="T8" s="404" t="s">
        <v>914</v>
      </c>
      <c r="U8" s="403"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69">
        <v>1</v>
      </c>
      <c r="B9" s="414" t="s">
        <v>2599</v>
      </c>
      <c r="C9" s="414"/>
      <c r="D9" s="414"/>
      <c r="E9" s="414"/>
      <c r="F9" s="414"/>
      <c r="G9" s="414"/>
      <c r="H9" s="316" t="s">
        <v>2600</v>
      </c>
      <c r="I9" s="416" t="s">
        <v>1725</v>
      </c>
      <c r="J9" s="316" t="s">
        <v>2601</v>
      </c>
      <c r="K9" s="316" t="s">
        <v>1982</v>
      </c>
      <c r="L9" s="341" t="s">
        <v>864</v>
      </c>
      <c r="M9" s="341" t="s">
        <v>1982</v>
      </c>
      <c r="N9" s="417"/>
      <c r="O9" s="417"/>
      <c r="P9" s="417" t="s">
        <v>864</v>
      </c>
      <c r="Q9" s="416" t="s">
        <v>823</v>
      </c>
      <c r="R9" s="341" t="s">
        <v>864</v>
      </c>
      <c r="S9" s="341" t="s">
        <v>1982</v>
      </c>
      <c r="T9" s="417"/>
      <c r="U9" s="417"/>
      <c r="V9" s="502" t="s">
        <v>864</v>
      </c>
      <c r="W9" s="503" t="s">
        <v>864</v>
      </c>
      <c r="ALN9" s="238"/>
      <c r="ALO9" s="238"/>
      <c r="ALP9" s="238"/>
      <c r="ALQ9" s="238"/>
      <c r="ALR9" s="238"/>
      <c r="ALS9" s="238"/>
      <c r="ALT9" s="238"/>
      <c r="ALU9" s="238"/>
      <c r="ALV9" s="238"/>
      <c r="ALW9" s="238"/>
      <c r="ALX9" s="238"/>
      <c r="ALY9" s="238"/>
      <c r="ALZ9" s="238"/>
    </row>
    <row r="10" spans="1:1014" ht="14.25" customHeight="1">
      <c r="A10" s="395">
        <v>2</v>
      </c>
      <c r="B10" s="396"/>
      <c r="C10" s="396" t="s">
        <v>2602</v>
      </c>
      <c r="D10" s="465"/>
      <c r="E10" s="465"/>
      <c r="F10" s="465"/>
      <c r="G10" s="465"/>
      <c r="H10" s="322" t="s">
        <v>2603</v>
      </c>
      <c r="I10" s="322" t="s">
        <v>2604</v>
      </c>
      <c r="K10" s="322" t="s">
        <v>1218</v>
      </c>
      <c r="Q10" s="324" t="s">
        <v>820</v>
      </c>
      <c r="R10" s="224"/>
      <c r="S10" s="224" t="s">
        <v>863</v>
      </c>
      <c r="V10" s="95" t="s">
        <v>864</v>
      </c>
      <c r="W10" s="95" t="s">
        <v>864</v>
      </c>
    </row>
    <row r="11" spans="1:1014" ht="14.25" customHeight="1">
      <c r="A11" s="395">
        <v>3</v>
      </c>
      <c r="B11" s="396"/>
      <c r="C11" s="396" t="s">
        <v>2605</v>
      </c>
      <c r="D11" s="396"/>
      <c r="E11" s="396"/>
      <c r="F11" s="396"/>
      <c r="G11" s="396"/>
      <c r="H11" s="316" t="s">
        <v>2606</v>
      </c>
      <c r="I11" s="316" t="s">
        <v>2607</v>
      </c>
      <c r="K11" s="316" t="s">
        <v>879</v>
      </c>
      <c r="Q11" s="319" t="s">
        <v>820</v>
      </c>
      <c r="R11" s="224"/>
      <c r="S11" s="224" t="s">
        <v>879</v>
      </c>
      <c r="V11" s="95" t="s">
        <v>864</v>
      </c>
      <c r="W11" s="95" t="s">
        <v>864</v>
      </c>
    </row>
    <row r="12" spans="1:1014" ht="14.25" customHeight="1">
      <c r="A12" s="469">
        <v>4</v>
      </c>
      <c r="B12" s="396"/>
      <c r="C12" s="396" t="s">
        <v>2608</v>
      </c>
      <c r="D12" s="396"/>
      <c r="E12" s="396"/>
      <c r="F12" s="396"/>
      <c r="G12" s="396"/>
      <c r="H12" s="399" t="s">
        <v>2609</v>
      </c>
      <c r="I12" s="399" t="s">
        <v>2610</v>
      </c>
      <c r="K12" s="399" t="s">
        <v>2611</v>
      </c>
      <c r="Q12" s="332" t="s">
        <v>817</v>
      </c>
      <c r="R12" s="224"/>
      <c r="S12" s="224" t="s">
        <v>879</v>
      </c>
      <c r="V12" s="95" t="s">
        <v>864</v>
      </c>
      <c r="W12" s="95" t="s">
        <v>864</v>
      </c>
    </row>
    <row r="13" spans="1:1014" ht="14.25" customHeight="1">
      <c r="A13" s="395">
        <v>5</v>
      </c>
      <c r="B13" s="396"/>
      <c r="C13" s="396" t="s">
        <v>1167</v>
      </c>
      <c r="D13" s="396"/>
      <c r="E13" s="396"/>
      <c r="F13" s="396"/>
      <c r="G13" s="396"/>
      <c r="H13" s="398" t="s">
        <v>2612</v>
      </c>
      <c r="I13" s="393"/>
      <c r="K13" s="398" t="s">
        <v>1169</v>
      </c>
      <c r="Q13" s="394" t="s">
        <v>823</v>
      </c>
      <c r="R13" s="224" t="s">
        <v>864</v>
      </c>
      <c r="S13" s="316" t="s">
        <v>1169</v>
      </c>
      <c r="V13" s="95" t="s">
        <v>864</v>
      </c>
      <c r="W13" s="95" t="s">
        <v>864</v>
      </c>
    </row>
    <row r="14" spans="1:1014" ht="14.25" customHeight="1">
      <c r="A14" s="395">
        <v>6</v>
      </c>
      <c r="B14" s="396"/>
      <c r="C14" s="396"/>
      <c r="D14" s="396" t="s">
        <v>2001</v>
      </c>
      <c r="E14" s="396"/>
      <c r="F14" s="396"/>
      <c r="G14" s="396"/>
      <c r="H14" s="399" t="s">
        <v>2613</v>
      </c>
      <c r="I14" s="399" t="s">
        <v>2004</v>
      </c>
      <c r="K14" s="399" t="s">
        <v>1173</v>
      </c>
      <c r="Q14" s="324" t="s">
        <v>820</v>
      </c>
      <c r="R14" s="224"/>
      <c r="S14" s="322" t="s">
        <v>1092</v>
      </c>
      <c r="V14" s="95" t="s">
        <v>864</v>
      </c>
      <c r="W14" s="95" t="s">
        <v>864</v>
      </c>
    </row>
    <row r="15" spans="1:1014" ht="14.25" customHeight="1">
      <c r="A15" s="469">
        <v>7</v>
      </c>
      <c r="B15" s="396"/>
      <c r="C15" s="396"/>
      <c r="D15" s="396" t="s">
        <v>1176</v>
      </c>
      <c r="E15" s="396"/>
      <c r="F15" s="396"/>
      <c r="G15" s="396"/>
      <c r="H15" s="398" t="s">
        <v>2614</v>
      </c>
      <c r="I15" s="400" t="s">
        <v>2008</v>
      </c>
      <c r="K15" s="398" t="s">
        <v>1179</v>
      </c>
      <c r="Q15" s="319" t="s">
        <v>820</v>
      </c>
      <c r="R15" s="224"/>
      <c r="S15" s="316" t="s">
        <v>1092</v>
      </c>
      <c r="V15" s="95" t="s">
        <v>864</v>
      </c>
      <c r="W15" s="95" t="s">
        <v>864</v>
      </c>
    </row>
    <row r="16" spans="1:1014" ht="14.25" customHeight="1">
      <c r="A16" s="395">
        <v>8</v>
      </c>
      <c r="B16" s="396"/>
      <c r="C16" s="396"/>
      <c r="D16" s="396" t="s">
        <v>2010</v>
      </c>
      <c r="E16" s="396"/>
      <c r="F16" s="396"/>
      <c r="G16" s="396"/>
      <c r="H16" s="399" t="s">
        <v>2615</v>
      </c>
      <c r="I16" s="401">
        <v>1</v>
      </c>
      <c r="K16" s="399" t="s">
        <v>1182</v>
      </c>
      <c r="Q16" s="332" t="s">
        <v>817</v>
      </c>
      <c r="R16" s="224"/>
      <c r="S16" s="322" t="s">
        <v>1092</v>
      </c>
      <c r="V16" s="95" t="s">
        <v>864</v>
      </c>
      <c r="W16" s="95" t="s">
        <v>864</v>
      </c>
    </row>
    <row r="17" spans="1:23" ht="14.25" customHeight="1">
      <c r="A17" s="395">
        <v>9</v>
      </c>
      <c r="B17" s="396"/>
      <c r="C17" s="396" t="s">
        <v>2616</v>
      </c>
      <c r="D17" s="396"/>
      <c r="E17" s="396"/>
      <c r="F17" s="396"/>
      <c r="G17" s="396"/>
      <c r="H17" s="398" t="s">
        <v>2617</v>
      </c>
      <c r="I17" s="463">
        <v>80</v>
      </c>
      <c r="K17" s="398" t="s">
        <v>1190</v>
      </c>
      <c r="Q17" s="332" t="s">
        <v>817</v>
      </c>
      <c r="R17" s="224"/>
      <c r="S17" s="322" t="s">
        <v>1092</v>
      </c>
      <c r="V17" s="95" t="s">
        <v>864</v>
      </c>
      <c r="W17" s="95" t="s">
        <v>864</v>
      </c>
    </row>
    <row r="18" spans="1:23" ht="14.25" customHeight="1">
      <c r="A18" s="469">
        <v>10</v>
      </c>
      <c r="B18" s="396"/>
      <c r="C18" s="396" t="s">
        <v>2618</v>
      </c>
      <c r="D18" s="396"/>
      <c r="E18" s="396"/>
      <c r="F18" s="396"/>
      <c r="G18" s="396"/>
      <c r="H18" s="399" t="s">
        <v>2619</v>
      </c>
      <c r="I18" s="401">
        <v>96</v>
      </c>
      <c r="K18" s="399" t="s">
        <v>2620</v>
      </c>
      <c r="Q18" s="332" t="s">
        <v>817</v>
      </c>
      <c r="R18" s="224"/>
      <c r="S18" s="224" t="s">
        <v>863</v>
      </c>
      <c r="V18" s="95" t="s">
        <v>864</v>
      </c>
      <c r="W18" s="95" t="s">
        <v>864</v>
      </c>
    </row>
    <row r="19" spans="1:23" ht="14.25" customHeight="1">
      <c r="A19" s="395">
        <v>11</v>
      </c>
      <c r="B19" s="396"/>
      <c r="C19" s="396" t="s">
        <v>2621</v>
      </c>
      <c r="D19" s="396"/>
      <c r="E19" s="396"/>
      <c r="F19" s="396"/>
      <c r="G19" s="396"/>
      <c r="H19" s="398" t="s">
        <v>2622</v>
      </c>
      <c r="I19" s="463" t="s">
        <v>2623</v>
      </c>
      <c r="K19" s="398" t="s">
        <v>2624</v>
      </c>
      <c r="Q19" s="332" t="s">
        <v>817</v>
      </c>
      <c r="R19" s="224"/>
      <c r="S19" s="224" t="s">
        <v>863</v>
      </c>
      <c r="T19" s="456" t="s">
        <v>864</v>
      </c>
      <c r="U19" t="s">
        <v>2625</v>
      </c>
      <c r="V19" s="95" t="s">
        <v>864</v>
      </c>
      <c r="W19" s="95" t="s">
        <v>864</v>
      </c>
    </row>
    <row r="20" spans="1:23" ht="14.25" customHeight="1">
      <c r="A20" s="395">
        <v>12</v>
      </c>
      <c r="B20" s="396"/>
      <c r="C20" s="396" t="s">
        <v>2626</v>
      </c>
      <c r="D20" s="396"/>
      <c r="E20" s="396"/>
      <c r="F20" s="396"/>
      <c r="G20" s="396"/>
      <c r="H20" s="322" t="s">
        <v>2627</v>
      </c>
      <c r="I20" s="375" t="b">
        <v>1</v>
      </c>
      <c r="K20" s="322" t="s">
        <v>2628</v>
      </c>
      <c r="Q20" s="332" t="s">
        <v>817</v>
      </c>
      <c r="R20" s="224"/>
      <c r="S20" s="322" t="s">
        <v>1655</v>
      </c>
      <c r="T20" s="456"/>
      <c r="U20" s="225"/>
      <c r="V20" s="95" t="s">
        <v>864</v>
      </c>
      <c r="W20" s="95" t="s">
        <v>864</v>
      </c>
    </row>
    <row r="21" spans="1:23" ht="14.25" customHeight="1">
      <c r="A21" s="469">
        <v>13</v>
      </c>
      <c r="B21" s="396"/>
      <c r="C21" s="396" t="s">
        <v>2629</v>
      </c>
      <c r="D21" s="396"/>
      <c r="E21" s="396"/>
      <c r="F21" s="396"/>
      <c r="G21" s="396"/>
      <c r="H21" s="398" t="s">
        <v>2630</v>
      </c>
      <c r="I21" s="375" t="b">
        <v>1</v>
      </c>
      <c r="K21" s="398" t="s">
        <v>2631</v>
      </c>
      <c r="Q21" s="332" t="s">
        <v>817</v>
      </c>
      <c r="R21" s="224"/>
      <c r="S21" s="322" t="s">
        <v>1655</v>
      </c>
      <c r="T21" s="456"/>
      <c r="U21" s="225"/>
      <c r="V21" s="95" t="s">
        <v>864</v>
      </c>
      <c r="W21" s="95" t="s">
        <v>864</v>
      </c>
    </row>
    <row r="22" spans="1:23" ht="14.25" customHeight="1">
      <c r="A22" s="395">
        <v>14</v>
      </c>
      <c r="B22" s="396"/>
      <c r="C22" s="396" t="s">
        <v>2156</v>
      </c>
      <c r="D22" s="396"/>
      <c r="E22" s="396"/>
      <c r="F22" s="396"/>
      <c r="G22" s="396"/>
      <c r="H22" s="322" t="s">
        <v>2632</v>
      </c>
      <c r="I22" s="375" t="s">
        <v>2633</v>
      </c>
      <c r="K22" s="322" t="s">
        <v>888</v>
      </c>
      <c r="Q22" s="332" t="s">
        <v>817</v>
      </c>
      <c r="R22" s="224"/>
      <c r="S22" s="224" t="s">
        <v>863</v>
      </c>
      <c r="T22" s="238" t="s">
        <v>864</v>
      </c>
      <c r="U22" s="225" t="s">
        <v>2634</v>
      </c>
      <c r="V22" s="95" t="s">
        <v>864</v>
      </c>
      <c r="W22" s="95" t="s">
        <v>864</v>
      </c>
    </row>
    <row r="23" spans="1:23" ht="14.25" customHeight="1" thickBot="1">
      <c r="A23" s="490">
        <v>15</v>
      </c>
      <c r="B23" s="475"/>
      <c r="C23" s="475" t="s">
        <v>2635</v>
      </c>
      <c r="D23" s="475"/>
      <c r="E23" s="475"/>
      <c r="F23" s="475"/>
      <c r="G23" s="475"/>
      <c r="H23" s="493" t="s">
        <v>2636</v>
      </c>
      <c r="I23" s="494" t="s">
        <v>2637</v>
      </c>
      <c r="J23" s="478"/>
      <c r="K23" s="493" t="s">
        <v>2638</v>
      </c>
      <c r="L23" s="478"/>
      <c r="M23" s="478"/>
      <c r="N23" s="478"/>
      <c r="O23" s="478"/>
      <c r="P23" s="478"/>
      <c r="Q23" s="479" t="s">
        <v>817</v>
      </c>
      <c r="R23" s="481"/>
      <c r="S23" s="481" t="s">
        <v>863</v>
      </c>
      <c r="T23" s="480" t="s">
        <v>864</v>
      </c>
      <c r="U23" s="495" t="s">
        <v>2639</v>
      </c>
      <c r="V23" s="496" t="s">
        <v>864</v>
      </c>
      <c r="W23" s="496" t="s">
        <v>864</v>
      </c>
    </row>
    <row r="24" spans="1:23" ht="16" thickTop="1">
      <c r="A24" s="406">
        <f>SUBTOTAL(103,Tableau3[ID])</f>
        <v>15</v>
      </c>
      <c r="B24" s="406">
        <f>SUBTOTAL(103,Tableau3[Donnée (Niveau 1)])</f>
        <v>1</v>
      </c>
      <c r="C24" s="406">
        <f>SUBTOTAL(103,Tableau3[Donnée (Niveau 2)])</f>
        <v>11</v>
      </c>
      <c r="D24" s="406">
        <f>SUBTOTAL(103,Tableau3[Donnée (Niveau 3)])</f>
        <v>3</v>
      </c>
      <c r="E24" s="406">
        <f>SUBTOTAL(103,Tableau3[Donnée (Niveau 4)])</f>
        <v>0</v>
      </c>
      <c r="F24" s="406">
        <f>SUBTOTAL(103,Tableau3[Donnée (Niveau 5)])</f>
        <v>0</v>
      </c>
      <c r="G24" s="406">
        <f>SUBTOTAL(103,Tableau3[Donnée (Niveau 6)])</f>
        <v>0</v>
      </c>
      <c r="H24" s="406">
        <f>SUBTOTAL(103,Tableau3[Description])</f>
        <v>15</v>
      </c>
      <c r="I24" s="406">
        <f>SUBTOTAL(103,Tableau3[Exemples])</f>
        <v>14</v>
      </c>
      <c r="J24" s="406">
        <f>SUBTOTAL(103,Tableau3[Balise NexSIS])</f>
        <v>1</v>
      </c>
      <c r="K24" s="406">
        <f>SUBTOTAL(103,Tableau3[Nouvelle balise])</f>
        <v>15</v>
      </c>
      <c r="L24" s="406">
        <f>SUBTOTAL(103,Tableau3[Nantes - balise])</f>
        <v>1</v>
      </c>
      <c r="M24" s="406">
        <f>SUBTOTAL(103,Tableau3[Nantes - description])</f>
        <v>1</v>
      </c>
      <c r="N24" s="406">
        <f>SUBTOTAL(103,Tableau3[GT399])</f>
        <v>0</v>
      </c>
      <c r="O24" s="406">
        <f>SUBTOTAL(103,Tableau3[GT399 description])</f>
        <v>0</v>
      </c>
      <c r="P24" s="406">
        <f>SUBTOTAL(103,Tableau3[Priorisation])</f>
        <v>1</v>
      </c>
      <c r="Q24" s="406">
        <f>SUBTOTAL(103,Tableau3[Cardinalité])</f>
        <v>15</v>
      </c>
      <c r="R24" s="406">
        <f>SUBTOTAL(103,Tableau3[Objet])</f>
        <v>2</v>
      </c>
      <c r="S24" s="406">
        <f>SUBTOTAL(103,Tableau3[Format (ou type)])</f>
        <v>15</v>
      </c>
      <c r="T24" s="406">
        <f>SUBTOTAL(103,Tableau3[Nomenclature/ énumération])</f>
        <v>3</v>
      </c>
      <c r="U24" s="406">
        <f>SUBTOTAL(103,Tableau3[Détails de format])</f>
        <v>3</v>
      </c>
      <c r="V24" s="406">
        <f>SUBTOTAL(103,Tableau3[15-18])</f>
        <v>15</v>
      </c>
      <c r="W24" s="406">
        <f>SUBTOTAL(103,Tableau3[15-15])</f>
        <v>15</v>
      </c>
    </row>
    <row r="25" spans="1:23" ht="14"/>
    <row r="26" spans="1:23" ht="14"/>
    <row r="27" spans="1:23" ht="14"/>
    <row r="28" spans="1:23" ht="14"/>
    <row r="29" spans="1:23" ht="14"/>
    <row r="30" spans="1:23" ht="14"/>
  </sheetData>
  <mergeCells count="3">
    <mergeCell ref="O1:P1"/>
    <mergeCell ref="L7:O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H9" activePane="bottomRight" state="frozen"/>
      <selection pane="topRight"/>
      <selection pane="bottomLeft"/>
      <selection pane="bottomRight" activeCell="F21" sqref="F21"/>
    </sheetView>
  </sheetViews>
  <sheetFormatPr baseColWidth="10" defaultColWidth="9" defaultRowHeight="14"/>
  <cols>
    <col min="1" max="1" width="4.1640625" customWidth="1"/>
    <col min="2" max="2" width="21.83203125" customWidth="1"/>
    <col min="3" max="3" width="26.5" customWidth="1"/>
    <col min="4" max="4" width="11" customWidth="1"/>
    <col min="5" max="5" width="11" style="57" customWidth="1"/>
    <col min="6" max="7" width="11" customWidth="1"/>
    <col min="8" max="8" width="44.1640625" customWidth="1"/>
    <col min="9" max="9" width="16.1640625" customWidth="1"/>
    <col min="10" max="10" width="0" hidden="1" customWidth="1"/>
    <col min="11" max="11" width="12.1640625" customWidth="1"/>
    <col min="12" max="16" width="0" hidden="1" customWidth="1"/>
    <col min="17" max="17" width="10.1640625" customWidth="1"/>
    <col min="19" max="19" width="9.6640625" customWidth="1"/>
    <col min="20" max="20" width="13.1640625" customWidth="1"/>
    <col min="21" max="21" width="9.5" customWidth="1"/>
    <col min="24" max="30" width="0" hidden="1" customWidth="1"/>
  </cols>
  <sheetData>
    <row r="1" spans="1:1014" ht="14.25" customHeight="1">
      <c r="A1" s="228" t="s">
        <v>2640</v>
      </c>
      <c r="B1" s="128"/>
      <c r="C1" s="129" t="s">
        <v>813</v>
      </c>
      <c r="D1" s="128"/>
      <c r="E1" s="150" t="s">
        <v>814</v>
      </c>
      <c r="F1" s="157"/>
      <c r="G1" s="128"/>
      <c r="H1" s="96"/>
      <c r="I1" s="225"/>
      <c r="J1" s="96"/>
      <c r="K1" s="159"/>
      <c r="L1" s="96"/>
      <c r="M1" s="96"/>
      <c r="N1" s="96"/>
      <c r="O1" s="794" t="s">
        <v>816</v>
      </c>
      <c r="P1" s="794"/>
      <c r="Q1" s="96"/>
      <c r="R1" s="96"/>
      <c r="S1" s="96"/>
      <c r="T1" s="277"/>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4"/>
      <c r="E2" s="152" t="s">
        <v>819</v>
      </c>
      <c r="F2" s="157"/>
      <c r="G2" s="128"/>
      <c r="H2" s="148"/>
      <c r="I2" s="275"/>
      <c r="J2" s="148"/>
      <c r="K2" s="159"/>
      <c r="L2" s="96"/>
      <c r="M2" s="96"/>
      <c r="N2" s="96"/>
      <c r="O2" s="96"/>
      <c r="P2" s="173"/>
      <c r="Q2" s="96"/>
      <c r="R2" s="96"/>
      <c r="S2" s="96"/>
      <c r="T2" s="277"/>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7"/>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7"/>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0" t="s">
        <v>912</v>
      </c>
      <c r="F5" s="146"/>
      <c r="G5" s="148"/>
      <c r="H5" s="148"/>
      <c r="I5" s="275"/>
      <c r="J5" s="148"/>
      <c r="K5" s="160"/>
      <c r="L5" s="148"/>
      <c r="M5" s="148"/>
      <c r="N5" s="148"/>
      <c r="O5" s="148"/>
      <c r="P5" s="186"/>
      <c r="Q5" s="148"/>
      <c r="R5" s="148"/>
      <c r="S5" s="148"/>
      <c r="T5" s="279"/>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7"/>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7"/>
      <c r="E7" s="138"/>
      <c r="F7" s="138"/>
      <c r="G7" s="96"/>
      <c r="H7" s="96"/>
      <c r="I7" s="225"/>
      <c r="J7" s="96"/>
      <c r="K7" s="159"/>
      <c r="L7" s="795" t="s">
        <v>828</v>
      </c>
      <c r="M7" s="795"/>
      <c r="N7" s="795"/>
      <c r="O7" s="795"/>
      <c r="P7" s="173"/>
      <c r="Q7" s="96"/>
      <c r="R7" s="96"/>
      <c r="S7" s="96"/>
      <c r="T7" s="277"/>
      <c r="U7" s="96"/>
      <c r="V7" s="704" t="s">
        <v>829</v>
      </c>
      <c r="W7" s="704" t="s">
        <v>829</v>
      </c>
      <c r="Y7" s="179"/>
      <c r="Z7" s="96"/>
      <c r="AA7" s="159"/>
      <c r="AB7" s="96"/>
      <c r="AC7" s="795" t="s">
        <v>830</v>
      </c>
      <c r="AD7" s="795"/>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2" t="s">
        <v>831</v>
      </c>
      <c r="B8" s="278" t="s">
        <v>832</v>
      </c>
      <c r="C8" s="278" t="s">
        <v>833</v>
      </c>
      <c r="D8" s="278" t="s">
        <v>834</v>
      </c>
      <c r="E8" s="278" t="s">
        <v>835</v>
      </c>
      <c r="F8" s="278" t="s">
        <v>836</v>
      </c>
      <c r="G8" s="278" t="s">
        <v>837</v>
      </c>
      <c r="H8" s="403" t="s">
        <v>9</v>
      </c>
      <c r="I8" s="403" t="s">
        <v>838</v>
      </c>
      <c r="J8" s="403" t="s">
        <v>841</v>
      </c>
      <c r="K8" s="403" t="s">
        <v>842</v>
      </c>
      <c r="L8" s="403" t="s">
        <v>843</v>
      </c>
      <c r="M8" s="403" t="s">
        <v>844</v>
      </c>
      <c r="N8" s="403" t="s">
        <v>845</v>
      </c>
      <c r="O8" s="403" t="s">
        <v>846</v>
      </c>
      <c r="P8" s="403" t="s">
        <v>847</v>
      </c>
      <c r="Q8" s="403" t="s">
        <v>677</v>
      </c>
      <c r="R8" s="403" t="s">
        <v>3</v>
      </c>
      <c r="S8" s="403" t="s">
        <v>2598</v>
      </c>
      <c r="T8" s="404" t="s">
        <v>914</v>
      </c>
      <c r="U8" s="403"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thickBot="1">
      <c r="A9" s="490">
        <v>1</v>
      </c>
      <c r="B9" s="474" t="s">
        <v>2641</v>
      </c>
      <c r="C9" s="491"/>
      <c r="D9" s="474"/>
      <c r="E9" s="475"/>
      <c r="F9" s="475"/>
      <c r="G9" s="475"/>
      <c r="H9" s="492" t="s">
        <v>2642</v>
      </c>
      <c r="I9" s="492" t="s">
        <v>2604</v>
      </c>
      <c r="J9" s="478"/>
      <c r="K9" s="492" t="s">
        <v>1710</v>
      </c>
      <c r="L9" s="478"/>
      <c r="M9" s="478"/>
      <c r="N9" s="478"/>
      <c r="O9" s="478"/>
      <c r="P9" s="478"/>
      <c r="Q9" s="479" t="s">
        <v>893</v>
      </c>
      <c r="R9" s="481"/>
      <c r="S9" s="481" t="s">
        <v>863</v>
      </c>
      <c r="T9" s="478"/>
      <c r="U9" s="478"/>
      <c r="V9" s="478" t="s">
        <v>864</v>
      </c>
      <c r="W9" s="478" t="s">
        <v>864</v>
      </c>
    </row>
    <row r="10" spans="1:1014" ht="16" thickTop="1">
      <c r="A10" s="405">
        <f>SUBTOTAL(103,Tableau35[ID])</f>
        <v>1</v>
      </c>
      <c r="B10" s="405">
        <f>SUBTOTAL(103,Tableau35[Donnée (Niveau 1)])</f>
        <v>1</v>
      </c>
      <c r="C10" s="405">
        <f>SUBTOTAL(103,Tableau35[Donnée (Niveau 2)])</f>
        <v>0</v>
      </c>
      <c r="D10" s="405">
        <f>SUBTOTAL(103,Tableau35[Donnée (Niveau 3)])</f>
        <v>0</v>
      </c>
      <c r="E10" s="405">
        <f>SUBTOTAL(103,Tableau35[Donnée (Niveau 4)])</f>
        <v>0</v>
      </c>
      <c r="F10" s="405">
        <f>SUBTOTAL(103,Tableau35[Donnée (Niveau 5)])</f>
        <v>0</v>
      </c>
      <c r="G10" s="405">
        <f>SUBTOTAL(103,Tableau35[Donnée (Niveau 6)])</f>
        <v>0</v>
      </c>
      <c r="H10" s="405">
        <f>SUBTOTAL(103,Tableau35[Description])</f>
        <v>1</v>
      </c>
      <c r="I10" s="405">
        <f>SUBTOTAL(103,Tableau35[Exemples])</f>
        <v>1</v>
      </c>
      <c r="J10" s="405">
        <f>SUBTOTAL(103,Tableau35[Balise NexSIS])</f>
        <v>0</v>
      </c>
      <c r="K10" s="405">
        <f>SUBTOTAL(103,Tableau35[Nouvelle balise])</f>
        <v>1</v>
      </c>
      <c r="L10" s="405">
        <f>SUBTOTAL(103,Tableau35[Nantes - balise])</f>
        <v>0</v>
      </c>
      <c r="M10" s="405">
        <f>SUBTOTAL(103,Tableau35[Nantes - description])</f>
        <v>0</v>
      </c>
      <c r="N10" s="405">
        <f>SUBTOTAL(103,Tableau35[GT399])</f>
        <v>0</v>
      </c>
      <c r="O10" s="405">
        <f>SUBTOTAL(103,Tableau35[GT399 description])</f>
        <v>0</v>
      </c>
      <c r="P10" s="405">
        <f>SUBTOTAL(103,Tableau35[Priorisation])</f>
        <v>0</v>
      </c>
      <c r="Q10" s="405">
        <f>SUBTOTAL(103,Tableau35[Cardinalité])</f>
        <v>1</v>
      </c>
      <c r="R10" s="405">
        <f>SUBTOTAL(103,Tableau35[Objet])</f>
        <v>0</v>
      </c>
      <c r="S10" s="405">
        <f>SUBTOTAL(103,Tableau35[Format (ou type)])</f>
        <v>1</v>
      </c>
      <c r="T10" s="405">
        <f>SUBTOTAL(103,Tableau35[Nomenclature/ énumération])</f>
        <v>0</v>
      </c>
      <c r="U10" s="405">
        <f>SUBTOTAL(103,Tableau35[Détails de format])</f>
        <v>0</v>
      </c>
      <c r="V10" s="405">
        <f>SUBTOTAL(103,Tableau35[15-18])</f>
        <v>1</v>
      </c>
      <c r="W10" s="405">
        <f>SUBTOTAL(103,Tableau35[15-15])</f>
        <v>1</v>
      </c>
    </row>
  </sheetData>
  <mergeCells count="3">
    <mergeCell ref="O1:P1"/>
    <mergeCell ref="L7:O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10" activePane="bottomRight" state="frozen"/>
      <selection pane="topRight"/>
      <selection pane="bottomLeft"/>
      <selection pane="bottomRight" activeCell="H28" sqref="H28"/>
    </sheetView>
  </sheetViews>
  <sheetFormatPr baseColWidth="10" defaultColWidth="9" defaultRowHeight="14"/>
  <cols>
    <col min="1" max="1" width="4.1640625" customWidth="1"/>
    <col min="2" max="2" width="18.5" customWidth="1"/>
    <col min="3" max="3" width="30.1640625" customWidth="1"/>
    <col min="4" max="4" width="15.6640625" customWidth="1"/>
    <col min="5" max="5" width="9.6640625" style="57" customWidth="1"/>
    <col min="6" max="7" width="9.6640625" customWidth="1"/>
    <col min="8" max="8" width="46.5" customWidth="1"/>
    <col min="9" max="9" width="17.6640625" customWidth="1"/>
    <col min="10" max="10" width="6.1640625" hidden="1" customWidth="1"/>
    <col min="11" max="11" width="18.6640625" customWidth="1"/>
    <col min="12" max="16" width="0" hidden="1" customWidth="1"/>
    <col min="17" max="17" width="11.83203125" customWidth="1"/>
    <col min="20" max="20" width="14.1640625" bestFit="1" customWidth="1"/>
    <col min="21" max="21" width="12.6640625" bestFit="1" customWidth="1"/>
    <col min="24" max="30" width="0" hidden="1" customWidth="1"/>
  </cols>
  <sheetData>
    <row r="1" spans="1:1014" ht="14.25" customHeight="1">
      <c r="A1" s="228" t="s">
        <v>2643</v>
      </c>
      <c r="B1" s="128"/>
      <c r="C1" s="129" t="s">
        <v>813</v>
      </c>
      <c r="D1" s="128"/>
      <c r="E1" s="150" t="s">
        <v>814</v>
      </c>
      <c r="F1" s="157"/>
      <c r="G1" s="128"/>
      <c r="H1" s="96"/>
      <c r="I1" s="225"/>
      <c r="J1" s="96"/>
      <c r="K1" s="159"/>
      <c r="L1" s="96"/>
      <c r="M1" s="96"/>
      <c r="N1" s="96"/>
      <c r="O1" s="794" t="s">
        <v>816</v>
      </c>
      <c r="P1" s="794"/>
      <c r="Q1" s="96"/>
      <c r="R1" s="96"/>
      <c r="S1" s="96"/>
      <c r="T1" s="277"/>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4"/>
      <c r="E2" s="152" t="s">
        <v>819</v>
      </c>
      <c r="F2" s="157"/>
      <c r="G2" s="128"/>
      <c r="H2" s="148"/>
      <c r="I2" s="275"/>
      <c r="J2" s="148"/>
      <c r="K2" s="159"/>
      <c r="L2" s="96"/>
      <c r="M2" s="96"/>
      <c r="N2" s="96"/>
      <c r="O2" s="96"/>
      <c r="P2" s="173"/>
      <c r="Q2" s="96"/>
      <c r="R2" s="96"/>
      <c r="S2" s="96"/>
      <c r="T2" s="277"/>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7"/>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7"/>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0" t="s">
        <v>912</v>
      </c>
      <c r="F5" s="146"/>
      <c r="G5" s="148"/>
      <c r="H5" s="148"/>
      <c r="I5" s="275"/>
      <c r="J5" s="148"/>
      <c r="K5" s="160"/>
      <c r="L5" s="148"/>
      <c r="M5" s="148"/>
      <c r="N5" s="148"/>
      <c r="O5" s="148"/>
      <c r="P5" s="186"/>
      <c r="Q5" s="148"/>
      <c r="R5" s="148"/>
      <c r="S5" s="148"/>
      <c r="T5" s="279"/>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7"/>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7"/>
      <c r="E7" s="138"/>
      <c r="F7" s="138"/>
      <c r="G7" s="96"/>
      <c r="H7" s="96"/>
      <c r="I7" s="225"/>
      <c r="J7" s="96"/>
      <c r="K7" s="159"/>
      <c r="L7" s="795" t="s">
        <v>828</v>
      </c>
      <c r="M7" s="795"/>
      <c r="N7" s="795"/>
      <c r="O7" s="795"/>
      <c r="P7" s="173"/>
      <c r="Q7" s="96"/>
      <c r="R7" s="96"/>
      <c r="S7" s="96"/>
      <c r="T7" s="277"/>
      <c r="U7" s="96"/>
      <c r="V7" s="704" t="s">
        <v>829</v>
      </c>
      <c r="W7" s="704" t="s">
        <v>829</v>
      </c>
      <c r="Y7" s="179"/>
      <c r="Z7" s="96"/>
      <c r="AA7" s="159"/>
      <c r="AB7" s="96"/>
      <c r="AC7" s="795" t="s">
        <v>830</v>
      </c>
      <c r="AD7" s="795"/>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2" t="s">
        <v>831</v>
      </c>
      <c r="B8" s="278" t="s">
        <v>832</v>
      </c>
      <c r="C8" s="278" t="s">
        <v>833</v>
      </c>
      <c r="D8" s="278" t="s">
        <v>834</v>
      </c>
      <c r="E8" s="278" t="s">
        <v>835</v>
      </c>
      <c r="F8" s="278" t="s">
        <v>836</v>
      </c>
      <c r="G8" s="278" t="s">
        <v>837</v>
      </c>
      <c r="H8" s="403" t="s">
        <v>9</v>
      </c>
      <c r="I8" s="403" t="s">
        <v>838</v>
      </c>
      <c r="J8" s="403" t="s">
        <v>841</v>
      </c>
      <c r="K8" s="403" t="s">
        <v>842</v>
      </c>
      <c r="L8" s="403" t="s">
        <v>843</v>
      </c>
      <c r="M8" s="403" t="s">
        <v>844</v>
      </c>
      <c r="N8" s="403" t="s">
        <v>845</v>
      </c>
      <c r="O8" s="403" t="s">
        <v>846</v>
      </c>
      <c r="P8" s="403" t="s">
        <v>847</v>
      </c>
      <c r="Q8" s="403" t="s">
        <v>677</v>
      </c>
      <c r="R8" s="403" t="s">
        <v>3</v>
      </c>
      <c r="S8" s="403" t="s">
        <v>2598</v>
      </c>
      <c r="T8" s="404" t="s">
        <v>914</v>
      </c>
      <c r="U8" s="403"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5.75" customHeight="1">
      <c r="A9" s="397">
        <v>1</v>
      </c>
      <c r="B9" s="392" t="s">
        <v>2089</v>
      </c>
      <c r="C9" s="392"/>
      <c r="D9" s="392"/>
      <c r="E9" s="396"/>
      <c r="F9" s="396"/>
      <c r="G9" s="396"/>
      <c r="H9" s="316" t="s">
        <v>2644</v>
      </c>
      <c r="I9" s="394"/>
      <c r="K9" s="316" t="s">
        <v>1365</v>
      </c>
      <c r="Q9" s="394" t="s">
        <v>823</v>
      </c>
      <c r="R9" s="224" t="s">
        <v>864</v>
      </c>
      <c r="S9" s="224" t="s">
        <v>1365</v>
      </c>
      <c r="T9" s="456"/>
      <c r="U9" s="224"/>
      <c r="V9" t="s">
        <v>864</v>
      </c>
      <c r="W9" t="s">
        <v>864</v>
      </c>
    </row>
    <row r="10" spans="1:1014" ht="13.5" customHeight="1">
      <c r="A10" s="395">
        <v>2</v>
      </c>
      <c r="B10" s="467"/>
      <c r="C10" s="467" t="s">
        <v>2602</v>
      </c>
      <c r="D10" s="467"/>
      <c r="E10" s="465"/>
      <c r="F10" s="465"/>
      <c r="G10" s="396"/>
      <c r="H10" s="322" t="s">
        <v>2603</v>
      </c>
      <c r="I10" s="322" t="s">
        <v>2604</v>
      </c>
      <c r="K10" s="322" t="s">
        <v>1218</v>
      </c>
      <c r="Q10" s="319" t="s">
        <v>820</v>
      </c>
      <c r="R10" s="224"/>
      <c r="S10" s="224" t="s">
        <v>863</v>
      </c>
      <c r="T10" s="456"/>
      <c r="U10" s="224"/>
      <c r="V10" t="s">
        <v>864</v>
      </c>
      <c r="W10" t="s">
        <v>864</v>
      </c>
    </row>
    <row r="11" spans="1:1014" ht="13.5" customHeight="1">
      <c r="A11" s="397">
        <v>3</v>
      </c>
      <c r="B11" s="392"/>
      <c r="C11" s="392" t="s">
        <v>2040</v>
      </c>
      <c r="D11" s="392"/>
      <c r="E11" s="396"/>
      <c r="F11" s="396"/>
      <c r="G11" s="396"/>
      <c r="H11" s="316" t="s">
        <v>2645</v>
      </c>
      <c r="I11" s="316" t="s">
        <v>2646</v>
      </c>
      <c r="K11" s="316" t="s">
        <v>2647</v>
      </c>
      <c r="Q11" s="319" t="s">
        <v>820</v>
      </c>
      <c r="R11" s="224"/>
      <c r="S11" s="224" t="s">
        <v>863</v>
      </c>
      <c r="T11" s="456"/>
      <c r="U11" s="224"/>
      <c r="V11" t="s">
        <v>864</v>
      </c>
      <c r="W11" t="s">
        <v>864</v>
      </c>
    </row>
    <row r="12" spans="1:1014" ht="13.5" customHeight="1">
      <c r="A12" s="395">
        <v>4</v>
      </c>
      <c r="B12" s="392"/>
      <c r="C12" s="392" t="s">
        <v>2119</v>
      </c>
      <c r="D12" s="392"/>
      <c r="E12" s="396"/>
      <c r="F12" s="396"/>
      <c r="G12" s="396"/>
      <c r="H12" s="322" t="s">
        <v>2648</v>
      </c>
      <c r="I12" s="322" t="s">
        <v>2649</v>
      </c>
      <c r="K12" s="322" t="s">
        <v>871</v>
      </c>
      <c r="Q12" s="332" t="s">
        <v>817</v>
      </c>
      <c r="R12" s="224"/>
      <c r="S12" s="224" t="s">
        <v>863</v>
      </c>
      <c r="T12" s="456"/>
      <c r="U12" s="224"/>
      <c r="V12" t="s">
        <v>864</v>
      </c>
      <c r="W12" t="s">
        <v>864</v>
      </c>
    </row>
    <row r="13" spans="1:1014" ht="13.5" customHeight="1">
      <c r="A13" s="397">
        <v>5</v>
      </c>
      <c r="B13" s="392"/>
      <c r="C13" s="392" t="s">
        <v>1699</v>
      </c>
      <c r="D13" s="392"/>
      <c r="E13" s="396"/>
      <c r="F13" s="396"/>
      <c r="G13" s="396"/>
      <c r="H13" s="316" t="s">
        <v>2650</v>
      </c>
      <c r="I13" s="316" t="s">
        <v>2211</v>
      </c>
      <c r="K13" s="316" t="s">
        <v>970</v>
      </c>
      <c r="Q13" s="324" t="s">
        <v>820</v>
      </c>
      <c r="R13" s="224"/>
      <c r="S13" s="224" t="s">
        <v>863</v>
      </c>
      <c r="T13" s="456" t="s">
        <v>864</v>
      </c>
      <c r="U13" s="224" t="s">
        <v>2651</v>
      </c>
      <c r="V13" t="s">
        <v>864</v>
      </c>
      <c r="W13" t="s">
        <v>864</v>
      </c>
    </row>
    <row r="14" spans="1:1014" ht="13.5" customHeight="1">
      <c r="A14" s="395">
        <v>6</v>
      </c>
      <c r="B14" s="392"/>
      <c r="C14" s="392" t="s">
        <v>2652</v>
      </c>
      <c r="D14" s="392"/>
      <c r="E14" s="396"/>
      <c r="F14" s="396"/>
      <c r="G14" s="396"/>
      <c r="H14" s="322" t="s">
        <v>2653</v>
      </c>
      <c r="I14" s="322" t="s">
        <v>2654</v>
      </c>
      <c r="K14" s="322" t="s">
        <v>2655</v>
      </c>
      <c r="Q14" s="332" t="s">
        <v>817</v>
      </c>
      <c r="R14" s="224"/>
      <c r="S14" s="224" t="s">
        <v>863</v>
      </c>
      <c r="T14" s="456" t="s">
        <v>864</v>
      </c>
      <c r="U14" s="224" t="s">
        <v>2656</v>
      </c>
      <c r="V14" t="s">
        <v>864</v>
      </c>
      <c r="W14" t="s">
        <v>864</v>
      </c>
    </row>
    <row r="15" spans="1:1014" ht="13.5" customHeight="1">
      <c r="A15" s="397">
        <v>7</v>
      </c>
      <c r="B15" s="392"/>
      <c r="C15" s="392" t="s">
        <v>2657</v>
      </c>
      <c r="D15" s="392"/>
      <c r="E15" s="396"/>
      <c r="F15" s="396"/>
      <c r="G15" s="396"/>
      <c r="H15" s="316" t="s">
        <v>2658</v>
      </c>
      <c r="I15" s="316" t="s">
        <v>2659</v>
      </c>
      <c r="K15" s="316" t="s">
        <v>2660</v>
      </c>
      <c r="Q15" s="332" t="s">
        <v>817</v>
      </c>
      <c r="R15" s="224"/>
      <c r="S15" s="224" t="s">
        <v>863</v>
      </c>
      <c r="T15" s="456" t="s">
        <v>864</v>
      </c>
      <c r="U15" s="224" t="s">
        <v>2661</v>
      </c>
      <c r="V15" t="s">
        <v>864</v>
      </c>
      <c r="W15" t="s">
        <v>864</v>
      </c>
    </row>
    <row r="16" spans="1:1014" ht="13.5" customHeight="1">
      <c r="A16" s="395">
        <v>8</v>
      </c>
      <c r="B16" s="392"/>
      <c r="C16" s="392" t="s">
        <v>2104</v>
      </c>
      <c r="D16" s="392"/>
      <c r="E16" s="396"/>
      <c r="F16" s="396"/>
      <c r="G16" s="396"/>
      <c r="H16" s="322" t="s">
        <v>2662</v>
      </c>
      <c r="I16" s="322" t="s">
        <v>2663</v>
      </c>
      <c r="K16" s="322" t="s">
        <v>2664</v>
      </c>
      <c r="Q16" s="332" t="s">
        <v>817</v>
      </c>
      <c r="R16" s="224"/>
      <c r="S16" s="224" t="s">
        <v>863</v>
      </c>
      <c r="T16" s="456" t="s">
        <v>864</v>
      </c>
      <c r="U16" s="224" t="s">
        <v>2665</v>
      </c>
      <c r="V16" t="s">
        <v>864</v>
      </c>
      <c r="W16" t="s">
        <v>864</v>
      </c>
    </row>
    <row r="17" spans="1:23" ht="13.5" customHeight="1">
      <c r="A17" s="397">
        <v>9</v>
      </c>
      <c r="B17" s="392"/>
      <c r="C17" s="392" t="s">
        <v>2165</v>
      </c>
      <c r="D17" s="392"/>
      <c r="E17" s="396"/>
      <c r="F17" s="396"/>
      <c r="G17" s="396"/>
      <c r="H17" s="398" t="s">
        <v>2166</v>
      </c>
      <c r="I17" s="393"/>
      <c r="K17" s="316" t="s">
        <v>2666</v>
      </c>
      <c r="Q17" s="394" t="s">
        <v>823</v>
      </c>
      <c r="R17" s="224" t="s">
        <v>864</v>
      </c>
      <c r="S17" s="224" t="s">
        <v>1264</v>
      </c>
      <c r="T17" s="456"/>
      <c r="U17" s="224"/>
      <c r="V17" t="s">
        <v>864</v>
      </c>
      <c r="W17" t="s">
        <v>864</v>
      </c>
    </row>
    <row r="18" spans="1:23" ht="13.5" customHeight="1">
      <c r="A18" s="470">
        <v>10</v>
      </c>
      <c r="B18" s="468"/>
      <c r="C18" s="468"/>
      <c r="D18" s="468" t="s">
        <v>1666</v>
      </c>
      <c r="E18" s="466"/>
      <c r="F18" s="466"/>
      <c r="G18" s="466"/>
      <c r="H18" s="471" t="s">
        <v>2667</v>
      </c>
      <c r="I18" s="471" t="s">
        <v>1268</v>
      </c>
      <c r="K18" s="471" t="s">
        <v>970</v>
      </c>
      <c r="Q18" s="472" t="s">
        <v>817</v>
      </c>
      <c r="R18" s="224"/>
      <c r="S18" s="504" t="s">
        <v>863</v>
      </c>
      <c r="T18" s="456" t="s">
        <v>864</v>
      </c>
      <c r="U18" s="224" t="s">
        <v>2668</v>
      </c>
      <c r="V18" t="s">
        <v>864</v>
      </c>
      <c r="W18" t="s">
        <v>864</v>
      </c>
    </row>
    <row r="19" spans="1:23" ht="13.5" customHeight="1" thickBot="1">
      <c r="A19" s="473">
        <v>11</v>
      </c>
      <c r="B19" s="474"/>
      <c r="C19" s="474"/>
      <c r="D19" s="474" t="s">
        <v>2171</v>
      </c>
      <c r="E19" s="475"/>
      <c r="F19" s="475"/>
      <c r="G19" s="475"/>
      <c r="H19" s="476" t="s">
        <v>2669</v>
      </c>
      <c r="I19" s="477" t="s">
        <v>2670</v>
      </c>
      <c r="J19" s="478"/>
      <c r="K19" s="476" t="s">
        <v>1013</v>
      </c>
      <c r="L19" s="478"/>
      <c r="M19" s="478"/>
      <c r="N19" s="478"/>
      <c r="O19" s="478"/>
      <c r="P19" s="478"/>
      <c r="Q19" s="479" t="s">
        <v>817</v>
      </c>
      <c r="R19" s="481"/>
      <c r="S19" s="505" t="s">
        <v>863</v>
      </c>
      <c r="T19" s="480"/>
      <c r="U19" s="481"/>
      <c r="V19" s="478" t="s">
        <v>864</v>
      </c>
      <c r="W19" s="478" t="s">
        <v>864</v>
      </c>
    </row>
    <row r="20" spans="1:23" ht="16" thickTop="1">
      <c r="A20" s="405">
        <f>SUBTOTAL(103,Tableau357[ID])</f>
        <v>11</v>
      </c>
      <c r="B20" s="405">
        <f>SUBTOTAL(103,Tableau357[Donnée (Niveau 1)])</f>
        <v>1</v>
      </c>
      <c r="C20" s="405">
        <f>SUBTOTAL(103,Tableau357[Donnée (Niveau 2)])</f>
        <v>8</v>
      </c>
      <c r="D20" s="405">
        <f>SUBTOTAL(103,Tableau357[Donnée (Niveau 3)])</f>
        <v>2</v>
      </c>
      <c r="E20" s="405">
        <f>SUBTOTAL(103,Tableau357[Donnée (Niveau 4)])</f>
        <v>0</v>
      </c>
      <c r="F20" s="405">
        <f>SUBTOTAL(103,Tableau357[Donnée (Niveau 5)])</f>
        <v>0</v>
      </c>
      <c r="G20" s="405">
        <f>SUBTOTAL(103,Tableau357[Donnée (Niveau 6)])</f>
        <v>0</v>
      </c>
      <c r="H20" s="405">
        <f>SUBTOTAL(103,Tableau357[Description])</f>
        <v>11</v>
      </c>
      <c r="I20" s="405">
        <f>SUBTOTAL(103,Tableau357[Exemples])</f>
        <v>9</v>
      </c>
      <c r="J20" s="405">
        <f>SUBTOTAL(103,Tableau357[Balise NexSIS])</f>
        <v>0</v>
      </c>
      <c r="K20" s="405">
        <f>SUBTOTAL(103,Tableau357[Nouvelle balise])</f>
        <v>11</v>
      </c>
      <c r="L20" s="405">
        <f>SUBTOTAL(103,Tableau357[Nantes - balise])</f>
        <v>0</v>
      </c>
      <c r="M20" s="405">
        <f>SUBTOTAL(103,Tableau357[Nantes - description])</f>
        <v>0</v>
      </c>
      <c r="N20" s="405">
        <f>SUBTOTAL(103,Tableau357[GT399])</f>
        <v>0</v>
      </c>
      <c r="O20" s="405">
        <f>SUBTOTAL(103,Tableau357[GT399 description])</f>
        <v>0</v>
      </c>
      <c r="P20" s="405">
        <f>SUBTOTAL(103,Tableau357[Priorisation])</f>
        <v>0</v>
      </c>
      <c r="Q20" s="405">
        <f>SUBTOTAL(103,Tableau357[Cardinalité])</f>
        <v>11</v>
      </c>
      <c r="R20" s="405">
        <f>SUBTOTAL(103,Tableau357[Objet])</f>
        <v>2</v>
      </c>
      <c r="S20" s="405">
        <f>SUBTOTAL(103,Tableau357[Format (ou type)])</f>
        <v>11</v>
      </c>
      <c r="T20" s="405">
        <f>SUBTOTAL(103,Tableau357[Nomenclature/ énumération])</f>
        <v>5</v>
      </c>
      <c r="U20" s="405">
        <f>SUBTOTAL(103,Tableau357[Détails de format])</f>
        <v>5</v>
      </c>
      <c r="V20" s="405">
        <f>SUBTOTAL(103,Tableau357[15-18])</f>
        <v>11</v>
      </c>
      <c r="W20" s="405">
        <f>SUBTOTAL(103,Tableau357[15-15])</f>
        <v>11</v>
      </c>
    </row>
  </sheetData>
  <mergeCells count="3">
    <mergeCell ref="O1:P1"/>
    <mergeCell ref="L7:O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11" activePane="bottomRight" state="frozen"/>
      <selection pane="topRight"/>
      <selection pane="bottomLeft"/>
      <selection pane="bottomRight" activeCell="D11" sqref="D11"/>
    </sheetView>
  </sheetViews>
  <sheetFormatPr baseColWidth="10" defaultColWidth="9" defaultRowHeight="14"/>
  <cols>
    <col min="1" max="1" width="4.6640625" customWidth="1"/>
    <col min="2" max="2" width="15" customWidth="1"/>
    <col min="3" max="3" width="24.6640625" customWidth="1"/>
    <col min="4" max="4" width="10.5" customWidth="1"/>
    <col min="5" max="5" width="10.6640625" customWidth="1"/>
    <col min="6" max="7" width="11" bestFit="1" customWidth="1"/>
    <col min="8" max="8" width="37.1640625" customWidth="1"/>
    <col min="9" max="9" width="26.5" customWidth="1"/>
    <col min="10" max="10" width="11" bestFit="1" customWidth="1"/>
    <col min="11" max="11" width="12.5" customWidth="1"/>
    <col min="12" max="16" width="2" customWidth="1"/>
    <col min="17" max="17" width="11" bestFit="1" customWidth="1"/>
    <col min="20" max="20" width="7.33203125" customWidth="1"/>
    <col min="21" max="21" width="11" bestFit="1" customWidth="1"/>
    <col min="24" max="30" width="9" customWidth="1"/>
  </cols>
  <sheetData>
    <row r="1" spans="1:1014" ht="14.25" customHeight="1">
      <c r="A1" s="272" t="s">
        <v>2671</v>
      </c>
      <c r="B1" s="272"/>
      <c r="C1" s="129" t="s">
        <v>813</v>
      </c>
      <c r="D1" s="128"/>
      <c r="E1" s="802" t="s">
        <v>814</v>
      </c>
      <c r="F1" s="802"/>
      <c r="G1" s="128"/>
      <c r="H1" s="798" t="s">
        <v>1725</v>
      </c>
      <c r="I1" s="798"/>
      <c r="J1" s="798"/>
      <c r="K1" s="96"/>
      <c r="L1" s="96"/>
      <c r="M1" s="96"/>
      <c r="N1" s="96"/>
      <c r="O1" s="803" t="s">
        <v>816</v>
      </c>
      <c r="P1" s="803"/>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5" t="s">
        <v>818</v>
      </c>
      <c r="D2" s="128"/>
      <c r="E2" s="809" t="s">
        <v>819</v>
      </c>
      <c r="F2" s="809"/>
      <c r="G2" s="128"/>
      <c r="H2" s="798"/>
      <c r="I2" s="798"/>
      <c r="J2" s="798"/>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7" t="s">
        <v>821</v>
      </c>
      <c r="D3" s="128"/>
      <c r="E3" s="808" t="s">
        <v>822</v>
      </c>
      <c r="F3" s="808"/>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299" t="s">
        <v>824</v>
      </c>
      <c r="D4" s="128"/>
      <c r="E4" s="806" t="s">
        <v>825</v>
      </c>
      <c r="F4" s="807"/>
      <c r="G4" s="137" t="s">
        <v>1725</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1725</v>
      </c>
      <c r="E5" s="804" t="s">
        <v>912</v>
      </c>
      <c r="F5" s="805"/>
      <c r="G5" s="148"/>
      <c r="H5" s="148"/>
      <c r="I5" s="408"/>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2" t="s">
        <v>827</v>
      </c>
      <c r="D6" s="138" t="s">
        <v>1725</v>
      </c>
      <c r="E6" s="128"/>
      <c r="F6" s="138" t="s">
        <v>1725</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1725</v>
      </c>
      <c r="D7" s="409" t="s">
        <v>1725</v>
      </c>
      <c r="E7" s="303" t="s">
        <v>1725</v>
      </c>
      <c r="F7" s="303" t="s">
        <v>1725</v>
      </c>
      <c r="G7" s="96"/>
      <c r="H7" s="96"/>
      <c r="I7" s="5"/>
      <c r="J7" s="96"/>
      <c r="K7" s="96"/>
      <c r="L7" s="799" t="s">
        <v>828</v>
      </c>
      <c r="M7" s="799"/>
      <c r="N7" s="799"/>
      <c r="O7" s="799"/>
      <c r="P7" s="96"/>
      <c r="Q7" s="96"/>
      <c r="R7" s="96"/>
      <c r="S7" s="96"/>
      <c r="T7" s="96"/>
      <c r="U7" s="96"/>
      <c r="V7" s="410" t="s">
        <v>829</v>
      </c>
      <c r="W7" s="410" t="s">
        <v>829</v>
      </c>
      <c r="Y7" s="96"/>
      <c r="Z7" s="96"/>
      <c r="AA7" s="96"/>
      <c r="AB7" s="96"/>
      <c r="AC7" s="799" t="s">
        <v>830</v>
      </c>
      <c r="AD7" s="799"/>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45" customFormat="1" ht="27.75" customHeight="1">
      <c r="A8" s="437" t="s">
        <v>831</v>
      </c>
      <c r="B8" s="438" t="s">
        <v>832</v>
      </c>
      <c r="C8" s="438" t="s">
        <v>833</v>
      </c>
      <c r="D8" s="438" t="s">
        <v>834</v>
      </c>
      <c r="E8" s="438" t="s">
        <v>835</v>
      </c>
      <c r="F8" s="438" t="s">
        <v>836</v>
      </c>
      <c r="G8" s="438" t="s">
        <v>837</v>
      </c>
      <c r="H8" s="436" t="s">
        <v>9</v>
      </c>
      <c r="I8" s="436" t="s">
        <v>838</v>
      </c>
      <c r="J8" s="436" t="s">
        <v>841</v>
      </c>
      <c r="K8" s="436" t="s">
        <v>842</v>
      </c>
      <c r="L8" s="436" t="s">
        <v>843</v>
      </c>
      <c r="M8" s="436" t="s">
        <v>844</v>
      </c>
      <c r="N8" s="436" t="s">
        <v>845</v>
      </c>
      <c r="O8" s="436" t="s">
        <v>846</v>
      </c>
      <c r="P8" s="436" t="s">
        <v>847</v>
      </c>
      <c r="Q8" s="436" t="s">
        <v>677</v>
      </c>
      <c r="R8" s="436" t="s">
        <v>3</v>
      </c>
      <c r="S8" s="436" t="s">
        <v>2672</v>
      </c>
      <c r="T8" s="436" t="s">
        <v>914</v>
      </c>
      <c r="U8" s="436" t="s">
        <v>849</v>
      </c>
      <c r="V8" s="439" t="s">
        <v>850</v>
      </c>
      <c r="W8" s="439" t="s">
        <v>851</v>
      </c>
      <c r="X8" s="440" t="s">
        <v>852</v>
      </c>
      <c r="Y8" s="441" t="s">
        <v>853</v>
      </c>
      <c r="Z8" s="441" t="s">
        <v>854</v>
      </c>
      <c r="AA8" s="442" t="s">
        <v>855</v>
      </c>
      <c r="AB8" s="441" t="s">
        <v>856</v>
      </c>
      <c r="AC8" s="441" t="s">
        <v>857</v>
      </c>
      <c r="AD8" s="443" t="s">
        <v>915</v>
      </c>
      <c r="AE8" s="444"/>
      <c r="AF8" s="444"/>
      <c r="AG8" s="444"/>
      <c r="AH8" s="444"/>
      <c r="AI8" s="444"/>
      <c r="AJ8" s="444"/>
      <c r="AK8" s="444"/>
      <c r="AL8" s="444"/>
      <c r="AM8" s="444"/>
      <c r="AN8" s="444"/>
      <c r="AO8" s="444"/>
      <c r="AP8" s="444"/>
      <c r="AQ8" s="444"/>
      <c r="AR8" s="444"/>
      <c r="AS8" s="444"/>
      <c r="AT8" s="444"/>
      <c r="AU8" s="444"/>
      <c r="AV8" s="444"/>
      <c r="AW8" s="444"/>
      <c r="AX8" s="444"/>
      <c r="AY8" s="444"/>
      <c r="AZ8" s="444"/>
      <c r="BA8" s="444"/>
      <c r="BB8" s="444"/>
      <c r="BC8" s="444"/>
      <c r="BD8" s="444"/>
      <c r="BE8" s="444"/>
      <c r="BF8" s="444"/>
      <c r="BG8" s="444"/>
      <c r="BH8" s="444"/>
      <c r="BI8" s="444"/>
      <c r="BJ8" s="444"/>
      <c r="BK8" s="444"/>
      <c r="BL8" s="444"/>
      <c r="BM8" s="444"/>
      <c r="BN8" s="444"/>
      <c r="BO8" s="444"/>
      <c r="BP8" s="444"/>
      <c r="BQ8" s="444"/>
      <c r="BR8" s="444"/>
      <c r="BS8" s="444"/>
      <c r="BT8" s="444"/>
      <c r="BU8" s="444"/>
      <c r="BV8" s="444"/>
      <c r="BW8" s="444"/>
      <c r="BX8" s="444"/>
      <c r="BY8" s="444"/>
      <c r="BZ8" s="444"/>
      <c r="CA8" s="444"/>
      <c r="CB8" s="444"/>
      <c r="CC8" s="444"/>
      <c r="CD8" s="444"/>
      <c r="CE8" s="444"/>
      <c r="CF8" s="444"/>
      <c r="CG8" s="444"/>
      <c r="CH8" s="444"/>
      <c r="CI8" s="444"/>
      <c r="CJ8" s="444"/>
      <c r="CK8" s="444"/>
      <c r="CL8" s="444"/>
      <c r="CM8" s="444"/>
      <c r="CN8" s="444"/>
      <c r="CO8" s="444"/>
      <c r="CP8" s="444"/>
      <c r="CQ8" s="444"/>
      <c r="CR8" s="444"/>
      <c r="CS8" s="444"/>
      <c r="CT8" s="444"/>
      <c r="CU8" s="444"/>
      <c r="CV8" s="444"/>
      <c r="CW8" s="444"/>
      <c r="CX8" s="444"/>
      <c r="CY8" s="444"/>
      <c r="CZ8" s="444"/>
      <c r="DA8" s="444"/>
      <c r="DB8" s="444"/>
      <c r="DC8" s="444"/>
      <c r="DD8" s="444"/>
      <c r="DE8" s="444"/>
      <c r="DF8" s="444"/>
      <c r="DG8" s="444"/>
      <c r="DH8" s="444"/>
      <c r="DI8" s="444"/>
      <c r="DJ8" s="444"/>
      <c r="DK8" s="444"/>
      <c r="DL8" s="444"/>
      <c r="DM8" s="444"/>
      <c r="DN8" s="444"/>
      <c r="DO8" s="444"/>
      <c r="DP8" s="444"/>
      <c r="DQ8" s="444"/>
      <c r="DR8" s="444"/>
      <c r="DS8" s="444"/>
      <c r="DT8" s="444"/>
      <c r="DU8" s="444"/>
      <c r="DV8" s="444"/>
      <c r="DW8" s="444"/>
      <c r="DX8" s="444"/>
      <c r="DY8" s="444"/>
      <c r="DZ8" s="444"/>
      <c r="EA8" s="444"/>
      <c r="EB8" s="444"/>
      <c r="EC8" s="444"/>
      <c r="ED8" s="444"/>
      <c r="EE8" s="444"/>
      <c r="EF8" s="444"/>
      <c r="EG8" s="444"/>
      <c r="EH8" s="444"/>
      <c r="EI8" s="444"/>
      <c r="EJ8" s="444"/>
      <c r="EK8" s="444"/>
      <c r="EL8" s="444"/>
      <c r="EM8" s="444"/>
      <c r="EN8" s="444"/>
      <c r="EO8" s="444"/>
      <c r="EP8" s="444"/>
      <c r="EQ8" s="444"/>
      <c r="ER8" s="444"/>
      <c r="ES8" s="444"/>
      <c r="ET8" s="444"/>
      <c r="EU8" s="444"/>
      <c r="EV8" s="444"/>
      <c r="EW8" s="444"/>
      <c r="EX8" s="444"/>
      <c r="EY8" s="444"/>
      <c r="EZ8" s="444"/>
      <c r="FA8" s="444"/>
      <c r="FB8" s="444"/>
      <c r="FC8" s="444"/>
      <c r="FD8" s="444"/>
      <c r="FE8" s="444"/>
      <c r="FF8" s="444"/>
      <c r="FG8" s="444"/>
      <c r="FH8" s="444"/>
      <c r="FI8" s="444"/>
      <c r="FJ8" s="444"/>
      <c r="FK8" s="444"/>
      <c r="FL8" s="444"/>
      <c r="FM8" s="444"/>
      <c r="FN8" s="444"/>
      <c r="FO8" s="444"/>
      <c r="FP8" s="444"/>
      <c r="FQ8" s="444"/>
      <c r="FR8" s="444"/>
      <c r="FS8" s="444"/>
      <c r="FT8" s="444"/>
      <c r="FU8" s="444"/>
      <c r="FV8" s="444"/>
      <c r="FW8" s="444"/>
      <c r="FX8" s="444"/>
      <c r="FY8" s="444"/>
      <c r="FZ8" s="444"/>
      <c r="GA8" s="444"/>
      <c r="GB8" s="444"/>
      <c r="GC8" s="444"/>
      <c r="GD8" s="444"/>
      <c r="GE8" s="444"/>
      <c r="GF8" s="444"/>
      <c r="GG8" s="444"/>
      <c r="GH8" s="444"/>
      <c r="GI8" s="444"/>
      <c r="GJ8" s="444"/>
      <c r="GK8" s="444"/>
      <c r="GL8" s="444"/>
      <c r="GM8" s="444"/>
      <c r="GN8" s="444"/>
      <c r="GO8" s="444"/>
      <c r="GP8" s="444"/>
      <c r="GQ8" s="444"/>
      <c r="GR8" s="444"/>
      <c r="GS8" s="444"/>
      <c r="GT8" s="444"/>
      <c r="GU8" s="444"/>
      <c r="GV8" s="444"/>
      <c r="GW8" s="444"/>
      <c r="GX8" s="444"/>
      <c r="GY8" s="444"/>
      <c r="GZ8" s="444"/>
      <c r="HA8" s="444"/>
      <c r="HB8" s="444"/>
      <c r="HC8" s="444"/>
      <c r="HD8" s="444"/>
      <c r="HE8" s="444"/>
      <c r="HF8" s="444"/>
      <c r="HG8" s="444"/>
      <c r="HH8" s="444"/>
      <c r="HI8" s="444"/>
      <c r="HJ8" s="444"/>
      <c r="HK8" s="444"/>
      <c r="HL8" s="444"/>
      <c r="HM8" s="444"/>
      <c r="HN8" s="444"/>
      <c r="HO8" s="444"/>
      <c r="HP8" s="444"/>
      <c r="HQ8" s="444"/>
      <c r="HR8" s="444"/>
      <c r="HS8" s="444"/>
      <c r="HT8" s="444"/>
      <c r="HU8" s="444"/>
      <c r="HV8" s="444"/>
      <c r="HW8" s="444"/>
      <c r="HX8" s="444"/>
      <c r="HY8" s="444"/>
      <c r="HZ8" s="444"/>
      <c r="IA8" s="444"/>
      <c r="IB8" s="444"/>
      <c r="IC8" s="444"/>
      <c r="ID8" s="444"/>
      <c r="IE8" s="444"/>
      <c r="IF8" s="444"/>
      <c r="IG8" s="444"/>
      <c r="IH8" s="444"/>
      <c r="II8" s="444"/>
      <c r="IJ8" s="444"/>
      <c r="IK8" s="444"/>
      <c r="IL8" s="444"/>
      <c r="IM8" s="444"/>
      <c r="IN8" s="444"/>
      <c r="IO8" s="444"/>
      <c r="IP8" s="444"/>
      <c r="IQ8" s="444"/>
      <c r="IR8" s="444"/>
      <c r="IS8" s="444"/>
      <c r="IT8" s="444"/>
      <c r="IU8" s="444"/>
      <c r="IV8" s="444"/>
      <c r="IW8" s="444"/>
      <c r="IX8" s="444"/>
      <c r="IY8" s="444"/>
      <c r="IZ8" s="444"/>
      <c r="JA8" s="444"/>
      <c r="JB8" s="444"/>
      <c r="JC8" s="444"/>
      <c r="JD8" s="444"/>
      <c r="JE8" s="444"/>
      <c r="JF8" s="444"/>
      <c r="JG8" s="444"/>
      <c r="JH8" s="444"/>
      <c r="JI8" s="444"/>
      <c r="JJ8" s="444"/>
      <c r="JK8" s="444"/>
      <c r="JL8" s="444"/>
      <c r="JM8" s="444"/>
      <c r="JN8" s="444"/>
      <c r="JO8" s="444"/>
      <c r="JP8" s="444"/>
      <c r="JQ8" s="444"/>
      <c r="JR8" s="444"/>
      <c r="JS8" s="444"/>
      <c r="JT8" s="444"/>
      <c r="JU8" s="444"/>
      <c r="JV8" s="444"/>
      <c r="JW8" s="444"/>
      <c r="JX8" s="444"/>
      <c r="JY8" s="444"/>
      <c r="JZ8" s="444"/>
      <c r="KA8" s="444"/>
      <c r="KB8" s="444"/>
      <c r="KC8" s="444"/>
      <c r="KD8" s="444"/>
      <c r="KE8" s="444"/>
      <c r="KF8" s="444"/>
      <c r="KG8" s="444"/>
      <c r="KH8" s="444"/>
      <c r="KI8" s="444"/>
      <c r="KJ8" s="444"/>
      <c r="KK8" s="444"/>
      <c r="KL8" s="444"/>
      <c r="KM8" s="444"/>
      <c r="KN8" s="444"/>
      <c r="KO8" s="444"/>
      <c r="KP8" s="444"/>
      <c r="KQ8" s="444"/>
      <c r="KR8" s="444"/>
      <c r="KS8" s="444"/>
      <c r="KT8" s="444"/>
      <c r="KU8" s="444"/>
      <c r="KV8" s="444"/>
      <c r="KW8" s="444"/>
      <c r="KX8" s="444"/>
      <c r="KY8" s="444"/>
      <c r="KZ8" s="444"/>
      <c r="LA8" s="444"/>
      <c r="LB8" s="444"/>
      <c r="LC8" s="444"/>
      <c r="LD8" s="444"/>
      <c r="LE8" s="444"/>
      <c r="LF8" s="444"/>
      <c r="LG8" s="444"/>
      <c r="LH8" s="444"/>
      <c r="LI8" s="444"/>
      <c r="LJ8" s="444"/>
      <c r="LK8" s="444"/>
      <c r="LL8" s="444"/>
      <c r="LM8" s="444"/>
      <c r="LN8" s="444"/>
      <c r="LO8" s="444"/>
      <c r="LP8" s="444"/>
      <c r="LQ8" s="444"/>
      <c r="LR8" s="444"/>
      <c r="LS8" s="444"/>
      <c r="LT8" s="444"/>
      <c r="LU8" s="444"/>
      <c r="LV8" s="444"/>
      <c r="LW8" s="444"/>
      <c r="LX8" s="444"/>
      <c r="LY8" s="444"/>
      <c r="LZ8" s="444"/>
      <c r="MA8" s="444"/>
      <c r="MB8" s="444"/>
      <c r="MC8" s="444"/>
      <c r="MD8" s="444"/>
      <c r="ME8" s="444"/>
      <c r="MF8" s="444"/>
      <c r="MG8" s="444"/>
      <c r="MH8" s="444"/>
      <c r="MI8" s="444"/>
      <c r="MJ8" s="444"/>
      <c r="MK8" s="444"/>
      <c r="ML8" s="444"/>
      <c r="MM8" s="444"/>
      <c r="MN8" s="444"/>
      <c r="MO8" s="444"/>
      <c r="MP8" s="444"/>
      <c r="MQ8" s="444"/>
      <c r="MR8" s="444"/>
      <c r="MS8" s="444"/>
      <c r="MT8" s="444"/>
      <c r="MU8" s="444"/>
      <c r="MV8" s="444"/>
      <c r="MW8" s="444"/>
      <c r="MX8" s="444"/>
      <c r="MY8" s="444"/>
      <c r="MZ8" s="444"/>
      <c r="NA8" s="444"/>
      <c r="NB8" s="444"/>
      <c r="NC8" s="444"/>
      <c r="ND8" s="444"/>
      <c r="NE8" s="444"/>
      <c r="NF8" s="444"/>
      <c r="NG8" s="444"/>
      <c r="NH8" s="444"/>
      <c r="NI8" s="444"/>
      <c r="NJ8" s="444"/>
      <c r="NK8" s="444"/>
      <c r="NL8" s="444"/>
      <c r="NM8" s="444"/>
      <c r="NN8" s="444"/>
      <c r="NO8" s="444"/>
      <c r="NP8" s="444"/>
      <c r="NQ8" s="444"/>
      <c r="NR8" s="444"/>
      <c r="NS8" s="444"/>
      <c r="NT8" s="444"/>
      <c r="NU8" s="444"/>
      <c r="NV8" s="444"/>
      <c r="NW8" s="444"/>
      <c r="NX8" s="444"/>
      <c r="NY8" s="444"/>
      <c r="NZ8" s="444"/>
      <c r="OA8" s="444"/>
      <c r="OB8" s="444"/>
      <c r="OC8" s="444"/>
      <c r="OD8" s="444"/>
      <c r="OE8" s="444"/>
      <c r="OF8" s="444"/>
      <c r="OG8" s="444"/>
      <c r="OH8" s="444"/>
      <c r="OI8" s="444"/>
      <c r="OJ8" s="444"/>
      <c r="OK8" s="444"/>
      <c r="OL8" s="444"/>
      <c r="OM8" s="444"/>
      <c r="ON8" s="444"/>
      <c r="OO8" s="444"/>
      <c r="OP8" s="444"/>
      <c r="OQ8" s="444"/>
      <c r="OR8" s="444"/>
      <c r="OS8" s="444"/>
      <c r="OT8" s="444"/>
      <c r="OU8" s="444"/>
      <c r="OV8" s="444"/>
      <c r="OW8" s="444"/>
      <c r="OX8" s="444"/>
      <c r="OY8" s="444"/>
      <c r="OZ8" s="444"/>
      <c r="PA8" s="444"/>
      <c r="PB8" s="444"/>
      <c r="PC8" s="444"/>
      <c r="PD8" s="444"/>
      <c r="PE8" s="444"/>
      <c r="PF8" s="444"/>
      <c r="PG8" s="444"/>
      <c r="PH8" s="444"/>
      <c r="PI8" s="444"/>
      <c r="PJ8" s="444"/>
      <c r="PK8" s="444"/>
      <c r="PL8" s="444"/>
      <c r="PM8" s="444"/>
      <c r="PN8" s="444"/>
      <c r="PO8" s="444"/>
      <c r="PP8" s="444"/>
      <c r="PQ8" s="444"/>
      <c r="PR8" s="444"/>
      <c r="PS8" s="444"/>
      <c r="PT8" s="444"/>
      <c r="PU8" s="444"/>
      <c r="PV8" s="444"/>
      <c r="PW8" s="444"/>
      <c r="PX8" s="444"/>
      <c r="PY8" s="444"/>
      <c r="PZ8" s="444"/>
      <c r="QA8" s="444"/>
      <c r="QB8" s="444"/>
      <c r="QC8" s="444"/>
      <c r="QD8" s="444"/>
      <c r="QE8" s="444"/>
      <c r="QF8" s="444"/>
      <c r="QG8" s="444"/>
      <c r="QH8" s="444"/>
      <c r="QI8" s="444"/>
      <c r="QJ8" s="444"/>
      <c r="QK8" s="444"/>
      <c r="QL8" s="444"/>
      <c r="QM8" s="444"/>
      <c r="QN8" s="444"/>
      <c r="QO8" s="444"/>
      <c r="QP8" s="444"/>
      <c r="QQ8" s="444"/>
      <c r="QR8" s="444"/>
      <c r="QS8" s="444"/>
      <c r="QT8" s="444"/>
      <c r="QU8" s="444"/>
      <c r="QV8" s="444"/>
      <c r="QW8" s="444"/>
      <c r="QX8" s="444"/>
      <c r="QY8" s="444"/>
      <c r="QZ8" s="444"/>
      <c r="RA8" s="444"/>
      <c r="RB8" s="444"/>
      <c r="RC8" s="444"/>
      <c r="RD8" s="444"/>
      <c r="RE8" s="444"/>
      <c r="RF8" s="444"/>
      <c r="RG8" s="444"/>
      <c r="RH8" s="444"/>
      <c r="RI8" s="444"/>
      <c r="RJ8" s="444"/>
      <c r="RK8" s="444"/>
      <c r="RL8" s="444"/>
      <c r="RM8" s="444"/>
      <c r="RN8" s="444"/>
      <c r="RO8" s="444"/>
      <c r="RP8" s="444"/>
      <c r="RQ8" s="444"/>
      <c r="RR8" s="444"/>
      <c r="RS8" s="444"/>
      <c r="RT8" s="444"/>
      <c r="RU8" s="444"/>
      <c r="RV8" s="444"/>
      <c r="RW8" s="444"/>
      <c r="RX8" s="444"/>
      <c r="RY8" s="444"/>
      <c r="RZ8" s="444"/>
      <c r="SA8" s="444"/>
      <c r="SB8" s="444"/>
      <c r="SC8" s="444"/>
      <c r="SD8" s="444"/>
      <c r="SE8" s="444"/>
      <c r="SF8" s="444"/>
      <c r="SG8" s="444"/>
      <c r="SH8" s="444"/>
      <c r="SI8" s="444"/>
      <c r="SJ8" s="444"/>
      <c r="SK8" s="444"/>
      <c r="SL8" s="444"/>
      <c r="SM8" s="444"/>
      <c r="SN8" s="444"/>
      <c r="SO8" s="444"/>
      <c r="SP8" s="444"/>
      <c r="SQ8" s="444"/>
      <c r="SR8" s="444"/>
      <c r="SS8" s="444"/>
      <c r="ST8" s="444"/>
      <c r="SU8" s="444"/>
      <c r="SV8" s="444"/>
      <c r="SW8" s="444"/>
      <c r="SX8" s="444"/>
      <c r="SY8" s="444"/>
      <c r="SZ8" s="444"/>
      <c r="TA8" s="444"/>
      <c r="TB8" s="444"/>
      <c r="TC8" s="444"/>
      <c r="TD8" s="444"/>
      <c r="TE8" s="444"/>
      <c r="TF8" s="444"/>
      <c r="TG8" s="444"/>
      <c r="TH8" s="444"/>
      <c r="TI8" s="444"/>
      <c r="TJ8" s="444"/>
      <c r="TK8" s="444"/>
      <c r="TL8" s="444"/>
      <c r="TM8" s="444"/>
      <c r="TN8" s="444"/>
      <c r="TO8" s="444"/>
      <c r="TP8" s="444"/>
      <c r="TQ8" s="444"/>
      <c r="TR8" s="444"/>
      <c r="TS8" s="444"/>
      <c r="TT8" s="444"/>
      <c r="TU8" s="444"/>
      <c r="TV8" s="444"/>
      <c r="TW8" s="444"/>
      <c r="TX8" s="444"/>
      <c r="TY8" s="444"/>
      <c r="TZ8" s="444"/>
      <c r="UA8" s="444"/>
      <c r="UB8" s="444"/>
      <c r="UC8" s="444"/>
      <c r="UD8" s="444"/>
      <c r="UE8" s="444"/>
      <c r="UF8" s="444"/>
      <c r="UG8" s="444"/>
      <c r="UH8" s="444"/>
      <c r="UI8" s="444"/>
      <c r="UJ8" s="444"/>
      <c r="UK8" s="444"/>
      <c r="UL8" s="444"/>
      <c r="UM8" s="444"/>
      <c r="UN8" s="444"/>
      <c r="UO8" s="444"/>
      <c r="UP8" s="444"/>
      <c r="UQ8" s="444"/>
      <c r="UR8" s="444"/>
      <c r="US8" s="444"/>
      <c r="UT8" s="444"/>
      <c r="UU8" s="444"/>
      <c r="UV8" s="444"/>
      <c r="UW8" s="444"/>
      <c r="UX8" s="444"/>
      <c r="UY8" s="444"/>
      <c r="UZ8" s="444"/>
      <c r="VA8" s="444"/>
      <c r="VB8" s="444"/>
      <c r="VC8" s="444"/>
      <c r="VD8" s="444"/>
      <c r="VE8" s="444"/>
      <c r="VF8" s="444"/>
      <c r="VG8" s="444"/>
      <c r="VH8" s="444"/>
      <c r="VI8" s="444"/>
      <c r="VJ8" s="444"/>
      <c r="VK8" s="444"/>
      <c r="VL8" s="444"/>
      <c r="VM8" s="444"/>
      <c r="VN8" s="444"/>
      <c r="VO8" s="444"/>
      <c r="VP8" s="444"/>
      <c r="VQ8" s="444"/>
      <c r="VR8" s="444"/>
      <c r="VS8" s="444"/>
      <c r="VT8" s="444"/>
      <c r="VU8" s="444"/>
      <c r="VV8" s="444"/>
      <c r="VW8" s="444"/>
      <c r="VX8" s="444"/>
      <c r="VY8" s="444"/>
      <c r="VZ8" s="444"/>
      <c r="WA8" s="444"/>
      <c r="WB8" s="444"/>
      <c r="WC8" s="444"/>
      <c r="WD8" s="444"/>
      <c r="WE8" s="444"/>
      <c r="WF8" s="444"/>
      <c r="WG8" s="444"/>
      <c r="WH8" s="444"/>
      <c r="WI8" s="444"/>
      <c r="WJ8" s="444"/>
      <c r="WK8" s="444"/>
      <c r="WL8" s="444"/>
      <c r="WM8" s="444"/>
      <c r="WN8" s="444"/>
      <c r="WO8" s="444"/>
      <c r="WP8" s="444"/>
      <c r="WQ8" s="444"/>
      <c r="WR8" s="444"/>
      <c r="WS8" s="444"/>
      <c r="WT8" s="444"/>
      <c r="WU8" s="444"/>
      <c r="WV8" s="444"/>
      <c r="WW8" s="444"/>
      <c r="WX8" s="444"/>
      <c r="WY8" s="444"/>
      <c r="WZ8" s="444"/>
      <c r="XA8" s="444"/>
      <c r="XB8" s="444"/>
      <c r="XC8" s="444"/>
      <c r="XD8" s="444"/>
      <c r="XE8" s="444"/>
      <c r="XF8" s="444"/>
      <c r="XG8" s="444"/>
      <c r="XH8" s="444"/>
      <c r="XI8" s="444"/>
      <c r="XJ8" s="444"/>
      <c r="XK8" s="444"/>
      <c r="XL8" s="444"/>
      <c r="XM8" s="444"/>
      <c r="XN8" s="444"/>
      <c r="XO8" s="444"/>
      <c r="XP8" s="444"/>
      <c r="XQ8" s="444"/>
      <c r="XR8" s="444"/>
      <c r="XS8" s="444"/>
      <c r="XT8" s="444"/>
      <c r="XU8" s="444"/>
      <c r="XV8" s="444"/>
      <c r="XW8" s="444"/>
      <c r="XX8" s="444"/>
      <c r="XY8" s="444"/>
      <c r="XZ8" s="444"/>
      <c r="YA8" s="444"/>
      <c r="YB8" s="444"/>
      <c r="YC8" s="444"/>
      <c r="YD8" s="444"/>
      <c r="YE8" s="444"/>
      <c r="YF8" s="444"/>
      <c r="YG8" s="444"/>
      <c r="YH8" s="444"/>
      <c r="YI8" s="444"/>
      <c r="YJ8" s="444"/>
      <c r="YK8" s="444"/>
      <c r="YL8" s="444"/>
      <c r="YM8" s="444"/>
      <c r="YN8" s="444"/>
      <c r="YO8" s="444"/>
      <c r="YP8" s="444"/>
      <c r="YQ8" s="444"/>
      <c r="YR8" s="444"/>
      <c r="YS8" s="444"/>
      <c r="YT8" s="444"/>
      <c r="YU8" s="444"/>
      <c r="YV8" s="444"/>
      <c r="YW8" s="444"/>
      <c r="YX8" s="444"/>
      <c r="YY8" s="444"/>
      <c r="YZ8" s="444"/>
      <c r="ZA8" s="444"/>
      <c r="ZB8" s="444"/>
      <c r="ZC8" s="444"/>
      <c r="ZD8" s="444"/>
      <c r="ZE8" s="444"/>
      <c r="ZF8" s="444"/>
      <c r="ZG8" s="444"/>
      <c r="ZH8" s="444"/>
      <c r="ZI8" s="444"/>
      <c r="ZJ8" s="444"/>
      <c r="ZK8" s="444"/>
      <c r="ZL8" s="444"/>
      <c r="ZM8" s="444"/>
      <c r="ZN8" s="444"/>
      <c r="ZO8" s="444"/>
      <c r="ZP8" s="444"/>
      <c r="ZQ8" s="444"/>
      <c r="ZR8" s="444"/>
      <c r="ZS8" s="444"/>
      <c r="ZT8" s="444"/>
      <c r="ZU8" s="444"/>
      <c r="ZV8" s="444"/>
      <c r="ZW8" s="444"/>
      <c r="ZX8" s="444"/>
      <c r="ZY8" s="444"/>
      <c r="ZZ8" s="444"/>
      <c r="AAA8" s="444"/>
      <c r="AAB8" s="444"/>
      <c r="AAC8" s="444"/>
      <c r="AAD8" s="444"/>
      <c r="AAE8" s="444"/>
      <c r="AAF8" s="444"/>
      <c r="AAG8" s="444"/>
      <c r="AAH8" s="444"/>
      <c r="AAI8" s="444"/>
      <c r="AAJ8" s="444"/>
      <c r="AAK8" s="444"/>
      <c r="AAL8" s="444"/>
      <c r="AAM8" s="444"/>
      <c r="AAN8" s="444"/>
      <c r="AAO8" s="444"/>
      <c r="AAP8" s="444"/>
      <c r="AAQ8" s="444"/>
      <c r="AAR8" s="444"/>
      <c r="AAS8" s="444"/>
      <c r="AAT8" s="444"/>
      <c r="AAU8" s="444"/>
      <c r="AAV8" s="444"/>
      <c r="AAW8" s="444"/>
      <c r="AAX8" s="444"/>
      <c r="AAY8" s="444"/>
      <c r="AAZ8" s="444"/>
      <c r="ABA8" s="444"/>
      <c r="ABB8" s="444"/>
      <c r="ABC8" s="444"/>
      <c r="ABD8" s="444"/>
      <c r="ABE8" s="444"/>
      <c r="ABF8" s="444"/>
      <c r="ABG8" s="444"/>
      <c r="ABH8" s="444"/>
      <c r="ABI8" s="444"/>
      <c r="ABJ8" s="444"/>
      <c r="ABK8" s="444"/>
      <c r="ABL8" s="444"/>
      <c r="ABM8" s="444"/>
      <c r="ABN8" s="444"/>
      <c r="ABO8" s="444"/>
      <c r="ABP8" s="444"/>
      <c r="ABQ8" s="444"/>
      <c r="ABR8" s="444"/>
      <c r="ABS8" s="444"/>
      <c r="ABT8" s="444"/>
      <c r="ABU8" s="444"/>
      <c r="ABV8" s="444"/>
      <c r="ABW8" s="444"/>
      <c r="ABX8" s="444"/>
      <c r="ABY8" s="444"/>
      <c r="ABZ8" s="444"/>
      <c r="ACA8" s="444"/>
      <c r="ACB8" s="444"/>
      <c r="ACC8" s="444"/>
      <c r="ACD8" s="444"/>
      <c r="ACE8" s="444"/>
      <c r="ACF8" s="444"/>
      <c r="ACG8" s="444"/>
      <c r="ACH8" s="444"/>
      <c r="ACI8" s="444"/>
      <c r="ACJ8" s="444"/>
      <c r="ACK8" s="444"/>
      <c r="ACL8" s="444"/>
      <c r="ACM8" s="444"/>
      <c r="ACN8" s="444"/>
      <c r="ACO8" s="444"/>
      <c r="ACP8" s="444"/>
      <c r="ACQ8" s="444"/>
      <c r="ACR8" s="444"/>
      <c r="ACS8" s="444"/>
      <c r="ACT8" s="444"/>
      <c r="ACU8" s="444"/>
      <c r="ACV8" s="444"/>
      <c r="ACW8" s="444"/>
      <c r="ACX8" s="444"/>
      <c r="ACY8" s="444"/>
      <c r="ACZ8" s="444"/>
      <c r="ADA8" s="444"/>
      <c r="ADB8" s="444"/>
      <c r="ADC8" s="444"/>
      <c r="ADD8" s="444"/>
      <c r="ADE8" s="444"/>
      <c r="ADF8" s="444"/>
      <c r="ADG8" s="444"/>
      <c r="ADH8" s="444"/>
      <c r="ADI8" s="444"/>
      <c r="ADJ8" s="444"/>
      <c r="ADK8" s="444"/>
      <c r="ADL8" s="444"/>
      <c r="ADM8" s="444"/>
      <c r="ADN8" s="444"/>
      <c r="ADO8" s="444"/>
      <c r="ADP8" s="444"/>
      <c r="ADQ8" s="444"/>
      <c r="ADR8" s="444"/>
      <c r="ADS8" s="444"/>
      <c r="ADT8" s="444"/>
      <c r="ADU8" s="444"/>
      <c r="ADV8" s="444"/>
      <c r="ADW8" s="444"/>
      <c r="ADX8" s="444"/>
      <c r="ADY8" s="444"/>
      <c r="ADZ8" s="444"/>
      <c r="AEA8" s="444"/>
      <c r="AEB8" s="444"/>
      <c r="AEC8" s="444"/>
      <c r="AED8" s="444"/>
      <c r="AEE8" s="444"/>
      <c r="AEF8" s="444"/>
      <c r="AEG8" s="444"/>
      <c r="AEH8" s="444"/>
      <c r="AEI8" s="444"/>
      <c r="AEJ8" s="444"/>
      <c r="AEK8" s="444"/>
      <c r="AEL8" s="444"/>
      <c r="AEM8" s="444"/>
      <c r="AEN8" s="444"/>
      <c r="AEO8" s="444"/>
      <c r="AEP8" s="444"/>
      <c r="AEQ8" s="444"/>
      <c r="AER8" s="444"/>
      <c r="AES8" s="444"/>
      <c r="AET8" s="444"/>
      <c r="AEU8" s="444"/>
      <c r="AEV8" s="444"/>
      <c r="AEW8" s="444"/>
      <c r="AEX8" s="444"/>
      <c r="AEY8" s="444"/>
      <c r="AEZ8" s="444"/>
      <c r="AFA8" s="444"/>
      <c r="AFB8" s="444"/>
      <c r="AFC8" s="444"/>
      <c r="AFD8" s="444"/>
      <c r="AFE8" s="444"/>
      <c r="AFF8" s="444"/>
      <c r="AFG8" s="444"/>
      <c r="AFH8" s="444"/>
      <c r="AFI8" s="444"/>
      <c r="AFJ8" s="444"/>
      <c r="AFK8" s="444"/>
      <c r="AFL8" s="444"/>
      <c r="AFM8" s="444"/>
      <c r="AFN8" s="444"/>
      <c r="AFO8" s="444"/>
      <c r="AFP8" s="444"/>
      <c r="AFQ8" s="444"/>
      <c r="AFR8" s="444"/>
      <c r="AFS8" s="444"/>
      <c r="AFT8" s="444"/>
      <c r="AFU8" s="444"/>
      <c r="AFV8" s="444"/>
      <c r="AFW8" s="444"/>
      <c r="AFX8" s="444"/>
      <c r="AFY8" s="444"/>
      <c r="AFZ8" s="444"/>
      <c r="AGA8" s="444"/>
      <c r="AGB8" s="444"/>
      <c r="AGC8" s="444"/>
      <c r="AGD8" s="444"/>
      <c r="AGE8" s="444"/>
      <c r="AGF8" s="444"/>
      <c r="AGG8" s="444"/>
      <c r="AGH8" s="444"/>
      <c r="AGI8" s="444"/>
      <c r="AGJ8" s="444"/>
      <c r="AGK8" s="444"/>
      <c r="AGL8" s="444"/>
      <c r="AGM8" s="444"/>
      <c r="AGN8" s="444"/>
      <c r="AGO8" s="444"/>
      <c r="AGP8" s="444"/>
      <c r="AGQ8" s="444"/>
      <c r="AGR8" s="444"/>
      <c r="AGS8" s="444"/>
      <c r="AGT8" s="444"/>
      <c r="AGU8" s="444"/>
      <c r="AGV8" s="444"/>
      <c r="AGW8" s="444"/>
      <c r="AGX8" s="444"/>
      <c r="AGY8" s="444"/>
      <c r="AGZ8" s="444"/>
      <c r="AHA8" s="444"/>
      <c r="AHB8" s="444"/>
      <c r="AHC8" s="444"/>
      <c r="AHD8" s="444"/>
      <c r="AHE8" s="444"/>
      <c r="AHF8" s="444"/>
      <c r="AHG8" s="444"/>
      <c r="AHH8" s="444"/>
      <c r="AHI8" s="444"/>
      <c r="AHJ8" s="444"/>
      <c r="AHK8" s="444"/>
      <c r="AHL8" s="444"/>
      <c r="AHM8" s="444"/>
      <c r="AHN8" s="444"/>
      <c r="AHO8" s="444"/>
      <c r="AHP8" s="444"/>
      <c r="AHQ8" s="444"/>
      <c r="AHR8" s="444"/>
      <c r="AHS8" s="444"/>
      <c r="AHT8" s="444"/>
      <c r="AHU8" s="444"/>
      <c r="AHV8" s="444"/>
      <c r="AHW8" s="444"/>
      <c r="AHX8" s="444"/>
      <c r="AHY8" s="444"/>
      <c r="AHZ8" s="444"/>
      <c r="AIA8" s="444"/>
      <c r="AIB8" s="444"/>
      <c r="AIC8" s="444"/>
      <c r="AID8" s="444"/>
      <c r="AIE8" s="444"/>
      <c r="AIF8" s="444"/>
      <c r="AIG8" s="444"/>
      <c r="AIH8" s="444"/>
      <c r="AII8" s="444"/>
      <c r="AIJ8" s="444"/>
      <c r="AIK8" s="444"/>
      <c r="AIL8" s="444"/>
      <c r="AIM8" s="444"/>
      <c r="AIN8" s="444"/>
      <c r="AIO8" s="444"/>
      <c r="AIP8" s="444"/>
      <c r="AIQ8" s="444"/>
      <c r="AIR8" s="444"/>
      <c r="AIS8" s="444"/>
      <c r="AIT8" s="444"/>
      <c r="AIU8" s="444"/>
      <c r="AIV8" s="444"/>
      <c r="AIW8" s="444"/>
      <c r="AIX8" s="444"/>
      <c r="AIY8" s="444"/>
      <c r="AIZ8" s="444"/>
      <c r="AJA8" s="444"/>
      <c r="AJB8" s="444"/>
      <c r="AJC8" s="444"/>
      <c r="AJD8" s="444"/>
      <c r="AJE8" s="444"/>
      <c r="AJF8" s="444"/>
      <c r="AJG8" s="444"/>
      <c r="AJH8" s="444"/>
      <c r="AJI8" s="444"/>
      <c r="AJJ8" s="444"/>
      <c r="AJK8" s="444"/>
      <c r="AJL8" s="444"/>
      <c r="AJM8" s="444"/>
      <c r="AJN8" s="444"/>
      <c r="AJO8" s="444"/>
      <c r="AJP8" s="444"/>
      <c r="AJQ8" s="444"/>
      <c r="AJR8" s="444"/>
      <c r="AJS8" s="444"/>
      <c r="AJT8" s="444"/>
      <c r="AJU8" s="444"/>
      <c r="AJV8" s="444"/>
      <c r="AJW8" s="444"/>
      <c r="AJX8" s="444"/>
      <c r="AJY8" s="444"/>
      <c r="AJZ8" s="444"/>
      <c r="AKA8" s="444"/>
      <c r="AKB8" s="444"/>
      <c r="AKC8" s="444"/>
      <c r="AKD8" s="444"/>
      <c r="AKE8" s="444"/>
      <c r="AKF8" s="444"/>
      <c r="AKG8" s="444"/>
      <c r="AKH8" s="444"/>
      <c r="AKI8" s="444"/>
      <c r="AKJ8" s="444"/>
      <c r="AKK8" s="444"/>
      <c r="AKL8" s="444"/>
      <c r="AKM8" s="444"/>
      <c r="AKN8" s="444"/>
      <c r="AKO8" s="444"/>
      <c r="AKP8" s="444"/>
      <c r="AKQ8" s="444"/>
      <c r="AKR8" s="444"/>
      <c r="AKS8" s="444"/>
      <c r="AKT8" s="444"/>
      <c r="AKU8" s="444"/>
      <c r="AKV8" s="444"/>
      <c r="AKW8" s="444"/>
      <c r="AKX8" s="444"/>
      <c r="AKY8" s="444"/>
      <c r="AKZ8" s="444"/>
      <c r="ALA8" s="444"/>
      <c r="ALB8" s="444"/>
      <c r="ALC8" s="444"/>
      <c r="ALD8" s="444"/>
      <c r="ALE8" s="444"/>
      <c r="ALF8" s="444"/>
      <c r="ALG8" s="444"/>
      <c r="ALH8" s="444"/>
      <c r="ALI8" s="444"/>
      <c r="ALJ8" s="444"/>
      <c r="ALK8" s="444"/>
      <c r="ALL8" s="444"/>
      <c r="ALM8" s="444"/>
      <c r="ALN8" s="444"/>
      <c r="ALO8" s="444"/>
      <c r="ALP8" s="444"/>
      <c r="ALQ8" s="444"/>
      <c r="ALR8" s="444"/>
      <c r="ALS8" s="444"/>
      <c r="ALT8" s="444"/>
      <c r="ALU8" s="444"/>
      <c r="ALV8" s="444"/>
      <c r="ALW8" s="444"/>
      <c r="ALX8" s="444"/>
      <c r="ALY8" s="444"/>
      <c r="ALZ8" s="444"/>
    </row>
    <row r="9" spans="1:1014" ht="15" customHeight="1">
      <c r="A9" s="424">
        <v>1</v>
      </c>
      <c r="B9" s="321" t="s">
        <v>2673</v>
      </c>
      <c r="C9" s="321"/>
      <c r="D9" s="321"/>
      <c r="E9" s="414"/>
      <c r="F9" s="414"/>
      <c r="G9" s="414"/>
      <c r="H9" s="435" t="s">
        <v>2674</v>
      </c>
      <c r="I9" s="415"/>
      <c r="J9" s="417"/>
      <c r="K9" s="316" t="s">
        <v>2675</v>
      </c>
      <c r="L9" s="417"/>
      <c r="M9" s="417"/>
      <c r="N9" s="417"/>
      <c r="O9" s="417"/>
      <c r="P9" s="417"/>
      <c r="Q9" s="416" t="s">
        <v>820</v>
      </c>
      <c r="R9" s="341" t="s">
        <v>864</v>
      </c>
      <c r="S9" s="341" t="s">
        <v>2675</v>
      </c>
      <c r="T9" s="417"/>
      <c r="U9" s="417"/>
      <c r="V9" s="417" t="s">
        <v>864</v>
      </c>
      <c r="W9" s="417" t="s">
        <v>864</v>
      </c>
    </row>
    <row r="10" spans="1:1014" ht="15" customHeight="1">
      <c r="A10" s="424">
        <v>2</v>
      </c>
      <c r="B10" s="321"/>
      <c r="C10" s="321" t="s">
        <v>2676</v>
      </c>
      <c r="D10" s="321"/>
      <c r="E10" s="414"/>
      <c r="F10" s="414"/>
      <c r="G10" s="414"/>
      <c r="H10" s="447" t="s">
        <v>2677</v>
      </c>
      <c r="I10" s="419">
        <v>101</v>
      </c>
      <c r="J10" s="423"/>
      <c r="K10" s="420" t="s">
        <v>2678</v>
      </c>
      <c r="L10" s="421"/>
      <c r="M10" s="421"/>
      <c r="N10" s="421"/>
      <c r="O10" s="421"/>
      <c r="P10" s="421"/>
      <c r="Q10" s="416" t="s">
        <v>820</v>
      </c>
      <c r="R10" s="344"/>
      <c r="S10" s="344" t="s">
        <v>1092</v>
      </c>
      <c r="T10" s="421"/>
      <c r="U10" s="421"/>
      <c r="V10" s="421" t="s">
        <v>864</v>
      </c>
      <c r="W10" s="421" t="s">
        <v>864</v>
      </c>
    </row>
    <row r="11" spans="1:1014" ht="15" customHeight="1">
      <c r="A11" s="424">
        <v>3</v>
      </c>
      <c r="B11" s="321"/>
      <c r="C11" s="321" t="s">
        <v>2679</v>
      </c>
      <c r="D11" s="321"/>
      <c r="E11" s="414"/>
      <c r="F11" s="414"/>
      <c r="G11" s="414"/>
      <c r="H11" s="446" t="s">
        <v>2680</v>
      </c>
      <c r="I11" s="422" t="s">
        <v>2681</v>
      </c>
      <c r="J11" s="417"/>
      <c r="K11" s="316" t="s">
        <v>2682</v>
      </c>
      <c r="L11" s="417"/>
      <c r="M11" s="417"/>
      <c r="N11" s="417"/>
      <c r="O11" s="417"/>
      <c r="P11" s="417"/>
      <c r="Q11" s="416" t="s">
        <v>820</v>
      </c>
      <c r="R11" s="341"/>
      <c r="S11" s="341" t="s">
        <v>863</v>
      </c>
      <c r="T11" s="417"/>
      <c r="U11" s="417"/>
      <c r="V11" s="417" t="s">
        <v>864</v>
      </c>
      <c r="W11" s="417" t="s">
        <v>864</v>
      </c>
    </row>
    <row r="12" spans="1:1014" ht="15" customHeight="1">
      <c r="A12" s="424">
        <v>4</v>
      </c>
      <c r="B12" s="321" t="s">
        <v>2683</v>
      </c>
      <c r="C12" s="321"/>
      <c r="D12" s="321"/>
      <c r="E12" s="414"/>
      <c r="F12" s="414"/>
      <c r="G12" s="414"/>
      <c r="H12" s="448" t="s">
        <v>2684</v>
      </c>
      <c r="I12" s="419" t="s">
        <v>2685</v>
      </c>
      <c r="J12" s="423"/>
      <c r="K12" s="420" t="s">
        <v>2686</v>
      </c>
      <c r="L12" s="421"/>
      <c r="M12" s="421"/>
      <c r="N12" s="421"/>
      <c r="O12" s="421"/>
      <c r="P12" s="421"/>
      <c r="Q12" s="416" t="s">
        <v>820</v>
      </c>
      <c r="R12" s="344"/>
      <c r="S12" s="344" t="s">
        <v>863</v>
      </c>
      <c r="T12" s="421"/>
      <c r="U12" s="421"/>
      <c r="V12" s="421" t="s">
        <v>864</v>
      </c>
      <c r="W12" s="421" t="s">
        <v>864</v>
      </c>
    </row>
    <row r="13" spans="1:1014" ht="15" customHeight="1">
      <c r="A13" s="429">
        <v>5</v>
      </c>
      <c r="B13" s="430" t="s">
        <v>2687</v>
      </c>
      <c r="C13" s="430"/>
      <c r="D13" s="430"/>
      <c r="E13" s="431"/>
      <c r="F13" s="431"/>
      <c r="G13" s="431"/>
      <c r="H13" s="449" t="s">
        <v>2688</v>
      </c>
      <c r="I13" s="432"/>
      <c r="J13" s="433"/>
      <c r="K13" s="432" t="s">
        <v>2689</v>
      </c>
      <c r="L13" s="433"/>
      <c r="M13" s="433"/>
      <c r="N13" s="433"/>
      <c r="O13" s="433"/>
      <c r="P13" s="433"/>
      <c r="Q13" s="434" t="s">
        <v>817</v>
      </c>
      <c r="R13" s="506" t="s">
        <v>864</v>
      </c>
      <c r="S13" s="507" t="s">
        <v>2689</v>
      </c>
      <c r="T13" s="433"/>
      <c r="U13" s="433"/>
      <c r="V13" s="433" t="s">
        <v>864</v>
      </c>
      <c r="W13" s="433" t="s">
        <v>864</v>
      </c>
    </row>
    <row r="14" spans="1:1014" ht="15" customHeight="1" thickBot="1">
      <c r="A14" s="483">
        <v>6</v>
      </c>
      <c r="B14" s="484" t="s">
        <v>2690</v>
      </c>
      <c r="C14" s="484"/>
      <c r="D14" s="484"/>
      <c r="E14" s="485"/>
      <c r="F14" s="485"/>
      <c r="G14" s="485"/>
      <c r="H14" s="486" t="s">
        <v>2691</v>
      </c>
      <c r="I14" s="487"/>
      <c r="J14" s="488"/>
      <c r="K14" s="476" t="s">
        <v>2692</v>
      </c>
      <c r="L14" s="488"/>
      <c r="M14" s="488"/>
      <c r="N14" s="488"/>
      <c r="O14" s="488"/>
      <c r="P14" s="488"/>
      <c r="Q14" s="489" t="s">
        <v>820</v>
      </c>
      <c r="R14" s="508"/>
      <c r="S14" s="508" t="s">
        <v>863</v>
      </c>
      <c r="T14" s="488"/>
      <c r="U14" s="488"/>
      <c r="V14" s="488" t="s">
        <v>864</v>
      </c>
      <c r="W14" s="488" t="s">
        <v>864</v>
      </c>
    </row>
    <row r="15" spans="1:1014" s="455" customFormat="1" ht="15">
      <c r="A15" s="482">
        <f>SUBTOTAL(103, Tableau9[ID])</f>
        <v>6</v>
      </c>
      <c r="B15" s="482">
        <f>SUBTOTAL(103, Tableau9[Donnée (Niveau 1)])</f>
        <v>4</v>
      </c>
      <c r="C15" s="482">
        <f>SUBTOTAL(103, Tableau9[Donnée (Niveau 2)])</f>
        <v>2</v>
      </c>
      <c r="D15" s="482">
        <f>SUBTOTAL(103, Tableau9[Donnée (Niveau 3)])</f>
        <v>0</v>
      </c>
      <c r="E15" s="482">
        <f>SUBTOTAL(103, Tableau9[Donnée (Niveau 4)])</f>
        <v>0</v>
      </c>
      <c r="F15" s="482">
        <f>SUBTOTAL(103, Tableau9[Donnée (Niveau 5)])</f>
        <v>0</v>
      </c>
      <c r="G15" s="482">
        <f>SUBTOTAL(103, Tableau9[Donnée (Niveau 6)])</f>
        <v>0</v>
      </c>
      <c r="H15" s="482">
        <f>SUBTOTAL(103, Tableau9[Description])</f>
        <v>6</v>
      </c>
      <c r="I15" s="482">
        <f>SUBTOTAL(103, Tableau9[Exemples])</f>
        <v>3</v>
      </c>
      <c r="J15" s="482">
        <f>SUBTOTAL(103, Tableau9[Balise NexSIS])</f>
        <v>0</v>
      </c>
      <c r="K15" s="482">
        <f>SUBTOTAL(103, Tableau9[Nouvelle balise])</f>
        <v>6</v>
      </c>
      <c r="L15" s="482">
        <f>SUBTOTAL(103, Tableau9[Nantes - balise])</f>
        <v>0</v>
      </c>
      <c r="M15" s="482">
        <f>SUBTOTAL(103, Tableau9[Nantes - description])</f>
        <v>0</v>
      </c>
      <c r="N15" s="482">
        <f>SUBTOTAL(103, Tableau9[GT399])</f>
        <v>0</v>
      </c>
      <c r="O15" s="482">
        <f>SUBTOTAL(103, Tableau9[GT399 description])</f>
        <v>0</v>
      </c>
      <c r="P15" s="482">
        <f>SUBTOTAL(103, Tableau9[Priorisation])</f>
        <v>0</v>
      </c>
      <c r="Q15" s="482">
        <f>SUBTOTAL(103, Tableau9[Cardinalité])</f>
        <v>6</v>
      </c>
      <c r="R15" s="482">
        <f>SUBTOTAL(103, Tableau9[Objet])</f>
        <v>2</v>
      </c>
      <c r="S15" s="482">
        <f>SUBTOTAL(103, Tableau9[Format (ou type)])</f>
        <v>6</v>
      </c>
      <c r="T15" s="482">
        <f>SUBTOTAL(103, Tableau9[Nomenclature/ énumération])</f>
        <v>0</v>
      </c>
      <c r="U15" s="482">
        <f>SUBTOTAL(103, Tableau9[Détails de format])</f>
        <v>0</v>
      </c>
      <c r="V15" s="482">
        <f>SUBTOTAL(103, Tableau9[15-18])</f>
        <v>6</v>
      </c>
      <c r="W15" s="482">
        <f>SUBTOTAL(103, Tableau9[15-15])</f>
        <v>6</v>
      </c>
    </row>
    <row r="16" spans="1:1014">
      <c r="E16" s="57"/>
      <c r="AF16" s="451"/>
      <c r="AG16" s="452"/>
      <c r="AH16" s="452"/>
      <c r="AI16" s="453"/>
    </row>
    <row r="17" spans="3:5">
      <c r="E17" s="57"/>
    </row>
    <row r="18" spans="3:5">
      <c r="E18" s="57"/>
    </row>
    <row r="19" spans="3:5">
      <c r="C19" s="454"/>
      <c r="E19" s="57"/>
    </row>
  </sheetData>
  <mergeCells count="9">
    <mergeCell ref="E1:F1"/>
    <mergeCell ref="H1:J2"/>
    <mergeCell ref="O1:P1"/>
    <mergeCell ref="L7:O7"/>
    <mergeCell ref="AC7:AD7"/>
    <mergeCell ref="E5:F5"/>
    <mergeCell ref="E4:F4"/>
    <mergeCell ref="E3:F3"/>
    <mergeCell ref="E2:F2"/>
  </mergeCell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topRight"/>
      <selection pane="bottomLeft"/>
      <selection pane="bottomRight" activeCell="M15" sqref="M15"/>
    </sheetView>
  </sheetViews>
  <sheetFormatPr baseColWidth="10" defaultColWidth="9" defaultRowHeight="14"/>
  <cols>
    <col min="1" max="1" width="4.6640625" customWidth="1"/>
    <col min="2" max="2" width="15" customWidth="1"/>
    <col min="3" max="3" width="24.6640625" customWidth="1"/>
    <col min="4" max="4" width="10.5" customWidth="1"/>
    <col min="5" max="5" width="10.6640625" customWidth="1"/>
    <col min="6" max="7" width="11" bestFit="1" customWidth="1"/>
    <col min="8" max="8" width="37.1640625" customWidth="1"/>
    <col min="9" max="9" width="26.5" customWidth="1"/>
    <col min="10" max="10" width="11" bestFit="1" customWidth="1"/>
    <col min="11" max="11" width="15" bestFit="1" customWidth="1"/>
    <col min="12" max="15" width="2.6640625" customWidth="1"/>
    <col min="16" max="16" width="2.5" customWidth="1"/>
    <col min="17" max="17" width="9.33203125" customWidth="1"/>
    <col min="18" max="18" width="5.6640625" customWidth="1"/>
    <col min="19" max="19" width="12.6640625" customWidth="1"/>
    <col min="20" max="20" width="15.1640625" customWidth="1"/>
    <col min="21" max="21" width="10.6640625" customWidth="1"/>
    <col min="22" max="22" width="11" bestFit="1" customWidth="1"/>
    <col min="23" max="23" width="9.83203125" customWidth="1"/>
    <col min="24" max="30" width="9" customWidth="1"/>
  </cols>
  <sheetData>
    <row r="1" spans="1:1014" ht="14.25" customHeight="1">
      <c r="A1" s="272" t="s">
        <v>2693</v>
      </c>
      <c r="B1" s="128"/>
      <c r="C1" s="129" t="s">
        <v>813</v>
      </c>
      <c r="D1" s="128"/>
      <c r="E1" s="293" t="s">
        <v>814</v>
      </c>
      <c r="F1" s="128"/>
      <c r="G1" s="128"/>
      <c r="H1" s="798" t="s">
        <v>1725</v>
      </c>
      <c r="I1" s="798"/>
      <c r="J1" s="96"/>
      <c r="K1" s="96"/>
      <c r="L1" s="96"/>
      <c r="M1" s="96"/>
      <c r="N1" s="96"/>
      <c r="O1" s="803" t="s">
        <v>816</v>
      </c>
      <c r="P1" s="803"/>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5" t="s">
        <v>818</v>
      </c>
      <c r="D2" s="128"/>
      <c r="E2" s="296" t="s">
        <v>819</v>
      </c>
      <c r="F2" s="128"/>
      <c r="G2" s="128"/>
      <c r="H2" s="798"/>
      <c r="I2" s="798"/>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7" t="s">
        <v>821</v>
      </c>
      <c r="D3" s="128"/>
      <c r="E3" s="298"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299" t="s">
        <v>824</v>
      </c>
      <c r="D4" s="128"/>
      <c r="E4" s="300" t="s">
        <v>825</v>
      </c>
      <c r="F4" s="128"/>
      <c r="G4" s="137" t="s">
        <v>1725</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1725</v>
      </c>
      <c r="E5" s="407" t="s">
        <v>912</v>
      </c>
      <c r="F5" s="146" t="s">
        <v>1725</v>
      </c>
      <c r="G5" s="148"/>
      <c r="H5" s="148"/>
      <c r="I5" s="408"/>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2" t="s">
        <v>827</v>
      </c>
      <c r="D6" s="138" t="s">
        <v>1725</v>
      </c>
      <c r="E6" s="128"/>
      <c r="F6" s="138" t="s">
        <v>1725</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1725</v>
      </c>
      <c r="D7" s="409" t="s">
        <v>1725</v>
      </c>
      <c r="E7" s="303" t="s">
        <v>1725</v>
      </c>
      <c r="F7" s="303" t="s">
        <v>1725</v>
      </c>
      <c r="G7" s="96"/>
      <c r="H7" s="96"/>
      <c r="I7" s="5"/>
      <c r="J7" s="96"/>
      <c r="K7" s="96"/>
      <c r="L7" s="799" t="s">
        <v>828</v>
      </c>
      <c r="M7" s="799"/>
      <c r="N7" s="799"/>
      <c r="O7" s="799"/>
      <c r="P7" s="96"/>
      <c r="Q7" s="96"/>
      <c r="R7" s="96"/>
      <c r="S7" s="96"/>
      <c r="T7" s="96"/>
      <c r="V7" s="410" t="s">
        <v>829</v>
      </c>
      <c r="W7" s="410" t="s">
        <v>829</v>
      </c>
      <c r="Y7" s="96"/>
      <c r="Z7" s="96"/>
      <c r="AA7" s="96"/>
      <c r="AB7" s="96"/>
      <c r="AC7" s="799" t="s">
        <v>830</v>
      </c>
      <c r="AD7" s="799"/>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5" customFormat="1" ht="27.75" customHeight="1">
      <c r="A8" s="305" t="s">
        <v>831</v>
      </c>
      <c r="B8" s="411" t="s">
        <v>832</v>
      </c>
      <c r="C8" s="411" t="s">
        <v>833</v>
      </c>
      <c r="D8" s="411" t="s">
        <v>834</v>
      </c>
      <c r="E8" s="411" t="s">
        <v>835</v>
      </c>
      <c r="F8" s="411" t="s">
        <v>836</v>
      </c>
      <c r="G8" s="411" t="s">
        <v>837</v>
      </c>
      <c r="H8" s="309" t="s">
        <v>9</v>
      </c>
      <c r="I8" s="309" t="s">
        <v>838</v>
      </c>
      <c r="J8" s="309" t="s">
        <v>841</v>
      </c>
      <c r="K8" s="309" t="s">
        <v>842</v>
      </c>
      <c r="L8" s="436" t="s">
        <v>843</v>
      </c>
      <c r="M8" s="436" t="s">
        <v>844</v>
      </c>
      <c r="N8" s="436" t="s">
        <v>845</v>
      </c>
      <c r="O8" s="436" t="s">
        <v>846</v>
      </c>
      <c r="P8" s="436" t="s">
        <v>847</v>
      </c>
      <c r="Q8" s="309" t="s">
        <v>677</v>
      </c>
      <c r="R8" s="309" t="s">
        <v>3</v>
      </c>
      <c r="S8" s="309" t="s">
        <v>2672</v>
      </c>
      <c r="T8" s="309" t="s">
        <v>914</v>
      </c>
      <c r="U8" s="309" t="s">
        <v>849</v>
      </c>
      <c r="V8" s="310" t="s">
        <v>850</v>
      </c>
      <c r="W8" s="412" t="s">
        <v>851</v>
      </c>
      <c r="X8" s="440" t="s">
        <v>852</v>
      </c>
      <c r="Y8" s="441" t="s">
        <v>853</v>
      </c>
      <c r="Z8" s="441" t="s">
        <v>854</v>
      </c>
      <c r="AA8" s="442" t="s">
        <v>855</v>
      </c>
      <c r="AB8" s="441" t="s">
        <v>856</v>
      </c>
      <c r="AC8" s="441" t="s">
        <v>857</v>
      </c>
      <c r="AD8" s="443"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4"/>
      <c r="ALO8" s="444"/>
      <c r="ALP8" s="444"/>
      <c r="ALQ8" s="444"/>
      <c r="ALR8" s="444"/>
      <c r="ALS8" s="444"/>
      <c r="ALT8" s="444"/>
      <c r="ALU8" s="444"/>
      <c r="ALV8" s="444"/>
      <c r="ALW8" s="444"/>
      <c r="ALX8" s="444"/>
      <c r="ALY8" s="444"/>
      <c r="ALZ8" s="444"/>
    </row>
    <row r="9" spans="1:1014" ht="29.25" customHeight="1">
      <c r="A9" s="413">
        <v>1</v>
      </c>
      <c r="B9" s="321" t="s">
        <v>2694</v>
      </c>
      <c r="C9" s="321"/>
      <c r="D9" s="321"/>
      <c r="E9" s="414"/>
      <c r="F9" s="414"/>
      <c r="G9" s="414"/>
      <c r="H9" s="435" t="s">
        <v>2695</v>
      </c>
      <c r="I9" s="398"/>
      <c r="J9" s="417"/>
      <c r="K9" s="316" t="s">
        <v>2696</v>
      </c>
      <c r="L9" s="316"/>
      <c r="M9" s="316"/>
      <c r="N9" s="316"/>
      <c r="O9" s="316"/>
      <c r="P9" s="316"/>
      <c r="Q9" s="416" t="s">
        <v>820</v>
      </c>
      <c r="R9" s="341"/>
      <c r="S9" s="341" t="s">
        <v>863</v>
      </c>
      <c r="T9" s="417"/>
      <c r="U9" s="417"/>
      <c r="V9" s="417" t="s">
        <v>864</v>
      </c>
      <c r="W9" s="418"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K9" activePane="bottomRight" state="frozen"/>
      <selection pane="topRight"/>
      <selection pane="bottomLeft"/>
      <selection pane="bottomRight" activeCell="K16" sqref="K16"/>
    </sheetView>
  </sheetViews>
  <sheetFormatPr baseColWidth="10" defaultColWidth="9" defaultRowHeight="14"/>
  <cols>
    <col min="1" max="1" width="4.6640625" customWidth="1"/>
    <col min="2" max="2" width="27.1640625" customWidth="1"/>
    <col min="3" max="3" width="24.6640625" customWidth="1"/>
    <col min="4" max="4" width="12.5" customWidth="1"/>
    <col min="5" max="5" width="12.6640625" customWidth="1"/>
    <col min="6" max="7" width="13" bestFit="1" customWidth="1"/>
    <col min="8" max="8" width="37.1640625" customWidth="1"/>
    <col min="9" max="10" width="26.5" customWidth="1"/>
    <col min="11" max="11" width="16.1640625" customWidth="1"/>
    <col min="12" max="15" width="2.1640625" customWidth="1"/>
    <col min="16" max="16" width="2.33203125" customWidth="1"/>
    <col min="17" max="17" width="12.5" customWidth="1"/>
    <col min="18" max="18" width="2" customWidth="1"/>
    <col min="19" max="19" width="7.1640625" customWidth="1"/>
    <col min="20" max="21" width="2" customWidth="1"/>
    <col min="22" max="22" width="9.33203125" customWidth="1"/>
    <col min="23" max="23" width="8.5" customWidth="1"/>
    <col min="26" max="26" width="7.33203125" customWidth="1"/>
    <col min="27" max="27" width="11" bestFit="1" customWidth="1"/>
    <col min="30" max="36" width="0" hidden="1" customWidth="1"/>
  </cols>
  <sheetData>
    <row r="1" spans="1:1020" ht="14.25" customHeight="1">
      <c r="A1" s="272" t="s">
        <v>2697</v>
      </c>
      <c r="B1" s="272"/>
      <c r="C1" s="129" t="s">
        <v>813</v>
      </c>
      <c r="D1" s="128"/>
      <c r="E1" s="293" t="s">
        <v>814</v>
      </c>
      <c r="F1" s="128"/>
      <c r="G1" s="128"/>
      <c r="H1" s="798" t="s">
        <v>1725</v>
      </c>
      <c r="I1" s="798"/>
      <c r="J1" s="294"/>
      <c r="K1" s="96"/>
      <c r="L1" s="96"/>
      <c r="M1" s="96"/>
      <c r="N1" s="96"/>
      <c r="O1" s="803" t="s">
        <v>816</v>
      </c>
      <c r="P1" s="803"/>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c r="B2" s="128"/>
      <c r="C2" s="295" t="s">
        <v>818</v>
      </c>
      <c r="D2" s="128"/>
      <c r="E2" s="296" t="s">
        <v>819</v>
      </c>
      <c r="F2" s="128"/>
      <c r="G2" s="128"/>
      <c r="H2" s="798"/>
      <c r="I2" s="798"/>
      <c r="J2" s="294"/>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7" t="s">
        <v>821</v>
      </c>
      <c r="D3" s="128"/>
      <c r="E3" s="298"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299" t="s">
        <v>824</v>
      </c>
      <c r="D4" s="128"/>
      <c r="E4" s="300" t="s">
        <v>825</v>
      </c>
      <c r="F4" s="128"/>
      <c r="G4" s="137" t="s">
        <v>1725</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1725</v>
      </c>
      <c r="E5" s="407" t="s">
        <v>912</v>
      </c>
      <c r="F5" s="146" t="s">
        <v>1725</v>
      </c>
      <c r="G5" s="148"/>
      <c r="H5" s="148"/>
      <c r="I5" s="408"/>
      <c r="J5" s="408"/>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2" t="s">
        <v>827</v>
      </c>
      <c r="D6" s="138" t="s">
        <v>1725</v>
      </c>
      <c r="E6" s="128"/>
      <c r="F6" s="138" t="s">
        <v>1725</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1725</v>
      </c>
      <c r="D7" s="409" t="s">
        <v>1725</v>
      </c>
      <c r="E7" s="303" t="s">
        <v>1725</v>
      </c>
      <c r="F7" s="303" t="s">
        <v>1725</v>
      </c>
      <c r="G7" s="96"/>
      <c r="H7" s="96"/>
      <c r="I7" s="5"/>
      <c r="J7" s="5"/>
      <c r="K7" s="96"/>
      <c r="L7" s="799" t="s">
        <v>828</v>
      </c>
      <c r="M7" s="799"/>
      <c r="N7" s="799"/>
      <c r="O7" s="799"/>
      <c r="P7" s="96"/>
      <c r="Q7" s="96"/>
      <c r="R7" s="96"/>
      <c r="S7" s="96"/>
      <c r="T7" s="96"/>
      <c r="U7" s="96"/>
      <c r="V7" s="410" t="s">
        <v>829</v>
      </c>
      <c r="W7" s="410" t="s">
        <v>829</v>
      </c>
      <c r="Y7" s="96"/>
      <c r="Z7" s="96"/>
      <c r="AA7" s="96"/>
      <c r="AB7" s="96"/>
      <c r="AC7" s="799" t="s">
        <v>830</v>
      </c>
      <c r="AD7" s="799"/>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45" customFormat="1" ht="27.75" customHeight="1">
      <c r="A8" s="425" t="s">
        <v>831</v>
      </c>
      <c r="B8" s="426" t="s">
        <v>832</v>
      </c>
      <c r="C8" s="426" t="s">
        <v>833</v>
      </c>
      <c r="D8" s="426" t="s">
        <v>834</v>
      </c>
      <c r="E8" s="426" t="s">
        <v>835</v>
      </c>
      <c r="F8" s="426" t="s">
        <v>836</v>
      </c>
      <c r="G8" s="426" t="s">
        <v>837</v>
      </c>
      <c r="H8" s="427" t="s">
        <v>9</v>
      </c>
      <c r="I8" s="427" t="s">
        <v>838</v>
      </c>
      <c r="J8" s="427" t="s">
        <v>841</v>
      </c>
      <c r="K8" s="427" t="s">
        <v>842</v>
      </c>
      <c r="L8" s="436" t="s">
        <v>843</v>
      </c>
      <c r="M8" s="436" t="s">
        <v>844</v>
      </c>
      <c r="N8" s="436" t="s">
        <v>845</v>
      </c>
      <c r="O8" s="436" t="s">
        <v>846</v>
      </c>
      <c r="P8" s="436" t="s">
        <v>847</v>
      </c>
      <c r="Q8" s="427" t="s">
        <v>677</v>
      </c>
      <c r="R8" s="427" t="s">
        <v>3</v>
      </c>
      <c r="S8" s="427" t="s">
        <v>2672</v>
      </c>
      <c r="T8" s="427" t="s">
        <v>914</v>
      </c>
      <c r="U8" s="427" t="s">
        <v>849</v>
      </c>
      <c r="V8" s="428" t="s">
        <v>850</v>
      </c>
      <c r="W8" s="428" t="s">
        <v>851</v>
      </c>
      <c r="X8" s="440" t="s">
        <v>852</v>
      </c>
      <c r="Y8" s="441" t="s">
        <v>853</v>
      </c>
      <c r="Z8" s="441" t="s">
        <v>854</v>
      </c>
      <c r="AA8" s="442" t="s">
        <v>855</v>
      </c>
      <c r="AB8" s="441" t="s">
        <v>856</v>
      </c>
      <c r="AC8" s="441" t="s">
        <v>857</v>
      </c>
      <c r="AD8" s="443"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44"/>
      <c r="ALU8" s="444"/>
      <c r="ALV8" s="444"/>
      <c r="ALW8" s="444"/>
      <c r="ALX8" s="444"/>
      <c r="ALY8" s="444"/>
      <c r="ALZ8" s="444"/>
      <c r="AMA8" s="444"/>
      <c r="AMB8" s="444"/>
      <c r="AMC8" s="444"/>
      <c r="AMD8" s="444"/>
      <c r="AME8" s="444"/>
      <c r="AMF8" s="444"/>
    </row>
    <row r="9" spans="1:1020" ht="15" customHeight="1">
      <c r="A9" s="424">
        <v>1</v>
      </c>
      <c r="B9" s="321" t="s">
        <v>2698</v>
      </c>
      <c r="C9" s="450"/>
      <c r="D9" s="321"/>
      <c r="E9" s="414"/>
      <c r="F9" s="414"/>
      <c r="G9" s="414"/>
      <c r="H9" s="316" t="s">
        <v>2699</v>
      </c>
      <c r="I9" s="416"/>
      <c r="J9" s="398"/>
      <c r="K9" s="316" t="s">
        <v>2700</v>
      </c>
      <c r="L9" s="316"/>
      <c r="M9" s="316"/>
      <c r="N9" s="316"/>
      <c r="O9" s="316"/>
      <c r="P9" s="316"/>
      <c r="Q9" s="416" t="s">
        <v>820</v>
      </c>
      <c r="R9" s="341"/>
      <c r="S9" s="341" t="s">
        <v>863</v>
      </c>
      <c r="T9" s="417"/>
      <c r="U9" s="417"/>
      <c r="V9" s="417" t="s">
        <v>864</v>
      </c>
      <c r="W9" s="417" t="s">
        <v>864</v>
      </c>
    </row>
    <row r="10" spans="1:1020" ht="15" customHeight="1">
      <c r="A10" s="414">
        <v>2</v>
      </c>
      <c r="B10" s="321" t="s">
        <v>2701</v>
      </c>
      <c r="C10" s="450"/>
      <c r="D10" s="321"/>
      <c r="E10" s="414"/>
      <c r="F10" s="414"/>
      <c r="G10" s="414"/>
      <c r="H10" s="316" t="s">
        <v>2702</v>
      </c>
      <c r="I10" s="416"/>
      <c r="J10" s="398"/>
      <c r="K10" s="316" t="s">
        <v>2703</v>
      </c>
      <c r="L10" s="316"/>
      <c r="M10" s="316"/>
      <c r="N10" s="316"/>
      <c r="O10" s="316"/>
      <c r="P10" s="316"/>
      <c r="Q10" s="332" t="s">
        <v>817</v>
      </c>
      <c r="R10" s="344"/>
      <c r="S10" s="344" t="s">
        <v>1655</v>
      </c>
      <c r="T10" s="421"/>
      <c r="U10" s="421"/>
      <c r="V10" s="421" t="s">
        <v>864</v>
      </c>
      <c r="W10" s="421" t="s">
        <v>864</v>
      </c>
    </row>
    <row r="11" spans="1:1020" ht="16">
      <c r="A11" s="414">
        <v>3</v>
      </c>
      <c r="B11" s="321" t="s">
        <v>2704</v>
      </c>
      <c r="C11" s="338"/>
      <c r="D11" s="321"/>
      <c r="E11" s="414"/>
      <c r="F11" s="414"/>
      <c r="G11" s="414"/>
      <c r="H11" s="316" t="s">
        <v>2705</v>
      </c>
      <c r="I11" s="416"/>
      <c r="J11" s="398"/>
      <c r="K11" s="316" t="s">
        <v>2706</v>
      </c>
      <c r="L11" s="316"/>
      <c r="M11" s="316"/>
      <c r="N11" s="316"/>
      <c r="O11" s="316"/>
      <c r="P11" s="316"/>
      <c r="Q11" s="332" t="s">
        <v>817</v>
      </c>
      <c r="R11" s="341"/>
      <c r="S11" s="341" t="s">
        <v>863</v>
      </c>
      <c r="T11" s="417"/>
      <c r="U11" s="417"/>
      <c r="V11" s="417" t="s">
        <v>864</v>
      </c>
      <c r="W11" s="417"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4">
    <mergeCell ref="H1:I2"/>
    <mergeCell ref="AC7:AD7"/>
    <mergeCell ref="O1:P1"/>
    <mergeCell ref="L7:O7"/>
  </mergeCell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
    </sheetView>
  </sheetViews>
  <sheetFormatPr baseColWidth="10" defaultColWidth="9" defaultRowHeight="14"/>
  <cols>
    <col min="1" max="1" width="4.6640625" customWidth="1"/>
    <col min="2" max="2" width="27.1640625" customWidth="1"/>
    <col min="3" max="3" width="24.6640625" customWidth="1"/>
    <col min="4" max="4" width="12.5" customWidth="1"/>
    <col min="5" max="5" width="12.6640625" customWidth="1"/>
    <col min="6" max="7" width="13" bestFit="1" customWidth="1"/>
    <col min="8" max="8" width="37.1640625" customWidth="1"/>
    <col min="9" max="10" width="26.5" customWidth="1"/>
    <col min="11" max="11" width="13" bestFit="1" customWidth="1"/>
    <col min="12" max="12" width="2.1640625" customWidth="1"/>
    <col min="13" max="16" width="2" customWidth="1"/>
    <col min="17" max="17" width="5.33203125" customWidth="1"/>
    <col min="18" max="18" width="11" bestFit="1" customWidth="1"/>
    <col min="21" max="21" width="7.33203125" customWidth="1"/>
    <col min="22" max="22" width="11" bestFit="1" customWidth="1"/>
    <col min="24" max="24" width="4.1640625" bestFit="1" customWidth="1"/>
    <col min="25" max="31" width="9" customWidth="1"/>
  </cols>
  <sheetData>
    <row r="1" spans="1:1015" ht="14.25" customHeight="1">
      <c r="A1" s="272" t="s">
        <v>2707</v>
      </c>
      <c r="B1" s="272"/>
      <c r="C1" s="129" t="s">
        <v>813</v>
      </c>
      <c r="D1" s="128"/>
      <c r="E1" s="293" t="s">
        <v>814</v>
      </c>
      <c r="F1" s="128"/>
      <c r="G1" s="128"/>
      <c r="H1" s="798" t="s">
        <v>1725</v>
      </c>
      <c r="I1" s="798"/>
      <c r="J1" s="294"/>
      <c r="K1" s="96"/>
      <c r="L1" s="96"/>
      <c r="M1" s="96"/>
      <c r="N1" s="96"/>
      <c r="O1" s="803" t="s">
        <v>816</v>
      </c>
      <c r="P1" s="803"/>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5" t="s">
        <v>818</v>
      </c>
      <c r="D2" s="128"/>
      <c r="E2" s="296" t="s">
        <v>819</v>
      </c>
      <c r="F2" s="128"/>
      <c r="G2" s="128"/>
      <c r="H2" s="798"/>
      <c r="I2" s="798"/>
      <c r="J2" s="294"/>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7" t="s">
        <v>821</v>
      </c>
      <c r="D3" s="128"/>
      <c r="E3" s="298"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299" t="s">
        <v>824</v>
      </c>
      <c r="D4" s="128"/>
      <c r="E4" s="300" t="s">
        <v>825</v>
      </c>
      <c r="F4" s="128"/>
      <c r="G4" s="137" t="s">
        <v>1725</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1725</v>
      </c>
      <c r="E5" s="407" t="s">
        <v>912</v>
      </c>
      <c r="F5" s="146" t="s">
        <v>1725</v>
      </c>
      <c r="G5" s="148"/>
      <c r="H5" s="148"/>
      <c r="I5" s="408"/>
      <c r="J5" s="408"/>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2" t="s">
        <v>827</v>
      </c>
      <c r="D6" s="138" t="s">
        <v>1725</v>
      </c>
      <c r="E6" s="128"/>
      <c r="F6" s="138" t="s">
        <v>1725</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1725</v>
      </c>
      <c r="D7" s="409" t="s">
        <v>1725</v>
      </c>
      <c r="E7" s="303" t="s">
        <v>1725</v>
      </c>
      <c r="F7" s="303" t="s">
        <v>1725</v>
      </c>
      <c r="G7" s="96"/>
      <c r="H7" s="96"/>
      <c r="I7" s="5"/>
      <c r="J7" s="5"/>
      <c r="K7" s="96"/>
      <c r="L7" s="799" t="s">
        <v>828</v>
      </c>
      <c r="M7" s="799"/>
      <c r="N7" s="799"/>
      <c r="O7" s="799"/>
      <c r="P7" s="96"/>
      <c r="Q7" s="96"/>
      <c r="R7" s="96"/>
      <c r="S7" s="96"/>
      <c r="T7" s="96"/>
      <c r="U7" s="96"/>
      <c r="V7" s="410" t="s">
        <v>829</v>
      </c>
      <c r="W7" s="410" t="s">
        <v>829</v>
      </c>
      <c r="Y7" s="96"/>
      <c r="Z7" s="96"/>
      <c r="AA7" s="96"/>
      <c r="AB7" s="96"/>
      <c r="AC7" s="799" t="s">
        <v>830</v>
      </c>
      <c r="AD7" s="799"/>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45" customFormat="1" ht="27.75" customHeight="1">
      <c r="A8" s="457" t="s">
        <v>831</v>
      </c>
      <c r="B8" s="458" t="s">
        <v>832</v>
      </c>
      <c r="C8" s="458" t="s">
        <v>833</v>
      </c>
      <c r="D8" s="458" t="s">
        <v>834</v>
      </c>
      <c r="E8" s="458" t="s">
        <v>835</v>
      </c>
      <c r="F8" s="458" t="s">
        <v>836</v>
      </c>
      <c r="G8" s="458" t="s">
        <v>837</v>
      </c>
      <c r="H8" s="459" t="s">
        <v>9</v>
      </c>
      <c r="I8" s="459" t="s">
        <v>838</v>
      </c>
      <c r="J8" s="459" t="s">
        <v>841</v>
      </c>
      <c r="K8" s="459" t="s">
        <v>842</v>
      </c>
      <c r="L8" s="460" t="s">
        <v>843</v>
      </c>
      <c r="M8" s="460" t="s">
        <v>844</v>
      </c>
      <c r="N8" s="460" t="s">
        <v>845</v>
      </c>
      <c r="O8" s="460" t="s">
        <v>846</v>
      </c>
      <c r="P8" s="460" t="s">
        <v>847</v>
      </c>
      <c r="Q8" s="459" t="s">
        <v>677</v>
      </c>
      <c r="R8" s="461" t="s">
        <v>3</v>
      </c>
      <c r="S8" s="427" t="s">
        <v>2672</v>
      </c>
      <c r="T8" s="427" t="s">
        <v>914</v>
      </c>
      <c r="U8" s="427" t="s">
        <v>849</v>
      </c>
      <c r="V8" s="428" t="s">
        <v>850</v>
      </c>
      <c r="W8" s="428" t="s">
        <v>851</v>
      </c>
      <c r="X8" s="440" t="s">
        <v>852</v>
      </c>
      <c r="Y8" s="441" t="s">
        <v>853</v>
      </c>
      <c r="Z8" s="441" t="s">
        <v>854</v>
      </c>
      <c r="AA8" s="442" t="s">
        <v>855</v>
      </c>
      <c r="AB8" s="441" t="s">
        <v>856</v>
      </c>
      <c r="AC8" s="441" t="s">
        <v>857</v>
      </c>
      <c r="AD8" s="443"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44"/>
      <c r="ALP8" s="444"/>
      <c r="ALQ8" s="444"/>
      <c r="ALR8" s="444"/>
      <c r="ALS8" s="444"/>
      <c r="ALT8" s="444"/>
      <c r="ALU8" s="444"/>
      <c r="ALV8" s="444"/>
      <c r="ALW8" s="444"/>
      <c r="ALX8" s="444"/>
      <c r="ALY8" s="444"/>
      <c r="ALZ8" s="444"/>
      <c r="AMA8" s="444"/>
    </row>
    <row r="9" spans="1:1015">
      <c r="A9" s="462">
        <v>0</v>
      </c>
      <c r="B9" s="462">
        <v>0</v>
      </c>
      <c r="C9" s="462">
        <v>0</v>
      </c>
      <c r="D9" s="462">
        <v>0</v>
      </c>
      <c r="E9" s="462">
        <v>0</v>
      </c>
      <c r="F9" s="462">
        <v>0</v>
      </c>
      <c r="G9" s="462">
        <v>0</v>
      </c>
      <c r="H9" s="462">
        <v>0</v>
      </c>
      <c r="I9" s="462">
        <v>0</v>
      </c>
      <c r="J9" s="462">
        <v>0</v>
      </c>
      <c r="K9" s="462">
        <v>0</v>
      </c>
      <c r="L9" s="462">
        <v>0</v>
      </c>
      <c r="M9" s="462">
        <v>0</v>
      </c>
      <c r="N9" s="462">
        <v>0</v>
      </c>
      <c r="O9" s="462">
        <v>0</v>
      </c>
      <c r="P9" s="462">
        <v>0</v>
      </c>
      <c r="Q9" s="462">
        <v>0</v>
      </c>
      <c r="R9" s="462">
        <v>0</v>
      </c>
      <c r="S9" s="462">
        <v>0</v>
      </c>
      <c r="T9" s="462">
        <v>0</v>
      </c>
      <c r="U9" s="462">
        <v>0</v>
      </c>
      <c r="V9" s="462">
        <v>0</v>
      </c>
      <c r="W9" s="462">
        <v>0</v>
      </c>
    </row>
  </sheetData>
  <mergeCells count="4">
    <mergeCell ref="O1:P1"/>
    <mergeCell ref="L7:O7"/>
    <mergeCell ref="AC7:AD7"/>
    <mergeCell ref="H1:I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
  <sheetData>
    <row r="22" spans="1:1">
      <c r="A22" s="464"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2708</v>
      </c>
    </row>
    <row r="2" spans="2:6" s="4" customFormat="1"/>
    <row r="3" spans="2:6" s="134" customFormat="1">
      <c r="B3" s="133" t="s">
        <v>2709</v>
      </c>
      <c r="C3" s="135"/>
      <c r="D3" s="135"/>
      <c r="E3" s="135"/>
      <c r="F3" s="135"/>
    </row>
    <row r="4" spans="2:6" ht="18" customHeight="1">
      <c r="B4" s="131" t="s">
        <v>2710</v>
      </c>
    </row>
    <row r="5" spans="2:6" ht="18" customHeight="1">
      <c r="B5" s="131" t="s">
        <v>2711</v>
      </c>
    </row>
    <row r="6" spans="2:6" ht="18" customHeight="1">
      <c r="B6" s="131" t="s">
        <v>2712</v>
      </c>
    </row>
    <row r="7" spans="2:6" ht="18" customHeight="1">
      <c r="B7" s="131" t="s">
        <v>2713</v>
      </c>
    </row>
    <row r="8" spans="2:6" ht="18" customHeight="1">
      <c r="B8" s="131" t="s">
        <v>2714</v>
      </c>
    </row>
    <row r="9" spans="2:6" ht="24" customHeight="1">
      <c r="B9" s="810" t="s">
        <v>2715</v>
      </c>
      <c r="C9" s="810"/>
      <c r="D9" s="810"/>
      <c r="E9" s="810"/>
      <c r="F9" s="810"/>
    </row>
    <row r="10" spans="2:6" ht="14.25" customHeight="1">
      <c r="B10" s="811" t="s">
        <v>2716</v>
      </c>
      <c r="C10" s="811"/>
      <c r="D10" s="811"/>
      <c r="E10" s="811"/>
      <c r="F10" s="811"/>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779"/>
      <c r="L1" s="779"/>
      <c r="M1" s="779"/>
      <c r="N1" s="779"/>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779"/>
      <c r="L1" s="779"/>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2">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D23" sqref="D23"/>
    </sheetView>
  </sheetViews>
  <sheetFormatPr baseColWidth="10" defaultColWidth="8.5" defaultRowHeight="15"/>
  <cols>
    <col min="1" max="1" width="8.5" style="158"/>
    <col min="2" max="2" width="28.5" style="158" customWidth="1"/>
    <col min="3" max="3" width="25.5" style="158" customWidth="1"/>
    <col min="4" max="4" width="80.1640625" style="158" customWidth="1"/>
    <col min="5" max="16384" width="8.5" style="158"/>
  </cols>
  <sheetData>
    <row r="1" spans="2:4" ht="16" thickBot="1"/>
    <row r="2" spans="2:4" ht="19">
      <c r="B2" s="780" t="s">
        <v>726</v>
      </c>
      <c r="C2" s="781"/>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6"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19" zoomScale="87" zoomScaleNormal="40" workbookViewId="0">
      <selection activeCell="A28" sqref="A28"/>
    </sheetView>
  </sheetViews>
  <sheetFormatPr baseColWidth="10" defaultColWidth="11" defaultRowHeight="14"/>
  <cols>
    <col min="1" max="1" width="39.83203125" style="193" customWidth="1"/>
    <col min="2" max="2" width="26.5" style="193" customWidth="1"/>
    <col min="3" max="4" width="17.5" style="193" customWidth="1"/>
    <col min="5" max="5" width="14" style="193" customWidth="1"/>
    <col min="6" max="6" width="46.33203125" style="193" customWidth="1"/>
    <col min="7" max="7" width="48.83203125" style="193" customWidth="1"/>
    <col min="8" max="8" width="57.83203125" style="193" customWidth="1"/>
    <col min="9" max="9" width="11" style="193"/>
    <col min="10" max="10" width="11" style="193" customWidth="1"/>
    <col min="11" max="16384" width="11" style="193"/>
  </cols>
  <sheetData>
    <row r="1" spans="1:20" ht="21" thickBot="1">
      <c r="A1" s="783" t="s">
        <v>742</v>
      </c>
      <c r="B1" s="784"/>
      <c r="C1" s="784"/>
      <c r="D1" s="784"/>
      <c r="E1" s="784"/>
      <c r="F1" s="784"/>
      <c r="G1" s="784"/>
      <c r="H1" s="785"/>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791" t="s">
        <v>753</v>
      </c>
      <c r="G12" s="791"/>
      <c r="H12" s="791"/>
      <c r="I12" s="203"/>
      <c r="J12" s="203"/>
      <c r="R12" s="196"/>
      <c r="S12" s="196"/>
      <c r="T12" s="196"/>
    </row>
    <row r="13" spans="1:20" ht="14.25" customHeight="1">
      <c r="B13" s="204" t="s">
        <v>754</v>
      </c>
      <c r="C13" s="204"/>
      <c r="D13" s="204"/>
      <c r="E13" s="204"/>
      <c r="F13" s="791" t="s">
        <v>755</v>
      </c>
      <c r="G13" s="791"/>
      <c r="H13" s="791"/>
      <c r="I13" s="204"/>
      <c r="J13" s="204"/>
      <c r="K13" s="204"/>
      <c r="L13" s="204"/>
      <c r="M13" s="204"/>
      <c r="N13" s="204"/>
      <c r="R13" s="196"/>
      <c r="S13" s="196"/>
      <c r="T13" s="196"/>
    </row>
    <row r="14" spans="1:20" ht="14.25" customHeight="1">
      <c r="B14" s="204" t="s">
        <v>756</v>
      </c>
      <c r="C14" s="204"/>
      <c r="D14" s="204"/>
      <c r="E14" s="204"/>
      <c r="F14" s="791" t="s">
        <v>755</v>
      </c>
      <c r="G14" s="791"/>
      <c r="H14" s="791"/>
      <c r="I14" s="204"/>
      <c r="J14" s="204"/>
      <c r="R14" s="196"/>
      <c r="S14" s="196"/>
      <c r="T14" s="196"/>
    </row>
    <row r="15" spans="1:20">
      <c r="B15" s="203" t="s">
        <v>757</v>
      </c>
      <c r="C15" s="203"/>
      <c r="D15" s="203"/>
      <c r="E15" s="203"/>
      <c r="F15" s="791" t="s">
        <v>755</v>
      </c>
      <c r="G15" s="791"/>
      <c r="H15" s="791"/>
      <c r="I15" s="203"/>
      <c r="J15" s="203"/>
      <c r="R15" s="196"/>
      <c r="S15" s="196"/>
      <c r="T15" s="196"/>
    </row>
    <row r="16" spans="1:20">
      <c r="B16" s="792"/>
      <c r="C16" s="792"/>
      <c r="D16" s="792"/>
      <c r="E16" s="792"/>
      <c r="F16" s="792"/>
      <c r="G16" s="792"/>
      <c r="H16" s="792"/>
      <c r="I16" s="792"/>
      <c r="J16" s="792"/>
      <c r="K16" s="792"/>
      <c r="L16" s="792"/>
      <c r="M16" s="792"/>
      <c r="N16" s="792"/>
      <c r="O16" s="792"/>
      <c r="P16" s="792"/>
      <c r="Q16" s="792"/>
    </row>
    <row r="17" spans="1:17" ht="15" thickBot="1">
      <c r="B17" s="792"/>
      <c r="C17" s="792"/>
      <c r="D17" s="792"/>
      <c r="E17" s="792"/>
      <c r="F17" s="792"/>
      <c r="G17" s="792"/>
      <c r="H17" s="792"/>
      <c r="I17" s="792"/>
      <c r="J17" s="792"/>
      <c r="K17" s="792"/>
      <c r="L17" s="792"/>
      <c r="M17" s="792"/>
      <c r="N17" s="792"/>
      <c r="O17" s="792"/>
      <c r="P17" s="792"/>
      <c r="Q17" s="792"/>
    </row>
    <row r="18" spans="1:17" ht="102.75" customHeight="1" thickBot="1">
      <c r="A18" s="786" t="s">
        <v>758</v>
      </c>
      <c r="B18" s="787"/>
      <c r="C18" s="787"/>
      <c r="D18" s="787"/>
      <c r="E18" s="787"/>
      <c r="F18" s="787"/>
      <c r="G18" s="787"/>
      <c r="H18" s="788"/>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792"/>
      <c r="C20" s="792"/>
      <c r="D20" s="792"/>
      <c r="E20" s="792"/>
      <c r="F20" s="792"/>
      <c r="G20" s="792"/>
      <c r="H20" s="792"/>
      <c r="I20" s="792"/>
      <c r="J20" s="792"/>
      <c r="K20" s="792"/>
      <c r="L20" s="792"/>
      <c r="M20" s="792"/>
      <c r="N20" s="792"/>
      <c r="O20" s="792"/>
      <c r="P20" s="792"/>
      <c r="Q20" s="792"/>
    </row>
    <row r="21" spans="1:17" ht="20">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87"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790" t="s">
        <v>791</v>
      </c>
      <c r="B30" s="789" t="s">
        <v>792</v>
      </c>
      <c r="C30" s="789" t="s">
        <v>774</v>
      </c>
      <c r="D30" s="789" t="s">
        <v>774</v>
      </c>
      <c r="E30" s="789" t="s">
        <v>770</v>
      </c>
      <c r="F30" s="206" t="s">
        <v>793</v>
      </c>
      <c r="G30" s="782" t="s">
        <v>794</v>
      </c>
      <c r="H30" s="206" t="s">
        <v>795</v>
      </c>
    </row>
    <row r="31" spans="1:17" ht="120">
      <c r="A31" s="790"/>
      <c r="B31" s="789"/>
      <c r="C31" s="789"/>
      <c r="D31" s="789"/>
      <c r="E31" s="789"/>
      <c r="F31" s="209" t="s">
        <v>796</v>
      </c>
      <c r="G31" s="782"/>
      <c r="H31" s="206"/>
    </row>
    <row r="32" spans="1:17" ht="90">
      <c r="A32" s="208" t="s">
        <v>797</v>
      </c>
      <c r="B32" s="207" t="s">
        <v>798</v>
      </c>
      <c r="C32" s="207" t="s">
        <v>774</v>
      </c>
      <c r="D32" s="207" t="s">
        <v>774</v>
      </c>
      <c r="E32" s="207" t="s">
        <v>770</v>
      </c>
      <c r="F32" s="209" t="s">
        <v>799</v>
      </c>
      <c r="G32" s="209" t="s">
        <v>783</v>
      </c>
      <c r="H32" s="206" t="s">
        <v>800</v>
      </c>
    </row>
    <row r="33" spans="1:8" ht="30">
      <c r="A33" s="790" t="s">
        <v>801</v>
      </c>
      <c r="B33" s="789" t="s">
        <v>802</v>
      </c>
      <c r="C33" s="789" t="s">
        <v>774</v>
      </c>
      <c r="D33" s="789" t="s">
        <v>774</v>
      </c>
      <c r="E33" s="789" t="s">
        <v>770</v>
      </c>
      <c r="F33" s="209" t="s">
        <v>803</v>
      </c>
      <c r="G33" s="782" t="s">
        <v>783</v>
      </c>
      <c r="H33" s="206" t="s">
        <v>804</v>
      </c>
    </row>
    <row r="34" spans="1:8" ht="240">
      <c r="A34" s="790"/>
      <c r="B34" s="789"/>
      <c r="C34" s="789"/>
      <c r="D34" s="789"/>
      <c r="E34" s="789"/>
      <c r="F34" s="209" t="s">
        <v>805</v>
      </c>
      <c r="G34" s="782"/>
      <c r="H34" s="206" t="s">
        <v>806</v>
      </c>
    </row>
    <row r="35" spans="1:8" ht="75">
      <c r="A35" s="292" t="s">
        <v>807</v>
      </c>
      <c r="B35" s="207" t="s">
        <v>808</v>
      </c>
      <c r="C35" s="207" t="s">
        <v>774</v>
      </c>
      <c r="D35" s="207" t="s">
        <v>770</v>
      </c>
      <c r="E35" s="207" t="s">
        <v>770</v>
      </c>
      <c r="F35" s="209" t="s">
        <v>809</v>
      </c>
      <c r="G35" s="291"/>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H26" activePane="bottomRight" state="frozen"/>
      <selection pane="topRight" activeCell="G1" sqref="G1"/>
      <selection pane="bottomLeft" activeCell="A9" sqref="A9"/>
      <selection pane="bottomRight" activeCell="C26" sqref="C26"/>
    </sheetView>
  </sheetViews>
  <sheetFormatPr baseColWidth="10" defaultColWidth="9.5" defaultRowHeight="12" customHeight="1"/>
  <cols>
    <col min="1" max="1" width="3.83203125" style="128" customWidth="1"/>
    <col min="2" max="2" width="30.33203125" style="128" customWidth="1"/>
    <col min="3" max="3" width="25.5" style="128" customWidth="1"/>
    <col min="4" max="4" width="22.5" style="128" customWidth="1"/>
    <col min="5" max="5" width="6.33203125" style="128" customWidth="1"/>
    <col min="6" max="6" width="13.5" style="128" customWidth="1"/>
    <col min="7" max="7" width="13.5" style="96" customWidth="1"/>
    <col min="8" max="8" width="70.33203125" style="96" customWidth="1"/>
    <col min="9" max="9" width="17.5" style="96" customWidth="1"/>
    <col min="10" max="10" width="8.5" style="96" hidden="1" customWidth="1"/>
    <col min="11" max="11" width="11.33203125" style="96" hidden="1" customWidth="1"/>
    <col min="12" max="12" width="12" style="96" customWidth="1"/>
    <col min="13" max="13" width="13" style="159" customWidth="1"/>
    <col min="14" max="14" width="8.5" style="96" customWidth="1"/>
    <col min="15" max="15" width="12" style="96" hidden="1" customWidth="1"/>
    <col min="16" max="16" width="9.83203125" style="96" hidden="1" customWidth="1"/>
    <col min="17" max="17" width="11" style="96" hidden="1" customWidth="1"/>
    <col min="18" max="18" width="3.5" style="173" customWidth="1"/>
    <col min="19" max="19" width="3.83203125" style="96" customWidth="1"/>
    <col min="20" max="20" width="2.5" style="96" customWidth="1"/>
    <col min="21" max="21" width="18.5" style="96" customWidth="1"/>
    <col min="22" max="24" width="16" style="96" customWidth="1"/>
    <col min="25" max="25" width="2.3320312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793" t="s">
        <v>815</v>
      </c>
      <c r="J1" s="793"/>
      <c r="K1" s="793"/>
      <c r="L1" s="793"/>
      <c r="Q1" s="794" t="s">
        <v>816</v>
      </c>
      <c r="R1" s="794"/>
      <c r="S1" s="96" t="s">
        <v>817</v>
      </c>
      <c r="AC1" s="96"/>
      <c r="AE1" s="128"/>
      <c r="ALY1"/>
    </row>
    <row r="2" spans="1:1016" ht="16" customHeight="1">
      <c r="C2" s="141" t="s">
        <v>818</v>
      </c>
      <c r="D2" s="152" t="s">
        <v>819</v>
      </c>
      <c r="E2" s="157">
        <f>createCase8[[#Totals],[NexSIS]] / createCase8[[#Totals],[ID]]</f>
        <v>0.83333333333333337</v>
      </c>
      <c r="G2" s="128"/>
      <c r="H2" s="227"/>
      <c r="I2" s="793"/>
      <c r="J2" s="793"/>
      <c r="K2" s="793"/>
      <c r="L2" s="793"/>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795" t="s">
        <v>828</v>
      </c>
      <c r="O7" s="795"/>
      <c r="P7" s="795"/>
      <c r="Q7" s="795"/>
      <c r="W7" s="796" t="s">
        <v>829</v>
      </c>
      <c r="X7" s="796"/>
      <c r="AC7" s="795" t="s">
        <v>830</v>
      </c>
      <c r="AD7" s="795"/>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89"/>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89"/>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89"/>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89"/>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89"/>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89"/>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89"/>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89"/>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89"/>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89"/>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8"/>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8"/>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2" type="noConversion"/>
  <conditionalFormatting sqref="A22:F23 A43:F883">
    <cfRule type="expression" dxfId="1070" priority="40">
      <formula>$AB22=1</formula>
    </cfRule>
    <cfRule type="expression" dxfId="1069" priority="38">
      <formula>AND($AD22=1,$AB22=1)</formula>
    </cfRule>
    <cfRule type="expression" dxfId="1068" priority="39">
      <formula>$AD22=1</formula>
    </cfRule>
    <cfRule type="expression" dxfId="1067" priority="37">
      <formula>OR($AD22="X",$AB22="X")</formula>
    </cfRule>
  </conditionalFormatting>
  <conditionalFormatting sqref="A9:G20">
    <cfRule type="expression" dxfId="1066" priority="641">
      <formula>OR(#REF!="X",$AD9="X")</formula>
    </cfRule>
    <cfRule type="expression" dxfId="1065" priority="642">
      <formula>AND(#REF!=1,$AD9=1)</formula>
    </cfRule>
    <cfRule type="expression" dxfId="1064" priority="643">
      <formula>#REF!=1</formula>
    </cfRule>
    <cfRule type="expression" dxfId="1063" priority="644">
      <formula>$AD9=1</formula>
    </cfRule>
  </conditionalFormatting>
  <conditionalFormatting sqref="C9:C20">
    <cfRule type="expression" dxfId="1062" priority="1">
      <formula>AND($T9="X",$B9&lt;&gt;"")</formula>
    </cfRule>
  </conditionalFormatting>
  <conditionalFormatting sqref="C17:C19">
    <cfRule type="expression" dxfId="1061" priority="2">
      <formula>AND($T17="X",OR($B17&lt;&gt;"",$C17&lt;&gt;""))</formula>
    </cfRule>
  </conditionalFormatting>
  <conditionalFormatting sqref="D9:D20">
    <cfRule type="expression" dxfId="1060" priority="11">
      <formula>AND($T9="X",OR($B9&lt;&gt;"",$C9&lt;&gt;""))</formula>
    </cfRule>
  </conditionalFormatting>
  <conditionalFormatting sqref="D18:D19">
    <cfRule type="expression" dxfId="1059"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058" priority="12">
      <formula>AND($T9="X",OR($B9&lt;&gt;"",$C9&lt;&gt;"",$D9&lt;&gt;""))</formula>
    </cfRule>
  </conditionalFormatting>
  <conditionalFormatting sqref="F9:F20">
    <cfRule type="expression" dxfId="1057" priority="13">
      <formula>AND($T9="X",OR($B9&lt;&gt;"",$C9&lt;&gt;"",$D9&lt;&gt;"",$E9&lt;&gt;""))</formula>
    </cfRule>
  </conditionalFormatting>
  <conditionalFormatting sqref="G9:G20">
    <cfRule type="expression" dxfId="1056" priority="14">
      <formula>AND($T9="X",OR($B9&lt;&gt;"",$C9&lt;&gt;"",$D9&lt;&gt;"",$E9&lt;&gt;"",$F9&lt;&gt;""))</formula>
    </cfRule>
  </conditionalFormatting>
  <conditionalFormatting sqref="H22:H23 H43:H883">
    <cfRule type="expression" dxfId="1055" priority="36">
      <formula>$S22="X"</formula>
    </cfRule>
  </conditionalFormatting>
  <conditionalFormatting sqref="I9:I20">
    <cfRule type="expression" dxfId="1054" priority="16">
      <formula>$T9="X"</formula>
    </cfRule>
  </conditionalFormatting>
  <conditionalFormatting sqref="S9:S20">
    <cfRule type="cellIs" dxfId="1053" priority="8" operator="equal">
      <formula>"0..n"</formula>
    </cfRule>
    <cfRule type="cellIs" dxfId="1052" priority="7" operator="equal">
      <formula>"1..1"</formula>
    </cfRule>
    <cfRule type="cellIs" dxfId="1051"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21" activePane="bottomRight" state="frozen"/>
      <selection pane="topRight" activeCell="H1" sqref="H1"/>
      <selection pane="bottomLeft" activeCell="A9" sqref="A9"/>
      <selection pane="bottomRight" activeCell="E21" sqref="E21"/>
    </sheetView>
  </sheetViews>
  <sheetFormatPr baseColWidth="10" defaultColWidth="9.5" defaultRowHeight="12" customHeight="1"/>
  <cols>
    <col min="1" max="1" width="4.5" style="128" customWidth="1"/>
    <col min="2" max="2" width="34.1640625" style="128" customWidth="1"/>
    <col min="3" max="3" width="27.1640625" style="128" customWidth="1"/>
    <col min="4" max="4" width="13.1640625" style="128" customWidth="1"/>
    <col min="5" max="5" width="23.6640625" style="128" customWidth="1"/>
    <col min="6" max="6" width="10.1640625" style="128" customWidth="1"/>
    <col min="7" max="7" width="10.8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77"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793" t="s">
        <v>911</v>
      </c>
      <c r="I1" s="793"/>
      <c r="J1" s="793"/>
      <c r="O1" s="794" t="s">
        <v>816</v>
      </c>
      <c r="P1" s="794"/>
      <c r="AC1" s="96"/>
      <c r="AE1"/>
      <c r="AF1" s="128"/>
      <c r="ALZ1"/>
    </row>
    <row r="2" spans="1:1017" ht="13.5" customHeight="1">
      <c r="C2" s="141" t="s">
        <v>818</v>
      </c>
      <c r="D2" s="284"/>
      <c r="E2" s="152" t="s">
        <v>819</v>
      </c>
      <c r="F2" s="157">
        <f>createCase3[[#Totals],[NexSIS]] / createCase3[[#Totals],[ID]]</f>
        <v>0.83333333333333337</v>
      </c>
      <c r="G2" s="128"/>
      <c r="H2" s="793"/>
      <c r="I2" s="793"/>
      <c r="J2" s="793"/>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0" t="s">
        <v>912</v>
      </c>
      <c r="F5" s="146"/>
      <c r="G5" s="148"/>
      <c r="H5" s="148"/>
      <c r="I5" s="275"/>
      <c r="J5" s="148"/>
      <c r="K5" s="160"/>
      <c r="L5" s="148"/>
      <c r="M5" s="148"/>
      <c r="N5" s="148"/>
      <c r="O5" s="148"/>
      <c r="P5" s="186"/>
      <c r="Q5" s="148"/>
      <c r="R5" s="148"/>
      <c r="S5" s="148"/>
      <c r="T5" s="279"/>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795" t="s">
        <v>828</v>
      </c>
      <c r="M7" s="795"/>
      <c r="N7" s="795"/>
      <c r="O7" s="795"/>
      <c r="V7" s="796" t="s">
        <v>829</v>
      </c>
      <c r="W7" s="796"/>
      <c r="AC7" s="795" t="s">
        <v>830</v>
      </c>
      <c r="AD7" s="795"/>
      <c r="AE7"/>
      <c r="AF7" s="128"/>
      <c r="ALZ7"/>
    </row>
    <row r="8" spans="1:1017" s="238" customFormat="1" ht="28" customHeight="1">
      <c r="A8" s="233" t="s">
        <v>831</v>
      </c>
      <c r="B8" s="278" t="s">
        <v>832</v>
      </c>
      <c r="C8" s="278" t="s">
        <v>833</v>
      </c>
      <c r="D8" s="278" t="s">
        <v>834</v>
      </c>
      <c r="E8" s="278" t="s">
        <v>835</v>
      </c>
      <c r="F8" s="278" t="s">
        <v>836</v>
      </c>
      <c r="G8" s="278"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3"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727"/>
      <c r="E9" s="727"/>
      <c r="F9" s="727"/>
      <c r="G9" s="727"/>
      <c r="H9" s="728" t="s">
        <v>917</v>
      </c>
      <c r="I9" s="729" t="s">
        <v>918</v>
      </c>
      <c r="J9" s="728"/>
      <c r="K9" s="729" t="s">
        <v>919</v>
      </c>
      <c r="L9" s="728"/>
      <c r="M9" s="728"/>
      <c r="N9" s="728"/>
      <c r="O9" s="728"/>
      <c r="P9" s="730"/>
      <c r="Q9" s="728" t="s">
        <v>820</v>
      </c>
      <c r="R9" s="728"/>
      <c r="S9" s="728" t="s">
        <v>863</v>
      </c>
      <c r="T9" s="731"/>
      <c r="U9" s="728"/>
      <c r="V9" s="732" t="s">
        <v>864</v>
      </c>
      <c r="W9" s="732" t="s">
        <v>864</v>
      </c>
      <c r="X9" s="232"/>
      <c r="Y9" s="733"/>
      <c r="Z9" s="728" t="s">
        <v>920</v>
      </c>
      <c r="AA9" s="734" t="s">
        <v>921</v>
      </c>
      <c r="AB9" s="728"/>
      <c r="AC9" s="731">
        <v>1</v>
      </c>
      <c r="AD9" s="731"/>
    </row>
    <row r="10" spans="1:1017" s="224" customFormat="1" ht="13.5" customHeight="1">
      <c r="A10" s="225">
        <v>2</v>
      </c>
      <c r="B10" s="239" t="s">
        <v>922</v>
      </c>
      <c r="C10" s="221"/>
      <c r="D10" s="221"/>
      <c r="E10" s="221"/>
      <c r="F10" s="221"/>
      <c r="G10" s="221"/>
      <c r="H10" s="728" t="s">
        <v>923</v>
      </c>
      <c r="I10" s="729" t="s">
        <v>924</v>
      </c>
      <c r="J10" s="728"/>
      <c r="K10" s="729" t="s">
        <v>925</v>
      </c>
      <c r="L10" s="728" t="s">
        <v>926</v>
      </c>
      <c r="M10" s="728" t="s">
        <v>927</v>
      </c>
      <c r="N10" s="728"/>
      <c r="O10" s="728"/>
      <c r="P10" s="730"/>
      <c r="Q10" s="728" t="s">
        <v>817</v>
      </c>
      <c r="R10" s="728"/>
      <c r="S10" s="728" t="s">
        <v>863</v>
      </c>
      <c r="T10" s="731"/>
      <c r="U10" s="728"/>
      <c r="V10" s="732" t="s">
        <v>864</v>
      </c>
      <c r="W10" s="732" t="s">
        <v>864</v>
      </c>
      <c r="X10" s="232"/>
      <c r="Y10" s="733"/>
      <c r="Z10" s="728"/>
      <c r="AA10" s="734"/>
      <c r="AB10" s="728"/>
      <c r="AC10" s="731"/>
      <c r="AD10" s="731"/>
    </row>
    <row r="11" spans="1:1017" s="224" customFormat="1" ht="13.5" customHeight="1">
      <c r="A11" s="225">
        <v>3</v>
      </c>
      <c r="B11" s="239" t="s">
        <v>928</v>
      </c>
      <c r="C11" s="240"/>
      <c r="D11" s="241"/>
      <c r="E11" s="241"/>
      <c r="F11" s="241"/>
      <c r="G11" s="241"/>
      <c r="H11" s="728" t="s">
        <v>929</v>
      </c>
      <c r="I11" s="729" t="s">
        <v>930</v>
      </c>
      <c r="J11" s="728"/>
      <c r="K11" s="729" t="s">
        <v>931</v>
      </c>
      <c r="L11" s="728"/>
      <c r="M11" s="728"/>
      <c r="N11" s="728"/>
      <c r="O11" s="728"/>
      <c r="P11" s="730"/>
      <c r="Q11" s="728" t="s">
        <v>820</v>
      </c>
      <c r="R11" s="728"/>
      <c r="S11" s="728" t="s">
        <v>879</v>
      </c>
      <c r="T11" s="731"/>
      <c r="U11" s="728" t="s">
        <v>932</v>
      </c>
      <c r="V11" s="732" t="s">
        <v>864</v>
      </c>
      <c r="W11" s="732" t="s">
        <v>864</v>
      </c>
      <c r="X11" s="232"/>
      <c r="Y11" s="733"/>
      <c r="Z11" s="728"/>
      <c r="AA11" s="734"/>
      <c r="AB11" s="728"/>
      <c r="AC11" s="731">
        <v>1</v>
      </c>
      <c r="AD11" s="731"/>
    </row>
    <row r="12" spans="1:1017" s="224" customFormat="1" ht="13.5" customHeight="1">
      <c r="A12" s="225">
        <v>4</v>
      </c>
      <c r="B12" s="239" t="s">
        <v>933</v>
      </c>
      <c r="C12" s="240"/>
      <c r="D12" s="241"/>
      <c r="E12" s="241"/>
      <c r="F12" s="241"/>
      <c r="G12" s="241"/>
      <c r="H12" s="728" t="s">
        <v>934</v>
      </c>
      <c r="I12" s="729" t="s">
        <v>935</v>
      </c>
      <c r="J12" s="728"/>
      <c r="K12" s="729" t="s">
        <v>936</v>
      </c>
      <c r="L12" s="728"/>
      <c r="M12" s="728"/>
      <c r="N12" s="728"/>
      <c r="O12" s="728"/>
      <c r="P12" s="730"/>
      <c r="Q12" s="728" t="s">
        <v>820</v>
      </c>
      <c r="R12" s="728"/>
      <c r="S12" s="728" t="s">
        <v>863</v>
      </c>
      <c r="T12" s="731"/>
      <c r="U12" s="728"/>
      <c r="V12" s="732" t="s">
        <v>864</v>
      </c>
      <c r="W12" s="732" t="s">
        <v>864</v>
      </c>
      <c r="X12" s="232"/>
      <c r="Y12" s="733"/>
      <c r="Z12" s="728"/>
      <c r="AA12" s="734"/>
      <c r="AB12" s="728"/>
      <c r="AC12" s="731">
        <v>1</v>
      </c>
      <c r="AD12" s="731"/>
    </row>
    <row r="13" spans="1:1017" s="224" customFormat="1" ht="13.5" customHeight="1">
      <c r="A13" s="225">
        <v>5</v>
      </c>
      <c r="B13" s="239" t="s">
        <v>937</v>
      </c>
      <c r="C13" s="240"/>
      <c r="D13" s="241"/>
      <c r="E13" s="241"/>
      <c r="F13" s="241"/>
      <c r="G13" s="241"/>
      <c r="H13" s="728" t="s">
        <v>938</v>
      </c>
      <c r="I13" s="729"/>
      <c r="J13" s="728"/>
      <c r="K13" s="729" t="s">
        <v>939</v>
      </c>
      <c r="L13" s="728"/>
      <c r="M13" s="728"/>
      <c r="N13" s="728"/>
      <c r="O13" s="728"/>
      <c r="P13" s="730"/>
      <c r="Q13" s="728" t="s">
        <v>820</v>
      </c>
      <c r="R13" s="728"/>
      <c r="S13" s="728" t="s">
        <v>863</v>
      </c>
      <c r="T13" s="731"/>
      <c r="U13" s="728"/>
      <c r="V13" s="732" t="s">
        <v>864</v>
      </c>
      <c r="W13" s="732" t="s">
        <v>864</v>
      </c>
      <c r="X13" s="232"/>
      <c r="Y13" s="733"/>
      <c r="Z13" s="728"/>
      <c r="AA13" s="734"/>
      <c r="AB13" s="728"/>
      <c r="AC13" s="731">
        <v>1</v>
      </c>
      <c r="AD13" s="731"/>
    </row>
    <row r="14" spans="1:1017" s="224" customFormat="1" ht="13.5" customHeight="1">
      <c r="A14" s="225">
        <v>6</v>
      </c>
      <c r="B14" s="239" t="s">
        <v>940</v>
      </c>
      <c r="C14" s="727"/>
      <c r="D14" s="241"/>
      <c r="E14" s="241"/>
      <c r="F14" s="241"/>
      <c r="G14" s="241"/>
      <c r="H14" s="728" t="s">
        <v>941</v>
      </c>
      <c r="I14" s="729"/>
      <c r="J14" s="728"/>
      <c r="K14" s="729" t="s">
        <v>942</v>
      </c>
      <c r="L14" s="728"/>
      <c r="M14" s="728"/>
      <c r="N14" s="728"/>
      <c r="O14" s="728"/>
      <c r="P14" s="730"/>
      <c r="Q14" s="728" t="s">
        <v>817</v>
      </c>
      <c r="R14" s="728"/>
      <c r="S14" s="728" t="s">
        <v>875</v>
      </c>
      <c r="T14" s="731"/>
      <c r="U14" s="728"/>
      <c r="V14" s="732" t="s">
        <v>864</v>
      </c>
      <c r="W14" s="732" t="s">
        <v>864</v>
      </c>
      <c r="X14" s="232"/>
      <c r="Y14" s="733"/>
      <c r="Z14" s="728"/>
      <c r="AA14" s="734"/>
      <c r="AB14" s="728"/>
      <c r="AC14" s="731">
        <v>1</v>
      </c>
      <c r="AD14" s="731"/>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7"/>
      <c r="U17" s="96"/>
      <c r="V17" s="96"/>
      <c r="W17" s="96"/>
      <c r="X17"/>
      <c r="Y17" s="179"/>
      <c r="Z17" s="96"/>
      <c r="AA17" s="159"/>
      <c r="AB17" s="96"/>
      <c r="AD17" s="96"/>
      <c r="AMA17"/>
      <c r="AMB17"/>
      <c r="AMC17"/>
    </row>
    <row r="18" spans="1:1017" s="128" customFormat="1" ht="12" customHeight="1">
      <c r="I18" s="224"/>
      <c r="P18" s="174"/>
      <c r="R18" s="96"/>
      <c r="S18" s="96"/>
      <c r="T18" s="277"/>
      <c r="U18" s="96"/>
      <c r="V18" s="96"/>
      <c r="W18" s="96"/>
      <c r="X18"/>
      <c r="Y18" s="179"/>
      <c r="Z18" s="96"/>
      <c r="AA18" s="159"/>
      <c r="AB18" s="96"/>
      <c r="AD18" s="96"/>
      <c r="AMA18"/>
      <c r="AMB18"/>
      <c r="AMC18"/>
    </row>
    <row r="19" spans="1:1017" s="128" customFormat="1" ht="12" customHeight="1">
      <c r="I19" s="224"/>
      <c r="P19" s="174"/>
      <c r="R19" s="96"/>
      <c r="S19" s="96"/>
      <c r="T19" s="277"/>
      <c r="U19" s="96"/>
      <c r="V19" s="96"/>
      <c r="W19" s="96"/>
      <c r="X19"/>
      <c r="Y19" s="179"/>
      <c r="Z19" s="96"/>
      <c r="AA19" s="159"/>
      <c r="AB19" s="96"/>
      <c r="AD19" s="96"/>
      <c r="AMA19"/>
      <c r="AMB19"/>
      <c r="AMC19"/>
    </row>
    <row r="20" spans="1:1017" s="128" customFormat="1" ht="12" customHeight="1">
      <c r="I20" s="224"/>
      <c r="P20" s="174"/>
      <c r="R20" s="96"/>
      <c r="S20" s="96"/>
      <c r="T20" s="277"/>
      <c r="U20" s="96"/>
      <c r="V20" s="96"/>
      <c r="W20" s="96"/>
      <c r="X20"/>
      <c r="Y20" s="179"/>
      <c r="Z20" s="96"/>
      <c r="AA20" s="159"/>
      <c r="AB20" s="96"/>
      <c r="AD20" s="96"/>
      <c r="AMA20"/>
      <c r="AMB20"/>
      <c r="AMC20"/>
    </row>
    <row r="21" spans="1:1017" s="128" customFormat="1" ht="12" customHeight="1">
      <c r="I21" s="224"/>
      <c r="P21" s="174"/>
      <c r="R21" s="96"/>
      <c r="S21" s="96"/>
      <c r="T21" s="277"/>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7"/>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7"/>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7"/>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7"/>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7"/>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7"/>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7"/>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7"/>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7"/>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7"/>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7"/>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7"/>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7"/>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7"/>
      <c r="U53" s="96"/>
      <c r="V53" s="96"/>
      <c r="W53" s="96"/>
      <c r="X53"/>
      <c r="Y53" s="179"/>
      <c r="Z53" s="96"/>
      <c r="AA53" s="161"/>
      <c r="AB53" s="96"/>
      <c r="AD53" s="96"/>
      <c r="AMB53"/>
    </row>
    <row r="54" spans="1:1018" s="117" customFormat="1" ht="12" customHeight="1">
      <c r="A54" s="123"/>
      <c r="B54" s="123"/>
      <c r="C54" s="123"/>
      <c r="D54" s="123"/>
      <c r="E54" s="123"/>
      <c r="F54" s="123"/>
      <c r="G54" s="112"/>
      <c r="H54" s="112"/>
      <c r="I54" s="276"/>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6"/>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6"/>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6"/>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6"/>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6"/>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6"/>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7"/>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7"/>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1050" priority="81">
      <formula>$AB16=1</formula>
    </cfRule>
    <cfRule type="expression" dxfId="1049" priority="80">
      <formula>$AD16=1</formula>
    </cfRule>
    <cfRule type="expression" dxfId="1048" priority="79">
      <formula>AND($AD16=1,$AB16=1)</formula>
    </cfRule>
    <cfRule type="expression" dxfId="1047" priority="78">
      <formula>OR($AD16="X",$AB16="X")</formula>
    </cfRule>
  </conditionalFormatting>
  <conditionalFormatting sqref="A9:G14">
    <cfRule type="expression" dxfId="1046" priority="25">
      <formula>AND($AD9=1,$AC9=1)</formula>
    </cfRule>
    <cfRule type="expression" dxfId="1045" priority="27">
      <formula>$AC9=1</formula>
    </cfRule>
    <cfRule type="expression" dxfId="1044" priority="26">
      <formula>$AD9=1</formula>
    </cfRule>
    <cfRule type="expression" dxfId="1043" priority="28">
      <formula>AND(NOT(ISBLANK($W9)),ISBLANK($AC9),ISBLANK($AD9))</formula>
    </cfRule>
    <cfRule type="expression" dxfId="1042" priority="23">
      <formula>OR($AD9="X",$AC9="X")</formula>
    </cfRule>
  </conditionalFormatting>
  <conditionalFormatting sqref="C9:C14">
    <cfRule type="expression" dxfId="1041" priority="22">
      <formula>AND($R9="X",$B9&lt;&gt;"")</formula>
    </cfRule>
  </conditionalFormatting>
  <conditionalFormatting sqref="D9:D14">
    <cfRule type="expression" dxfId="1040" priority="24">
      <formula>AND($R9="X",OR($B9&lt;&gt;"",$C9&lt;&gt;""))</formula>
    </cfRule>
  </conditionalFormatting>
  <conditionalFormatting sqref="E9:E14">
    <cfRule type="expression" dxfId="1039"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038" priority="20">
      <formula>AND($R9="X",OR($B9&lt;&gt;"",$C9&lt;&gt;"",$D9&lt;&gt;"",$E9&lt;&gt;""))</formula>
    </cfRule>
  </conditionalFormatting>
  <conditionalFormatting sqref="G9:G14">
    <cfRule type="expression" dxfId="1037" priority="21">
      <formula>AND($R9="X",OR($B9&lt;&gt;"",$C9&lt;&gt;"",$D9&lt;&gt;"",$E9&lt;&gt;"",$F9&lt;&gt;""))</formula>
    </cfRule>
  </conditionalFormatting>
  <conditionalFormatting sqref="H16:H17 H37:H877">
    <cfRule type="expression" dxfId="1036" priority="77">
      <formula>$Q16="X"</formula>
    </cfRule>
  </conditionalFormatting>
  <conditionalFormatting sqref="I9:I14">
    <cfRule type="expression" dxfId="1035" priority="18">
      <formula>$R9="X"</formula>
    </cfRule>
  </conditionalFormatting>
  <conditionalFormatting sqref="Q9:Q14">
    <cfRule type="cellIs" dxfId="1034" priority="4" operator="equal">
      <formula>"0..1"</formula>
    </cfRule>
    <cfRule type="cellIs" dxfId="1033" priority="3" operator="equal">
      <formula>"0..n"</formula>
    </cfRule>
    <cfRule type="cellIs" dxfId="1032" priority="2" operator="equal">
      <formula>"1..1"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7FE37-B527-4A6A-B635-C8964A880D03}">
  <sheetPr>
    <tabColor theme="8" tint="0.79998168889431442"/>
  </sheetPr>
  <dimension ref="A1:AMD242"/>
  <sheetViews>
    <sheetView zoomScaleNormal="100" workbookViewId="0">
      <pane xSplit="7" ySplit="11" topLeftCell="H30" activePane="bottomRight" state="frozen"/>
      <selection pane="topRight" activeCell="H1" sqref="H1"/>
      <selection pane="bottomLeft" activeCell="A9" sqref="A9"/>
      <selection pane="bottomRight" activeCell="D24" sqref="D24"/>
    </sheetView>
  </sheetViews>
  <sheetFormatPr baseColWidth="10" defaultColWidth="9.5" defaultRowHeight="12" customHeight="1"/>
  <cols>
    <col min="1" max="1" width="4.6640625" style="128" customWidth="1"/>
    <col min="2" max="2" width="27.1640625" style="128" customWidth="1"/>
    <col min="3" max="3" width="29.33203125" style="128" customWidth="1"/>
    <col min="4" max="4" width="27.6640625" style="128" customWidth="1"/>
    <col min="5" max="5" width="20" style="128" customWidth="1"/>
    <col min="6" max="6" width="8.6640625" style="128" customWidth="1"/>
    <col min="7" max="7" width="14.6640625" style="96" customWidth="1"/>
    <col min="8" max="8" width="53.1640625" style="96" customWidth="1"/>
    <col min="9" max="9" width="33.5" style="225" customWidth="1"/>
    <col min="10" max="10" width="12" style="96" customWidth="1"/>
    <col min="11" max="11" width="17.83203125" style="159" customWidth="1"/>
    <col min="12" max="13" width="4.83203125" style="96" hidden="1" customWidth="1"/>
    <col min="14" max="15" width="6.1640625" style="96" hidden="1" customWidth="1"/>
    <col min="16" max="16" width="6.6640625" style="173" hidden="1" customWidth="1"/>
    <col min="17" max="17" width="10.5" style="96" customWidth="1"/>
    <col min="18" max="18" width="6" style="96" customWidth="1"/>
    <col min="19" max="19" width="18.5" style="96" customWidth="1"/>
    <col min="20" max="20" width="12.6640625" style="277" hidden="1" customWidth="1"/>
    <col min="21" max="21" width="28.1640625" style="96" customWidth="1"/>
    <col min="22" max="22" width="8.83203125" style="96" customWidth="1"/>
    <col min="23" max="23" width="8.1640625" style="96" customWidth="1"/>
    <col min="24" max="24" width="2.33203125" customWidth="1"/>
    <col min="25" max="25" width="22.6640625" style="179" customWidth="1"/>
    <col min="26" max="26" width="24.33203125" style="96" customWidth="1"/>
    <col min="27" max="27" width="24.5" style="159" customWidth="1"/>
    <col min="28" max="28" width="17.5" style="96" customWidth="1"/>
    <col min="30" max="30" width="8" style="96" customWidth="1"/>
    <col min="31" max="31" width="8.83203125" style="128" customWidth="1"/>
    <col min="33" max="1013" width="9.5" style="128"/>
    <col min="1014" max="1014" width="9" style="128" customWidth="1"/>
    <col min="1015" max="1016" width="9" customWidth="1"/>
  </cols>
  <sheetData>
    <row r="1" spans="1:1014" ht="13.5" customHeight="1">
      <c r="A1" s="228" t="s">
        <v>773</v>
      </c>
      <c r="C1" s="609" t="s">
        <v>943</v>
      </c>
      <c r="E1" s="150"/>
      <c r="F1" s="157">
        <f>createCase142[[#Totals],[Métier]] / createCase142[[#Totals],[ID]]</f>
        <v>0.96022727272727271</v>
      </c>
      <c r="G1" s="128"/>
      <c r="H1" s="793" t="s">
        <v>911</v>
      </c>
      <c r="I1" s="793"/>
      <c r="J1" s="793"/>
      <c r="O1" s="794" t="s">
        <v>816</v>
      </c>
      <c r="P1" s="794"/>
      <c r="AC1" s="96"/>
      <c r="AE1"/>
      <c r="AF1" s="128"/>
      <c r="ALZ1"/>
    </row>
    <row r="2" spans="1:1014" ht="13.5" customHeight="1">
      <c r="C2" s="555" t="s">
        <v>944</v>
      </c>
      <c r="D2" s="284"/>
      <c r="E2" s="152"/>
      <c r="F2" s="157">
        <f>createCase142[[#Totals],[NexSIS]] / createCase142[[#Totals],[ID]]</f>
        <v>0.47727272727272729</v>
      </c>
      <c r="G2" s="128"/>
      <c r="H2" s="793"/>
      <c r="I2" s="793"/>
      <c r="J2" s="793"/>
      <c r="AC2" s="96"/>
      <c r="AE2"/>
      <c r="AF2" s="128"/>
      <c r="ALZ2"/>
    </row>
    <row r="3" spans="1:1014" ht="13.5" customHeight="1">
      <c r="C3" s="592" t="s">
        <v>945</v>
      </c>
      <c r="E3" s="151"/>
      <c r="G3" s="128"/>
      <c r="AC3" s="96"/>
      <c r="AE3"/>
      <c r="AF3" s="128"/>
      <c r="ALZ3"/>
    </row>
    <row r="4" spans="1:1014" ht="13.5" customHeight="1">
      <c r="C4" s="143"/>
      <c r="E4" s="153"/>
      <c r="G4" s="137"/>
      <c r="AC4" s="96"/>
      <c r="AE4"/>
      <c r="AF4" s="128"/>
      <c r="ALZ4"/>
    </row>
    <row r="5" spans="1:1014" s="149" customFormat="1" ht="13.5" customHeight="1">
      <c r="A5" s="128"/>
      <c r="B5" s="128"/>
      <c r="C5" s="145"/>
      <c r="D5" s="146"/>
      <c r="E5" s="290"/>
      <c r="F5" s="146"/>
      <c r="G5" s="148"/>
      <c r="H5" s="148"/>
      <c r="I5" s="275"/>
      <c r="J5" s="148"/>
      <c r="K5" s="160"/>
      <c r="L5" s="148"/>
      <c r="M5" s="148"/>
      <c r="N5" s="148"/>
      <c r="O5" s="148"/>
      <c r="P5" s="186"/>
      <c r="Q5" s="148"/>
      <c r="R5" s="148"/>
      <c r="S5" s="148"/>
      <c r="T5" s="279"/>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c r="D6" s="138"/>
      <c r="F6" s="138"/>
      <c r="AC6" s="96"/>
      <c r="AE6"/>
      <c r="AF6" s="128"/>
      <c r="ALZ6"/>
    </row>
    <row r="7" spans="1:1014" ht="13.5" customHeight="1">
      <c r="A7"/>
      <c r="B7"/>
      <c r="C7" s="138"/>
      <c r="D7" s="377"/>
      <c r="E7" s="138"/>
      <c r="F7" s="138"/>
      <c r="L7" s="795" t="s">
        <v>828</v>
      </c>
      <c r="M7" s="795"/>
      <c r="N7" s="795"/>
      <c r="O7" s="795"/>
      <c r="AC7" s="795" t="s">
        <v>830</v>
      </c>
      <c r="AD7" s="795"/>
      <c r="AE7"/>
      <c r="AF7" s="128"/>
      <c r="ALZ7"/>
    </row>
    <row r="8" spans="1:1014" ht="13.5" customHeight="1">
      <c r="A8"/>
      <c r="B8" s="532" t="s">
        <v>946</v>
      </c>
      <c r="C8" s="272"/>
      <c r="D8" s="531"/>
      <c r="E8" s="272"/>
      <c r="F8" s="272"/>
      <c r="L8" s="519"/>
      <c r="M8" s="519"/>
      <c r="N8" s="519"/>
      <c r="O8" s="519"/>
      <c r="AC8" s="519"/>
      <c r="AD8" s="519"/>
      <c r="AE8"/>
      <c r="AF8" s="128"/>
      <c r="ALZ8"/>
    </row>
    <row r="9" spans="1:1014" s="533" customFormat="1" ht="13.5" customHeight="1">
      <c r="B9" s="534" t="s">
        <v>947</v>
      </c>
      <c r="C9" s="535"/>
      <c r="D9" s="536"/>
      <c r="E9" s="535"/>
      <c r="F9" s="535"/>
      <c r="G9" s="537"/>
      <c r="H9" s="537"/>
      <c r="I9" s="538"/>
      <c r="J9" s="537"/>
      <c r="K9" s="539"/>
      <c r="L9" s="540"/>
      <c r="M9" s="540"/>
      <c r="N9" s="540"/>
      <c r="O9" s="540"/>
      <c r="P9" s="541"/>
      <c r="Q9" s="537"/>
      <c r="R9" s="537"/>
      <c r="S9" s="537"/>
      <c r="T9" s="542"/>
      <c r="U9" s="537"/>
      <c r="V9" s="797" t="s">
        <v>829</v>
      </c>
      <c r="W9" s="797"/>
      <c r="Y9" s="543"/>
      <c r="Z9" s="537"/>
      <c r="AA9" s="539"/>
      <c r="AB9" s="537"/>
      <c r="AC9" s="540"/>
      <c r="AD9" s="540"/>
      <c r="AF9" s="536"/>
      <c r="AG9" s="536"/>
      <c r="AH9" s="536"/>
      <c r="AI9" s="536"/>
      <c r="AJ9" s="536"/>
      <c r="AK9" s="536"/>
      <c r="AL9" s="536"/>
      <c r="AM9" s="536"/>
      <c r="AN9" s="536"/>
      <c r="AO9" s="536"/>
      <c r="AP9" s="536"/>
      <c r="AQ9" s="536"/>
      <c r="AR9" s="536"/>
      <c r="AS9" s="536"/>
      <c r="AT9" s="536"/>
      <c r="AU9" s="536"/>
      <c r="AV9" s="536"/>
      <c r="AW9" s="536"/>
      <c r="AX9" s="536"/>
      <c r="AY9" s="536"/>
      <c r="AZ9" s="536"/>
      <c r="BA9" s="536"/>
      <c r="BB9" s="536"/>
      <c r="BC9" s="536"/>
      <c r="BD9" s="536"/>
      <c r="BE9" s="536"/>
      <c r="BF9" s="536"/>
      <c r="BG9" s="536"/>
      <c r="BH9" s="536"/>
      <c r="BI9" s="536"/>
      <c r="BJ9" s="536"/>
      <c r="BK9" s="536"/>
      <c r="BL9" s="536"/>
      <c r="BM9" s="536"/>
      <c r="BN9" s="536"/>
      <c r="BO9" s="536"/>
      <c r="BP9" s="536"/>
      <c r="BQ9" s="536"/>
      <c r="BR9" s="536"/>
      <c r="BS9" s="536"/>
      <c r="BT9" s="536"/>
      <c r="BU9" s="536"/>
      <c r="BV9" s="536"/>
      <c r="BW9" s="536"/>
      <c r="BX9" s="536"/>
      <c r="BY9" s="536"/>
      <c r="BZ9" s="536"/>
      <c r="CA9" s="536"/>
      <c r="CB9" s="536"/>
      <c r="CC9" s="536"/>
      <c r="CD9" s="536"/>
      <c r="CE9" s="536"/>
      <c r="CF9" s="536"/>
      <c r="CG9" s="536"/>
      <c r="CH9" s="536"/>
      <c r="CI9" s="536"/>
      <c r="CJ9" s="536"/>
      <c r="CK9" s="536"/>
      <c r="CL9" s="536"/>
      <c r="CM9" s="536"/>
      <c r="CN9" s="536"/>
      <c r="CO9" s="536"/>
      <c r="CP9" s="536"/>
      <c r="CQ9" s="536"/>
      <c r="CR9" s="536"/>
      <c r="CS9" s="536"/>
      <c r="CT9" s="536"/>
      <c r="CU9" s="536"/>
      <c r="CV9" s="536"/>
      <c r="CW9" s="536"/>
      <c r="CX9" s="536"/>
      <c r="CY9" s="536"/>
      <c r="CZ9" s="536"/>
      <c r="DA9" s="536"/>
      <c r="DB9" s="536"/>
      <c r="DC9" s="536"/>
      <c r="DD9" s="536"/>
      <c r="DE9" s="536"/>
      <c r="DF9" s="536"/>
      <c r="DG9" s="536"/>
      <c r="DH9" s="536"/>
      <c r="DI9" s="536"/>
      <c r="DJ9" s="536"/>
      <c r="DK9" s="536"/>
      <c r="DL9" s="536"/>
      <c r="DM9" s="536"/>
      <c r="DN9" s="536"/>
      <c r="DO9" s="536"/>
      <c r="DP9" s="536"/>
      <c r="DQ9" s="536"/>
      <c r="DR9" s="536"/>
      <c r="DS9" s="536"/>
      <c r="DT9" s="536"/>
      <c r="DU9" s="536"/>
      <c r="DV9" s="536"/>
      <c r="DW9" s="536"/>
      <c r="DX9" s="536"/>
      <c r="DY9" s="536"/>
      <c r="DZ9" s="536"/>
      <c r="EA9" s="536"/>
      <c r="EB9" s="536"/>
      <c r="EC9" s="536"/>
      <c r="ED9" s="536"/>
      <c r="EE9" s="536"/>
      <c r="EF9" s="536"/>
      <c r="EG9" s="536"/>
      <c r="EH9" s="536"/>
      <c r="EI9" s="536"/>
      <c r="EJ9" s="536"/>
      <c r="EK9" s="536"/>
      <c r="EL9" s="536"/>
      <c r="EM9" s="536"/>
      <c r="EN9" s="536"/>
      <c r="EO9" s="536"/>
      <c r="EP9" s="536"/>
      <c r="EQ9" s="536"/>
      <c r="ER9" s="536"/>
      <c r="ES9" s="536"/>
      <c r="ET9" s="536"/>
      <c r="EU9" s="536"/>
      <c r="EV9" s="536"/>
      <c r="EW9" s="536"/>
      <c r="EX9" s="536"/>
      <c r="EY9" s="536"/>
      <c r="EZ9" s="536"/>
      <c r="FA9" s="536"/>
      <c r="FB9" s="536"/>
      <c r="FC9" s="536"/>
      <c r="FD9" s="536"/>
      <c r="FE9" s="536"/>
      <c r="FF9" s="536"/>
      <c r="FG9" s="536"/>
      <c r="FH9" s="536"/>
      <c r="FI9" s="536"/>
      <c r="FJ9" s="536"/>
      <c r="FK9" s="536"/>
      <c r="FL9" s="536"/>
      <c r="FM9" s="536"/>
      <c r="FN9" s="536"/>
      <c r="FO9" s="536"/>
      <c r="FP9" s="536"/>
      <c r="FQ9" s="536"/>
      <c r="FR9" s="536"/>
      <c r="FS9" s="536"/>
      <c r="FT9" s="536"/>
      <c r="FU9" s="536"/>
      <c r="FV9" s="536"/>
      <c r="FW9" s="536"/>
      <c r="FX9" s="536"/>
      <c r="FY9" s="536"/>
      <c r="FZ9" s="536"/>
      <c r="GA9" s="536"/>
      <c r="GB9" s="536"/>
      <c r="GC9" s="536"/>
      <c r="GD9" s="536"/>
      <c r="GE9" s="536"/>
      <c r="GF9" s="536"/>
      <c r="GG9" s="536"/>
      <c r="GH9" s="536"/>
      <c r="GI9" s="536"/>
      <c r="GJ9" s="536"/>
      <c r="GK9" s="536"/>
      <c r="GL9" s="536"/>
      <c r="GM9" s="536"/>
      <c r="GN9" s="536"/>
      <c r="GO9" s="536"/>
      <c r="GP9" s="536"/>
      <c r="GQ9" s="536"/>
      <c r="GR9" s="536"/>
      <c r="GS9" s="536"/>
      <c r="GT9" s="536"/>
      <c r="GU9" s="536"/>
      <c r="GV9" s="536"/>
      <c r="GW9" s="536"/>
      <c r="GX9" s="536"/>
      <c r="GY9" s="536"/>
      <c r="GZ9" s="536"/>
      <c r="HA9" s="536"/>
      <c r="HB9" s="536"/>
      <c r="HC9" s="536"/>
      <c r="HD9" s="536"/>
      <c r="HE9" s="536"/>
      <c r="HF9" s="536"/>
      <c r="HG9" s="536"/>
      <c r="HH9" s="536"/>
      <c r="HI9" s="536"/>
      <c r="HJ9" s="536"/>
      <c r="HK9" s="536"/>
      <c r="HL9" s="536"/>
      <c r="HM9" s="536"/>
      <c r="HN9" s="536"/>
      <c r="HO9" s="536"/>
      <c r="HP9" s="536"/>
      <c r="HQ9" s="536"/>
      <c r="HR9" s="536"/>
      <c r="HS9" s="536"/>
      <c r="HT9" s="536"/>
      <c r="HU9" s="536"/>
      <c r="HV9" s="536"/>
      <c r="HW9" s="536"/>
      <c r="HX9" s="536"/>
      <c r="HY9" s="536"/>
      <c r="HZ9" s="536"/>
      <c r="IA9" s="536"/>
      <c r="IB9" s="536"/>
      <c r="IC9" s="536"/>
      <c r="ID9" s="536"/>
      <c r="IE9" s="536"/>
      <c r="IF9" s="536"/>
      <c r="IG9" s="536"/>
      <c r="IH9" s="536"/>
      <c r="II9" s="536"/>
      <c r="IJ9" s="536"/>
      <c r="IK9" s="536"/>
      <c r="IL9" s="536"/>
      <c r="IM9" s="536"/>
      <c r="IN9" s="536"/>
      <c r="IO9" s="536"/>
      <c r="IP9" s="536"/>
      <c r="IQ9" s="536"/>
      <c r="IR9" s="536"/>
      <c r="IS9" s="536"/>
      <c r="IT9" s="536"/>
      <c r="IU9" s="536"/>
      <c r="IV9" s="536"/>
      <c r="IW9" s="536"/>
      <c r="IX9" s="536"/>
      <c r="IY9" s="536"/>
      <c r="IZ9" s="536"/>
      <c r="JA9" s="536"/>
      <c r="JB9" s="536"/>
      <c r="JC9" s="536"/>
      <c r="JD9" s="536"/>
      <c r="JE9" s="536"/>
      <c r="JF9" s="536"/>
      <c r="JG9" s="536"/>
      <c r="JH9" s="536"/>
      <c r="JI9" s="536"/>
      <c r="JJ9" s="536"/>
      <c r="JK9" s="536"/>
      <c r="JL9" s="536"/>
      <c r="JM9" s="536"/>
      <c r="JN9" s="536"/>
      <c r="JO9" s="536"/>
      <c r="JP9" s="536"/>
      <c r="JQ9" s="536"/>
      <c r="JR9" s="536"/>
      <c r="JS9" s="536"/>
      <c r="JT9" s="536"/>
      <c r="JU9" s="536"/>
      <c r="JV9" s="536"/>
      <c r="JW9" s="536"/>
      <c r="JX9" s="536"/>
      <c r="JY9" s="536"/>
      <c r="JZ9" s="536"/>
      <c r="KA9" s="536"/>
      <c r="KB9" s="536"/>
      <c r="KC9" s="536"/>
      <c r="KD9" s="536"/>
      <c r="KE9" s="536"/>
      <c r="KF9" s="536"/>
      <c r="KG9" s="536"/>
      <c r="KH9" s="536"/>
      <c r="KI9" s="536"/>
      <c r="KJ9" s="536"/>
      <c r="KK9" s="536"/>
      <c r="KL9" s="536"/>
      <c r="KM9" s="536"/>
      <c r="KN9" s="536"/>
      <c r="KO9" s="536"/>
      <c r="KP9" s="536"/>
      <c r="KQ9" s="536"/>
      <c r="KR9" s="536"/>
      <c r="KS9" s="536"/>
      <c r="KT9" s="536"/>
      <c r="KU9" s="536"/>
      <c r="KV9" s="536"/>
      <c r="KW9" s="536"/>
      <c r="KX9" s="536"/>
      <c r="KY9" s="536"/>
      <c r="KZ9" s="536"/>
      <c r="LA9" s="536"/>
      <c r="LB9" s="536"/>
      <c r="LC9" s="536"/>
      <c r="LD9" s="536"/>
      <c r="LE9" s="536"/>
      <c r="LF9" s="536"/>
      <c r="LG9" s="536"/>
      <c r="LH9" s="536"/>
      <c r="LI9" s="536"/>
      <c r="LJ9" s="536"/>
      <c r="LK9" s="536"/>
      <c r="LL9" s="536"/>
      <c r="LM9" s="536"/>
      <c r="LN9" s="536"/>
      <c r="LO9" s="536"/>
      <c r="LP9" s="536"/>
      <c r="LQ9" s="536"/>
      <c r="LR9" s="536"/>
      <c r="LS9" s="536"/>
      <c r="LT9" s="536"/>
      <c r="LU9" s="536"/>
      <c r="LV9" s="536"/>
      <c r="LW9" s="536"/>
      <c r="LX9" s="536"/>
      <c r="LY9" s="536"/>
      <c r="LZ9" s="536"/>
      <c r="MA9" s="536"/>
      <c r="MB9" s="536"/>
      <c r="MC9" s="536"/>
      <c r="MD9" s="536"/>
      <c r="ME9" s="536"/>
      <c r="MF9" s="536"/>
      <c r="MG9" s="536"/>
      <c r="MH9" s="536"/>
      <c r="MI9" s="536"/>
      <c r="MJ9" s="536"/>
      <c r="MK9" s="536"/>
      <c r="ML9" s="536"/>
      <c r="MM9" s="536"/>
      <c r="MN9" s="536"/>
      <c r="MO9" s="536"/>
      <c r="MP9" s="536"/>
      <c r="MQ9" s="536"/>
      <c r="MR9" s="536"/>
      <c r="MS9" s="536"/>
      <c r="MT9" s="536"/>
      <c r="MU9" s="536"/>
      <c r="MV9" s="536"/>
      <c r="MW9" s="536"/>
      <c r="MX9" s="536"/>
      <c r="MY9" s="536"/>
      <c r="MZ9" s="536"/>
      <c r="NA9" s="536"/>
      <c r="NB9" s="536"/>
      <c r="NC9" s="536"/>
      <c r="ND9" s="536"/>
      <c r="NE9" s="536"/>
      <c r="NF9" s="536"/>
      <c r="NG9" s="536"/>
      <c r="NH9" s="536"/>
      <c r="NI9" s="536"/>
      <c r="NJ9" s="536"/>
      <c r="NK9" s="536"/>
      <c r="NL9" s="536"/>
      <c r="NM9" s="536"/>
      <c r="NN9" s="536"/>
      <c r="NO9" s="536"/>
      <c r="NP9" s="536"/>
      <c r="NQ9" s="536"/>
      <c r="NR9" s="536"/>
      <c r="NS9" s="536"/>
      <c r="NT9" s="536"/>
      <c r="NU9" s="536"/>
      <c r="NV9" s="536"/>
      <c r="NW9" s="536"/>
      <c r="NX9" s="536"/>
      <c r="NY9" s="536"/>
      <c r="NZ9" s="536"/>
      <c r="OA9" s="536"/>
      <c r="OB9" s="536"/>
      <c r="OC9" s="536"/>
      <c r="OD9" s="536"/>
      <c r="OE9" s="536"/>
      <c r="OF9" s="536"/>
      <c r="OG9" s="536"/>
      <c r="OH9" s="536"/>
      <c r="OI9" s="536"/>
      <c r="OJ9" s="536"/>
      <c r="OK9" s="536"/>
      <c r="OL9" s="536"/>
      <c r="OM9" s="536"/>
      <c r="ON9" s="536"/>
      <c r="OO9" s="536"/>
      <c r="OP9" s="536"/>
      <c r="OQ9" s="536"/>
      <c r="OR9" s="536"/>
      <c r="OS9" s="536"/>
      <c r="OT9" s="536"/>
      <c r="OU9" s="536"/>
      <c r="OV9" s="536"/>
      <c r="OW9" s="536"/>
      <c r="OX9" s="536"/>
      <c r="OY9" s="536"/>
      <c r="OZ9" s="536"/>
      <c r="PA9" s="536"/>
      <c r="PB9" s="536"/>
      <c r="PC9" s="536"/>
      <c r="PD9" s="536"/>
      <c r="PE9" s="536"/>
      <c r="PF9" s="536"/>
      <c r="PG9" s="536"/>
      <c r="PH9" s="536"/>
      <c r="PI9" s="536"/>
      <c r="PJ9" s="536"/>
      <c r="PK9" s="536"/>
      <c r="PL9" s="536"/>
      <c r="PM9" s="536"/>
      <c r="PN9" s="536"/>
      <c r="PO9" s="536"/>
      <c r="PP9" s="536"/>
      <c r="PQ9" s="536"/>
      <c r="PR9" s="536"/>
      <c r="PS9" s="536"/>
      <c r="PT9" s="536"/>
      <c r="PU9" s="536"/>
      <c r="PV9" s="536"/>
      <c r="PW9" s="536"/>
      <c r="PX9" s="536"/>
      <c r="PY9" s="536"/>
      <c r="PZ9" s="536"/>
      <c r="QA9" s="536"/>
      <c r="QB9" s="536"/>
      <c r="QC9" s="536"/>
      <c r="QD9" s="536"/>
      <c r="QE9" s="536"/>
      <c r="QF9" s="536"/>
      <c r="QG9" s="536"/>
      <c r="QH9" s="536"/>
      <c r="QI9" s="536"/>
      <c r="QJ9" s="536"/>
      <c r="QK9" s="536"/>
      <c r="QL9" s="536"/>
      <c r="QM9" s="536"/>
      <c r="QN9" s="536"/>
      <c r="QO9" s="536"/>
      <c r="QP9" s="536"/>
      <c r="QQ9" s="536"/>
      <c r="QR9" s="536"/>
      <c r="QS9" s="536"/>
      <c r="QT9" s="536"/>
      <c r="QU9" s="536"/>
      <c r="QV9" s="536"/>
      <c r="QW9" s="536"/>
      <c r="QX9" s="536"/>
      <c r="QY9" s="536"/>
      <c r="QZ9" s="536"/>
      <c r="RA9" s="536"/>
      <c r="RB9" s="536"/>
      <c r="RC9" s="536"/>
      <c r="RD9" s="536"/>
      <c r="RE9" s="536"/>
      <c r="RF9" s="536"/>
      <c r="RG9" s="536"/>
      <c r="RH9" s="536"/>
      <c r="RI9" s="536"/>
      <c r="RJ9" s="536"/>
      <c r="RK9" s="536"/>
      <c r="RL9" s="536"/>
      <c r="RM9" s="536"/>
      <c r="RN9" s="536"/>
      <c r="RO9" s="536"/>
      <c r="RP9" s="536"/>
      <c r="RQ9" s="536"/>
      <c r="RR9" s="536"/>
      <c r="RS9" s="536"/>
      <c r="RT9" s="536"/>
      <c r="RU9" s="536"/>
      <c r="RV9" s="536"/>
      <c r="RW9" s="536"/>
      <c r="RX9" s="536"/>
      <c r="RY9" s="536"/>
      <c r="RZ9" s="536"/>
      <c r="SA9" s="536"/>
      <c r="SB9" s="536"/>
      <c r="SC9" s="536"/>
      <c r="SD9" s="536"/>
      <c r="SE9" s="536"/>
      <c r="SF9" s="536"/>
      <c r="SG9" s="536"/>
      <c r="SH9" s="536"/>
      <c r="SI9" s="536"/>
      <c r="SJ9" s="536"/>
      <c r="SK9" s="536"/>
      <c r="SL9" s="536"/>
      <c r="SM9" s="536"/>
      <c r="SN9" s="536"/>
      <c r="SO9" s="536"/>
      <c r="SP9" s="536"/>
      <c r="SQ9" s="536"/>
      <c r="SR9" s="536"/>
      <c r="SS9" s="536"/>
      <c r="ST9" s="536"/>
      <c r="SU9" s="536"/>
      <c r="SV9" s="536"/>
      <c r="SW9" s="536"/>
      <c r="SX9" s="536"/>
      <c r="SY9" s="536"/>
      <c r="SZ9" s="536"/>
      <c r="TA9" s="536"/>
      <c r="TB9" s="536"/>
      <c r="TC9" s="536"/>
      <c r="TD9" s="536"/>
      <c r="TE9" s="536"/>
      <c r="TF9" s="536"/>
      <c r="TG9" s="536"/>
      <c r="TH9" s="536"/>
      <c r="TI9" s="536"/>
      <c r="TJ9" s="536"/>
      <c r="TK9" s="536"/>
      <c r="TL9" s="536"/>
      <c r="TM9" s="536"/>
      <c r="TN9" s="536"/>
      <c r="TO9" s="536"/>
      <c r="TP9" s="536"/>
      <c r="TQ9" s="536"/>
      <c r="TR9" s="536"/>
      <c r="TS9" s="536"/>
      <c r="TT9" s="536"/>
      <c r="TU9" s="536"/>
      <c r="TV9" s="536"/>
      <c r="TW9" s="536"/>
      <c r="TX9" s="536"/>
      <c r="TY9" s="536"/>
      <c r="TZ9" s="536"/>
      <c r="UA9" s="536"/>
      <c r="UB9" s="536"/>
      <c r="UC9" s="536"/>
      <c r="UD9" s="536"/>
      <c r="UE9" s="536"/>
      <c r="UF9" s="536"/>
      <c r="UG9" s="536"/>
      <c r="UH9" s="536"/>
      <c r="UI9" s="536"/>
      <c r="UJ9" s="536"/>
      <c r="UK9" s="536"/>
      <c r="UL9" s="536"/>
      <c r="UM9" s="536"/>
      <c r="UN9" s="536"/>
      <c r="UO9" s="536"/>
      <c r="UP9" s="536"/>
      <c r="UQ9" s="536"/>
      <c r="UR9" s="536"/>
      <c r="US9" s="536"/>
      <c r="UT9" s="536"/>
      <c r="UU9" s="536"/>
      <c r="UV9" s="536"/>
      <c r="UW9" s="536"/>
      <c r="UX9" s="536"/>
      <c r="UY9" s="536"/>
      <c r="UZ9" s="536"/>
      <c r="VA9" s="536"/>
      <c r="VB9" s="536"/>
      <c r="VC9" s="536"/>
      <c r="VD9" s="536"/>
      <c r="VE9" s="536"/>
      <c r="VF9" s="536"/>
      <c r="VG9" s="536"/>
      <c r="VH9" s="536"/>
      <c r="VI9" s="536"/>
      <c r="VJ9" s="536"/>
      <c r="VK9" s="536"/>
      <c r="VL9" s="536"/>
      <c r="VM9" s="536"/>
      <c r="VN9" s="536"/>
      <c r="VO9" s="536"/>
      <c r="VP9" s="536"/>
      <c r="VQ9" s="536"/>
      <c r="VR9" s="536"/>
      <c r="VS9" s="536"/>
      <c r="VT9" s="536"/>
      <c r="VU9" s="536"/>
      <c r="VV9" s="536"/>
      <c r="VW9" s="536"/>
      <c r="VX9" s="536"/>
      <c r="VY9" s="536"/>
      <c r="VZ9" s="536"/>
      <c r="WA9" s="536"/>
      <c r="WB9" s="536"/>
      <c r="WC9" s="536"/>
      <c r="WD9" s="536"/>
      <c r="WE9" s="536"/>
      <c r="WF9" s="536"/>
      <c r="WG9" s="536"/>
      <c r="WH9" s="536"/>
      <c r="WI9" s="536"/>
      <c r="WJ9" s="536"/>
      <c r="WK9" s="536"/>
      <c r="WL9" s="536"/>
      <c r="WM9" s="536"/>
      <c r="WN9" s="536"/>
      <c r="WO9" s="536"/>
      <c r="WP9" s="536"/>
      <c r="WQ9" s="536"/>
      <c r="WR9" s="536"/>
      <c r="WS9" s="536"/>
      <c r="WT9" s="536"/>
      <c r="WU9" s="536"/>
      <c r="WV9" s="536"/>
      <c r="WW9" s="536"/>
      <c r="WX9" s="536"/>
      <c r="WY9" s="536"/>
      <c r="WZ9" s="536"/>
      <c r="XA9" s="536"/>
      <c r="XB9" s="536"/>
      <c r="XC9" s="536"/>
      <c r="XD9" s="536"/>
      <c r="XE9" s="536"/>
      <c r="XF9" s="536"/>
      <c r="XG9" s="536"/>
      <c r="XH9" s="536"/>
      <c r="XI9" s="536"/>
      <c r="XJ9" s="536"/>
      <c r="XK9" s="536"/>
      <c r="XL9" s="536"/>
      <c r="XM9" s="536"/>
      <c r="XN9" s="536"/>
      <c r="XO9" s="536"/>
      <c r="XP9" s="536"/>
      <c r="XQ9" s="536"/>
      <c r="XR9" s="536"/>
      <c r="XS9" s="536"/>
      <c r="XT9" s="536"/>
      <c r="XU9" s="536"/>
      <c r="XV9" s="536"/>
      <c r="XW9" s="536"/>
      <c r="XX9" s="536"/>
      <c r="XY9" s="536"/>
      <c r="XZ9" s="536"/>
      <c r="YA9" s="536"/>
      <c r="YB9" s="536"/>
      <c r="YC9" s="536"/>
      <c r="YD9" s="536"/>
      <c r="YE9" s="536"/>
      <c r="YF9" s="536"/>
      <c r="YG9" s="536"/>
      <c r="YH9" s="536"/>
      <c r="YI9" s="536"/>
      <c r="YJ9" s="536"/>
      <c r="YK9" s="536"/>
      <c r="YL9" s="536"/>
      <c r="YM9" s="536"/>
      <c r="YN9" s="536"/>
      <c r="YO9" s="536"/>
      <c r="YP9" s="536"/>
      <c r="YQ9" s="536"/>
      <c r="YR9" s="536"/>
      <c r="YS9" s="536"/>
      <c r="YT9" s="536"/>
      <c r="YU9" s="536"/>
      <c r="YV9" s="536"/>
      <c r="YW9" s="536"/>
      <c r="YX9" s="536"/>
      <c r="YY9" s="536"/>
      <c r="YZ9" s="536"/>
      <c r="ZA9" s="536"/>
      <c r="ZB9" s="536"/>
      <c r="ZC9" s="536"/>
      <c r="ZD9" s="536"/>
      <c r="ZE9" s="536"/>
      <c r="ZF9" s="536"/>
      <c r="ZG9" s="536"/>
      <c r="ZH9" s="536"/>
      <c r="ZI9" s="536"/>
      <c r="ZJ9" s="536"/>
      <c r="ZK9" s="536"/>
      <c r="ZL9" s="536"/>
      <c r="ZM9" s="536"/>
      <c r="ZN9" s="536"/>
      <c r="ZO9" s="536"/>
      <c r="ZP9" s="536"/>
      <c r="ZQ9" s="536"/>
      <c r="ZR9" s="536"/>
      <c r="ZS9" s="536"/>
      <c r="ZT9" s="536"/>
      <c r="ZU9" s="536"/>
      <c r="ZV9" s="536"/>
      <c r="ZW9" s="536"/>
      <c r="ZX9" s="536"/>
      <c r="ZY9" s="536"/>
      <c r="ZZ9" s="536"/>
      <c r="AAA9" s="536"/>
      <c r="AAB9" s="536"/>
      <c r="AAC9" s="536"/>
      <c r="AAD9" s="536"/>
      <c r="AAE9" s="536"/>
      <c r="AAF9" s="536"/>
      <c r="AAG9" s="536"/>
      <c r="AAH9" s="536"/>
      <c r="AAI9" s="536"/>
      <c r="AAJ9" s="536"/>
      <c r="AAK9" s="536"/>
      <c r="AAL9" s="536"/>
      <c r="AAM9" s="536"/>
      <c r="AAN9" s="536"/>
      <c r="AAO9" s="536"/>
      <c r="AAP9" s="536"/>
      <c r="AAQ9" s="536"/>
      <c r="AAR9" s="536"/>
      <c r="AAS9" s="536"/>
      <c r="AAT9" s="536"/>
      <c r="AAU9" s="536"/>
      <c r="AAV9" s="536"/>
      <c r="AAW9" s="536"/>
      <c r="AAX9" s="536"/>
      <c r="AAY9" s="536"/>
      <c r="AAZ9" s="536"/>
      <c r="ABA9" s="536"/>
      <c r="ABB9" s="536"/>
      <c r="ABC9" s="536"/>
      <c r="ABD9" s="536"/>
      <c r="ABE9" s="536"/>
      <c r="ABF9" s="536"/>
      <c r="ABG9" s="536"/>
      <c r="ABH9" s="536"/>
      <c r="ABI9" s="536"/>
      <c r="ABJ9" s="536"/>
      <c r="ABK9" s="536"/>
      <c r="ABL9" s="536"/>
      <c r="ABM9" s="536"/>
      <c r="ABN9" s="536"/>
      <c r="ABO9" s="536"/>
      <c r="ABP9" s="536"/>
      <c r="ABQ9" s="536"/>
      <c r="ABR9" s="536"/>
      <c r="ABS9" s="536"/>
      <c r="ABT9" s="536"/>
      <c r="ABU9" s="536"/>
      <c r="ABV9" s="536"/>
      <c r="ABW9" s="536"/>
      <c r="ABX9" s="536"/>
      <c r="ABY9" s="536"/>
      <c r="ABZ9" s="536"/>
      <c r="ACA9" s="536"/>
      <c r="ACB9" s="536"/>
      <c r="ACC9" s="536"/>
      <c r="ACD9" s="536"/>
      <c r="ACE9" s="536"/>
      <c r="ACF9" s="536"/>
      <c r="ACG9" s="536"/>
      <c r="ACH9" s="536"/>
      <c r="ACI9" s="536"/>
      <c r="ACJ9" s="536"/>
      <c r="ACK9" s="536"/>
      <c r="ACL9" s="536"/>
      <c r="ACM9" s="536"/>
      <c r="ACN9" s="536"/>
      <c r="ACO9" s="536"/>
      <c r="ACP9" s="536"/>
      <c r="ACQ9" s="536"/>
      <c r="ACR9" s="536"/>
      <c r="ACS9" s="536"/>
      <c r="ACT9" s="536"/>
      <c r="ACU9" s="536"/>
      <c r="ACV9" s="536"/>
      <c r="ACW9" s="536"/>
      <c r="ACX9" s="536"/>
      <c r="ACY9" s="536"/>
      <c r="ACZ9" s="536"/>
      <c r="ADA9" s="536"/>
      <c r="ADB9" s="536"/>
      <c r="ADC9" s="536"/>
      <c r="ADD9" s="536"/>
      <c r="ADE9" s="536"/>
      <c r="ADF9" s="536"/>
      <c r="ADG9" s="536"/>
      <c r="ADH9" s="536"/>
      <c r="ADI9" s="536"/>
      <c r="ADJ9" s="536"/>
      <c r="ADK9" s="536"/>
      <c r="ADL9" s="536"/>
      <c r="ADM9" s="536"/>
      <c r="ADN9" s="536"/>
      <c r="ADO9" s="536"/>
      <c r="ADP9" s="536"/>
      <c r="ADQ9" s="536"/>
      <c r="ADR9" s="536"/>
      <c r="ADS9" s="536"/>
      <c r="ADT9" s="536"/>
      <c r="ADU9" s="536"/>
      <c r="ADV9" s="536"/>
      <c r="ADW9" s="536"/>
      <c r="ADX9" s="536"/>
      <c r="ADY9" s="536"/>
      <c r="ADZ9" s="536"/>
      <c r="AEA9" s="536"/>
      <c r="AEB9" s="536"/>
      <c r="AEC9" s="536"/>
      <c r="AED9" s="536"/>
      <c r="AEE9" s="536"/>
      <c r="AEF9" s="536"/>
      <c r="AEG9" s="536"/>
      <c r="AEH9" s="536"/>
      <c r="AEI9" s="536"/>
      <c r="AEJ9" s="536"/>
      <c r="AEK9" s="536"/>
      <c r="AEL9" s="536"/>
      <c r="AEM9" s="536"/>
      <c r="AEN9" s="536"/>
      <c r="AEO9" s="536"/>
      <c r="AEP9" s="536"/>
      <c r="AEQ9" s="536"/>
      <c r="AER9" s="536"/>
      <c r="AES9" s="536"/>
      <c r="AET9" s="536"/>
      <c r="AEU9" s="536"/>
      <c r="AEV9" s="536"/>
      <c r="AEW9" s="536"/>
      <c r="AEX9" s="536"/>
      <c r="AEY9" s="536"/>
      <c r="AEZ9" s="536"/>
      <c r="AFA9" s="536"/>
      <c r="AFB9" s="536"/>
      <c r="AFC9" s="536"/>
      <c r="AFD9" s="536"/>
      <c r="AFE9" s="536"/>
      <c r="AFF9" s="536"/>
      <c r="AFG9" s="536"/>
      <c r="AFH9" s="536"/>
      <c r="AFI9" s="536"/>
      <c r="AFJ9" s="536"/>
      <c r="AFK9" s="536"/>
      <c r="AFL9" s="536"/>
      <c r="AFM9" s="536"/>
      <c r="AFN9" s="536"/>
      <c r="AFO9" s="536"/>
      <c r="AFP9" s="536"/>
      <c r="AFQ9" s="536"/>
      <c r="AFR9" s="536"/>
      <c r="AFS9" s="536"/>
      <c r="AFT9" s="536"/>
      <c r="AFU9" s="536"/>
      <c r="AFV9" s="536"/>
      <c r="AFW9" s="536"/>
      <c r="AFX9" s="536"/>
      <c r="AFY9" s="536"/>
      <c r="AFZ9" s="536"/>
      <c r="AGA9" s="536"/>
      <c r="AGB9" s="536"/>
      <c r="AGC9" s="536"/>
      <c r="AGD9" s="536"/>
      <c r="AGE9" s="536"/>
      <c r="AGF9" s="536"/>
      <c r="AGG9" s="536"/>
      <c r="AGH9" s="536"/>
      <c r="AGI9" s="536"/>
      <c r="AGJ9" s="536"/>
      <c r="AGK9" s="536"/>
      <c r="AGL9" s="536"/>
      <c r="AGM9" s="536"/>
      <c r="AGN9" s="536"/>
      <c r="AGO9" s="536"/>
      <c r="AGP9" s="536"/>
      <c r="AGQ9" s="536"/>
      <c r="AGR9" s="536"/>
      <c r="AGS9" s="536"/>
      <c r="AGT9" s="536"/>
      <c r="AGU9" s="536"/>
      <c r="AGV9" s="536"/>
      <c r="AGW9" s="536"/>
      <c r="AGX9" s="536"/>
      <c r="AGY9" s="536"/>
      <c r="AGZ9" s="536"/>
      <c r="AHA9" s="536"/>
      <c r="AHB9" s="536"/>
      <c r="AHC9" s="536"/>
      <c r="AHD9" s="536"/>
      <c r="AHE9" s="536"/>
      <c r="AHF9" s="536"/>
      <c r="AHG9" s="536"/>
      <c r="AHH9" s="536"/>
      <c r="AHI9" s="536"/>
      <c r="AHJ9" s="536"/>
      <c r="AHK9" s="536"/>
      <c r="AHL9" s="536"/>
      <c r="AHM9" s="536"/>
      <c r="AHN9" s="536"/>
      <c r="AHO9" s="536"/>
      <c r="AHP9" s="536"/>
      <c r="AHQ9" s="536"/>
      <c r="AHR9" s="536"/>
      <c r="AHS9" s="536"/>
      <c r="AHT9" s="536"/>
      <c r="AHU9" s="536"/>
      <c r="AHV9" s="536"/>
      <c r="AHW9" s="536"/>
      <c r="AHX9" s="536"/>
      <c r="AHY9" s="536"/>
      <c r="AHZ9" s="536"/>
      <c r="AIA9" s="536"/>
      <c r="AIB9" s="536"/>
      <c r="AIC9" s="536"/>
      <c r="AID9" s="536"/>
      <c r="AIE9" s="536"/>
      <c r="AIF9" s="536"/>
      <c r="AIG9" s="536"/>
      <c r="AIH9" s="536"/>
      <c r="AII9" s="536"/>
      <c r="AIJ9" s="536"/>
      <c r="AIK9" s="536"/>
      <c r="AIL9" s="536"/>
      <c r="AIM9" s="536"/>
      <c r="AIN9" s="536"/>
      <c r="AIO9" s="536"/>
      <c r="AIP9" s="536"/>
      <c r="AIQ9" s="536"/>
      <c r="AIR9" s="536"/>
      <c r="AIS9" s="536"/>
      <c r="AIT9" s="536"/>
      <c r="AIU9" s="536"/>
      <c r="AIV9" s="536"/>
      <c r="AIW9" s="536"/>
      <c r="AIX9" s="536"/>
      <c r="AIY9" s="536"/>
      <c r="AIZ9" s="536"/>
      <c r="AJA9" s="536"/>
      <c r="AJB9" s="536"/>
      <c r="AJC9" s="536"/>
      <c r="AJD9" s="536"/>
      <c r="AJE9" s="536"/>
      <c r="AJF9" s="536"/>
      <c r="AJG9" s="536"/>
      <c r="AJH9" s="536"/>
      <c r="AJI9" s="536"/>
      <c r="AJJ9" s="536"/>
      <c r="AJK9" s="536"/>
      <c r="AJL9" s="536"/>
      <c r="AJM9" s="536"/>
      <c r="AJN9" s="536"/>
      <c r="AJO9" s="536"/>
      <c r="AJP9" s="536"/>
      <c r="AJQ9" s="536"/>
      <c r="AJR9" s="536"/>
      <c r="AJS9" s="536"/>
      <c r="AJT9" s="536"/>
      <c r="AJU9" s="536"/>
      <c r="AJV9" s="536"/>
      <c r="AJW9" s="536"/>
      <c r="AJX9" s="536"/>
      <c r="AJY9" s="536"/>
      <c r="AJZ9" s="536"/>
      <c r="AKA9" s="536"/>
      <c r="AKB9" s="536"/>
      <c r="AKC9" s="536"/>
      <c r="AKD9" s="536"/>
      <c r="AKE9" s="536"/>
      <c r="AKF9" s="536"/>
      <c r="AKG9" s="536"/>
      <c r="AKH9" s="536"/>
      <c r="AKI9" s="536"/>
      <c r="AKJ9" s="536"/>
      <c r="AKK9" s="536"/>
      <c r="AKL9" s="536"/>
      <c r="AKM9" s="536"/>
      <c r="AKN9" s="536"/>
      <c r="AKO9" s="536"/>
      <c r="AKP9" s="536"/>
      <c r="AKQ9" s="536"/>
      <c r="AKR9" s="536"/>
      <c r="AKS9" s="536"/>
      <c r="AKT9" s="536"/>
      <c r="AKU9" s="536"/>
      <c r="AKV9" s="536"/>
      <c r="AKW9" s="536"/>
      <c r="AKX9" s="536"/>
      <c r="AKY9" s="536"/>
      <c r="AKZ9" s="536"/>
      <c r="ALA9" s="536"/>
      <c r="ALB9" s="536"/>
      <c r="ALC9" s="536"/>
      <c r="ALD9" s="536"/>
      <c r="ALE9" s="536"/>
      <c r="ALF9" s="536"/>
      <c r="ALG9" s="536"/>
      <c r="ALH9" s="536"/>
      <c r="ALI9" s="536"/>
      <c r="ALJ9" s="536"/>
      <c r="ALK9" s="536"/>
      <c r="ALL9" s="536"/>
      <c r="ALM9" s="536"/>
      <c r="ALN9" s="536"/>
      <c r="ALO9" s="536"/>
      <c r="ALP9" s="536"/>
      <c r="ALQ9" s="536"/>
      <c r="ALR9" s="536"/>
      <c r="ALS9" s="536"/>
      <c r="ALT9" s="536"/>
      <c r="ALU9" s="536"/>
      <c r="ALV9" s="536"/>
      <c r="ALW9" s="536"/>
      <c r="ALX9" s="536"/>
      <c r="ALY9" s="536"/>
    </row>
    <row r="10" spans="1:1014" s="533" customFormat="1" ht="13.5" customHeight="1">
      <c r="B10" s="534" t="s">
        <v>948</v>
      </c>
      <c r="C10" s="535"/>
      <c r="D10" s="536"/>
      <c r="E10" s="535"/>
      <c r="F10" s="535"/>
      <c r="G10" s="537"/>
      <c r="H10" s="537"/>
      <c r="I10" s="538"/>
      <c r="J10" s="537"/>
      <c r="K10" s="539"/>
      <c r="L10" s="540"/>
      <c r="M10" s="540"/>
      <c r="N10" s="540"/>
      <c r="O10" s="540"/>
      <c r="P10" s="541"/>
      <c r="Q10" s="537"/>
      <c r="R10" s="537"/>
      <c r="S10" s="537"/>
      <c r="T10" s="542"/>
      <c r="U10" s="537"/>
      <c r="V10" s="797"/>
      <c r="W10" s="797"/>
      <c r="Y10" s="543"/>
      <c r="Z10" s="537"/>
      <c r="AA10" s="539"/>
      <c r="AB10" s="537"/>
      <c r="AC10" s="540"/>
      <c r="AD10" s="540"/>
      <c r="AF10" s="536"/>
      <c r="AG10" s="536"/>
      <c r="AH10" s="536"/>
      <c r="AI10" s="536"/>
      <c r="AJ10" s="536"/>
      <c r="AK10" s="536"/>
      <c r="AL10" s="536"/>
      <c r="AM10" s="536"/>
      <c r="AN10" s="536"/>
      <c r="AO10" s="536"/>
      <c r="AP10" s="536"/>
      <c r="AQ10" s="536"/>
      <c r="AR10" s="536"/>
      <c r="AS10" s="536"/>
      <c r="AT10" s="536"/>
      <c r="AU10" s="536"/>
      <c r="AV10" s="536"/>
      <c r="AW10" s="536"/>
      <c r="AX10" s="536"/>
      <c r="AY10" s="536"/>
      <c r="AZ10" s="536"/>
      <c r="BA10" s="536"/>
      <c r="BB10" s="536"/>
      <c r="BC10" s="536"/>
      <c r="BD10" s="536"/>
      <c r="BE10" s="536"/>
      <c r="BF10" s="536"/>
      <c r="BG10" s="536"/>
      <c r="BH10" s="536"/>
      <c r="BI10" s="536"/>
      <c r="BJ10" s="536"/>
      <c r="BK10" s="536"/>
      <c r="BL10" s="536"/>
      <c r="BM10" s="536"/>
      <c r="BN10" s="536"/>
      <c r="BO10" s="536"/>
      <c r="BP10" s="536"/>
      <c r="BQ10" s="536"/>
      <c r="BR10" s="536"/>
      <c r="BS10" s="536"/>
      <c r="BT10" s="536"/>
      <c r="BU10" s="536"/>
      <c r="BV10" s="536"/>
      <c r="BW10" s="536"/>
      <c r="BX10" s="536"/>
      <c r="BY10" s="536"/>
      <c r="BZ10" s="536"/>
      <c r="CA10" s="536"/>
      <c r="CB10" s="536"/>
      <c r="CC10" s="536"/>
      <c r="CD10" s="536"/>
      <c r="CE10" s="536"/>
      <c r="CF10" s="536"/>
      <c r="CG10" s="536"/>
      <c r="CH10" s="536"/>
      <c r="CI10" s="536"/>
      <c r="CJ10" s="536"/>
      <c r="CK10" s="536"/>
      <c r="CL10" s="536"/>
      <c r="CM10" s="536"/>
      <c r="CN10" s="536"/>
      <c r="CO10" s="536"/>
      <c r="CP10" s="536"/>
      <c r="CQ10" s="536"/>
      <c r="CR10" s="536"/>
      <c r="CS10" s="536"/>
      <c r="CT10" s="536"/>
      <c r="CU10" s="536"/>
      <c r="CV10" s="536"/>
      <c r="CW10" s="536"/>
      <c r="CX10" s="536"/>
      <c r="CY10" s="536"/>
      <c r="CZ10" s="536"/>
      <c r="DA10" s="536"/>
      <c r="DB10" s="536"/>
      <c r="DC10" s="536"/>
      <c r="DD10" s="536"/>
      <c r="DE10" s="536"/>
      <c r="DF10" s="536"/>
      <c r="DG10" s="536"/>
      <c r="DH10" s="536"/>
      <c r="DI10" s="536"/>
      <c r="DJ10" s="536"/>
      <c r="DK10" s="536"/>
      <c r="DL10" s="536"/>
      <c r="DM10" s="536"/>
      <c r="DN10" s="536"/>
      <c r="DO10" s="536"/>
      <c r="DP10" s="536"/>
      <c r="DQ10" s="536"/>
      <c r="DR10" s="536"/>
      <c r="DS10" s="536"/>
      <c r="DT10" s="536"/>
      <c r="DU10" s="536"/>
      <c r="DV10" s="536"/>
      <c r="DW10" s="536"/>
      <c r="DX10" s="536"/>
      <c r="DY10" s="536"/>
      <c r="DZ10" s="536"/>
      <c r="EA10" s="536"/>
      <c r="EB10" s="536"/>
      <c r="EC10" s="536"/>
      <c r="ED10" s="536"/>
      <c r="EE10" s="536"/>
      <c r="EF10" s="536"/>
      <c r="EG10" s="536"/>
      <c r="EH10" s="536"/>
      <c r="EI10" s="536"/>
      <c r="EJ10" s="536"/>
      <c r="EK10" s="536"/>
      <c r="EL10" s="536"/>
      <c r="EM10" s="536"/>
      <c r="EN10" s="536"/>
      <c r="EO10" s="536"/>
      <c r="EP10" s="536"/>
      <c r="EQ10" s="536"/>
      <c r="ER10" s="536"/>
      <c r="ES10" s="536"/>
      <c r="ET10" s="536"/>
      <c r="EU10" s="536"/>
      <c r="EV10" s="536"/>
      <c r="EW10" s="536"/>
      <c r="EX10" s="536"/>
      <c r="EY10" s="536"/>
      <c r="EZ10" s="536"/>
      <c r="FA10" s="536"/>
      <c r="FB10" s="536"/>
      <c r="FC10" s="536"/>
      <c r="FD10" s="536"/>
      <c r="FE10" s="536"/>
      <c r="FF10" s="536"/>
      <c r="FG10" s="536"/>
      <c r="FH10" s="536"/>
      <c r="FI10" s="536"/>
      <c r="FJ10" s="536"/>
      <c r="FK10" s="536"/>
      <c r="FL10" s="536"/>
      <c r="FM10" s="536"/>
      <c r="FN10" s="536"/>
      <c r="FO10" s="536"/>
      <c r="FP10" s="536"/>
      <c r="FQ10" s="536"/>
      <c r="FR10" s="536"/>
      <c r="FS10" s="536"/>
      <c r="FT10" s="536"/>
      <c r="FU10" s="536"/>
      <c r="FV10" s="536"/>
      <c r="FW10" s="536"/>
      <c r="FX10" s="536"/>
      <c r="FY10" s="536"/>
      <c r="FZ10" s="536"/>
      <c r="GA10" s="536"/>
      <c r="GB10" s="536"/>
      <c r="GC10" s="536"/>
      <c r="GD10" s="536"/>
      <c r="GE10" s="536"/>
      <c r="GF10" s="536"/>
      <c r="GG10" s="536"/>
      <c r="GH10" s="536"/>
      <c r="GI10" s="536"/>
      <c r="GJ10" s="536"/>
      <c r="GK10" s="536"/>
      <c r="GL10" s="536"/>
      <c r="GM10" s="536"/>
      <c r="GN10" s="536"/>
      <c r="GO10" s="536"/>
      <c r="GP10" s="536"/>
      <c r="GQ10" s="536"/>
      <c r="GR10" s="536"/>
      <c r="GS10" s="536"/>
      <c r="GT10" s="536"/>
      <c r="GU10" s="536"/>
      <c r="GV10" s="536"/>
      <c r="GW10" s="536"/>
      <c r="GX10" s="536"/>
      <c r="GY10" s="536"/>
      <c r="GZ10" s="536"/>
      <c r="HA10" s="536"/>
      <c r="HB10" s="536"/>
      <c r="HC10" s="536"/>
      <c r="HD10" s="536"/>
      <c r="HE10" s="536"/>
      <c r="HF10" s="536"/>
      <c r="HG10" s="536"/>
      <c r="HH10" s="536"/>
      <c r="HI10" s="536"/>
      <c r="HJ10" s="536"/>
      <c r="HK10" s="536"/>
      <c r="HL10" s="536"/>
      <c r="HM10" s="536"/>
      <c r="HN10" s="536"/>
      <c r="HO10" s="536"/>
      <c r="HP10" s="536"/>
      <c r="HQ10" s="536"/>
      <c r="HR10" s="536"/>
      <c r="HS10" s="536"/>
      <c r="HT10" s="536"/>
      <c r="HU10" s="536"/>
      <c r="HV10" s="536"/>
      <c r="HW10" s="536"/>
      <c r="HX10" s="536"/>
      <c r="HY10" s="536"/>
      <c r="HZ10" s="536"/>
      <c r="IA10" s="536"/>
      <c r="IB10" s="536"/>
      <c r="IC10" s="536"/>
      <c r="ID10" s="536"/>
      <c r="IE10" s="536"/>
      <c r="IF10" s="536"/>
      <c r="IG10" s="536"/>
      <c r="IH10" s="536"/>
      <c r="II10" s="536"/>
      <c r="IJ10" s="536"/>
      <c r="IK10" s="536"/>
      <c r="IL10" s="536"/>
      <c r="IM10" s="536"/>
      <c r="IN10" s="536"/>
      <c r="IO10" s="536"/>
      <c r="IP10" s="536"/>
      <c r="IQ10" s="536"/>
      <c r="IR10" s="536"/>
      <c r="IS10" s="536"/>
      <c r="IT10" s="536"/>
      <c r="IU10" s="536"/>
      <c r="IV10" s="536"/>
      <c r="IW10" s="536"/>
      <c r="IX10" s="536"/>
      <c r="IY10" s="536"/>
      <c r="IZ10" s="536"/>
      <c r="JA10" s="536"/>
      <c r="JB10" s="536"/>
      <c r="JC10" s="536"/>
      <c r="JD10" s="536"/>
      <c r="JE10" s="536"/>
      <c r="JF10" s="536"/>
      <c r="JG10" s="536"/>
      <c r="JH10" s="536"/>
      <c r="JI10" s="536"/>
      <c r="JJ10" s="536"/>
      <c r="JK10" s="536"/>
      <c r="JL10" s="536"/>
      <c r="JM10" s="536"/>
      <c r="JN10" s="536"/>
      <c r="JO10" s="536"/>
      <c r="JP10" s="536"/>
      <c r="JQ10" s="536"/>
      <c r="JR10" s="536"/>
      <c r="JS10" s="536"/>
      <c r="JT10" s="536"/>
      <c r="JU10" s="536"/>
      <c r="JV10" s="536"/>
      <c r="JW10" s="536"/>
      <c r="JX10" s="536"/>
      <c r="JY10" s="536"/>
      <c r="JZ10" s="536"/>
      <c r="KA10" s="536"/>
      <c r="KB10" s="536"/>
      <c r="KC10" s="536"/>
      <c r="KD10" s="536"/>
      <c r="KE10" s="536"/>
      <c r="KF10" s="536"/>
      <c r="KG10" s="536"/>
      <c r="KH10" s="536"/>
      <c r="KI10" s="536"/>
      <c r="KJ10" s="536"/>
      <c r="KK10" s="536"/>
      <c r="KL10" s="536"/>
      <c r="KM10" s="536"/>
      <c r="KN10" s="536"/>
      <c r="KO10" s="536"/>
      <c r="KP10" s="536"/>
      <c r="KQ10" s="536"/>
      <c r="KR10" s="536"/>
      <c r="KS10" s="536"/>
      <c r="KT10" s="536"/>
      <c r="KU10" s="536"/>
      <c r="KV10" s="536"/>
      <c r="KW10" s="536"/>
      <c r="KX10" s="536"/>
      <c r="KY10" s="536"/>
      <c r="KZ10" s="536"/>
      <c r="LA10" s="536"/>
      <c r="LB10" s="536"/>
      <c r="LC10" s="536"/>
      <c r="LD10" s="536"/>
      <c r="LE10" s="536"/>
      <c r="LF10" s="536"/>
      <c r="LG10" s="536"/>
      <c r="LH10" s="536"/>
      <c r="LI10" s="536"/>
      <c r="LJ10" s="536"/>
      <c r="LK10" s="536"/>
      <c r="LL10" s="536"/>
      <c r="LM10" s="536"/>
      <c r="LN10" s="536"/>
      <c r="LO10" s="536"/>
      <c r="LP10" s="536"/>
      <c r="LQ10" s="536"/>
      <c r="LR10" s="536"/>
      <c r="LS10" s="536"/>
      <c r="LT10" s="536"/>
      <c r="LU10" s="536"/>
      <c r="LV10" s="536"/>
      <c r="LW10" s="536"/>
      <c r="LX10" s="536"/>
      <c r="LY10" s="536"/>
      <c r="LZ10" s="536"/>
      <c r="MA10" s="536"/>
      <c r="MB10" s="536"/>
      <c r="MC10" s="536"/>
      <c r="MD10" s="536"/>
      <c r="ME10" s="536"/>
      <c r="MF10" s="536"/>
      <c r="MG10" s="536"/>
      <c r="MH10" s="536"/>
      <c r="MI10" s="536"/>
      <c r="MJ10" s="536"/>
      <c r="MK10" s="536"/>
      <c r="ML10" s="536"/>
      <c r="MM10" s="536"/>
      <c r="MN10" s="536"/>
      <c r="MO10" s="536"/>
      <c r="MP10" s="536"/>
      <c r="MQ10" s="536"/>
      <c r="MR10" s="536"/>
      <c r="MS10" s="536"/>
      <c r="MT10" s="536"/>
      <c r="MU10" s="536"/>
      <c r="MV10" s="536"/>
      <c r="MW10" s="536"/>
      <c r="MX10" s="536"/>
      <c r="MY10" s="536"/>
      <c r="MZ10" s="536"/>
      <c r="NA10" s="536"/>
      <c r="NB10" s="536"/>
      <c r="NC10" s="536"/>
      <c r="ND10" s="536"/>
      <c r="NE10" s="536"/>
      <c r="NF10" s="536"/>
      <c r="NG10" s="536"/>
      <c r="NH10" s="536"/>
      <c r="NI10" s="536"/>
      <c r="NJ10" s="536"/>
      <c r="NK10" s="536"/>
      <c r="NL10" s="536"/>
      <c r="NM10" s="536"/>
      <c r="NN10" s="536"/>
      <c r="NO10" s="536"/>
      <c r="NP10" s="536"/>
      <c r="NQ10" s="536"/>
      <c r="NR10" s="536"/>
      <c r="NS10" s="536"/>
      <c r="NT10" s="536"/>
      <c r="NU10" s="536"/>
      <c r="NV10" s="536"/>
      <c r="NW10" s="536"/>
      <c r="NX10" s="536"/>
      <c r="NY10" s="536"/>
      <c r="NZ10" s="536"/>
      <c r="OA10" s="536"/>
      <c r="OB10" s="536"/>
      <c r="OC10" s="536"/>
      <c r="OD10" s="536"/>
      <c r="OE10" s="536"/>
      <c r="OF10" s="536"/>
      <c r="OG10" s="536"/>
      <c r="OH10" s="536"/>
      <c r="OI10" s="536"/>
      <c r="OJ10" s="536"/>
      <c r="OK10" s="536"/>
      <c r="OL10" s="536"/>
      <c r="OM10" s="536"/>
      <c r="ON10" s="536"/>
      <c r="OO10" s="536"/>
      <c r="OP10" s="536"/>
      <c r="OQ10" s="536"/>
      <c r="OR10" s="536"/>
      <c r="OS10" s="536"/>
      <c r="OT10" s="536"/>
      <c r="OU10" s="536"/>
      <c r="OV10" s="536"/>
      <c r="OW10" s="536"/>
      <c r="OX10" s="536"/>
      <c r="OY10" s="536"/>
      <c r="OZ10" s="536"/>
      <c r="PA10" s="536"/>
      <c r="PB10" s="536"/>
      <c r="PC10" s="536"/>
      <c r="PD10" s="536"/>
      <c r="PE10" s="536"/>
      <c r="PF10" s="536"/>
      <c r="PG10" s="536"/>
      <c r="PH10" s="536"/>
      <c r="PI10" s="536"/>
      <c r="PJ10" s="536"/>
      <c r="PK10" s="536"/>
      <c r="PL10" s="536"/>
      <c r="PM10" s="536"/>
      <c r="PN10" s="536"/>
      <c r="PO10" s="536"/>
      <c r="PP10" s="536"/>
      <c r="PQ10" s="536"/>
      <c r="PR10" s="536"/>
      <c r="PS10" s="536"/>
      <c r="PT10" s="536"/>
      <c r="PU10" s="536"/>
      <c r="PV10" s="536"/>
      <c r="PW10" s="536"/>
      <c r="PX10" s="536"/>
      <c r="PY10" s="536"/>
      <c r="PZ10" s="536"/>
      <c r="QA10" s="536"/>
      <c r="QB10" s="536"/>
      <c r="QC10" s="536"/>
      <c r="QD10" s="536"/>
      <c r="QE10" s="536"/>
      <c r="QF10" s="536"/>
      <c r="QG10" s="536"/>
      <c r="QH10" s="536"/>
      <c r="QI10" s="536"/>
      <c r="QJ10" s="536"/>
      <c r="QK10" s="536"/>
      <c r="QL10" s="536"/>
      <c r="QM10" s="536"/>
      <c r="QN10" s="536"/>
      <c r="QO10" s="536"/>
      <c r="QP10" s="536"/>
      <c r="QQ10" s="536"/>
      <c r="QR10" s="536"/>
      <c r="QS10" s="536"/>
      <c r="QT10" s="536"/>
      <c r="QU10" s="536"/>
      <c r="QV10" s="536"/>
      <c r="QW10" s="536"/>
      <c r="QX10" s="536"/>
      <c r="QY10" s="536"/>
      <c r="QZ10" s="536"/>
      <c r="RA10" s="536"/>
      <c r="RB10" s="536"/>
      <c r="RC10" s="536"/>
      <c r="RD10" s="536"/>
      <c r="RE10" s="536"/>
      <c r="RF10" s="536"/>
      <c r="RG10" s="536"/>
      <c r="RH10" s="536"/>
      <c r="RI10" s="536"/>
      <c r="RJ10" s="536"/>
      <c r="RK10" s="536"/>
      <c r="RL10" s="536"/>
      <c r="RM10" s="536"/>
      <c r="RN10" s="536"/>
      <c r="RO10" s="536"/>
      <c r="RP10" s="536"/>
      <c r="RQ10" s="536"/>
      <c r="RR10" s="536"/>
      <c r="RS10" s="536"/>
      <c r="RT10" s="536"/>
      <c r="RU10" s="536"/>
      <c r="RV10" s="536"/>
      <c r="RW10" s="536"/>
      <c r="RX10" s="536"/>
      <c r="RY10" s="536"/>
      <c r="RZ10" s="536"/>
      <c r="SA10" s="536"/>
      <c r="SB10" s="536"/>
      <c r="SC10" s="536"/>
      <c r="SD10" s="536"/>
      <c r="SE10" s="536"/>
      <c r="SF10" s="536"/>
      <c r="SG10" s="536"/>
      <c r="SH10" s="536"/>
      <c r="SI10" s="536"/>
      <c r="SJ10" s="536"/>
      <c r="SK10" s="536"/>
      <c r="SL10" s="536"/>
      <c r="SM10" s="536"/>
      <c r="SN10" s="536"/>
      <c r="SO10" s="536"/>
      <c r="SP10" s="536"/>
      <c r="SQ10" s="536"/>
      <c r="SR10" s="536"/>
      <c r="SS10" s="536"/>
      <c r="ST10" s="536"/>
      <c r="SU10" s="536"/>
      <c r="SV10" s="536"/>
      <c r="SW10" s="536"/>
      <c r="SX10" s="536"/>
      <c r="SY10" s="536"/>
      <c r="SZ10" s="536"/>
      <c r="TA10" s="536"/>
      <c r="TB10" s="536"/>
      <c r="TC10" s="536"/>
      <c r="TD10" s="536"/>
      <c r="TE10" s="536"/>
      <c r="TF10" s="536"/>
      <c r="TG10" s="536"/>
      <c r="TH10" s="536"/>
      <c r="TI10" s="536"/>
      <c r="TJ10" s="536"/>
      <c r="TK10" s="536"/>
      <c r="TL10" s="536"/>
      <c r="TM10" s="536"/>
      <c r="TN10" s="536"/>
      <c r="TO10" s="536"/>
      <c r="TP10" s="536"/>
      <c r="TQ10" s="536"/>
      <c r="TR10" s="536"/>
      <c r="TS10" s="536"/>
      <c r="TT10" s="536"/>
      <c r="TU10" s="536"/>
      <c r="TV10" s="536"/>
      <c r="TW10" s="536"/>
      <c r="TX10" s="536"/>
      <c r="TY10" s="536"/>
      <c r="TZ10" s="536"/>
      <c r="UA10" s="536"/>
      <c r="UB10" s="536"/>
      <c r="UC10" s="536"/>
      <c r="UD10" s="536"/>
      <c r="UE10" s="536"/>
      <c r="UF10" s="536"/>
      <c r="UG10" s="536"/>
      <c r="UH10" s="536"/>
      <c r="UI10" s="536"/>
      <c r="UJ10" s="536"/>
      <c r="UK10" s="536"/>
      <c r="UL10" s="536"/>
      <c r="UM10" s="536"/>
      <c r="UN10" s="536"/>
      <c r="UO10" s="536"/>
      <c r="UP10" s="536"/>
      <c r="UQ10" s="536"/>
      <c r="UR10" s="536"/>
      <c r="US10" s="536"/>
      <c r="UT10" s="536"/>
      <c r="UU10" s="536"/>
      <c r="UV10" s="536"/>
      <c r="UW10" s="536"/>
      <c r="UX10" s="536"/>
      <c r="UY10" s="536"/>
      <c r="UZ10" s="536"/>
      <c r="VA10" s="536"/>
      <c r="VB10" s="536"/>
      <c r="VC10" s="536"/>
      <c r="VD10" s="536"/>
      <c r="VE10" s="536"/>
      <c r="VF10" s="536"/>
      <c r="VG10" s="536"/>
      <c r="VH10" s="536"/>
      <c r="VI10" s="536"/>
      <c r="VJ10" s="536"/>
      <c r="VK10" s="536"/>
      <c r="VL10" s="536"/>
      <c r="VM10" s="536"/>
      <c r="VN10" s="536"/>
      <c r="VO10" s="536"/>
      <c r="VP10" s="536"/>
      <c r="VQ10" s="536"/>
      <c r="VR10" s="536"/>
      <c r="VS10" s="536"/>
      <c r="VT10" s="536"/>
      <c r="VU10" s="536"/>
      <c r="VV10" s="536"/>
      <c r="VW10" s="536"/>
      <c r="VX10" s="536"/>
      <c r="VY10" s="536"/>
      <c r="VZ10" s="536"/>
      <c r="WA10" s="536"/>
      <c r="WB10" s="536"/>
      <c r="WC10" s="536"/>
      <c r="WD10" s="536"/>
      <c r="WE10" s="536"/>
      <c r="WF10" s="536"/>
      <c r="WG10" s="536"/>
      <c r="WH10" s="536"/>
      <c r="WI10" s="536"/>
      <c r="WJ10" s="536"/>
      <c r="WK10" s="536"/>
      <c r="WL10" s="536"/>
      <c r="WM10" s="536"/>
      <c r="WN10" s="536"/>
      <c r="WO10" s="536"/>
      <c r="WP10" s="536"/>
      <c r="WQ10" s="536"/>
      <c r="WR10" s="536"/>
      <c r="WS10" s="536"/>
      <c r="WT10" s="536"/>
      <c r="WU10" s="536"/>
      <c r="WV10" s="536"/>
      <c r="WW10" s="536"/>
      <c r="WX10" s="536"/>
      <c r="WY10" s="536"/>
      <c r="WZ10" s="536"/>
      <c r="XA10" s="536"/>
      <c r="XB10" s="536"/>
      <c r="XC10" s="536"/>
      <c r="XD10" s="536"/>
      <c r="XE10" s="536"/>
      <c r="XF10" s="536"/>
      <c r="XG10" s="536"/>
      <c r="XH10" s="536"/>
      <c r="XI10" s="536"/>
      <c r="XJ10" s="536"/>
      <c r="XK10" s="536"/>
      <c r="XL10" s="536"/>
      <c r="XM10" s="536"/>
      <c r="XN10" s="536"/>
      <c r="XO10" s="536"/>
      <c r="XP10" s="536"/>
      <c r="XQ10" s="536"/>
      <c r="XR10" s="536"/>
      <c r="XS10" s="536"/>
      <c r="XT10" s="536"/>
      <c r="XU10" s="536"/>
      <c r="XV10" s="536"/>
      <c r="XW10" s="536"/>
      <c r="XX10" s="536"/>
      <c r="XY10" s="536"/>
      <c r="XZ10" s="536"/>
      <c r="YA10" s="536"/>
      <c r="YB10" s="536"/>
      <c r="YC10" s="536"/>
      <c r="YD10" s="536"/>
      <c r="YE10" s="536"/>
      <c r="YF10" s="536"/>
      <c r="YG10" s="536"/>
      <c r="YH10" s="536"/>
      <c r="YI10" s="536"/>
      <c r="YJ10" s="536"/>
      <c r="YK10" s="536"/>
      <c r="YL10" s="536"/>
      <c r="YM10" s="536"/>
      <c r="YN10" s="536"/>
      <c r="YO10" s="536"/>
      <c r="YP10" s="536"/>
      <c r="YQ10" s="536"/>
      <c r="YR10" s="536"/>
      <c r="YS10" s="536"/>
      <c r="YT10" s="536"/>
      <c r="YU10" s="536"/>
      <c r="YV10" s="536"/>
      <c r="YW10" s="536"/>
      <c r="YX10" s="536"/>
      <c r="YY10" s="536"/>
      <c r="YZ10" s="536"/>
      <c r="ZA10" s="536"/>
      <c r="ZB10" s="536"/>
      <c r="ZC10" s="536"/>
      <c r="ZD10" s="536"/>
      <c r="ZE10" s="536"/>
      <c r="ZF10" s="536"/>
      <c r="ZG10" s="536"/>
      <c r="ZH10" s="536"/>
      <c r="ZI10" s="536"/>
      <c r="ZJ10" s="536"/>
      <c r="ZK10" s="536"/>
      <c r="ZL10" s="536"/>
      <c r="ZM10" s="536"/>
      <c r="ZN10" s="536"/>
      <c r="ZO10" s="536"/>
      <c r="ZP10" s="536"/>
      <c r="ZQ10" s="536"/>
      <c r="ZR10" s="536"/>
      <c r="ZS10" s="536"/>
      <c r="ZT10" s="536"/>
      <c r="ZU10" s="536"/>
      <c r="ZV10" s="536"/>
      <c r="ZW10" s="536"/>
      <c r="ZX10" s="536"/>
      <c r="ZY10" s="536"/>
      <c r="ZZ10" s="536"/>
      <c r="AAA10" s="536"/>
      <c r="AAB10" s="536"/>
      <c r="AAC10" s="536"/>
      <c r="AAD10" s="536"/>
      <c r="AAE10" s="536"/>
      <c r="AAF10" s="536"/>
      <c r="AAG10" s="536"/>
      <c r="AAH10" s="536"/>
      <c r="AAI10" s="536"/>
      <c r="AAJ10" s="536"/>
      <c r="AAK10" s="536"/>
      <c r="AAL10" s="536"/>
      <c r="AAM10" s="536"/>
      <c r="AAN10" s="536"/>
      <c r="AAO10" s="536"/>
      <c r="AAP10" s="536"/>
      <c r="AAQ10" s="536"/>
      <c r="AAR10" s="536"/>
      <c r="AAS10" s="536"/>
      <c r="AAT10" s="536"/>
      <c r="AAU10" s="536"/>
      <c r="AAV10" s="536"/>
      <c r="AAW10" s="536"/>
      <c r="AAX10" s="536"/>
      <c r="AAY10" s="536"/>
      <c r="AAZ10" s="536"/>
      <c r="ABA10" s="536"/>
      <c r="ABB10" s="536"/>
      <c r="ABC10" s="536"/>
      <c r="ABD10" s="536"/>
      <c r="ABE10" s="536"/>
      <c r="ABF10" s="536"/>
      <c r="ABG10" s="536"/>
      <c r="ABH10" s="536"/>
      <c r="ABI10" s="536"/>
      <c r="ABJ10" s="536"/>
      <c r="ABK10" s="536"/>
      <c r="ABL10" s="536"/>
      <c r="ABM10" s="536"/>
      <c r="ABN10" s="536"/>
      <c r="ABO10" s="536"/>
      <c r="ABP10" s="536"/>
      <c r="ABQ10" s="536"/>
      <c r="ABR10" s="536"/>
      <c r="ABS10" s="536"/>
      <c r="ABT10" s="536"/>
      <c r="ABU10" s="536"/>
      <c r="ABV10" s="536"/>
      <c r="ABW10" s="536"/>
      <c r="ABX10" s="536"/>
      <c r="ABY10" s="536"/>
      <c r="ABZ10" s="536"/>
      <c r="ACA10" s="536"/>
      <c r="ACB10" s="536"/>
      <c r="ACC10" s="536"/>
      <c r="ACD10" s="536"/>
      <c r="ACE10" s="536"/>
      <c r="ACF10" s="536"/>
      <c r="ACG10" s="536"/>
      <c r="ACH10" s="536"/>
      <c r="ACI10" s="536"/>
      <c r="ACJ10" s="536"/>
      <c r="ACK10" s="536"/>
      <c r="ACL10" s="536"/>
      <c r="ACM10" s="536"/>
      <c r="ACN10" s="536"/>
      <c r="ACO10" s="536"/>
      <c r="ACP10" s="536"/>
      <c r="ACQ10" s="536"/>
      <c r="ACR10" s="536"/>
      <c r="ACS10" s="536"/>
      <c r="ACT10" s="536"/>
      <c r="ACU10" s="536"/>
      <c r="ACV10" s="536"/>
      <c r="ACW10" s="536"/>
      <c r="ACX10" s="536"/>
      <c r="ACY10" s="536"/>
      <c r="ACZ10" s="536"/>
      <c r="ADA10" s="536"/>
      <c r="ADB10" s="536"/>
      <c r="ADC10" s="536"/>
      <c r="ADD10" s="536"/>
      <c r="ADE10" s="536"/>
      <c r="ADF10" s="536"/>
      <c r="ADG10" s="536"/>
      <c r="ADH10" s="536"/>
      <c r="ADI10" s="536"/>
      <c r="ADJ10" s="536"/>
      <c r="ADK10" s="536"/>
      <c r="ADL10" s="536"/>
      <c r="ADM10" s="536"/>
      <c r="ADN10" s="536"/>
      <c r="ADO10" s="536"/>
      <c r="ADP10" s="536"/>
      <c r="ADQ10" s="536"/>
      <c r="ADR10" s="536"/>
      <c r="ADS10" s="536"/>
      <c r="ADT10" s="536"/>
      <c r="ADU10" s="536"/>
      <c r="ADV10" s="536"/>
      <c r="ADW10" s="536"/>
      <c r="ADX10" s="536"/>
      <c r="ADY10" s="536"/>
      <c r="ADZ10" s="536"/>
      <c r="AEA10" s="536"/>
      <c r="AEB10" s="536"/>
      <c r="AEC10" s="536"/>
      <c r="AED10" s="536"/>
      <c r="AEE10" s="536"/>
      <c r="AEF10" s="536"/>
      <c r="AEG10" s="536"/>
      <c r="AEH10" s="536"/>
      <c r="AEI10" s="536"/>
      <c r="AEJ10" s="536"/>
      <c r="AEK10" s="536"/>
      <c r="AEL10" s="536"/>
      <c r="AEM10" s="536"/>
      <c r="AEN10" s="536"/>
      <c r="AEO10" s="536"/>
      <c r="AEP10" s="536"/>
      <c r="AEQ10" s="536"/>
      <c r="AER10" s="536"/>
      <c r="AES10" s="536"/>
      <c r="AET10" s="536"/>
      <c r="AEU10" s="536"/>
      <c r="AEV10" s="536"/>
      <c r="AEW10" s="536"/>
      <c r="AEX10" s="536"/>
      <c r="AEY10" s="536"/>
      <c r="AEZ10" s="536"/>
      <c r="AFA10" s="536"/>
      <c r="AFB10" s="536"/>
      <c r="AFC10" s="536"/>
      <c r="AFD10" s="536"/>
      <c r="AFE10" s="536"/>
      <c r="AFF10" s="536"/>
      <c r="AFG10" s="536"/>
      <c r="AFH10" s="536"/>
      <c r="AFI10" s="536"/>
      <c r="AFJ10" s="536"/>
      <c r="AFK10" s="536"/>
      <c r="AFL10" s="536"/>
      <c r="AFM10" s="536"/>
      <c r="AFN10" s="536"/>
      <c r="AFO10" s="536"/>
      <c r="AFP10" s="536"/>
      <c r="AFQ10" s="536"/>
      <c r="AFR10" s="536"/>
      <c r="AFS10" s="536"/>
      <c r="AFT10" s="536"/>
      <c r="AFU10" s="536"/>
      <c r="AFV10" s="536"/>
      <c r="AFW10" s="536"/>
      <c r="AFX10" s="536"/>
      <c r="AFY10" s="536"/>
      <c r="AFZ10" s="536"/>
      <c r="AGA10" s="536"/>
      <c r="AGB10" s="536"/>
      <c r="AGC10" s="536"/>
      <c r="AGD10" s="536"/>
      <c r="AGE10" s="536"/>
      <c r="AGF10" s="536"/>
      <c r="AGG10" s="536"/>
      <c r="AGH10" s="536"/>
      <c r="AGI10" s="536"/>
      <c r="AGJ10" s="536"/>
      <c r="AGK10" s="536"/>
      <c r="AGL10" s="536"/>
      <c r="AGM10" s="536"/>
      <c r="AGN10" s="536"/>
      <c r="AGO10" s="536"/>
      <c r="AGP10" s="536"/>
      <c r="AGQ10" s="536"/>
      <c r="AGR10" s="536"/>
      <c r="AGS10" s="536"/>
      <c r="AGT10" s="536"/>
      <c r="AGU10" s="536"/>
      <c r="AGV10" s="536"/>
      <c r="AGW10" s="536"/>
      <c r="AGX10" s="536"/>
      <c r="AGY10" s="536"/>
      <c r="AGZ10" s="536"/>
      <c r="AHA10" s="536"/>
      <c r="AHB10" s="536"/>
      <c r="AHC10" s="536"/>
      <c r="AHD10" s="536"/>
      <c r="AHE10" s="536"/>
      <c r="AHF10" s="536"/>
      <c r="AHG10" s="536"/>
      <c r="AHH10" s="536"/>
      <c r="AHI10" s="536"/>
      <c r="AHJ10" s="536"/>
      <c r="AHK10" s="536"/>
      <c r="AHL10" s="536"/>
      <c r="AHM10" s="536"/>
      <c r="AHN10" s="536"/>
      <c r="AHO10" s="536"/>
      <c r="AHP10" s="536"/>
      <c r="AHQ10" s="536"/>
      <c r="AHR10" s="536"/>
      <c r="AHS10" s="536"/>
      <c r="AHT10" s="536"/>
      <c r="AHU10" s="536"/>
      <c r="AHV10" s="536"/>
      <c r="AHW10" s="536"/>
      <c r="AHX10" s="536"/>
      <c r="AHY10" s="536"/>
      <c r="AHZ10" s="536"/>
      <c r="AIA10" s="536"/>
      <c r="AIB10" s="536"/>
      <c r="AIC10" s="536"/>
      <c r="AID10" s="536"/>
      <c r="AIE10" s="536"/>
      <c r="AIF10" s="536"/>
      <c r="AIG10" s="536"/>
      <c r="AIH10" s="536"/>
      <c r="AII10" s="536"/>
      <c r="AIJ10" s="536"/>
      <c r="AIK10" s="536"/>
      <c r="AIL10" s="536"/>
      <c r="AIM10" s="536"/>
      <c r="AIN10" s="536"/>
      <c r="AIO10" s="536"/>
      <c r="AIP10" s="536"/>
      <c r="AIQ10" s="536"/>
      <c r="AIR10" s="536"/>
      <c r="AIS10" s="536"/>
      <c r="AIT10" s="536"/>
      <c r="AIU10" s="536"/>
      <c r="AIV10" s="536"/>
      <c r="AIW10" s="536"/>
      <c r="AIX10" s="536"/>
      <c r="AIY10" s="536"/>
      <c r="AIZ10" s="536"/>
      <c r="AJA10" s="536"/>
      <c r="AJB10" s="536"/>
      <c r="AJC10" s="536"/>
      <c r="AJD10" s="536"/>
      <c r="AJE10" s="536"/>
      <c r="AJF10" s="536"/>
      <c r="AJG10" s="536"/>
      <c r="AJH10" s="536"/>
      <c r="AJI10" s="536"/>
      <c r="AJJ10" s="536"/>
      <c r="AJK10" s="536"/>
      <c r="AJL10" s="536"/>
      <c r="AJM10" s="536"/>
      <c r="AJN10" s="536"/>
      <c r="AJO10" s="536"/>
      <c r="AJP10" s="536"/>
      <c r="AJQ10" s="536"/>
      <c r="AJR10" s="536"/>
      <c r="AJS10" s="536"/>
      <c r="AJT10" s="536"/>
      <c r="AJU10" s="536"/>
      <c r="AJV10" s="536"/>
      <c r="AJW10" s="536"/>
      <c r="AJX10" s="536"/>
      <c r="AJY10" s="536"/>
      <c r="AJZ10" s="536"/>
      <c r="AKA10" s="536"/>
      <c r="AKB10" s="536"/>
      <c r="AKC10" s="536"/>
      <c r="AKD10" s="536"/>
      <c r="AKE10" s="536"/>
      <c r="AKF10" s="536"/>
      <c r="AKG10" s="536"/>
      <c r="AKH10" s="536"/>
      <c r="AKI10" s="536"/>
      <c r="AKJ10" s="536"/>
      <c r="AKK10" s="536"/>
      <c r="AKL10" s="536"/>
      <c r="AKM10" s="536"/>
      <c r="AKN10" s="536"/>
      <c r="AKO10" s="536"/>
      <c r="AKP10" s="536"/>
      <c r="AKQ10" s="536"/>
      <c r="AKR10" s="536"/>
      <c r="AKS10" s="536"/>
      <c r="AKT10" s="536"/>
      <c r="AKU10" s="536"/>
      <c r="AKV10" s="536"/>
      <c r="AKW10" s="536"/>
      <c r="AKX10" s="536"/>
      <c r="AKY10" s="536"/>
      <c r="AKZ10" s="536"/>
      <c r="ALA10" s="536"/>
      <c r="ALB10" s="536"/>
      <c r="ALC10" s="536"/>
      <c r="ALD10" s="536"/>
      <c r="ALE10" s="536"/>
      <c r="ALF10" s="536"/>
      <c r="ALG10" s="536"/>
      <c r="ALH10" s="536"/>
      <c r="ALI10" s="536"/>
      <c r="ALJ10" s="536"/>
      <c r="ALK10" s="536"/>
      <c r="ALL10" s="536"/>
      <c r="ALM10" s="536"/>
      <c r="ALN10" s="536"/>
      <c r="ALO10" s="536"/>
      <c r="ALP10" s="536"/>
      <c r="ALQ10" s="536"/>
      <c r="ALR10" s="536"/>
      <c r="ALS10" s="536"/>
      <c r="ALT10" s="536"/>
      <c r="ALU10" s="536"/>
      <c r="ALV10" s="536"/>
      <c r="ALW10" s="536"/>
      <c r="ALX10" s="536"/>
      <c r="ALY10" s="536"/>
    </row>
    <row r="11" spans="1:1014" s="238" customFormat="1" ht="55.5" customHeight="1">
      <c r="A11" s="233" t="s">
        <v>831</v>
      </c>
      <c r="B11" s="381" t="s">
        <v>832</v>
      </c>
      <c r="C11" s="278" t="s">
        <v>833</v>
      </c>
      <c r="D11" s="278" t="s">
        <v>834</v>
      </c>
      <c r="E11" s="278" t="s">
        <v>835</v>
      </c>
      <c r="F11" s="278" t="s">
        <v>836</v>
      </c>
      <c r="G11" s="278" t="s">
        <v>837</v>
      </c>
      <c r="H11" s="234" t="s">
        <v>9</v>
      </c>
      <c r="I11" s="234" t="s">
        <v>838</v>
      </c>
      <c r="J11" s="234" t="s">
        <v>841</v>
      </c>
      <c r="K11" s="234" t="s">
        <v>842</v>
      </c>
      <c r="L11" s="235" t="s">
        <v>843</v>
      </c>
      <c r="M11" s="235" t="s">
        <v>844</v>
      </c>
      <c r="N11" s="235" t="s">
        <v>845</v>
      </c>
      <c r="O11" s="235" t="s">
        <v>846</v>
      </c>
      <c r="P11" s="235" t="s">
        <v>847</v>
      </c>
      <c r="Q11" s="234" t="s">
        <v>677</v>
      </c>
      <c r="R11" s="234" t="s">
        <v>3</v>
      </c>
      <c r="S11" s="234" t="s">
        <v>913</v>
      </c>
      <c r="T11" s="283" t="s">
        <v>914</v>
      </c>
      <c r="U11" s="234" t="s">
        <v>849</v>
      </c>
      <c r="V11" s="229" t="s">
        <v>949</v>
      </c>
      <c r="W11" s="229" t="s">
        <v>851</v>
      </c>
      <c r="X11" s="230" t="s">
        <v>852</v>
      </c>
      <c r="Y11" s="235" t="s">
        <v>853</v>
      </c>
      <c r="Z11" s="235" t="s">
        <v>854</v>
      </c>
      <c r="AA11" s="236" t="s">
        <v>855</v>
      </c>
      <c r="AB11" s="235" t="s">
        <v>856</v>
      </c>
      <c r="AC11" s="235" t="s">
        <v>857</v>
      </c>
      <c r="AD11" s="237" t="s">
        <v>915</v>
      </c>
    </row>
    <row r="12" spans="1:1014" s="578" customFormat="1" ht="13.5" customHeight="1">
      <c r="A12" s="567">
        <v>1</v>
      </c>
      <c r="B12" s="568" t="s">
        <v>916</v>
      </c>
      <c r="C12" s="569"/>
      <c r="D12" s="568"/>
      <c r="E12" s="568"/>
      <c r="F12" s="568"/>
      <c r="G12" s="568"/>
      <c r="H12" s="567" t="s">
        <v>950</v>
      </c>
      <c r="I12" s="570" t="s">
        <v>951</v>
      </c>
      <c r="J12" s="567" t="s">
        <v>952</v>
      </c>
      <c r="K12" s="571" t="s">
        <v>919</v>
      </c>
      <c r="L12" s="567" t="s">
        <v>953</v>
      </c>
      <c r="M12" s="567" t="s">
        <v>954</v>
      </c>
      <c r="N12" s="567"/>
      <c r="O12" s="567"/>
      <c r="P12" s="572">
        <v>1</v>
      </c>
      <c r="Q12" s="567" t="s">
        <v>820</v>
      </c>
      <c r="R12" s="567"/>
      <c r="S12" s="567" t="s">
        <v>863</v>
      </c>
      <c r="T12" s="573"/>
      <c r="U12" s="567"/>
      <c r="V12" s="574"/>
      <c r="W12" s="574" t="s">
        <v>864</v>
      </c>
      <c r="X12" s="575"/>
      <c r="Y12" s="576"/>
      <c r="Z12" s="567" t="s">
        <v>920</v>
      </c>
      <c r="AA12" s="577" t="s">
        <v>921</v>
      </c>
      <c r="AB12" s="567"/>
      <c r="AC12" s="573">
        <v>1</v>
      </c>
      <c r="AD12" s="573">
        <v>1</v>
      </c>
      <c r="AE12" s="574" t="s">
        <v>864</v>
      </c>
    </row>
    <row r="13" spans="1:1014" s="224" customFormat="1" ht="13.5" customHeight="1">
      <c r="A13" s="225">
        <v>2</v>
      </c>
      <c r="B13" s="253" t="s">
        <v>955</v>
      </c>
      <c r="C13" s="221"/>
      <c r="D13" s="221"/>
      <c r="E13" s="221"/>
      <c r="F13" s="221"/>
      <c r="G13" s="221"/>
      <c r="H13" s="728" t="s">
        <v>956</v>
      </c>
      <c r="I13" s="131" t="s">
        <v>957</v>
      </c>
      <c r="J13" s="728"/>
      <c r="K13" s="729" t="s">
        <v>925</v>
      </c>
      <c r="L13" s="728" t="s">
        <v>926</v>
      </c>
      <c r="M13" s="728" t="s">
        <v>927</v>
      </c>
      <c r="N13" s="728"/>
      <c r="O13" s="728"/>
      <c r="P13" s="730"/>
      <c r="Q13" s="728" t="s">
        <v>817</v>
      </c>
      <c r="R13" s="728"/>
      <c r="S13" s="728" t="s">
        <v>863</v>
      </c>
      <c r="T13" s="731"/>
      <c r="U13" s="728"/>
      <c r="V13" s="732" t="s">
        <v>864</v>
      </c>
      <c r="W13" s="732" t="s">
        <v>864</v>
      </c>
      <c r="X13" s="232"/>
      <c r="Y13" s="733"/>
      <c r="Z13" s="728"/>
      <c r="AA13" s="734"/>
      <c r="AB13" s="728"/>
      <c r="AC13" s="731">
        <v>1</v>
      </c>
      <c r="AD13" s="731">
        <v>1</v>
      </c>
    </row>
    <row r="14" spans="1:1014" s="530" customFormat="1" ht="13.5" customHeight="1">
      <c r="A14" s="520">
        <v>3</v>
      </c>
      <c r="B14" s="521" t="s">
        <v>958</v>
      </c>
      <c r="C14" s="522"/>
      <c r="D14" s="521"/>
      <c r="E14" s="521"/>
      <c r="F14" s="521"/>
      <c r="G14" s="521"/>
      <c r="H14" s="520" t="s">
        <v>959</v>
      </c>
      <c r="I14" s="523" t="s">
        <v>930</v>
      </c>
      <c r="J14" s="520" t="s">
        <v>960</v>
      </c>
      <c r="K14" s="523" t="s">
        <v>931</v>
      </c>
      <c r="L14" s="520"/>
      <c r="M14" s="520"/>
      <c r="N14" s="520"/>
      <c r="O14" s="520"/>
      <c r="P14" s="524">
        <v>1</v>
      </c>
      <c r="Q14" s="520" t="s">
        <v>817</v>
      </c>
      <c r="R14" s="520"/>
      <c r="S14" s="520" t="s">
        <v>879</v>
      </c>
      <c r="T14" s="525"/>
      <c r="U14" s="520"/>
      <c r="V14" s="526"/>
      <c r="W14" s="526" t="s">
        <v>864</v>
      </c>
      <c r="X14" s="527"/>
      <c r="Y14" s="528"/>
      <c r="Z14" s="520"/>
      <c r="AA14" s="529"/>
      <c r="AB14" s="520"/>
      <c r="AC14" s="525">
        <v>1</v>
      </c>
      <c r="AD14" s="525">
        <v>1</v>
      </c>
    </row>
    <row r="15" spans="1:1014" s="553" customFormat="1" ht="13.5" customHeight="1">
      <c r="A15" s="545">
        <v>4</v>
      </c>
      <c r="B15" s="544" t="s">
        <v>961</v>
      </c>
      <c r="C15" s="544"/>
      <c r="D15" s="544"/>
      <c r="E15" s="544"/>
      <c r="F15" s="544"/>
      <c r="G15" s="544"/>
      <c r="H15" s="545" t="s">
        <v>962</v>
      </c>
      <c r="I15" s="546" t="s">
        <v>963</v>
      </c>
      <c r="J15" s="545"/>
      <c r="K15" s="546" t="s">
        <v>964</v>
      </c>
      <c r="L15" s="545"/>
      <c r="M15" s="545"/>
      <c r="N15" s="545"/>
      <c r="O15" s="545"/>
      <c r="P15" s="547"/>
      <c r="Q15" s="545" t="s">
        <v>817</v>
      </c>
      <c r="R15" s="545"/>
      <c r="S15" s="545" t="s">
        <v>863</v>
      </c>
      <c r="T15" s="548"/>
      <c r="U15" s="545" t="s">
        <v>965</v>
      </c>
      <c r="V15" s="549" t="s">
        <v>864</v>
      </c>
      <c r="W15" s="549"/>
      <c r="X15" s="550"/>
      <c r="Y15" s="554" t="s">
        <v>966</v>
      </c>
      <c r="Z15" s="545"/>
      <c r="AA15" s="552"/>
      <c r="AB15" s="545"/>
      <c r="AC15" s="548">
        <v>1</v>
      </c>
      <c r="AD15" s="548">
        <v>1</v>
      </c>
    </row>
    <row r="16" spans="1:1014" s="553" customFormat="1" ht="13.5" customHeight="1">
      <c r="A16" s="545"/>
      <c r="B16" s="544" t="s">
        <v>967</v>
      </c>
      <c r="C16" s="544"/>
      <c r="D16" s="544"/>
      <c r="E16" s="544"/>
      <c r="F16" s="544"/>
      <c r="G16" s="544"/>
      <c r="H16" s="545" t="s">
        <v>968</v>
      </c>
      <c r="I16" s="546" t="s">
        <v>969</v>
      </c>
      <c r="J16" s="545"/>
      <c r="K16" s="546" t="s">
        <v>970</v>
      </c>
      <c r="L16" s="545"/>
      <c r="M16" s="545"/>
      <c r="N16" s="545"/>
      <c r="O16" s="545"/>
      <c r="P16" s="547"/>
      <c r="Q16" s="545" t="s">
        <v>817</v>
      </c>
      <c r="R16" s="545"/>
      <c r="S16" s="545" t="s">
        <v>863</v>
      </c>
      <c r="T16" s="548"/>
      <c r="U16" s="545" t="s">
        <v>971</v>
      </c>
      <c r="V16" s="549" t="s">
        <v>864</v>
      </c>
      <c r="W16" s="549"/>
      <c r="X16" s="550"/>
      <c r="Y16" s="551"/>
      <c r="Z16" s="545"/>
      <c r="AA16" s="552"/>
      <c r="AB16" s="545"/>
      <c r="AC16" s="548"/>
      <c r="AD16" s="548"/>
    </row>
    <row r="17" spans="1:30" s="224" customFormat="1" ht="13.5" customHeight="1">
      <c r="A17" s="225">
        <v>5</v>
      </c>
      <c r="B17" s="591" t="s">
        <v>972</v>
      </c>
      <c r="C17" s="727"/>
      <c r="D17" s="241"/>
      <c r="E17" s="241"/>
      <c r="F17" s="241"/>
      <c r="G17" s="241"/>
      <c r="H17" s="728" t="s">
        <v>973</v>
      </c>
      <c r="I17" s="729"/>
      <c r="J17" s="728" t="s">
        <v>974</v>
      </c>
      <c r="K17" s="729" t="s">
        <v>975</v>
      </c>
      <c r="L17" s="728"/>
      <c r="M17" s="728"/>
      <c r="N17" s="728"/>
      <c r="O17" s="728"/>
      <c r="P17" s="730"/>
      <c r="Q17" s="728" t="s">
        <v>820</v>
      </c>
      <c r="R17" s="728"/>
      <c r="S17" s="243" t="s">
        <v>975</v>
      </c>
      <c r="T17" s="731"/>
      <c r="U17" s="728"/>
      <c r="V17" s="732" t="s">
        <v>864</v>
      </c>
      <c r="W17" s="732" t="s">
        <v>864</v>
      </c>
      <c r="X17" s="232"/>
      <c r="Y17" s="733"/>
      <c r="Z17" s="728"/>
      <c r="AA17" s="734"/>
      <c r="AB17" s="728"/>
      <c r="AC17" s="731">
        <v>1</v>
      </c>
      <c r="AD17" s="731">
        <v>1</v>
      </c>
    </row>
    <row r="18" spans="1:30" s="553" customFormat="1" ht="13.5" customHeight="1">
      <c r="A18" s="545"/>
      <c r="B18" s="544"/>
      <c r="C18" s="544" t="s">
        <v>976</v>
      </c>
      <c r="D18" s="544"/>
      <c r="E18" s="544"/>
      <c r="F18" s="544"/>
      <c r="G18" s="544"/>
      <c r="H18" s="545" t="s">
        <v>977</v>
      </c>
      <c r="I18" s="546"/>
      <c r="J18" s="545"/>
      <c r="K18" s="546" t="s">
        <v>939</v>
      </c>
      <c r="L18" s="545"/>
      <c r="M18" s="545"/>
      <c r="N18" s="545"/>
      <c r="O18" s="545"/>
      <c r="P18" s="547"/>
      <c r="Q18" s="545" t="s">
        <v>823</v>
      </c>
      <c r="R18" s="545"/>
      <c r="S18" s="545" t="s">
        <v>863</v>
      </c>
      <c r="T18" s="548"/>
      <c r="U18" s="545"/>
      <c r="V18" s="549" t="s">
        <v>864</v>
      </c>
      <c r="W18" s="549"/>
      <c r="X18" s="550"/>
      <c r="Y18" s="551" t="s">
        <v>978</v>
      </c>
      <c r="Z18" s="545"/>
      <c r="AA18" s="552"/>
      <c r="AB18" s="545"/>
      <c r="AC18" s="548"/>
      <c r="AD18" s="548"/>
    </row>
    <row r="19" spans="1:30" s="566" customFormat="1" ht="13.5" customHeight="1">
      <c r="A19" s="556">
        <v>17</v>
      </c>
      <c r="B19" s="557"/>
      <c r="C19" s="558" t="s">
        <v>979</v>
      </c>
      <c r="D19" s="557"/>
      <c r="E19" s="557"/>
      <c r="F19" s="557"/>
      <c r="G19" s="557"/>
      <c r="H19" s="556" t="s">
        <v>980</v>
      </c>
      <c r="I19" s="559" t="s">
        <v>981</v>
      </c>
      <c r="J19" s="556"/>
      <c r="K19" s="559" t="s">
        <v>982</v>
      </c>
      <c r="L19" s="556"/>
      <c r="M19" s="556"/>
      <c r="N19" s="556"/>
      <c r="O19" s="556"/>
      <c r="P19" s="560"/>
      <c r="Q19" s="556" t="s">
        <v>817</v>
      </c>
      <c r="R19" s="556"/>
      <c r="S19" s="556" t="s">
        <v>863</v>
      </c>
      <c r="T19" s="561"/>
      <c r="U19" s="556"/>
      <c r="V19" s="562" t="s">
        <v>864</v>
      </c>
      <c r="W19" s="562"/>
      <c r="X19" s="563"/>
      <c r="Y19" s="564" t="s">
        <v>983</v>
      </c>
      <c r="Z19" s="556" t="s">
        <v>984</v>
      </c>
      <c r="AA19" s="565"/>
      <c r="AB19" s="556"/>
      <c r="AC19" s="561"/>
      <c r="AD19" s="561">
        <v>1</v>
      </c>
    </row>
    <row r="20" spans="1:30" s="530" customFormat="1" ht="13.5" customHeight="1">
      <c r="A20" s="520">
        <v>10</v>
      </c>
      <c r="B20" s="521"/>
      <c r="C20" s="521" t="s">
        <v>985</v>
      </c>
      <c r="D20" s="521" t="s">
        <v>986</v>
      </c>
      <c r="E20" s="521"/>
      <c r="F20" s="521"/>
      <c r="G20" s="521"/>
      <c r="H20" s="520" t="s">
        <v>987</v>
      </c>
      <c r="I20" s="523"/>
      <c r="J20" s="520" t="s">
        <v>988</v>
      </c>
      <c r="K20" s="523"/>
      <c r="L20" s="520" t="s">
        <v>989</v>
      </c>
      <c r="M20" s="520" t="s">
        <v>990</v>
      </c>
      <c r="N20" s="520"/>
      <c r="O20" s="520"/>
      <c r="P20" s="524">
        <v>1</v>
      </c>
      <c r="Q20" s="520" t="s">
        <v>817</v>
      </c>
      <c r="R20" s="520" t="s">
        <v>864</v>
      </c>
      <c r="S20" s="520" t="s">
        <v>991</v>
      </c>
      <c r="T20" s="525"/>
      <c r="U20" s="520"/>
      <c r="V20" s="526"/>
      <c r="W20" s="526" t="s">
        <v>864</v>
      </c>
      <c r="X20" s="527"/>
      <c r="Y20" s="528"/>
      <c r="Z20" s="520" t="s">
        <v>992</v>
      </c>
      <c r="AA20" s="529"/>
      <c r="AB20" s="520"/>
      <c r="AC20" s="525">
        <v>1</v>
      </c>
      <c r="AD20" s="525">
        <v>1</v>
      </c>
    </row>
    <row r="21" spans="1:30" s="224" customFormat="1" ht="13.5" customHeight="1">
      <c r="A21" s="225">
        <v>6</v>
      </c>
      <c r="B21" s="217"/>
      <c r="C21" s="727" t="s">
        <v>993</v>
      </c>
      <c r="D21" s="241"/>
      <c r="E21" s="241"/>
      <c r="F21" s="241"/>
      <c r="G21" s="241"/>
      <c r="H21" s="728" t="s">
        <v>994</v>
      </c>
      <c r="I21" s="729"/>
      <c r="J21" s="728" t="s">
        <v>995</v>
      </c>
      <c r="K21" s="729"/>
      <c r="L21" s="728" t="s">
        <v>996</v>
      </c>
      <c r="M21" s="728" t="s">
        <v>997</v>
      </c>
      <c r="N21" s="728"/>
      <c r="O21" s="728"/>
      <c r="P21" s="730">
        <v>1</v>
      </c>
      <c r="Q21" s="728" t="s">
        <v>820</v>
      </c>
      <c r="R21" s="728" t="s">
        <v>864</v>
      </c>
      <c r="S21" s="728" t="s">
        <v>991</v>
      </c>
      <c r="T21" s="731"/>
      <c r="U21" s="728"/>
      <c r="V21" s="732" t="s">
        <v>864</v>
      </c>
      <c r="W21" s="732" t="s">
        <v>864</v>
      </c>
      <c r="X21" s="232"/>
      <c r="Y21" s="733"/>
      <c r="Z21" s="728" t="s">
        <v>992</v>
      </c>
      <c r="AA21" s="734"/>
      <c r="AB21" s="728"/>
      <c r="AC21" s="731">
        <v>1</v>
      </c>
      <c r="AD21" s="731">
        <v>1</v>
      </c>
    </row>
    <row r="22" spans="1:30" s="224" customFormat="1" ht="13.5" customHeight="1">
      <c r="A22" s="225">
        <v>7</v>
      </c>
      <c r="B22" s="217"/>
      <c r="C22" s="727"/>
      <c r="D22" s="241" t="s">
        <v>667</v>
      </c>
      <c r="E22" s="241"/>
      <c r="F22" s="241"/>
      <c r="G22" s="241"/>
      <c r="H22" s="728" t="s">
        <v>998</v>
      </c>
      <c r="I22" s="729" t="s">
        <v>999</v>
      </c>
      <c r="J22" s="728" t="s">
        <v>1000</v>
      </c>
      <c r="K22" s="729"/>
      <c r="L22" s="728"/>
      <c r="M22" s="728"/>
      <c r="N22" s="728"/>
      <c r="O22" s="728"/>
      <c r="P22" s="730">
        <v>1</v>
      </c>
      <c r="Q22" s="728" t="s">
        <v>820</v>
      </c>
      <c r="R22" s="728"/>
      <c r="S22" s="728" t="s">
        <v>863</v>
      </c>
      <c r="T22" s="731"/>
      <c r="U22" s="728"/>
      <c r="V22" s="732" t="s">
        <v>864</v>
      </c>
      <c r="W22" s="732" t="s">
        <v>864</v>
      </c>
      <c r="X22" s="232"/>
      <c r="Y22" s="733"/>
      <c r="Z22" s="728" t="s">
        <v>992</v>
      </c>
      <c r="AA22" s="734"/>
      <c r="AB22" s="728"/>
      <c r="AC22" s="731">
        <v>1</v>
      </c>
      <c r="AD22" s="731">
        <v>1</v>
      </c>
    </row>
    <row r="23" spans="1:30" s="224" customFormat="1" ht="13.5" customHeight="1">
      <c r="A23" s="225">
        <v>8</v>
      </c>
      <c r="B23" s="217"/>
      <c r="C23" s="727"/>
      <c r="D23" s="241" t="s">
        <v>1001</v>
      </c>
      <c r="E23" s="241"/>
      <c r="F23" s="241"/>
      <c r="G23" s="241"/>
      <c r="H23" s="728" t="s">
        <v>1002</v>
      </c>
      <c r="I23" s="729" t="s">
        <v>1003</v>
      </c>
      <c r="J23" s="728" t="s">
        <v>1004</v>
      </c>
      <c r="K23" s="729"/>
      <c r="L23" s="728"/>
      <c r="M23" s="728"/>
      <c r="N23" s="728"/>
      <c r="O23" s="728"/>
      <c r="P23" s="730">
        <v>1</v>
      </c>
      <c r="Q23" s="728" t="s">
        <v>820</v>
      </c>
      <c r="R23" s="728"/>
      <c r="S23" s="728" t="s">
        <v>863</v>
      </c>
      <c r="T23" s="731"/>
      <c r="U23" s="728"/>
      <c r="V23" s="732" t="s">
        <v>864</v>
      </c>
      <c r="W23" s="732" t="s">
        <v>864</v>
      </c>
      <c r="X23" s="232"/>
      <c r="Y23" s="733"/>
      <c r="Z23" s="728" t="s">
        <v>992</v>
      </c>
      <c r="AA23" s="734"/>
      <c r="AB23" s="728"/>
      <c r="AC23" s="731">
        <v>1</v>
      </c>
      <c r="AD23" s="731">
        <v>1</v>
      </c>
    </row>
    <row r="24" spans="1:30" s="224" customFormat="1" ht="13.5" customHeight="1">
      <c r="A24" s="225">
        <v>9</v>
      </c>
      <c r="B24" s="217"/>
      <c r="C24" s="727"/>
      <c r="D24" s="241" t="s">
        <v>767</v>
      </c>
      <c r="E24" s="241"/>
      <c r="F24" s="241"/>
      <c r="G24" s="241"/>
      <c r="H24" s="728" t="s">
        <v>1005</v>
      </c>
      <c r="I24" s="729"/>
      <c r="J24" s="728" t="s">
        <v>939</v>
      </c>
      <c r="K24" s="729"/>
      <c r="L24" s="728"/>
      <c r="M24" s="728"/>
      <c r="N24" s="728"/>
      <c r="O24" s="728"/>
      <c r="P24" s="730"/>
      <c r="Q24" s="728" t="s">
        <v>817</v>
      </c>
      <c r="R24" s="728"/>
      <c r="S24" s="728" t="s">
        <v>863</v>
      </c>
      <c r="T24" s="731"/>
      <c r="U24" s="728"/>
      <c r="V24" s="732" t="s">
        <v>864</v>
      </c>
      <c r="W24" s="732" t="s">
        <v>864</v>
      </c>
      <c r="X24" s="232"/>
      <c r="Y24" s="733"/>
      <c r="Z24" s="728" t="s">
        <v>992</v>
      </c>
      <c r="AA24" s="734"/>
      <c r="AB24" s="728"/>
      <c r="AC24" s="731">
        <v>1</v>
      </c>
      <c r="AD24" s="731">
        <v>1</v>
      </c>
    </row>
    <row r="25" spans="1:30" s="530" customFormat="1" ht="13.5" customHeight="1">
      <c r="A25" s="520">
        <v>11</v>
      </c>
      <c r="B25" s="521"/>
      <c r="C25" s="521" t="s">
        <v>1006</v>
      </c>
      <c r="D25" s="521" t="s">
        <v>986</v>
      </c>
      <c r="E25" s="521"/>
      <c r="F25" s="521"/>
      <c r="G25" s="521"/>
      <c r="H25" s="520" t="s">
        <v>1007</v>
      </c>
      <c r="I25" s="523"/>
      <c r="J25" s="520" t="s">
        <v>1008</v>
      </c>
      <c r="K25" s="523"/>
      <c r="L25" s="520"/>
      <c r="M25" s="520"/>
      <c r="N25" s="520"/>
      <c r="O25" s="520"/>
      <c r="P25" s="524">
        <v>1</v>
      </c>
      <c r="Q25" s="520" t="s">
        <v>823</v>
      </c>
      <c r="R25" s="520" t="s">
        <v>864</v>
      </c>
      <c r="S25" s="520" t="s">
        <v>991</v>
      </c>
      <c r="T25" s="525"/>
      <c r="U25" s="520"/>
      <c r="V25" s="526"/>
      <c r="W25" s="526" t="s">
        <v>864</v>
      </c>
      <c r="X25" s="527"/>
      <c r="Y25" s="528"/>
      <c r="Z25" s="520" t="s">
        <v>992</v>
      </c>
      <c r="AA25" s="529"/>
      <c r="AB25" s="520"/>
      <c r="AC25" s="525">
        <v>1</v>
      </c>
      <c r="AD25" s="525">
        <v>1</v>
      </c>
    </row>
    <row r="26" spans="1:30" s="530" customFormat="1" ht="13.5" customHeight="1">
      <c r="A26" s="520">
        <v>12</v>
      </c>
      <c r="B26" s="521"/>
      <c r="C26" s="521" t="s">
        <v>1009</v>
      </c>
      <c r="D26" s="521" t="s">
        <v>986</v>
      </c>
      <c r="E26" s="521"/>
      <c r="F26" s="521"/>
      <c r="G26" s="521"/>
      <c r="H26" s="520" t="s">
        <v>1010</v>
      </c>
      <c r="I26" s="523"/>
      <c r="J26" s="520" t="s">
        <v>1011</v>
      </c>
      <c r="K26" s="523"/>
      <c r="L26" s="520"/>
      <c r="M26" s="520"/>
      <c r="N26" s="520"/>
      <c r="O26" s="520"/>
      <c r="P26" s="524">
        <v>1</v>
      </c>
      <c r="Q26" s="520" t="s">
        <v>817</v>
      </c>
      <c r="R26" s="520" t="s">
        <v>864</v>
      </c>
      <c r="S26" s="520" t="s">
        <v>991</v>
      </c>
      <c r="T26" s="525"/>
      <c r="U26" s="520"/>
      <c r="V26" s="526"/>
      <c r="W26" s="526" t="s">
        <v>864</v>
      </c>
      <c r="X26" s="527"/>
      <c r="Y26" s="528"/>
      <c r="Z26" s="520" t="s">
        <v>992</v>
      </c>
      <c r="AA26" s="529"/>
      <c r="AB26" s="520"/>
      <c r="AC26" s="525">
        <v>1</v>
      </c>
      <c r="AD26" s="525"/>
    </row>
    <row r="27" spans="1:30" s="578" customFormat="1" ht="13.5" customHeight="1">
      <c r="A27" s="567">
        <v>13</v>
      </c>
      <c r="B27" s="568"/>
      <c r="C27" s="568" t="s">
        <v>1012</v>
      </c>
      <c r="D27" s="568"/>
      <c r="E27" s="568"/>
      <c r="F27" s="568"/>
      <c r="G27" s="568"/>
      <c r="H27" s="567"/>
      <c r="I27" s="571"/>
      <c r="J27" s="567"/>
      <c r="K27" s="567" t="s">
        <v>1013</v>
      </c>
      <c r="L27" s="567"/>
      <c r="M27" s="567"/>
      <c r="N27" s="567"/>
      <c r="O27" s="567"/>
      <c r="P27" s="572"/>
      <c r="Q27" s="567" t="s">
        <v>817</v>
      </c>
      <c r="R27" s="567" t="s">
        <v>864</v>
      </c>
      <c r="S27" s="579" t="s">
        <v>1014</v>
      </c>
      <c r="T27" s="573"/>
      <c r="U27" s="567"/>
      <c r="V27" s="574"/>
      <c r="W27" s="574" t="s">
        <v>864</v>
      </c>
      <c r="X27" s="575"/>
      <c r="Y27" s="576"/>
      <c r="Z27" s="567" t="s">
        <v>1015</v>
      </c>
      <c r="AA27" s="577"/>
      <c r="AB27" s="567"/>
      <c r="AC27" s="573"/>
      <c r="AD27" s="573">
        <v>1</v>
      </c>
    </row>
    <row r="28" spans="1:30" s="578" customFormat="1" ht="13.5" customHeight="1">
      <c r="A28" s="567">
        <v>14</v>
      </c>
      <c r="B28" s="568"/>
      <c r="C28" s="568"/>
      <c r="D28" s="568" t="s">
        <v>495</v>
      </c>
      <c r="E28" s="568"/>
      <c r="F28" s="568"/>
      <c r="G28" s="568"/>
      <c r="H28" s="567" t="s">
        <v>1016</v>
      </c>
      <c r="I28" s="571"/>
      <c r="J28" s="567"/>
      <c r="K28" s="567" t="s">
        <v>888</v>
      </c>
      <c r="L28" s="567"/>
      <c r="M28" s="567"/>
      <c r="N28" s="567"/>
      <c r="O28" s="567"/>
      <c r="P28" s="572"/>
      <c r="Q28" s="567" t="s">
        <v>817</v>
      </c>
      <c r="R28" s="567"/>
      <c r="S28" s="567" t="s">
        <v>863</v>
      </c>
      <c r="T28" s="573"/>
      <c r="U28" s="567" t="s">
        <v>1017</v>
      </c>
      <c r="V28" s="574"/>
      <c r="W28" s="574" t="s">
        <v>864</v>
      </c>
      <c r="X28" s="575"/>
      <c r="Y28" s="576"/>
      <c r="Z28" s="576" t="s">
        <v>1018</v>
      </c>
      <c r="AA28" s="577"/>
      <c r="AB28" s="567"/>
      <c r="AC28" s="573"/>
      <c r="AD28" s="573">
        <v>1</v>
      </c>
    </row>
    <row r="29" spans="1:30" s="578" customFormat="1" ht="13.5" customHeight="1">
      <c r="A29" s="567">
        <v>15</v>
      </c>
      <c r="B29" s="568"/>
      <c r="C29" s="568"/>
      <c r="D29" s="568" t="s">
        <v>967</v>
      </c>
      <c r="E29" s="568"/>
      <c r="F29" s="568"/>
      <c r="G29" s="568"/>
      <c r="H29" s="567" t="s">
        <v>1019</v>
      </c>
      <c r="I29" s="571" t="s">
        <v>1020</v>
      </c>
      <c r="J29" s="567"/>
      <c r="K29" s="567" t="s">
        <v>970</v>
      </c>
      <c r="L29" s="567"/>
      <c r="M29" s="567"/>
      <c r="N29" s="567"/>
      <c r="O29" s="567"/>
      <c r="P29" s="572"/>
      <c r="Q29" s="567" t="s">
        <v>817</v>
      </c>
      <c r="R29" s="567"/>
      <c r="S29" s="567" t="s">
        <v>863</v>
      </c>
      <c r="T29" s="573"/>
      <c r="U29" s="567" t="s">
        <v>1021</v>
      </c>
      <c r="V29" s="574"/>
      <c r="W29" s="574" t="s">
        <v>864</v>
      </c>
      <c r="X29" s="575"/>
      <c r="Y29" s="576"/>
      <c r="Z29" s="576" t="s">
        <v>1022</v>
      </c>
      <c r="AA29" s="577"/>
      <c r="AB29" s="567"/>
      <c r="AC29" s="573"/>
      <c r="AD29" s="573">
        <v>1</v>
      </c>
    </row>
    <row r="30" spans="1:30" s="582" customFormat="1" ht="13.5" customHeight="1">
      <c r="A30" s="580">
        <v>16</v>
      </c>
      <c r="B30" s="581"/>
      <c r="C30" s="581"/>
      <c r="D30" s="581" t="s">
        <v>1023</v>
      </c>
      <c r="E30" s="581"/>
      <c r="F30" s="581"/>
      <c r="G30" s="581"/>
      <c r="H30" s="580" t="s">
        <v>1024</v>
      </c>
      <c r="I30" s="582" t="s">
        <v>1025</v>
      </c>
      <c r="J30" s="580"/>
      <c r="K30" s="583" t="s">
        <v>1026</v>
      </c>
      <c r="L30" s="580"/>
      <c r="M30" s="580"/>
      <c r="N30" s="580"/>
      <c r="O30" s="580"/>
      <c r="P30" s="584"/>
      <c r="Q30" s="580" t="s">
        <v>817</v>
      </c>
      <c r="R30" s="580"/>
      <c r="S30" s="580" t="s">
        <v>863</v>
      </c>
      <c r="T30" s="585"/>
      <c r="U30" s="585"/>
      <c r="V30" s="586"/>
      <c r="W30" s="586" t="s">
        <v>864</v>
      </c>
      <c r="X30" s="587"/>
      <c r="Y30" s="588" t="s">
        <v>1027</v>
      </c>
      <c r="Z30" s="580" t="s">
        <v>1028</v>
      </c>
      <c r="AA30" s="589"/>
      <c r="AB30" s="580"/>
      <c r="AC30" s="585"/>
      <c r="AD30" s="585">
        <v>1</v>
      </c>
    </row>
    <row r="31" spans="1:30" s="578" customFormat="1" ht="13.5" customHeight="1">
      <c r="A31" s="567">
        <v>17</v>
      </c>
      <c r="B31" s="568"/>
      <c r="C31" s="568"/>
      <c r="D31" s="568" t="s">
        <v>1029</v>
      </c>
      <c r="E31" s="568"/>
      <c r="F31" s="568"/>
      <c r="G31" s="568"/>
      <c r="H31" s="567" t="s">
        <v>980</v>
      </c>
      <c r="I31" s="571" t="s">
        <v>981</v>
      </c>
      <c r="J31" s="567"/>
      <c r="K31" s="571" t="s">
        <v>982</v>
      </c>
      <c r="L31" s="567"/>
      <c r="M31" s="567"/>
      <c r="N31" s="567"/>
      <c r="O31" s="567"/>
      <c r="P31" s="572"/>
      <c r="Q31" s="567" t="s">
        <v>817</v>
      </c>
      <c r="R31" s="567"/>
      <c r="S31" s="567" t="s">
        <v>863</v>
      </c>
      <c r="T31" s="573"/>
      <c r="U31" s="567"/>
      <c r="V31" s="574"/>
      <c r="W31" s="574" t="s">
        <v>864</v>
      </c>
      <c r="X31" s="575"/>
      <c r="Y31" s="590" t="s">
        <v>983</v>
      </c>
      <c r="Z31" s="567" t="s">
        <v>984</v>
      </c>
      <c r="AA31" s="577"/>
      <c r="AB31" s="567"/>
      <c r="AC31" s="573"/>
      <c r="AD31" s="573">
        <v>1</v>
      </c>
    </row>
    <row r="32" spans="1:30" s="578" customFormat="1" ht="13.5" customHeight="1">
      <c r="A32" s="567">
        <v>18</v>
      </c>
      <c r="B32" s="568"/>
      <c r="C32" s="568" t="s">
        <v>1030</v>
      </c>
      <c r="D32" s="568"/>
      <c r="E32" s="568"/>
      <c r="F32" s="568"/>
      <c r="G32" s="568"/>
      <c r="H32" s="567"/>
      <c r="I32" s="571"/>
      <c r="J32" s="567" t="s">
        <v>1031</v>
      </c>
      <c r="K32" s="571"/>
      <c r="L32" s="567"/>
      <c r="M32" s="567"/>
      <c r="N32" s="567"/>
      <c r="O32" s="567"/>
      <c r="P32" s="572"/>
      <c r="Q32" s="567" t="s">
        <v>817</v>
      </c>
      <c r="R32" s="567" t="s">
        <v>864</v>
      </c>
      <c r="S32" s="579" t="s">
        <v>1031</v>
      </c>
      <c r="T32" s="573"/>
      <c r="U32" s="567"/>
      <c r="V32" s="574"/>
      <c r="W32" s="574" t="s">
        <v>864</v>
      </c>
      <c r="X32" s="575"/>
      <c r="Y32" s="576"/>
      <c r="Z32" s="567"/>
      <c r="AA32" s="577"/>
      <c r="AB32" s="567"/>
      <c r="AC32" s="573">
        <v>1</v>
      </c>
      <c r="AD32" s="573">
        <v>1</v>
      </c>
    </row>
    <row r="33" spans="1:30" s="578" customFormat="1" ht="13.5" customHeight="1">
      <c r="A33" s="567">
        <v>19</v>
      </c>
      <c r="B33" s="568"/>
      <c r="C33" s="568"/>
      <c r="D33" s="568" t="s">
        <v>1032</v>
      </c>
      <c r="E33" s="568"/>
      <c r="F33" s="568"/>
      <c r="G33" s="568"/>
      <c r="H33" s="567" t="s">
        <v>1033</v>
      </c>
      <c r="I33" s="571" t="s">
        <v>1034</v>
      </c>
      <c r="J33" s="567" t="s">
        <v>1035</v>
      </c>
      <c r="K33" s="571"/>
      <c r="L33" s="567" t="s">
        <v>1036</v>
      </c>
      <c r="M33" s="567" t="s">
        <v>1037</v>
      </c>
      <c r="N33" s="567"/>
      <c r="O33" s="567"/>
      <c r="P33" s="572"/>
      <c r="Q33" s="567" t="s">
        <v>817</v>
      </c>
      <c r="R33" s="567"/>
      <c r="S33" s="567" t="s">
        <v>863</v>
      </c>
      <c r="T33" s="573"/>
      <c r="U33" s="567" t="s">
        <v>1038</v>
      </c>
      <c r="V33" s="574"/>
      <c r="W33" s="574" t="s">
        <v>864</v>
      </c>
      <c r="X33" s="575"/>
      <c r="Y33" s="576"/>
      <c r="Z33" s="567"/>
      <c r="AA33" s="577"/>
      <c r="AB33" s="567"/>
      <c r="AC33" s="573">
        <v>1</v>
      </c>
      <c r="AD33" s="573">
        <v>1</v>
      </c>
    </row>
    <row r="34" spans="1:30" s="578" customFormat="1" ht="13.5" customHeight="1">
      <c r="A34" s="567">
        <v>20</v>
      </c>
      <c r="B34" s="568"/>
      <c r="C34" s="568"/>
      <c r="D34" s="568" t="s">
        <v>1039</v>
      </c>
      <c r="E34" s="568"/>
      <c r="F34" s="568"/>
      <c r="G34" s="568"/>
      <c r="H34" s="567" t="s">
        <v>1040</v>
      </c>
      <c r="I34" s="571" t="s">
        <v>1041</v>
      </c>
      <c r="J34" s="567" t="s">
        <v>1042</v>
      </c>
      <c r="K34" s="571"/>
      <c r="L34" s="567"/>
      <c r="M34" s="567"/>
      <c r="N34" s="567"/>
      <c r="O34" s="567"/>
      <c r="P34" s="572"/>
      <c r="Q34" s="567" t="s">
        <v>817</v>
      </c>
      <c r="R34" s="567"/>
      <c r="S34" s="567" t="s">
        <v>863</v>
      </c>
      <c r="T34" s="573"/>
      <c r="U34" s="567" t="s">
        <v>1043</v>
      </c>
      <c r="V34" s="574"/>
      <c r="W34" s="574" t="s">
        <v>864</v>
      </c>
      <c r="X34" s="575"/>
      <c r="Y34" s="576"/>
      <c r="Z34" s="567"/>
      <c r="AA34" s="577" t="s">
        <v>1044</v>
      </c>
      <c r="AB34" s="567"/>
      <c r="AC34" s="573">
        <v>1</v>
      </c>
      <c r="AD34" s="573">
        <v>1</v>
      </c>
    </row>
    <row r="35" spans="1:30" s="578" customFormat="1" ht="13.5" customHeight="1">
      <c r="A35" s="567">
        <v>21</v>
      </c>
      <c r="B35" s="568"/>
      <c r="C35" s="568"/>
      <c r="D35" s="568" t="s">
        <v>1045</v>
      </c>
      <c r="E35" s="568"/>
      <c r="F35" s="568"/>
      <c r="G35" s="568"/>
      <c r="H35" s="567" t="s">
        <v>1046</v>
      </c>
      <c r="I35" s="571" t="s">
        <v>1047</v>
      </c>
      <c r="J35" s="567" t="s">
        <v>939</v>
      </c>
      <c r="K35" s="571"/>
      <c r="L35" s="567"/>
      <c r="M35" s="567"/>
      <c r="N35" s="567"/>
      <c r="O35" s="567"/>
      <c r="P35" s="572"/>
      <c r="Q35" s="567" t="s">
        <v>817</v>
      </c>
      <c r="R35" s="567"/>
      <c r="S35" s="567" t="s">
        <v>863</v>
      </c>
      <c r="T35" s="573"/>
      <c r="U35" s="567"/>
      <c r="V35" s="574"/>
      <c r="W35" s="574" t="s">
        <v>864</v>
      </c>
      <c r="X35" s="575"/>
      <c r="Y35" s="576"/>
      <c r="Z35" s="567"/>
      <c r="AA35" s="577"/>
      <c r="AB35" s="567"/>
      <c r="AC35" s="573">
        <v>1</v>
      </c>
      <c r="AD35" s="573">
        <v>1</v>
      </c>
    </row>
    <row r="36" spans="1:30" s="553" customFormat="1" ht="13.5" customHeight="1">
      <c r="A36" s="545"/>
      <c r="B36" s="544"/>
      <c r="C36" s="544" t="s">
        <v>1048</v>
      </c>
      <c r="D36" s="544"/>
      <c r="E36" s="544"/>
      <c r="F36" s="544"/>
      <c r="G36" s="544"/>
      <c r="H36" s="389" t="s">
        <v>1049</v>
      </c>
      <c r="I36" s="546"/>
      <c r="J36" s="545"/>
      <c r="K36" s="546" t="s">
        <v>908</v>
      </c>
      <c r="L36" s="545"/>
      <c r="M36" s="545"/>
      <c r="N36" s="545"/>
      <c r="O36" s="545"/>
      <c r="P36" s="547"/>
      <c r="Q36" s="545" t="s">
        <v>817</v>
      </c>
      <c r="R36" s="545"/>
      <c r="S36" s="545" t="s">
        <v>863</v>
      </c>
      <c r="T36" s="548"/>
      <c r="U36" s="545" t="s">
        <v>1050</v>
      </c>
      <c r="V36" s="549" t="s">
        <v>864</v>
      </c>
      <c r="W36" s="549"/>
      <c r="X36" s="550"/>
      <c r="Y36" s="551"/>
      <c r="Z36" s="545"/>
      <c r="AA36" s="552"/>
      <c r="AB36" s="545"/>
      <c r="AC36" s="548"/>
      <c r="AD36" s="548"/>
    </row>
    <row r="37" spans="1:30" s="224" customFormat="1" ht="13.5" customHeight="1">
      <c r="A37" s="225">
        <v>22</v>
      </c>
      <c r="B37" s="591" t="s">
        <v>1051</v>
      </c>
      <c r="C37" s="216"/>
      <c r="D37" s="217"/>
      <c r="E37" s="217"/>
      <c r="F37" s="217"/>
      <c r="G37" s="217"/>
      <c r="H37" s="728" t="s">
        <v>1052</v>
      </c>
      <c r="I37" s="729"/>
      <c r="J37" s="728" t="s">
        <v>1053</v>
      </c>
      <c r="K37" s="729" t="s">
        <v>1054</v>
      </c>
      <c r="L37" s="728"/>
      <c r="M37" s="728"/>
      <c r="N37" s="728"/>
      <c r="O37" s="728"/>
      <c r="P37" s="730"/>
      <c r="Q37" s="728" t="s">
        <v>820</v>
      </c>
      <c r="R37" s="728" t="s">
        <v>864</v>
      </c>
      <c r="S37" s="243" t="s">
        <v>1054</v>
      </c>
      <c r="T37" s="280"/>
      <c r="U37" s="728"/>
      <c r="V37" s="732"/>
      <c r="W37" s="732" t="s">
        <v>864</v>
      </c>
      <c r="X37" s="232"/>
      <c r="Y37" s="733"/>
      <c r="Z37" s="728"/>
      <c r="AA37" s="734"/>
      <c r="AB37" s="728"/>
      <c r="AC37" s="731">
        <v>1</v>
      </c>
      <c r="AD37" s="731">
        <v>1</v>
      </c>
    </row>
    <row r="38" spans="1:30" s="578" customFormat="1" ht="13.5" customHeight="1">
      <c r="A38" s="567">
        <v>23</v>
      </c>
      <c r="B38" s="568"/>
      <c r="C38" s="568" t="s">
        <v>1055</v>
      </c>
      <c r="D38" s="568"/>
      <c r="E38" s="568"/>
      <c r="F38" s="568"/>
      <c r="G38" s="568"/>
      <c r="H38" s="567" t="s">
        <v>1056</v>
      </c>
      <c r="I38" s="571" t="s">
        <v>1057</v>
      </c>
      <c r="J38" s="567" t="s">
        <v>1058</v>
      </c>
      <c r="K38" s="571"/>
      <c r="L38" s="567"/>
      <c r="M38" s="567"/>
      <c r="N38" s="567"/>
      <c r="O38" s="567"/>
      <c r="P38" s="572"/>
      <c r="Q38" s="567" t="s">
        <v>820</v>
      </c>
      <c r="R38" s="567"/>
      <c r="S38" s="567" t="s">
        <v>863</v>
      </c>
      <c r="T38" s="573"/>
      <c r="U38" s="567"/>
      <c r="V38" s="574"/>
      <c r="W38" s="574" t="s">
        <v>864</v>
      </c>
      <c r="X38" s="575"/>
      <c r="Y38" s="576"/>
      <c r="Z38" s="567"/>
      <c r="AA38" s="577"/>
      <c r="AB38" s="567"/>
      <c r="AC38" s="573">
        <v>1</v>
      </c>
      <c r="AD38" s="573">
        <v>1</v>
      </c>
    </row>
    <row r="39" spans="1:30" s="578" customFormat="1" ht="13.5" customHeight="1">
      <c r="A39" s="567">
        <v>24</v>
      </c>
      <c r="B39" s="568"/>
      <c r="C39" s="568" t="s">
        <v>1059</v>
      </c>
      <c r="D39" s="568"/>
      <c r="E39" s="569"/>
      <c r="F39" s="569"/>
      <c r="G39" s="569"/>
      <c r="H39" s="567" t="s">
        <v>1060</v>
      </c>
      <c r="I39" s="571" t="s">
        <v>1061</v>
      </c>
      <c r="J39" s="567" t="s">
        <v>1062</v>
      </c>
      <c r="K39" s="571"/>
      <c r="L39" s="567"/>
      <c r="M39" s="567"/>
      <c r="N39" s="567"/>
      <c r="O39" s="567"/>
      <c r="P39" s="593"/>
      <c r="Q39" s="567" t="s">
        <v>817</v>
      </c>
      <c r="R39" s="567"/>
      <c r="S39" s="567" t="s">
        <v>863</v>
      </c>
      <c r="T39" s="573"/>
      <c r="U39" s="567"/>
      <c r="V39" s="574"/>
      <c r="W39" s="574" t="s">
        <v>864</v>
      </c>
      <c r="X39" s="575"/>
      <c r="Y39" s="576"/>
      <c r="Z39" s="567"/>
      <c r="AA39" s="577"/>
      <c r="AB39" s="567"/>
      <c r="AC39" s="573">
        <v>1</v>
      </c>
      <c r="AD39" s="573"/>
    </row>
    <row r="40" spans="1:30" s="224" customFormat="1" ht="13.5" customHeight="1">
      <c r="A40" s="225">
        <v>25</v>
      </c>
      <c r="B40" s="217"/>
      <c r="C40" s="217" t="s">
        <v>1063</v>
      </c>
      <c r="D40" s="217"/>
      <c r="E40" s="217"/>
      <c r="F40" s="217"/>
      <c r="G40" s="217"/>
      <c r="H40" s="263" t="s">
        <v>1064</v>
      </c>
      <c r="I40" s="729" t="s">
        <v>1065</v>
      </c>
      <c r="J40" s="728" t="s">
        <v>871</v>
      </c>
      <c r="K40" s="729"/>
      <c r="L40" s="728" t="s">
        <v>1066</v>
      </c>
      <c r="M40" s="728" t="s">
        <v>1067</v>
      </c>
      <c r="N40" s="728"/>
      <c r="O40" s="728"/>
      <c r="P40" s="252"/>
      <c r="Q40" s="728" t="s">
        <v>817</v>
      </c>
      <c r="R40" s="728"/>
      <c r="S40" s="728" t="s">
        <v>863</v>
      </c>
      <c r="T40" s="731"/>
      <c r="U40" s="728"/>
      <c r="V40" s="732" t="s">
        <v>864</v>
      </c>
      <c r="W40" s="732" t="s">
        <v>864</v>
      </c>
      <c r="X40" s="232"/>
      <c r="Y40" s="733"/>
      <c r="Z40" s="728"/>
      <c r="AA40" s="734"/>
      <c r="AB40" s="728"/>
      <c r="AC40" s="731">
        <v>1</v>
      </c>
      <c r="AD40" s="731">
        <v>1</v>
      </c>
    </row>
    <row r="41" spans="1:30" s="578" customFormat="1" ht="13.5" customHeight="1">
      <c r="A41" s="567">
        <v>110</v>
      </c>
      <c r="B41" s="568"/>
      <c r="C41" s="568" t="s">
        <v>1068</v>
      </c>
      <c r="D41" s="569"/>
      <c r="E41" s="569"/>
      <c r="F41" s="569"/>
      <c r="G41" s="569"/>
      <c r="H41" s="567" t="s">
        <v>1069</v>
      </c>
      <c r="I41" s="594"/>
      <c r="J41" s="567"/>
      <c r="K41" s="571" t="s">
        <v>1070</v>
      </c>
      <c r="L41" s="567"/>
      <c r="M41" s="567"/>
      <c r="N41" s="567"/>
      <c r="O41" s="567"/>
      <c r="P41" s="572"/>
      <c r="Q41" s="567" t="s">
        <v>823</v>
      </c>
      <c r="R41" s="567" t="s">
        <v>864</v>
      </c>
      <c r="S41" s="595" t="s">
        <v>1070</v>
      </c>
      <c r="T41" s="573"/>
      <c r="U41" s="573"/>
      <c r="V41" s="574"/>
      <c r="W41" s="574" t="s">
        <v>864</v>
      </c>
      <c r="X41" s="575"/>
      <c r="Y41" s="576"/>
      <c r="Z41" s="567"/>
      <c r="AA41" s="577"/>
      <c r="AB41" s="567"/>
      <c r="AC41" s="573"/>
      <c r="AD41" s="573">
        <v>1</v>
      </c>
    </row>
    <row r="42" spans="1:30" s="578" customFormat="1" ht="13.5" customHeight="1">
      <c r="A42" s="567">
        <v>111</v>
      </c>
      <c r="B42" s="568"/>
      <c r="C42" s="568"/>
      <c r="D42" s="568" t="s">
        <v>1071</v>
      </c>
      <c r="E42" s="568"/>
      <c r="F42" s="568"/>
      <c r="G42" s="568"/>
      <c r="H42" s="567" t="s">
        <v>1072</v>
      </c>
      <c r="I42" s="594" t="s">
        <v>1073</v>
      </c>
      <c r="J42" s="567"/>
      <c r="K42" s="571" t="s">
        <v>908</v>
      </c>
      <c r="L42" s="567"/>
      <c r="M42" s="567"/>
      <c r="N42" s="567"/>
      <c r="O42" s="567"/>
      <c r="P42" s="572"/>
      <c r="Q42" s="567" t="s">
        <v>820</v>
      </c>
      <c r="R42" s="567"/>
      <c r="S42" s="567" t="s">
        <v>863</v>
      </c>
      <c r="T42" s="573"/>
      <c r="U42" s="571" t="s">
        <v>1074</v>
      </c>
      <c r="V42" s="574"/>
      <c r="W42" s="574" t="s">
        <v>864</v>
      </c>
      <c r="X42" s="575"/>
      <c r="Y42" s="576" t="s">
        <v>1075</v>
      </c>
      <c r="Z42" s="567" t="s">
        <v>1076</v>
      </c>
      <c r="AA42" s="577"/>
      <c r="AB42" s="567"/>
      <c r="AC42" s="573"/>
      <c r="AD42" s="573">
        <v>1</v>
      </c>
    </row>
    <row r="43" spans="1:30" s="578" customFormat="1" ht="13.5" customHeight="1">
      <c r="A43" s="567">
        <v>112</v>
      </c>
      <c r="B43" s="568"/>
      <c r="C43" s="568"/>
      <c r="D43" s="568" t="s">
        <v>1077</v>
      </c>
      <c r="E43" s="568"/>
      <c r="F43" s="568"/>
      <c r="G43" s="568"/>
      <c r="H43" s="567" t="s">
        <v>1078</v>
      </c>
      <c r="I43" s="594" t="s">
        <v>1079</v>
      </c>
      <c r="J43" s="567"/>
      <c r="K43" s="571" t="s">
        <v>1080</v>
      </c>
      <c r="L43" s="567"/>
      <c r="M43" s="567"/>
      <c r="N43" s="567"/>
      <c r="O43" s="567"/>
      <c r="P43" s="572"/>
      <c r="Q43" s="567" t="s">
        <v>820</v>
      </c>
      <c r="R43" s="567"/>
      <c r="S43" s="567" t="s">
        <v>863</v>
      </c>
      <c r="T43" s="573"/>
      <c r="U43" s="573"/>
      <c r="V43" s="574"/>
      <c r="W43" s="574" t="s">
        <v>864</v>
      </c>
      <c r="X43" s="575"/>
      <c r="Y43" s="576"/>
      <c r="Z43" s="567"/>
      <c r="AA43" s="577"/>
      <c r="AB43" s="567"/>
      <c r="AC43" s="573"/>
      <c r="AD43" s="573">
        <v>1</v>
      </c>
    </row>
    <row r="44" spans="1:30" s="578" customFormat="1" ht="13.5" customHeight="1">
      <c r="A44" s="567">
        <v>26</v>
      </c>
      <c r="B44" s="568"/>
      <c r="C44" s="568" t="s">
        <v>1081</v>
      </c>
      <c r="D44" s="569"/>
      <c r="E44" s="569"/>
      <c r="F44" s="569"/>
      <c r="G44" s="569"/>
      <c r="H44" s="567"/>
      <c r="I44" s="571"/>
      <c r="J44" s="567"/>
      <c r="K44" s="571" t="s">
        <v>1082</v>
      </c>
      <c r="L44" s="567"/>
      <c r="M44" s="567"/>
      <c r="N44" s="567"/>
      <c r="O44" s="567"/>
      <c r="P44" s="572"/>
      <c r="Q44" s="567" t="s">
        <v>817</v>
      </c>
      <c r="R44" s="567" t="s">
        <v>864</v>
      </c>
      <c r="S44" s="579" t="s">
        <v>1082</v>
      </c>
      <c r="T44" s="573"/>
      <c r="U44" s="567"/>
      <c r="V44" s="574"/>
      <c r="W44" s="574" t="s">
        <v>864</v>
      </c>
      <c r="X44" s="575"/>
      <c r="Y44" s="576"/>
      <c r="Z44" s="567"/>
      <c r="AA44" s="577"/>
      <c r="AB44" s="567"/>
      <c r="AC44" s="573">
        <v>1</v>
      </c>
      <c r="AD44" s="573">
        <v>1</v>
      </c>
    </row>
    <row r="45" spans="1:30" s="566" customFormat="1" ht="13.5" customHeight="1">
      <c r="A45" s="556">
        <v>27</v>
      </c>
      <c r="B45" s="557"/>
      <c r="C45" s="558" t="s">
        <v>1083</v>
      </c>
      <c r="D45" s="557"/>
      <c r="E45" s="596"/>
      <c r="F45" s="559"/>
      <c r="G45" s="559"/>
      <c r="H45" s="556" t="s">
        <v>1084</v>
      </c>
      <c r="I45" s="559" t="s">
        <v>1085</v>
      </c>
      <c r="J45" s="556" t="s">
        <v>1086</v>
      </c>
      <c r="K45" s="559" t="s">
        <v>1087</v>
      </c>
      <c r="L45" s="556"/>
      <c r="M45" s="556"/>
      <c r="N45" s="556"/>
      <c r="O45" s="556"/>
      <c r="P45" s="560"/>
      <c r="Q45" s="556" t="s">
        <v>820</v>
      </c>
      <c r="R45" s="556"/>
      <c r="S45" s="556" t="s">
        <v>863</v>
      </c>
      <c r="T45" s="561"/>
      <c r="U45" s="556" t="s">
        <v>1088</v>
      </c>
      <c r="V45" s="562" t="s">
        <v>864</v>
      </c>
      <c r="W45" s="562" t="s">
        <v>864</v>
      </c>
      <c r="X45" s="563"/>
      <c r="Y45" s="597"/>
      <c r="Z45" s="556"/>
      <c r="AA45" s="565"/>
      <c r="AB45" s="556"/>
      <c r="AC45" s="561">
        <v>1</v>
      </c>
      <c r="AD45" s="561">
        <v>1</v>
      </c>
    </row>
    <row r="46" spans="1:30" s="578" customFormat="1" ht="13.5" customHeight="1">
      <c r="A46" s="567">
        <v>28</v>
      </c>
      <c r="B46" s="568"/>
      <c r="C46" s="568"/>
      <c r="D46" s="568" t="s">
        <v>1089</v>
      </c>
      <c r="E46" s="569"/>
      <c r="F46" s="569"/>
      <c r="G46" s="569"/>
      <c r="H46" s="567" t="s">
        <v>1090</v>
      </c>
      <c r="I46" s="571" t="s">
        <v>1091</v>
      </c>
      <c r="J46" s="567"/>
      <c r="K46" s="571" t="s">
        <v>1092</v>
      </c>
      <c r="L46" s="567" t="s">
        <v>1093</v>
      </c>
      <c r="M46" s="567" t="s">
        <v>254</v>
      </c>
      <c r="N46" s="567"/>
      <c r="O46" s="567"/>
      <c r="P46" s="572"/>
      <c r="Q46" s="567" t="s">
        <v>817</v>
      </c>
      <c r="R46" s="567"/>
      <c r="S46" s="567" t="s">
        <v>863</v>
      </c>
      <c r="T46" s="573"/>
      <c r="U46" s="567"/>
      <c r="V46" s="574"/>
      <c r="W46" s="574" t="s">
        <v>864</v>
      </c>
      <c r="X46" s="575"/>
      <c r="Y46" s="576"/>
      <c r="Z46" s="567"/>
      <c r="AA46" s="577"/>
      <c r="AB46" s="567"/>
      <c r="AC46" s="573">
        <v>1</v>
      </c>
      <c r="AD46" s="573">
        <v>1</v>
      </c>
    </row>
    <row r="47" spans="1:30" s="578" customFormat="1" ht="13.5" customHeight="1">
      <c r="A47" s="567">
        <v>29</v>
      </c>
      <c r="B47" s="568"/>
      <c r="C47" s="568"/>
      <c r="D47" s="568" t="s">
        <v>1094</v>
      </c>
      <c r="E47" s="569"/>
      <c r="F47" s="569"/>
      <c r="G47" s="569"/>
      <c r="H47" s="567"/>
      <c r="I47" s="571"/>
      <c r="J47" s="567"/>
      <c r="K47" s="571" t="s">
        <v>1095</v>
      </c>
      <c r="L47" s="567" t="s">
        <v>1096</v>
      </c>
      <c r="M47" s="567" t="s">
        <v>1097</v>
      </c>
      <c r="N47" s="567"/>
      <c r="O47" s="567"/>
      <c r="P47" s="572"/>
      <c r="Q47" s="567" t="s">
        <v>817</v>
      </c>
      <c r="R47" s="567" t="s">
        <v>864</v>
      </c>
      <c r="S47" s="579" t="s">
        <v>1095</v>
      </c>
      <c r="T47" s="573"/>
      <c r="U47" s="567"/>
      <c r="V47" s="574"/>
      <c r="W47" s="574" t="s">
        <v>864</v>
      </c>
      <c r="X47" s="575"/>
      <c r="Y47" s="576"/>
      <c r="Z47" s="567"/>
      <c r="AA47" s="577"/>
      <c r="AB47" s="567"/>
      <c r="AC47" s="573">
        <v>1</v>
      </c>
      <c r="AD47" s="573">
        <v>1</v>
      </c>
    </row>
    <row r="48" spans="1:30" s="578" customFormat="1" ht="13.5" customHeight="1">
      <c r="A48" s="567">
        <v>30</v>
      </c>
      <c r="B48" s="568"/>
      <c r="C48" s="568"/>
      <c r="D48" s="568"/>
      <c r="E48" s="568" t="s">
        <v>1098</v>
      </c>
      <c r="F48" s="568"/>
      <c r="G48" s="568"/>
      <c r="H48" s="567" t="s">
        <v>1099</v>
      </c>
      <c r="I48" s="571" t="s">
        <v>1100</v>
      </c>
      <c r="J48" s="567"/>
      <c r="K48" s="571" t="s">
        <v>1087</v>
      </c>
      <c r="L48" s="567"/>
      <c r="M48" s="567"/>
      <c r="N48" s="567"/>
      <c r="O48" s="567"/>
      <c r="P48" s="572"/>
      <c r="Q48" s="567" t="s">
        <v>820</v>
      </c>
      <c r="R48" s="567"/>
      <c r="S48" s="567" t="s">
        <v>863</v>
      </c>
      <c r="T48" s="573"/>
      <c r="U48" s="567" t="s">
        <v>1101</v>
      </c>
      <c r="V48" s="574"/>
      <c r="W48" s="574" t="s">
        <v>864</v>
      </c>
      <c r="X48" s="575"/>
      <c r="Y48" s="576"/>
      <c r="Z48" s="567"/>
      <c r="AA48" s="577"/>
      <c r="AB48" s="567"/>
      <c r="AC48" s="573">
        <v>1</v>
      </c>
      <c r="AD48" s="573">
        <v>1</v>
      </c>
    </row>
    <row r="49" spans="1:30" s="578" customFormat="1" ht="13.5" customHeight="1">
      <c r="A49" s="567">
        <v>31</v>
      </c>
      <c r="B49" s="568"/>
      <c r="C49" s="568"/>
      <c r="D49" s="568"/>
      <c r="E49" s="568" t="s">
        <v>1102</v>
      </c>
      <c r="F49" s="568"/>
      <c r="G49" s="568"/>
      <c r="H49" s="567"/>
      <c r="I49" s="571" t="s">
        <v>1103</v>
      </c>
      <c r="J49" s="567"/>
      <c r="K49" s="571" t="s">
        <v>970</v>
      </c>
      <c r="L49" s="567"/>
      <c r="M49" s="567"/>
      <c r="N49" s="567"/>
      <c r="O49" s="567"/>
      <c r="P49" s="572"/>
      <c r="Q49" s="567" t="s">
        <v>817</v>
      </c>
      <c r="R49" s="567"/>
      <c r="S49" s="567" t="s">
        <v>863</v>
      </c>
      <c r="T49" s="573"/>
      <c r="U49" s="567"/>
      <c r="V49" s="574"/>
      <c r="W49" s="574" t="s">
        <v>864</v>
      </c>
      <c r="X49" s="575"/>
      <c r="Y49" s="576"/>
      <c r="Z49" s="567"/>
      <c r="AA49" s="577"/>
      <c r="AB49" s="567"/>
      <c r="AC49" s="573">
        <v>1</v>
      </c>
      <c r="AD49" s="573">
        <v>1</v>
      </c>
    </row>
    <row r="50" spans="1:30" s="578" customFormat="1" ht="13.5" customHeight="1">
      <c r="A50" s="567">
        <v>32</v>
      </c>
      <c r="B50" s="568"/>
      <c r="C50" s="568"/>
      <c r="D50" s="568"/>
      <c r="E50" s="568" t="s">
        <v>1104</v>
      </c>
      <c r="F50" s="568"/>
      <c r="G50" s="568"/>
      <c r="H50" s="567"/>
      <c r="I50" s="571" t="s">
        <v>1105</v>
      </c>
      <c r="J50" s="567"/>
      <c r="K50" s="571" t="s">
        <v>871</v>
      </c>
      <c r="L50" s="567"/>
      <c r="M50" s="567"/>
      <c r="N50" s="567"/>
      <c r="O50" s="567"/>
      <c r="P50" s="572"/>
      <c r="Q50" s="567" t="s">
        <v>817</v>
      </c>
      <c r="R50" s="567"/>
      <c r="S50" s="567" t="s">
        <v>863</v>
      </c>
      <c r="T50" s="573"/>
      <c r="U50" s="567"/>
      <c r="V50" s="574"/>
      <c r="W50" s="574" t="s">
        <v>864</v>
      </c>
      <c r="X50" s="575"/>
      <c r="Y50" s="576"/>
      <c r="Z50" s="567"/>
      <c r="AA50" s="577"/>
      <c r="AB50" s="567"/>
      <c r="AC50" s="573">
        <v>1</v>
      </c>
      <c r="AD50" s="573">
        <v>1</v>
      </c>
    </row>
    <row r="51" spans="1:30" s="578" customFormat="1" ht="13.5" customHeight="1">
      <c r="A51" s="567">
        <v>33</v>
      </c>
      <c r="B51" s="568"/>
      <c r="C51" s="568" t="s">
        <v>1106</v>
      </c>
      <c r="D51" s="569"/>
      <c r="E51" s="569"/>
      <c r="F51" s="569"/>
      <c r="G51" s="569"/>
      <c r="H51" s="567"/>
      <c r="I51" s="571"/>
      <c r="J51" s="567"/>
      <c r="K51" s="571" t="s">
        <v>1107</v>
      </c>
      <c r="L51" s="567"/>
      <c r="M51" s="567"/>
      <c r="N51" s="567"/>
      <c r="O51" s="567"/>
      <c r="P51" s="572"/>
      <c r="Q51" s="567" t="s">
        <v>817</v>
      </c>
      <c r="R51" s="567" t="s">
        <v>864</v>
      </c>
      <c r="S51" s="579" t="s">
        <v>1107</v>
      </c>
      <c r="T51" s="573"/>
      <c r="U51" s="567"/>
      <c r="V51" s="574"/>
      <c r="W51" s="574" t="s">
        <v>864</v>
      </c>
      <c r="X51" s="575"/>
      <c r="Y51" s="576"/>
      <c r="Z51" s="567"/>
      <c r="AA51" s="577"/>
      <c r="AB51" s="567"/>
      <c r="AC51" s="573"/>
      <c r="AD51" s="573">
        <v>1</v>
      </c>
    </row>
    <row r="52" spans="1:30" s="607" customFormat="1" ht="13.5" customHeight="1">
      <c r="A52" s="599">
        <v>34</v>
      </c>
      <c r="B52" s="558"/>
      <c r="C52" s="558" t="s">
        <v>388</v>
      </c>
      <c r="D52" s="558"/>
      <c r="E52" s="558"/>
      <c r="F52" s="558"/>
      <c r="G52" s="558"/>
      <c r="H52" s="599" t="s">
        <v>1108</v>
      </c>
      <c r="I52" s="600" t="s">
        <v>1109</v>
      </c>
      <c r="J52" s="599" t="s">
        <v>1107</v>
      </c>
      <c r="K52" s="600" t="s">
        <v>871</v>
      </c>
      <c r="L52" s="599" t="s">
        <v>1110</v>
      </c>
      <c r="M52" s="599" t="s">
        <v>388</v>
      </c>
      <c r="N52" s="599"/>
      <c r="O52" s="599"/>
      <c r="P52" s="601"/>
      <c r="Q52" s="599" t="s">
        <v>817</v>
      </c>
      <c r="R52" s="599"/>
      <c r="S52" s="599" t="s">
        <v>863</v>
      </c>
      <c r="T52" s="602"/>
      <c r="U52" s="599"/>
      <c r="V52" s="603" t="s">
        <v>864</v>
      </c>
      <c r="W52" s="603" t="s">
        <v>864</v>
      </c>
      <c r="X52" s="604"/>
      <c r="Y52" s="605"/>
      <c r="Z52" s="599"/>
      <c r="AA52" s="606" t="s">
        <v>1111</v>
      </c>
      <c r="AB52" s="599"/>
      <c r="AC52" s="602">
        <v>1</v>
      </c>
      <c r="AD52" s="602">
        <v>1</v>
      </c>
    </row>
    <row r="53" spans="1:30" s="607" customFormat="1" ht="13.5" customHeight="1">
      <c r="A53" s="599">
        <v>35</v>
      </c>
      <c r="B53" s="558"/>
      <c r="C53" s="558" t="s">
        <v>392</v>
      </c>
      <c r="D53" s="558"/>
      <c r="E53" s="558"/>
      <c r="F53" s="558"/>
      <c r="G53" s="558"/>
      <c r="H53" s="599" t="s">
        <v>1112</v>
      </c>
      <c r="I53" s="600">
        <v>59350</v>
      </c>
      <c r="J53" s="599" t="s">
        <v>1113</v>
      </c>
      <c r="K53" s="600" t="s">
        <v>1114</v>
      </c>
      <c r="L53" s="599" t="s">
        <v>1115</v>
      </c>
      <c r="M53" s="599" t="s">
        <v>392</v>
      </c>
      <c r="N53" s="599"/>
      <c r="O53" s="599"/>
      <c r="P53" s="601"/>
      <c r="Q53" s="599" t="s">
        <v>817</v>
      </c>
      <c r="R53" s="599"/>
      <c r="S53" s="599" t="s">
        <v>863</v>
      </c>
      <c r="T53" s="602"/>
      <c r="U53" s="599" t="s">
        <v>1116</v>
      </c>
      <c r="V53" s="603" t="s">
        <v>864</v>
      </c>
      <c r="W53" s="603" t="s">
        <v>864</v>
      </c>
      <c r="X53" s="604"/>
      <c r="Y53" s="605"/>
      <c r="Z53" s="599"/>
      <c r="AA53" s="606"/>
      <c r="AB53" s="599"/>
      <c r="AC53" s="602">
        <v>1</v>
      </c>
      <c r="AD53" s="602">
        <v>1</v>
      </c>
    </row>
    <row r="54" spans="1:30" s="578" customFormat="1" ht="13.5" customHeight="1">
      <c r="A54" s="567">
        <v>36</v>
      </c>
      <c r="B54" s="568"/>
      <c r="C54" s="568"/>
      <c r="D54" s="568" t="s">
        <v>1117</v>
      </c>
      <c r="E54" s="568"/>
      <c r="F54" s="568"/>
      <c r="G54" s="568"/>
      <c r="H54" s="567" t="s">
        <v>1118</v>
      </c>
      <c r="I54" s="571" t="s">
        <v>1119</v>
      </c>
      <c r="J54" s="567"/>
      <c r="K54" s="571" t="s">
        <v>1120</v>
      </c>
      <c r="L54" s="567"/>
      <c r="M54" s="567"/>
      <c r="N54" s="567"/>
      <c r="O54" s="567"/>
      <c r="P54" s="572"/>
      <c r="Q54" s="567" t="s">
        <v>817</v>
      </c>
      <c r="R54" s="567"/>
      <c r="S54" s="598" t="s">
        <v>863</v>
      </c>
      <c r="T54" s="573"/>
      <c r="U54" s="567"/>
      <c r="V54" s="574"/>
      <c r="W54" s="574" t="s">
        <v>864</v>
      </c>
      <c r="X54" s="575"/>
      <c r="Y54" s="576"/>
      <c r="Z54" s="567"/>
      <c r="AA54" s="577"/>
      <c r="AB54" s="567"/>
      <c r="AC54" s="573"/>
      <c r="AD54" s="573">
        <v>1</v>
      </c>
    </row>
    <row r="55" spans="1:30" s="256" customFormat="1" ht="12.75" customHeight="1">
      <c r="A55" s="225">
        <v>37</v>
      </c>
      <c r="B55" s="217"/>
      <c r="C55" s="217" t="s">
        <v>1121</v>
      </c>
      <c r="D55" s="221"/>
      <c r="E55" s="221"/>
      <c r="F55" s="221"/>
      <c r="G55" s="221"/>
      <c r="H55" s="728" t="s">
        <v>1122</v>
      </c>
      <c r="I55" s="729"/>
      <c r="J55" s="728"/>
      <c r="K55" s="729" t="s">
        <v>1123</v>
      </c>
      <c r="L55" s="728"/>
      <c r="M55" s="728"/>
      <c r="N55" s="728"/>
      <c r="O55" s="728"/>
      <c r="P55" s="730"/>
      <c r="Q55" s="728" t="s">
        <v>817</v>
      </c>
      <c r="R55" s="728" t="s">
        <v>864</v>
      </c>
      <c r="S55" s="243" t="s">
        <v>1123</v>
      </c>
      <c r="T55" s="731"/>
      <c r="U55" s="728"/>
      <c r="V55" s="732" t="s">
        <v>864</v>
      </c>
      <c r="W55" s="732" t="s">
        <v>864</v>
      </c>
      <c r="X55" s="232"/>
      <c r="Y55" s="733"/>
      <c r="Z55" s="728"/>
      <c r="AA55" s="734"/>
      <c r="AB55" s="728"/>
      <c r="AC55" s="731">
        <v>1</v>
      </c>
      <c r="AD55" s="731">
        <v>1</v>
      </c>
    </row>
    <row r="56" spans="1:30" s="256" customFormat="1" ht="12.75" customHeight="1">
      <c r="A56" s="225">
        <v>38</v>
      </c>
      <c r="B56" s="217"/>
      <c r="C56" s="217"/>
      <c r="D56" s="727" t="s">
        <v>415</v>
      </c>
      <c r="E56" s="221"/>
      <c r="F56" s="221"/>
      <c r="G56" s="221"/>
      <c r="H56" s="728" t="s">
        <v>1124</v>
      </c>
      <c r="I56" s="729" t="s">
        <v>1125</v>
      </c>
      <c r="J56" s="728"/>
      <c r="K56" s="729" t="s">
        <v>1126</v>
      </c>
      <c r="L56" s="728" t="s">
        <v>1127</v>
      </c>
      <c r="M56" s="728" t="s">
        <v>415</v>
      </c>
      <c r="N56" s="728"/>
      <c r="O56" s="728"/>
      <c r="P56" s="730"/>
      <c r="Q56" s="728" t="s">
        <v>817</v>
      </c>
      <c r="R56" s="728"/>
      <c r="S56" s="735" t="s">
        <v>863</v>
      </c>
      <c r="T56" s="281"/>
      <c r="U56" s="728"/>
      <c r="V56" s="732" t="s">
        <v>864</v>
      </c>
      <c r="W56" s="732" t="s">
        <v>864</v>
      </c>
      <c r="X56" s="232"/>
      <c r="Y56" s="733"/>
      <c r="Z56" s="728"/>
      <c r="AA56" s="734"/>
      <c r="AB56" s="728"/>
      <c r="AC56" s="731">
        <v>1</v>
      </c>
      <c r="AD56" s="731">
        <v>1</v>
      </c>
    </row>
    <row r="57" spans="1:30" s="256" customFormat="1" ht="12.75" customHeight="1">
      <c r="A57" s="225">
        <v>39</v>
      </c>
      <c r="B57" s="217"/>
      <c r="C57" s="217"/>
      <c r="D57" s="727" t="s">
        <v>1128</v>
      </c>
      <c r="E57" s="221"/>
      <c r="F57" s="221"/>
      <c r="G57" s="221"/>
      <c r="H57" s="728" t="s">
        <v>1129</v>
      </c>
      <c r="I57" s="729" t="s">
        <v>1130</v>
      </c>
      <c r="J57" s="728"/>
      <c r="K57" s="729" t="s">
        <v>1131</v>
      </c>
      <c r="L57" s="728" t="s">
        <v>1132</v>
      </c>
      <c r="M57" s="728" t="s">
        <v>424</v>
      </c>
      <c r="N57" s="728"/>
      <c r="O57" s="728"/>
      <c r="P57" s="730"/>
      <c r="Q57" s="728" t="s">
        <v>817</v>
      </c>
      <c r="R57" s="728"/>
      <c r="S57" s="735" t="s">
        <v>863</v>
      </c>
      <c r="T57" s="281"/>
      <c r="U57" s="728"/>
      <c r="V57" s="732" t="s">
        <v>864</v>
      </c>
      <c r="W57" s="732" t="s">
        <v>864</v>
      </c>
      <c r="X57" s="232"/>
      <c r="Y57" s="733"/>
      <c r="Z57" s="728"/>
      <c r="AA57" s="734"/>
      <c r="AB57" s="728"/>
      <c r="AC57" s="731">
        <v>1</v>
      </c>
      <c r="AD57" s="731">
        <v>1</v>
      </c>
    </row>
    <row r="58" spans="1:30" s="244" customFormat="1" ht="12.75" customHeight="1">
      <c r="A58" s="225">
        <v>40</v>
      </c>
      <c r="B58" s="217"/>
      <c r="C58" s="222"/>
      <c r="D58" s="727" t="s">
        <v>429</v>
      </c>
      <c r="E58" s="221"/>
      <c r="F58" s="221"/>
      <c r="G58" s="221"/>
      <c r="H58" s="728" t="s">
        <v>1133</v>
      </c>
      <c r="I58" s="729" t="s">
        <v>1134</v>
      </c>
      <c r="J58" s="728"/>
      <c r="K58" s="729" t="s">
        <v>1135</v>
      </c>
      <c r="L58" s="728"/>
      <c r="M58" s="728"/>
      <c r="N58" s="728"/>
      <c r="O58" s="728"/>
      <c r="P58" s="730"/>
      <c r="Q58" s="728" t="s">
        <v>817</v>
      </c>
      <c r="R58" s="728"/>
      <c r="S58" s="735" t="s">
        <v>863</v>
      </c>
      <c r="T58" s="281"/>
      <c r="U58" s="728"/>
      <c r="V58" s="732" t="s">
        <v>864</v>
      </c>
      <c r="W58" s="732" t="s">
        <v>864</v>
      </c>
      <c r="X58" s="232"/>
      <c r="Y58" s="733"/>
      <c r="Z58" s="728"/>
      <c r="AA58" s="734"/>
      <c r="AB58" s="728"/>
      <c r="AC58" s="731">
        <v>1</v>
      </c>
      <c r="AD58" s="731">
        <v>1</v>
      </c>
    </row>
    <row r="59" spans="1:30" s="244" customFormat="1" ht="12.75" customHeight="1">
      <c r="A59" s="225">
        <v>41</v>
      </c>
      <c r="B59" s="217"/>
      <c r="C59" s="222"/>
      <c r="D59" s="727" t="s">
        <v>426</v>
      </c>
      <c r="E59" s="221"/>
      <c r="F59" s="221"/>
      <c r="G59" s="221"/>
      <c r="H59" s="728" t="s">
        <v>1136</v>
      </c>
      <c r="I59" s="729" t="s">
        <v>1137</v>
      </c>
      <c r="J59" s="728"/>
      <c r="K59" s="729" t="s">
        <v>1138</v>
      </c>
      <c r="L59" s="728" t="s">
        <v>1139</v>
      </c>
      <c r="M59" s="728" t="s">
        <v>426</v>
      </c>
      <c r="N59" s="728"/>
      <c r="O59" s="728"/>
      <c r="P59" s="730"/>
      <c r="Q59" s="728" t="s">
        <v>823</v>
      </c>
      <c r="R59" s="728"/>
      <c r="S59" s="735" t="s">
        <v>863</v>
      </c>
      <c r="T59" s="281"/>
      <c r="U59" s="728"/>
      <c r="V59" s="732" t="s">
        <v>864</v>
      </c>
      <c r="W59" s="732" t="s">
        <v>864</v>
      </c>
      <c r="X59" s="232"/>
      <c r="Y59" s="733"/>
      <c r="Z59" s="728"/>
      <c r="AA59" s="734"/>
      <c r="AB59" s="728"/>
      <c r="AC59" s="731">
        <v>1</v>
      </c>
      <c r="AD59" s="731">
        <v>1</v>
      </c>
    </row>
    <row r="60" spans="1:30" s="244" customFormat="1" ht="12.75" customHeight="1">
      <c r="A60" s="225">
        <v>42</v>
      </c>
      <c r="B60" s="217"/>
      <c r="C60" s="222"/>
      <c r="D60" s="727" t="s">
        <v>1140</v>
      </c>
      <c r="E60" s="221"/>
      <c r="F60" s="221"/>
      <c r="G60" s="221"/>
      <c r="H60" s="728" t="s">
        <v>1141</v>
      </c>
      <c r="I60" s="729" t="s">
        <v>1142</v>
      </c>
      <c r="J60" s="728"/>
      <c r="K60" s="729" t="s">
        <v>1143</v>
      </c>
      <c r="L60" s="728"/>
      <c r="M60" s="728"/>
      <c r="N60" s="728"/>
      <c r="O60" s="728"/>
      <c r="P60" s="730"/>
      <c r="Q60" s="728" t="s">
        <v>817</v>
      </c>
      <c r="R60" s="728"/>
      <c r="S60" s="735" t="s">
        <v>863</v>
      </c>
      <c r="T60" s="281"/>
      <c r="U60" s="728"/>
      <c r="V60" s="732" t="s">
        <v>864</v>
      </c>
      <c r="W60" s="732" t="s">
        <v>864</v>
      </c>
      <c r="X60" s="232"/>
      <c r="Y60" s="733"/>
      <c r="Z60" s="728"/>
      <c r="AA60" s="734"/>
      <c r="AB60" s="728"/>
      <c r="AC60" s="731">
        <v>1</v>
      </c>
      <c r="AD60" s="731">
        <v>1</v>
      </c>
    </row>
    <row r="61" spans="1:30" s="257" customFormat="1" ht="12.75" customHeight="1">
      <c r="A61" s="225">
        <v>43</v>
      </c>
      <c r="B61" s="217"/>
      <c r="C61" s="222"/>
      <c r="D61" s="727" t="s">
        <v>1144</v>
      </c>
      <c r="E61" s="221"/>
      <c r="F61" s="221"/>
      <c r="G61" s="221"/>
      <c r="H61" s="728" t="s">
        <v>410</v>
      </c>
      <c r="I61" s="729" t="s">
        <v>1145</v>
      </c>
      <c r="J61" s="728"/>
      <c r="K61" s="729" t="s">
        <v>1146</v>
      </c>
      <c r="L61" s="728"/>
      <c r="M61" s="728"/>
      <c r="N61" s="728"/>
      <c r="O61" s="728"/>
      <c r="P61" s="730"/>
      <c r="Q61" s="728" t="s">
        <v>817</v>
      </c>
      <c r="R61" s="728"/>
      <c r="S61" s="735" t="s">
        <v>863</v>
      </c>
      <c r="T61" s="281"/>
      <c r="U61" s="728"/>
      <c r="V61" s="732" t="s">
        <v>864</v>
      </c>
      <c r="W61" s="732" t="s">
        <v>864</v>
      </c>
      <c r="X61" s="232"/>
      <c r="Y61" s="733"/>
      <c r="Z61" s="728"/>
      <c r="AA61" s="734"/>
      <c r="AB61" s="728"/>
      <c r="AC61" s="731">
        <v>1</v>
      </c>
      <c r="AD61" s="731">
        <v>1</v>
      </c>
    </row>
    <row r="62" spans="1:30" s="258" customFormat="1" ht="12.75" customHeight="1">
      <c r="A62" s="225">
        <v>44</v>
      </c>
      <c r="B62" s="217"/>
      <c r="C62" s="218"/>
      <c r="D62" s="727" t="s">
        <v>1147</v>
      </c>
      <c r="E62" s="221"/>
      <c r="F62" s="221"/>
      <c r="G62" s="221"/>
      <c r="H62" s="728"/>
      <c r="I62" s="729" t="s">
        <v>1148</v>
      </c>
      <c r="J62" s="728"/>
      <c r="K62" s="729" t="s">
        <v>1149</v>
      </c>
      <c r="L62" s="728"/>
      <c r="M62" s="728"/>
      <c r="N62" s="728"/>
      <c r="O62" s="728"/>
      <c r="P62" s="730"/>
      <c r="Q62" s="728" t="s">
        <v>817</v>
      </c>
      <c r="R62" s="728"/>
      <c r="S62" s="735" t="s">
        <v>863</v>
      </c>
      <c r="T62" s="281"/>
      <c r="U62" s="728"/>
      <c r="V62" s="732" t="s">
        <v>864</v>
      </c>
      <c r="W62" s="732" t="s">
        <v>864</v>
      </c>
      <c r="X62" s="232"/>
      <c r="Y62" s="733"/>
      <c r="Z62" s="728"/>
      <c r="AA62" s="734"/>
      <c r="AB62" s="728"/>
      <c r="AC62" s="731">
        <v>1</v>
      </c>
      <c r="AD62" s="731">
        <v>1</v>
      </c>
    </row>
    <row r="63" spans="1:30" s="256" customFormat="1" ht="13" customHeight="1">
      <c r="A63" s="225">
        <v>45</v>
      </c>
      <c r="B63" s="217"/>
      <c r="C63" s="218"/>
      <c r="D63" s="727" t="s">
        <v>178</v>
      </c>
      <c r="E63" s="221"/>
      <c r="F63" s="221"/>
      <c r="G63" s="221"/>
      <c r="H63" s="728" t="s">
        <v>1150</v>
      </c>
      <c r="I63" s="729" t="s">
        <v>1151</v>
      </c>
      <c r="J63" s="728"/>
      <c r="K63" s="729" t="s">
        <v>1152</v>
      </c>
      <c r="L63" s="728"/>
      <c r="M63" s="728"/>
      <c r="N63" s="728"/>
      <c r="O63" s="728"/>
      <c r="P63" s="730"/>
      <c r="Q63" s="728" t="s">
        <v>817</v>
      </c>
      <c r="R63" s="728"/>
      <c r="S63" s="735" t="s">
        <v>863</v>
      </c>
      <c r="T63" s="281"/>
      <c r="U63" s="728"/>
      <c r="V63" s="732" t="s">
        <v>864</v>
      </c>
      <c r="W63" s="732" t="s">
        <v>864</v>
      </c>
      <c r="X63" s="232"/>
      <c r="Y63" s="733"/>
      <c r="Z63" s="728"/>
      <c r="AA63" s="734"/>
      <c r="AB63" s="728"/>
      <c r="AC63" s="731">
        <v>1</v>
      </c>
      <c r="AD63" s="731">
        <v>1</v>
      </c>
    </row>
    <row r="64" spans="1:30" s="256" customFormat="1" ht="13" customHeight="1">
      <c r="A64" s="225">
        <v>46</v>
      </c>
      <c r="B64" s="217"/>
      <c r="C64" s="218"/>
      <c r="D64" s="241" t="s">
        <v>1153</v>
      </c>
      <c r="E64" s="241"/>
      <c r="F64" s="241"/>
      <c r="G64" s="241"/>
      <c r="H64" s="728" t="s">
        <v>1154</v>
      </c>
      <c r="I64" s="729">
        <v>33123452323</v>
      </c>
      <c r="J64" s="728"/>
      <c r="K64" s="729" t="s">
        <v>1155</v>
      </c>
      <c r="L64" s="728"/>
      <c r="M64" s="728"/>
      <c r="N64" s="728"/>
      <c r="O64" s="728"/>
      <c r="P64" s="730"/>
      <c r="Q64" s="728" t="s">
        <v>817</v>
      </c>
      <c r="R64" s="728"/>
      <c r="S64" s="728" t="s">
        <v>1092</v>
      </c>
      <c r="T64" s="731"/>
      <c r="U64" s="728"/>
      <c r="V64" s="732" t="s">
        <v>864</v>
      </c>
      <c r="W64" s="732" t="s">
        <v>864</v>
      </c>
      <c r="X64" s="232"/>
      <c r="Y64" s="733"/>
      <c r="Z64" s="728" t="s">
        <v>1156</v>
      </c>
      <c r="AA64" s="734"/>
      <c r="AB64" s="728"/>
      <c r="AC64" s="731"/>
      <c r="AD64" s="731">
        <v>1</v>
      </c>
    </row>
    <row r="65" spans="1:30" s="578" customFormat="1" ht="13.5" customHeight="1">
      <c r="A65" s="567">
        <v>47</v>
      </c>
      <c r="B65" s="568"/>
      <c r="C65" s="568" t="s">
        <v>1157</v>
      </c>
      <c r="D65" s="568"/>
      <c r="E65" s="568"/>
      <c r="F65" s="568"/>
      <c r="G65" s="568"/>
      <c r="H65" s="567"/>
      <c r="I65" s="571"/>
      <c r="J65" s="567" t="s">
        <v>1158</v>
      </c>
      <c r="K65" s="571" t="s">
        <v>1159</v>
      </c>
      <c r="L65" s="567"/>
      <c r="M65" s="567"/>
      <c r="N65" s="567"/>
      <c r="O65" s="567"/>
      <c r="P65" s="593"/>
      <c r="Q65" s="567" t="s">
        <v>817</v>
      </c>
      <c r="R65" s="567" t="s">
        <v>864</v>
      </c>
      <c r="S65" s="579" t="s">
        <v>1159</v>
      </c>
      <c r="T65" s="573"/>
      <c r="U65" s="567"/>
      <c r="V65" s="574"/>
      <c r="W65" s="574" t="s">
        <v>864</v>
      </c>
      <c r="X65" s="575"/>
      <c r="Y65" s="576"/>
      <c r="Z65" s="567"/>
      <c r="AA65" s="577"/>
      <c r="AB65" s="567"/>
      <c r="AC65" s="573">
        <v>1</v>
      </c>
      <c r="AD65" s="573"/>
    </row>
    <row r="66" spans="1:30" s="578" customFormat="1" ht="13.5" customHeight="1">
      <c r="A66" s="567">
        <v>48</v>
      </c>
      <c r="B66" s="568"/>
      <c r="C66" s="568"/>
      <c r="D66" s="568" t="s">
        <v>1160</v>
      </c>
      <c r="E66" s="568"/>
      <c r="F66" s="568"/>
      <c r="G66" s="568"/>
      <c r="H66" s="567" t="s">
        <v>1161</v>
      </c>
      <c r="I66" s="571" t="s">
        <v>930</v>
      </c>
      <c r="J66" s="567"/>
      <c r="K66" s="571" t="s">
        <v>1162</v>
      </c>
      <c r="L66" s="567"/>
      <c r="M66" s="567"/>
      <c r="N66" s="567"/>
      <c r="O66" s="567"/>
      <c r="P66" s="572"/>
      <c r="Q66" s="567" t="s">
        <v>820</v>
      </c>
      <c r="R66" s="567"/>
      <c r="S66" s="567" t="s">
        <v>879</v>
      </c>
      <c r="T66" s="573"/>
      <c r="U66" s="567"/>
      <c r="V66" s="574"/>
      <c r="W66" s="574" t="s">
        <v>864</v>
      </c>
      <c r="X66" s="575"/>
      <c r="Y66" s="576"/>
      <c r="Z66" s="567" t="s">
        <v>1163</v>
      </c>
      <c r="AA66" s="577"/>
      <c r="AB66" s="567"/>
      <c r="AC66" s="573"/>
      <c r="AD66" s="573">
        <v>1</v>
      </c>
    </row>
    <row r="67" spans="1:30" s="578" customFormat="1" ht="13.5" customHeight="1">
      <c r="A67" s="567">
        <v>49</v>
      </c>
      <c r="B67" s="568"/>
      <c r="C67" s="568"/>
      <c r="D67" s="568" t="s">
        <v>1164</v>
      </c>
      <c r="E67" s="568"/>
      <c r="F67" s="568"/>
      <c r="G67" s="568"/>
      <c r="H67" s="567" t="s">
        <v>1165</v>
      </c>
      <c r="I67" s="571"/>
      <c r="J67" s="567" t="s">
        <v>1166</v>
      </c>
      <c r="K67" s="571" t="s">
        <v>1166</v>
      </c>
      <c r="L67" s="567"/>
      <c r="M67" s="567"/>
      <c r="N67" s="567"/>
      <c r="O67" s="567"/>
      <c r="P67" s="593"/>
      <c r="Q67" s="567" t="s">
        <v>817</v>
      </c>
      <c r="R67" s="567" t="s">
        <v>864</v>
      </c>
      <c r="S67" s="579" t="s">
        <v>1166</v>
      </c>
      <c r="T67" s="573"/>
      <c r="U67" s="567"/>
      <c r="V67" s="574"/>
      <c r="W67" s="574" t="s">
        <v>864</v>
      </c>
      <c r="X67" s="575"/>
      <c r="Y67" s="576"/>
      <c r="Z67" s="567"/>
      <c r="AA67" s="577"/>
      <c r="AB67" s="567"/>
      <c r="AC67" s="573">
        <v>1</v>
      </c>
      <c r="AD67" s="573">
        <v>1</v>
      </c>
    </row>
    <row r="68" spans="1:30" s="607" customFormat="1" ht="13.5" customHeight="1">
      <c r="A68" s="599">
        <v>50</v>
      </c>
      <c r="B68" s="558"/>
      <c r="C68" s="217" t="s">
        <v>1167</v>
      </c>
      <c r="D68" s="558"/>
      <c r="E68" s="558"/>
      <c r="F68" s="558"/>
      <c r="G68" s="558"/>
      <c r="H68" s="599" t="s">
        <v>1168</v>
      </c>
      <c r="I68" s="600"/>
      <c r="J68" s="599" t="s">
        <v>1169</v>
      </c>
      <c r="K68" s="600" t="s">
        <v>1169</v>
      </c>
      <c r="L68" s="599"/>
      <c r="M68" s="599"/>
      <c r="N68" s="599"/>
      <c r="O68" s="599"/>
      <c r="P68" s="601"/>
      <c r="Q68" s="599" t="s">
        <v>820</v>
      </c>
      <c r="R68" s="599" t="s">
        <v>864</v>
      </c>
      <c r="S68" s="610" t="s">
        <v>1169</v>
      </c>
      <c r="T68" s="602"/>
      <c r="U68" s="599"/>
      <c r="V68" s="603" t="s">
        <v>864</v>
      </c>
      <c r="W68" s="603" t="s">
        <v>864</v>
      </c>
      <c r="X68" s="604"/>
      <c r="Y68" s="605"/>
      <c r="Z68" s="599"/>
      <c r="AA68" s="606"/>
      <c r="AB68" s="599"/>
      <c r="AC68" s="602">
        <v>1</v>
      </c>
      <c r="AD68" s="602">
        <v>1</v>
      </c>
    </row>
    <row r="69" spans="1:30" s="607" customFormat="1" ht="13.5" customHeight="1">
      <c r="A69" s="599">
        <v>51</v>
      </c>
      <c r="B69" s="558"/>
      <c r="C69" s="558"/>
      <c r="D69" s="558" t="s">
        <v>1170</v>
      </c>
      <c r="E69" s="558"/>
      <c r="F69" s="558"/>
      <c r="G69" s="558"/>
      <c r="H69" s="599" t="s">
        <v>1171</v>
      </c>
      <c r="I69" s="600" t="s">
        <v>1172</v>
      </c>
      <c r="J69" s="599" t="s">
        <v>1173</v>
      </c>
      <c r="K69" s="600" t="s">
        <v>1173</v>
      </c>
      <c r="L69" s="599"/>
      <c r="M69" s="599"/>
      <c r="N69" s="599"/>
      <c r="O69" s="599"/>
      <c r="P69" s="601"/>
      <c r="Q69" s="599" t="s">
        <v>820</v>
      </c>
      <c r="R69" s="599"/>
      <c r="S69" s="599" t="s">
        <v>1092</v>
      </c>
      <c r="T69" s="602"/>
      <c r="U69" s="599"/>
      <c r="V69" s="603" t="s">
        <v>864</v>
      </c>
      <c r="W69" s="603" t="s">
        <v>864</v>
      </c>
      <c r="X69" s="604"/>
      <c r="Y69" s="599" t="s">
        <v>1174</v>
      </c>
      <c r="Z69" s="599"/>
      <c r="AA69" s="606" t="s">
        <v>1175</v>
      </c>
      <c r="AB69" s="599"/>
      <c r="AC69" s="602">
        <v>1</v>
      </c>
      <c r="AD69" s="602">
        <v>1</v>
      </c>
    </row>
    <row r="70" spans="1:30" s="607" customFormat="1" ht="13.5" customHeight="1">
      <c r="A70" s="599">
        <v>52</v>
      </c>
      <c r="B70" s="558"/>
      <c r="C70" s="558"/>
      <c r="D70" s="558" t="s">
        <v>1176</v>
      </c>
      <c r="E70" s="558"/>
      <c r="F70" s="558"/>
      <c r="G70" s="558"/>
      <c r="H70" s="599" t="s">
        <v>1177</v>
      </c>
      <c r="I70" s="600" t="s">
        <v>1178</v>
      </c>
      <c r="J70" s="599" t="s">
        <v>1179</v>
      </c>
      <c r="K70" s="600" t="s">
        <v>1179</v>
      </c>
      <c r="L70" s="599"/>
      <c r="M70" s="599"/>
      <c r="N70" s="599"/>
      <c r="O70" s="599"/>
      <c r="P70" s="601"/>
      <c r="Q70" s="599" t="s">
        <v>820</v>
      </c>
      <c r="R70" s="599"/>
      <c r="S70" s="599" t="s">
        <v>1092</v>
      </c>
      <c r="T70" s="602"/>
      <c r="U70" s="599"/>
      <c r="V70" s="603" t="s">
        <v>864</v>
      </c>
      <c r="W70" s="603" t="s">
        <v>864</v>
      </c>
      <c r="X70" s="604"/>
      <c r="Y70" s="599" t="s">
        <v>1174</v>
      </c>
      <c r="Z70" s="599"/>
      <c r="AA70" s="606" t="s">
        <v>1175</v>
      </c>
      <c r="AB70" s="599"/>
      <c r="AC70" s="602">
        <v>1</v>
      </c>
      <c r="AD70" s="602">
        <v>1</v>
      </c>
    </row>
    <row r="71" spans="1:30" s="608" customFormat="1" ht="13.5" customHeight="1">
      <c r="A71" s="567">
        <v>53</v>
      </c>
      <c r="B71" s="568"/>
      <c r="C71" s="568"/>
      <c r="D71" s="568"/>
      <c r="E71" s="568"/>
      <c r="F71" s="568" t="s">
        <v>1180</v>
      </c>
      <c r="G71" s="569"/>
      <c r="H71" s="567" t="s">
        <v>1181</v>
      </c>
      <c r="I71" s="571">
        <v>120</v>
      </c>
      <c r="J71" s="567"/>
      <c r="K71" s="567" t="s">
        <v>1182</v>
      </c>
      <c r="L71" s="567"/>
      <c r="M71" s="567"/>
      <c r="N71" s="567"/>
      <c r="O71" s="567"/>
      <c r="P71" s="572"/>
      <c r="Q71" s="567" t="s">
        <v>817</v>
      </c>
      <c r="R71" s="567"/>
      <c r="S71" s="567" t="s">
        <v>1092</v>
      </c>
      <c r="T71" s="573"/>
      <c r="U71" s="567"/>
      <c r="V71" s="574"/>
      <c r="W71" s="574" t="s">
        <v>864</v>
      </c>
      <c r="X71" s="575"/>
      <c r="Y71" s="567" t="s">
        <v>1183</v>
      </c>
      <c r="Z71" s="567"/>
      <c r="AA71" s="577"/>
      <c r="AB71" s="567"/>
      <c r="AC71" s="573">
        <v>1</v>
      </c>
      <c r="AD71" s="573">
        <v>1</v>
      </c>
    </row>
    <row r="72" spans="1:30" s="608" customFormat="1" ht="13.5" customHeight="1">
      <c r="A72" s="567">
        <v>54</v>
      </c>
      <c r="B72" s="568"/>
      <c r="C72" s="568"/>
      <c r="D72" s="568"/>
      <c r="E72" s="568"/>
      <c r="F72" s="568" t="s">
        <v>1184</v>
      </c>
      <c r="G72" s="569"/>
      <c r="H72" s="567" t="s">
        <v>1185</v>
      </c>
      <c r="I72" s="571">
        <v>96</v>
      </c>
      <c r="J72" s="567"/>
      <c r="K72" s="567" t="s">
        <v>1186</v>
      </c>
      <c r="L72" s="567"/>
      <c r="M72" s="567"/>
      <c r="N72" s="567"/>
      <c r="O72" s="567"/>
      <c r="P72" s="572"/>
      <c r="Q72" s="567" t="s">
        <v>817</v>
      </c>
      <c r="R72" s="567"/>
      <c r="S72" s="567" t="s">
        <v>1092</v>
      </c>
      <c r="T72" s="573"/>
      <c r="U72" s="567"/>
      <c r="V72" s="574"/>
      <c r="W72" s="574" t="s">
        <v>864</v>
      </c>
      <c r="X72" s="575"/>
      <c r="Y72" s="567" t="s">
        <v>1187</v>
      </c>
      <c r="Z72" s="567"/>
      <c r="AA72" s="577"/>
      <c r="AB72" s="567"/>
      <c r="AC72" s="573">
        <v>1</v>
      </c>
      <c r="AD72" s="573">
        <v>1</v>
      </c>
    </row>
    <row r="73" spans="1:30" s="608" customFormat="1" ht="13.5" customHeight="1">
      <c r="A73" s="567">
        <v>55</v>
      </c>
      <c r="B73" s="568"/>
      <c r="C73" s="568"/>
      <c r="D73" s="568"/>
      <c r="E73" s="568"/>
      <c r="F73" s="568" t="s">
        <v>1188</v>
      </c>
      <c r="G73" s="569"/>
      <c r="H73" s="567" t="s">
        <v>1189</v>
      </c>
      <c r="I73" s="571">
        <v>34</v>
      </c>
      <c r="J73" s="567"/>
      <c r="K73" s="567" t="s">
        <v>1190</v>
      </c>
      <c r="L73" s="567"/>
      <c r="M73" s="567"/>
      <c r="N73" s="567"/>
      <c r="O73" s="567"/>
      <c r="P73" s="572"/>
      <c r="Q73" s="567" t="s">
        <v>817</v>
      </c>
      <c r="R73" s="567"/>
      <c r="S73" s="567" t="s">
        <v>1092</v>
      </c>
      <c r="T73" s="573"/>
      <c r="U73" s="567"/>
      <c r="V73" s="574"/>
      <c r="W73" s="574" t="s">
        <v>864</v>
      </c>
      <c r="X73" s="575"/>
      <c r="Y73" s="567" t="s">
        <v>1191</v>
      </c>
      <c r="Z73" s="567"/>
      <c r="AA73" s="577"/>
      <c r="AB73" s="567"/>
      <c r="AC73" s="573">
        <v>1</v>
      </c>
      <c r="AD73" s="573">
        <v>1</v>
      </c>
    </row>
    <row r="74" spans="1:30" s="608" customFormat="1" ht="13.5" customHeight="1">
      <c r="A74" s="567">
        <v>56</v>
      </c>
      <c r="B74" s="568"/>
      <c r="C74" s="568"/>
      <c r="D74" s="568"/>
      <c r="E74" s="568"/>
      <c r="F74" s="568" t="s">
        <v>1192</v>
      </c>
      <c r="G74" s="568"/>
      <c r="H74" s="567" t="s">
        <v>1193</v>
      </c>
      <c r="I74" s="571" t="s">
        <v>1194</v>
      </c>
      <c r="J74" s="567"/>
      <c r="K74" s="571" t="s">
        <v>1195</v>
      </c>
      <c r="L74" s="567"/>
      <c r="M74" s="567"/>
      <c r="N74" s="567"/>
      <c r="O74" s="567"/>
      <c r="P74" s="572"/>
      <c r="Q74" s="567" t="s">
        <v>820</v>
      </c>
      <c r="R74" s="567"/>
      <c r="S74" s="567" t="s">
        <v>863</v>
      </c>
      <c r="T74" s="573"/>
      <c r="U74" s="567" t="s">
        <v>1196</v>
      </c>
      <c r="V74" s="574"/>
      <c r="W74" s="574" t="s">
        <v>864</v>
      </c>
      <c r="X74" s="575"/>
      <c r="Y74" s="576"/>
      <c r="Z74" s="567"/>
      <c r="AA74" s="577"/>
      <c r="AB74" s="567"/>
      <c r="AC74" s="573"/>
      <c r="AD74" s="573">
        <v>1</v>
      </c>
    </row>
    <row r="75" spans="1:30" s="608" customFormat="1" ht="13.5" customHeight="1">
      <c r="A75" s="567">
        <v>57</v>
      </c>
      <c r="B75" s="568"/>
      <c r="C75" s="568"/>
      <c r="D75" s="568"/>
      <c r="E75" s="568" t="s">
        <v>1197</v>
      </c>
      <c r="F75" s="568"/>
      <c r="G75" s="568"/>
      <c r="H75" s="567" t="s">
        <v>1198</v>
      </c>
      <c r="I75" s="571" t="s">
        <v>1199</v>
      </c>
      <c r="J75" s="567" t="s">
        <v>1200</v>
      </c>
      <c r="K75" s="571" t="s">
        <v>1201</v>
      </c>
      <c r="L75" s="567"/>
      <c r="M75" s="567"/>
      <c r="N75" s="567"/>
      <c r="O75" s="567"/>
      <c r="P75" s="572">
        <v>1</v>
      </c>
      <c r="Q75" s="567" t="s">
        <v>817</v>
      </c>
      <c r="R75" s="567"/>
      <c r="S75" s="567" t="s">
        <v>863</v>
      </c>
      <c r="T75" s="573"/>
      <c r="U75" s="567"/>
      <c r="V75" s="574"/>
      <c r="W75" s="574" t="s">
        <v>864</v>
      </c>
      <c r="X75" s="575"/>
      <c r="Y75" s="576"/>
      <c r="Z75" s="567"/>
      <c r="AA75" s="577"/>
      <c r="AB75" s="567"/>
      <c r="AC75" s="573">
        <v>1</v>
      </c>
      <c r="AD75" s="573">
        <v>1</v>
      </c>
    </row>
    <row r="76" spans="1:30" s="608" customFormat="1" ht="13" customHeight="1">
      <c r="A76" s="567">
        <v>58</v>
      </c>
      <c r="B76" s="568"/>
      <c r="C76" s="568"/>
      <c r="D76" s="568" t="s">
        <v>1202</v>
      </c>
      <c r="E76" s="568"/>
      <c r="F76" s="568"/>
      <c r="G76" s="568"/>
      <c r="H76" s="567" t="s">
        <v>1203</v>
      </c>
      <c r="I76" s="571"/>
      <c r="J76" s="567" t="s">
        <v>1204</v>
      </c>
      <c r="K76" s="571" t="s">
        <v>1204</v>
      </c>
      <c r="L76" s="567"/>
      <c r="M76" s="567"/>
      <c r="N76" s="567"/>
      <c r="O76" s="567"/>
      <c r="P76" s="593"/>
      <c r="Q76" s="567" t="s">
        <v>817</v>
      </c>
      <c r="R76" s="567"/>
      <c r="S76" s="567" t="s">
        <v>863</v>
      </c>
      <c r="T76" s="573"/>
      <c r="U76" s="567"/>
      <c r="V76" s="574"/>
      <c r="W76" s="574" t="s">
        <v>864</v>
      </c>
      <c r="X76" s="575"/>
      <c r="Y76" s="576"/>
      <c r="Z76" s="567"/>
      <c r="AA76" s="577"/>
      <c r="AB76" s="567"/>
      <c r="AC76" s="573">
        <v>1</v>
      </c>
      <c r="AD76" s="573"/>
    </row>
    <row r="77" spans="1:30" s="578" customFormat="1" ht="13.5" customHeight="1">
      <c r="A77" s="567">
        <v>59</v>
      </c>
      <c r="B77" s="568"/>
      <c r="C77" s="568" t="s">
        <v>1205</v>
      </c>
      <c r="D77" s="568"/>
      <c r="E77" s="568"/>
      <c r="F77" s="568"/>
      <c r="G77" s="568"/>
      <c r="H77" s="567" t="s">
        <v>1206</v>
      </c>
      <c r="I77" s="571"/>
      <c r="J77" s="567" t="s">
        <v>942</v>
      </c>
      <c r="K77" s="571" t="s">
        <v>1207</v>
      </c>
      <c r="L77" s="567"/>
      <c r="M77" s="567"/>
      <c r="N77" s="567"/>
      <c r="O77" s="567"/>
      <c r="P77" s="593"/>
      <c r="Q77" s="567" t="s">
        <v>823</v>
      </c>
      <c r="R77" s="567" t="s">
        <v>864</v>
      </c>
      <c r="S77" s="579" t="s">
        <v>1207</v>
      </c>
      <c r="T77" s="573"/>
      <c r="U77" s="567"/>
      <c r="V77" s="574"/>
      <c r="W77" s="574" t="s">
        <v>864</v>
      </c>
      <c r="X77" s="575"/>
      <c r="Y77" s="576"/>
      <c r="Z77" s="567"/>
      <c r="AA77" s="577"/>
      <c r="AB77" s="567"/>
      <c r="AC77" s="573">
        <v>1</v>
      </c>
      <c r="AD77" s="573">
        <v>1</v>
      </c>
    </row>
    <row r="78" spans="1:30" s="578" customFormat="1" ht="13.5" customHeight="1">
      <c r="A78" s="567">
        <v>60</v>
      </c>
      <c r="B78" s="568"/>
      <c r="C78" s="568"/>
      <c r="D78" s="568" t="s">
        <v>1208</v>
      </c>
      <c r="E78" s="568"/>
      <c r="F78" s="568"/>
      <c r="G78" s="568"/>
      <c r="H78" s="567" t="s">
        <v>1209</v>
      </c>
      <c r="I78" s="571" t="s">
        <v>1210</v>
      </c>
      <c r="J78" s="567" t="s">
        <v>908</v>
      </c>
      <c r="K78" s="571" t="s">
        <v>939</v>
      </c>
      <c r="L78" s="567"/>
      <c r="M78" s="567"/>
      <c r="N78" s="567"/>
      <c r="O78" s="567"/>
      <c r="P78" s="593"/>
      <c r="Q78" s="567" t="s">
        <v>820</v>
      </c>
      <c r="R78" s="567"/>
      <c r="S78" s="567" t="s">
        <v>863</v>
      </c>
      <c r="T78" s="573"/>
      <c r="U78" s="567" t="s">
        <v>1211</v>
      </c>
      <c r="V78" s="574"/>
      <c r="W78" s="574" t="s">
        <v>864</v>
      </c>
      <c r="X78" s="575"/>
      <c r="Y78" s="576"/>
      <c r="Z78" s="567"/>
      <c r="AA78" s="577"/>
      <c r="AB78" s="567"/>
      <c r="AC78" s="573">
        <v>1</v>
      </c>
      <c r="AD78" s="573">
        <v>1</v>
      </c>
    </row>
    <row r="79" spans="1:30" s="578" customFormat="1" ht="13.5" customHeight="1">
      <c r="A79" s="567">
        <v>61</v>
      </c>
      <c r="B79" s="568"/>
      <c r="C79" s="568"/>
      <c r="D79" s="568" t="s">
        <v>1212</v>
      </c>
      <c r="E79" s="568"/>
      <c r="F79" s="568"/>
      <c r="G79" s="568"/>
      <c r="H79" s="567" t="s">
        <v>1213</v>
      </c>
      <c r="I79" s="571" t="s">
        <v>1214</v>
      </c>
      <c r="J79" s="567" t="s">
        <v>970</v>
      </c>
      <c r="K79" s="571" t="s">
        <v>970</v>
      </c>
      <c r="L79" s="567"/>
      <c r="M79" s="567"/>
      <c r="N79" s="567"/>
      <c r="O79" s="567"/>
      <c r="P79" s="593"/>
      <c r="Q79" s="567" t="s">
        <v>820</v>
      </c>
      <c r="R79" s="567"/>
      <c r="S79" s="567" t="s">
        <v>863</v>
      </c>
      <c r="T79" s="573"/>
      <c r="U79" s="567" t="s">
        <v>1215</v>
      </c>
      <c r="V79" s="574"/>
      <c r="W79" s="574" t="s">
        <v>864</v>
      </c>
      <c r="X79" s="575"/>
      <c r="Y79" s="576"/>
      <c r="Z79" s="567"/>
      <c r="AA79" s="577"/>
      <c r="AB79" s="567"/>
      <c r="AC79" s="573">
        <v>1</v>
      </c>
      <c r="AD79" s="573">
        <v>1</v>
      </c>
    </row>
    <row r="80" spans="1:30" s="578" customFormat="1" ht="13" customHeight="1">
      <c r="A80" s="567">
        <v>62</v>
      </c>
      <c r="B80" s="568"/>
      <c r="C80" s="568"/>
      <c r="D80" s="568" t="s">
        <v>1077</v>
      </c>
      <c r="E80" s="568"/>
      <c r="F80" s="568"/>
      <c r="G80" s="568"/>
      <c r="H80" s="567" t="s">
        <v>1216</v>
      </c>
      <c r="I80" s="571" t="s">
        <v>1217</v>
      </c>
      <c r="J80" s="567" t="s">
        <v>1218</v>
      </c>
      <c r="K80" s="571" t="s">
        <v>1219</v>
      </c>
      <c r="L80" s="567"/>
      <c r="M80" s="567"/>
      <c r="N80" s="567"/>
      <c r="O80" s="567"/>
      <c r="P80" s="593"/>
      <c r="Q80" s="567" t="s">
        <v>820</v>
      </c>
      <c r="R80" s="567"/>
      <c r="S80" s="598" t="s">
        <v>863</v>
      </c>
      <c r="T80" s="573"/>
      <c r="U80" s="567"/>
      <c r="V80" s="574"/>
      <c r="W80" s="574" t="s">
        <v>864</v>
      </c>
      <c r="X80" s="575"/>
      <c r="Y80" s="576"/>
      <c r="Z80" s="567"/>
      <c r="AA80" s="577"/>
      <c r="AB80" s="567"/>
      <c r="AC80" s="573">
        <v>1</v>
      </c>
      <c r="AD80" s="573">
        <v>1</v>
      </c>
    </row>
    <row r="81" spans="1:1018" s="224" customFormat="1" ht="13.5" customHeight="1">
      <c r="A81" s="225">
        <v>63</v>
      </c>
      <c r="B81" s="217"/>
      <c r="C81" s="217" t="s">
        <v>264</v>
      </c>
      <c r="D81" s="217"/>
      <c r="E81" s="217"/>
      <c r="F81" s="217"/>
      <c r="G81" s="217"/>
      <c r="H81" s="728"/>
      <c r="I81" s="729" t="s">
        <v>1220</v>
      </c>
      <c r="J81" s="728" t="s">
        <v>1221</v>
      </c>
      <c r="K81" s="729"/>
      <c r="L81" s="728"/>
      <c r="M81" s="728"/>
      <c r="N81" s="728"/>
      <c r="O81" s="728"/>
      <c r="P81" s="252"/>
      <c r="Q81" s="728" t="s">
        <v>820</v>
      </c>
      <c r="R81" s="728"/>
      <c r="S81" s="735" t="s">
        <v>863</v>
      </c>
      <c r="T81" s="281"/>
      <c r="U81" s="728" t="s">
        <v>1222</v>
      </c>
      <c r="V81" s="732" t="s">
        <v>864</v>
      </c>
      <c r="W81" s="732" t="s">
        <v>864</v>
      </c>
      <c r="X81" s="232"/>
      <c r="Y81" s="733"/>
      <c r="Z81" s="728" t="s">
        <v>1223</v>
      </c>
      <c r="AA81" s="245" t="s">
        <v>1224</v>
      </c>
      <c r="AB81" s="728"/>
      <c r="AC81" s="731"/>
      <c r="AD81" s="731">
        <v>1</v>
      </c>
    </row>
    <row r="82" spans="1:1018" s="224" customFormat="1" ht="13.5" customHeight="1">
      <c r="A82" s="225">
        <v>64</v>
      </c>
      <c r="B82" s="217"/>
      <c r="C82" s="217" t="s">
        <v>767</v>
      </c>
      <c r="D82" s="217"/>
      <c r="E82" s="217"/>
      <c r="F82" s="217"/>
      <c r="G82" s="217"/>
      <c r="H82" s="728" t="s">
        <v>1225</v>
      </c>
      <c r="I82" s="729" t="s">
        <v>1226</v>
      </c>
      <c r="J82" s="728" t="s">
        <v>1227</v>
      </c>
      <c r="K82" s="729" t="s">
        <v>939</v>
      </c>
      <c r="L82" s="728" t="s">
        <v>1228</v>
      </c>
      <c r="M82" s="728" t="s">
        <v>1229</v>
      </c>
      <c r="N82" s="728"/>
      <c r="O82" s="728"/>
      <c r="P82" s="252"/>
      <c r="Q82" s="728" t="s">
        <v>817</v>
      </c>
      <c r="R82" s="728"/>
      <c r="S82" s="728" t="s">
        <v>863</v>
      </c>
      <c r="T82" s="731"/>
      <c r="U82" s="728"/>
      <c r="V82" s="732" t="s">
        <v>864</v>
      </c>
      <c r="W82" s="732" t="s">
        <v>864</v>
      </c>
      <c r="X82" s="232"/>
      <c r="Y82" s="733"/>
      <c r="Z82" s="728"/>
      <c r="AA82" s="734"/>
      <c r="AB82" s="728"/>
      <c r="AC82" s="731">
        <v>1</v>
      </c>
      <c r="AD82" s="731">
        <v>1</v>
      </c>
    </row>
    <row r="83" spans="1:1018" s="224" customFormat="1" ht="13.5" customHeight="1">
      <c r="A83" s="225">
        <v>65</v>
      </c>
      <c r="B83" s="217" t="s">
        <v>1230</v>
      </c>
      <c r="C83" s="242"/>
      <c r="D83" s="241"/>
      <c r="E83" s="241"/>
      <c r="F83" s="241"/>
      <c r="G83" s="241"/>
      <c r="H83" s="728" t="s">
        <v>1231</v>
      </c>
      <c r="I83" s="729"/>
      <c r="J83" s="728" t="s">
        <v>1232</v>
      </c>
      <c r="K83" s="729" t="s">
        <v>1233</v>
      </c>
      <c r="L83" s="728"/>
      <c r="M83" s="728"/>
      <c r="N83" s="728"/>
      <c r="O83" s="728"/>
      <c r="P83" s="730"/>
      <c r="Q83" s="728" t="s">
        <v>817</v>
      </c>
      <c r="R83" s="728" t="s">
        <v>864</v>
      </c>
      <c r="S83" s="243" t="s">
        <v>1234</v>
      </c>
      <c r="T83" s="282"/>
      <c r="U83" s="728"/>
      <c r="V83" s="732"/>
      <c r="W83" s="732" t="s">
        <v>864</v>
      </c>
      <c r="X83" s="232"/>
      <c r="Y83" s="733"/>
      <c r="Z83" s="728"/>
      <c r="AA83" s="734"/>
      <c r="AB83" s="728"/>
      <c r="AC83" s="731">
        <v>1</v>
      </c>
      <c r="AD83" s="731">
        <v>1</v>
      </c>
    </row>
    <row r="84" spans="1:1018" s="578" customFormat="1" ht="13.5" customHeight="1">
      <c r="A84" s="567">
        <v>66</v>
      </c>
      <c r="B84" s="568"/>
      <c r="C84" s="568" t="s">
        <v>1235</v>
      </c>
      <c r="D84" s="568"/>
      <c r="E84" s="568"/>
      <c r="F84" s="568"/>
      <c r="G84" s="568"/>
      <c r="H84" s="567" t="s">
        <v>1236</v>
      </c>
      <c r="I84" s="571" t="s">
        <v>1237</v>
      </c>
      <c r="J84" s="567" t="s">
        <v>1238</v>
      </c>
      <c r="K84" s="571" t="s">
        <v>1218</v>
      </c>
      <c r="L84" s="567"/>
      <c r="M84" s="567"/>
      <c r="N84" s="567"/>
      <c r="O84" s="567"/>
      <c r="P84" s="572">
        <v>1</v>
      </c>
      <c r="Q84" s="567" t="s">
        <v>820</v>
      </c>
      <c r="R84" s="567"/>
      <c r="S84" s="567" t="s">
        <v>863</v>
      </c>
      <c r="T84" s="573"/>
      <c r="U84" s="567"/>
      <c r="V84" s="574"/>
      <c r="W84" s="574" t="s">
        <v>864</v>
      </c>
      <c r="X84" s="575"/>
      <c r="Y84" s="576"/>
      <c r="Z84" s="567"/>
      <c r="AA84" s="577"/>
      <c r="AB84" s="567"/>
      <c r="AC84" s="573">
        <v>1</v>
      </c>
      <c r="AD84" s="573">
        <v>1</v>
      </c>
    </row>
    <row r="85" spans="1:1018" s="578" customFormat="1" ht="13.5" customHeight="1">
      <c r="A85" s="567">
        <v>67</v>
      </c>
      <c r="B85" s="568"/>
      <c r="C85" s="568" t="s">
        <v>1239</v>
      </c>
      <c r="D85" s="568"/>
      <c r="E85" s="568"/>
      <c r="F85" s="568"/>
      <c r="G85" s="568"/>
      <c r="H85" s="567" t="s">
        <v>1240</v>
      </c>
      <c r="I85" s="571" t="s">
        <v>1241</v>
      </c>
      <c r="J85" s="567" t="s">
        <v>1242</v>
      </c>
      <c r="K85" s="571" t="s">
        <v>1243</v>
      </c>
      <c r="L85" s="567" t="s">
        <v>1244</v>
      </c>
      <c r="M85" s="611" t="s">
        <v>1245</v>
      </c>
      <c r="N85" s="611"/>
      <c r="O85" s="567"/>
      <c r="P85" s="572"/>
      <c r="Q85" s="567" t="s">
        <v>820</v>
      </c>
      <c r="R85" s="567"/>
      <c r="S85" s="567" t="s">
        <v>879</v>
      </c>
      <c r="T85" s="573"/>
      <c r="U85" s="567" t="s">
        <v>932</v>
      </c>
      <c r="V85" s="574"/>
      <c r="W85" s="574" t="s">
        <v>864</v>
      </c>
      <c r="X85" s="575"/>
      <c r="Y85" s="576"/>
      <c r="Z85" s="567" t="s">
        <v>1163</v>
      </c>
      <c r="AA85" s="577"/>
      <c r="AB85" s="567"/>
      <c r="AC85" s="573">
        <v>1</v>
      </c>
      <c r="AD85" s="573">
        <v>1</v>
      </c>
    </row>
    <row r="86" spans="1:1018" s="608" customFormat="1" ht="13.5" customHeight="1">
      <c r="A86" s="567">
        <v>68</v>
      </c>
      <c r="B86" s="568"/>
      <c r="C86" s="568" t="s">
        <v>1246</v>
      </c>
      <c r="D86" s="568"/>
      <c r="E86" s="569"/>
      <c r="F86" s="568"/>
      <c r="G86" s="568"/>
      <c r="H86" s="567" t="s">
        <v>1247</v>
      </c>
      <c r="I86" s="571" t="s">
        <v>1248</v>
      </c>
      <c r="J86" s="567"/>
      <c r="K86" s="571" t="s">
        <v>1249</v>
      </c>
      <c r="L86" s="567"/>
      <c r="M86" s="567"/>
      <c r="N86" s="567"/>
      <c r="O86" s="567"/>
      <c r="P86" s="572">
        <v>1</v>
      </c>
      <c r="Q86" s="567" t="s">
        <v>820</v>
      </c>
      <c r="R86" s="567"/>
      <c r="S86" s="567" t="s">
        <v>863</v>
      </c>
      <c r="T86" s="573"/>
      <c r="U86" s="567" t="s">
        <v>1250</v>
      </c>
      <c r="V86" s="574"/>
      <c r="W86" s="574" t="s">
        <v>864</v>
      </c>
      <c r="X86" s="575"/>
      <c r="Y86" s="576"/>
      <c r="Z86" s="567" t="s">
        <v>992</v>
      </c>
      <c r="AA86" s="577"/>
      <c r="AB86" s="567"/>
      <c r="AC86" s="573">
        <v>1</v>
      </c>
      <c r="AD86" s="573">
        <v>1</v>
      </c>
    </row>
    <row r="87" spans="1:1018" s="578" customFormat="1" ht="13.5" customHeight="1">
      <c r="A87" s="567">
        <v>69</v>
      </c>
      <c r="B87" s="568"/>
      <c r="C87" s="568" t="s">
        <v>1251</v>
      </c>
      <c r="D87" s="568"/>
      <c r="E87" s="568"/>
      <c r="F87" s="568"/>
      <c r="G87" s="568"/>
      <c r="H87" s="567" t="s">
        <v>1252</v>
      </c>
      <c r="I87" s="571" t="s">
        <v>1253</v>
      </c>
      <c r="J87" s="567" t="s">
        <v>1227</v>
      </c>
      <c r="K87" s="571" t="s">
        <v>939</v>
      </c>
      <c r="L87" s="567" t="s">
        <v>1254</v>
      </c>
      <c r="M87" s="567" t="s">
        <v>1255</v>
      </c>
      <c r="N87" s="567"/>
      <c r="O87" s="567"/>
      <c r="P87" s="572">
        <v>1</v>
      </c>
      <c r="Q87" s="567" t="s">
        <v>817</v>
      </c>
      <c r="R87" s="567"/>
      <c r="S87" s="567" t="s">
        <v>863</v>
      </c>
      <c r="T87" s="573"/>
      <c r="U87" s="567"/>
      <c r="V87" s="574"/>
      <c r="W87" s="574" t="s">
        <v>864</v>
      </c>
      <c r="X87" s="575"/>
      <c r="Y87" s="576"/>
      <c r="Z87" s="567"/>
      <c r="AA87" s="577"/>
      <c r="AB87" s="567"/>
      <c r="AC87" s="573">
        <v>1</v>
      </c>
      <c r="AD87" s="573">
        <v>1</v>
      </c>
    </row>
    <row r="88" spans="1:1018" s="224" customFormat="1" ht="13.5" customHeight="1">
      <c r="A88" s="225">
        <v>70</v>
      </c>
      <c r="B88" s="217"/>
      <c r="C88" s="591" t="s">
        <v>1256</v>
      </c>
      <c r="D88" s="217"/>
      <c r="E88" s="217"/>
      <c r="F88" s="217"/>
      <c r="G88" s="217"/>
      <c r="H88" s="728" t="s">
        <v>1257</v>
      </c>
      <c r="I88" s="729"/>
      <c r="J88" s="728" t="s">
        <v>1258</v>
      </c>
      <c r="K88" s="729"/>
      <c r="L88" s="728"/>
      <c r="M88" s="728"/>
      <c r="N88" s="728"/>
      <c r="O88" s="728"/>
      <c r="P88" s="730"/>
      <c r="Q88" s="728" t="s">
        <v>820</v>
      </c>
      <c r="R88" s="728" t="s">
        <v>864</v>
      </c>
      <c r="S88" s="243" t="s">
        <v>1258</v>
      </c>
      <c r="T88" s="731"/>
      <c r="U88" s="728"/>
      <c r="V88" s="732" t="s">
        <v>864</v>
      </c>
      <c r="W88" s="732" t="s">
        <v>864</v>
      </c>
      <c r="X88" s="232"/>
      <c r="Y88" s="733"/>
      <c r="Z88" s="728"/>
      <c r="AA88" s="734"/>
      <c r="AB88" s="728"/>
      <c r="AC88" s="731"/>
      <c r="AD88" s="731">
        <v>1</v>
      </c>
    </row>
    <row r="89" spans="1:1018" s="578" customFormat="1" ht="13.5" customHeight="1">
      <c r="A89" s="567">
        <v>71</v>
      </c>
      <c r="B89" s="568"/>
      <c r="C89" s="568"/>
      <c r="D89" s="568" t="s">
        <v>1259</v>
      </c>
      <c r="E89" s="568"/>
      <c r="F89" s="568"/>
      <c r="G89" s="568"/>
      <c r="H89" s="567" t="s">
        <v>1260</v>
      </c>
      <c r="I89" s="571"/>
      <c r="J89" s="567" t="s">
        <v>1261</v>
      </c>
      <c r="K89" s="571" t="s">
        <v>1262</v>
      </c>
      <c r="L89" s="567" t="s">
        <v>1263</v>
      </c>
      <c r="M89" s="567" t="s">
        <v>262</v>
      </c>
      <c r="N89" s="567"/>
      <c r="O89" s="567"/>
      <c r="P89" s="572">
        <v>1</v>
      </c>
      <c r="Q89" s="567" t="s">
        <v>817</v>
      </c>
      <c r="R89" s="567" t="s">
        <v>864</v>
      </c>
      <c r="S89" s="579" t="s">
        <v>1264</v>
      </c>
      <c r="T89" s="573"/>
      <c r="U89" s="567"/>
      <c r="V89" s="574"/>
      <c r="W89" s="574" t="s">
        <v>864</v>
      </c>
      <c r="X89" s="575"/>
      <c r="Y89" s="576"/>
      <c r="Z89" s="567"/>
      <c r="AA89" s="577" t="s">
        <v>1265</v>
      </c>
      <c r="AB89" s="567"/>
      <c r="AC89" s="573"/>
      <c r="AD89" s="573">
        <v>1</v>
      </c>
    </row>
    <row r="90" spans="1:1018" s="578" customFormat="1" ht="13.5" customHeight="1">
      <c r="A90" s="567">
        <v>72</v>
      </c>
      <c r="B90" s="568"/>
      <c r="C90" s="568"/>
      <c r="D90" s="568"/>
      <c r="E90" s="568" t="s">
        <v>1266</v>
      </c>
      <c r="F90" s="568"/>
      <c r="G90" s="568"/>
      <c r="H90" s="567" t="s">
        <v>1267</v>
      </c>
      <c r="I90" s="571" t="s">
        <v>1268</v>
      </c>
      <c r="J90" s="567"/>
      <c r="K90" s="571" t="s">
        <v>970</v>
      </c>
      <c r="L90" s="567"/>
      <c r="M90" s="567"/>
      <c r="N90" s="567"/>
      <c r="O90" s="567"/>
      <c r="P90" s="572"/>
      <c r="Q90" s="567" t="s">
        <v>820</v>
      </c>
      <c r="R90" s="567"/>
      <c r="S90" s="567" t="s">
        <v>863</v>
      </c>
      <c r="T90" s="573"/>
      <c r="U90" s="567" t="s">
        <v>1269</v>
      </c>
      <c r="V90" s="574"/>
      <c r="W90" s="574" t="s">
        <v>864</v>
      </c>
      <c r="X90" s="575"/>
      <c r="Y90" s="576"/>
      <c r="Z90" s="623" t="s">
        <v>1270</v>
      </c>
      <c r="AA90" s="577"/>
      <c r="AB90" s="567"/>
      <c r="AC90" s="573"/>
      <c r="AD90" s="573">
        <v>1</v>
      </c>
    </row>
    <row r="91" spans="1:1018" s="624" customFormat="1" ht="12" customHeight="1">
      <c r="A91" s="567">
        <v>73</v>
      </c>
      <c r="C91" s="578"/>
      <c r="D91" s="578"/>
      <c r="E91" s="578" t="s">
        <v>1271</v>
      </c>
      <c r="F91" s="578"/>
      <c r="G91" s="567"/>
      <c r="H91" s="567" t="s">
        <v>1272</v>
      </c>
      <c r="I91" s="625" t="s">
        <v>1273</v>
      </c>
      <c r="J91" s="567"/>
      <c r="K91" s="571" t="s">
        <v>1120</v>
      </c>
      <c r="L91" s="567"/>
      <c r="M91" s="567"/>
      <c r="N91" s="567"/>
      <c r="O91" s="567"/>
      <c r="P91" s="572"/>
      <c r="Q91" s="567" t="s">
        <v>820</v>
      </c>
      <c r="R91" s="567"/>
      <c r="S91" s="567" t="s">
        <v>863</v>
      </c>
      <c r="T91" s="626"/>
      <c r="U91" s="567"/>
      <c r="V91" s="573"/>
      <c r="W91" s="573" t="s">
        <v>864</v>
      </c>
      <c r="X91" s="575"/>
      <c r="Y91" s="627"/>
      <c r="Z91" s="628"/>
      <c r="AA91" s="629"/>
      <c r="AB91" s="628"/>
      <c r="AC91" s="630"/>
      <c r="AD91" s="573">
        <v>1</v>
      </c>
      <c r="AF91" s="630"/>
      <c r="AMA91" s="630"/>
      <c r="AMB91" s="630"/>
      <c r="AMC91" s="630"/>
      <c r="AMD91" s="630"/>
    </row>
    <row r="92" spans="1:1018" s="224" customFormat="1" ht="13.5" customHeight="1">
      <c r="A92" s="225">
        <v>74</v>
      </c>
      <c r="B92" s="217"/>
      <c r="C92" s="727"/>
      <c r="D92" s="727" t="s">
        <v>1274</v>
      </c>
      <c r="E92" s="219" t="s">
        <v>1275</v>
      </c>
      <c r="F92" s="727"/>
      <c r="G92" s="727"/>
      <c r="H92" s="728" t="s">
        <v>1276</v>
      </c>
      <c r="I92" s="729"/>
      <c r="J92" s="728"/>
      <c r="K92" s="729" t="s">
        <v>1277</v>
      </c>
      <c r="L92" s="728" t="s">
        <v>1278</v>
      </c>
      <c r="M92" s="728" t="s">
        <v>1279</v>
      </c>
      <c r="N92" s="728"/>
      <c r="O92" s="728"/>
      <c r="P92" s="730">
        <v>1</v>
      </c>
      <c r="Q92" s="728" t="s">
        <v>817</v>
      </c>
      <c r="R92" s="728" t="s">
        <v>864</v>
      </c>
      <c r="S92" s="243" t="s">
        <v>1264</v>
      </c>
      <c r="T92" s="731"/>
      <c r="U92" s="728"/>
      <c r="V92" s="732" t="s">
        <v>864</v>
      </c>
      <c r="W92" s="732" t="s">
        <v>864</v>
      </c>
      <c r="X92" s="232"/>
      <c r="Y92" s="733"/>
      <c r="Z92" s="728"/>
      <c r="AA92" s="245" t="s">
        <v>1265</v>
      </c>
      <c r="AB92" s="728"/>
      <c r="AC92" s="731"/>
      <c r="AD92" s="731">
        <v>1</v>
      </c>
    </row>
    <row r="93" spans="1:1018" s="578" customFormat="1" ht="13.5" customHeight="1">
      <c r="A93" s="567">
        <v>75</v>
      </c>
      <c r="B93" s="568"/>
      <c r="C93" s="568"/>
      <c r="D93" s="568" t="s">
        <v>1280</v>
      </c>
      <c r="E93" s="568"/>
      <c r="F93" s="568"/>
      <c r="G93" s="568"/>
      <c r="H93" s="567" t="s">
        <v>1281</v>
      </c>
      <c r="I93" s="571" t="s">
        <v>1282</v>
      </c>
      <c r="J93" s="567" t="s">
        <v>1283</v>
      </c>
      <c r="K93" s="571" t="s">
        <v>1284</v>
      </c>
      <c r="L93" s="567"/>
      <c r="M93" s="567"/>
      <c r="N93" s="567"/>
      <c r="O93" s="567"/>
      <c r="P93" s="572"/>
      <c r="Q93" s="567" t="s">
        <v>817</v>
      </c>
      <c r="R93" s="567"/>
      <c r="S93" s="567" t="s">
        <v>863</v>
      </c>
      <c r="T93" s="573"/>
      <c r="U93" s="567" t="s">
        <v>1222</v>
      </c>
      <c r="V93" s="574"/>
      <c r="W93" s="574" t="s">
        <v>864</v>
      </c>
      <c r="X93" s="575"/>
      <c r="Y93" s="576"/>
      <c r="Z93" s="567"/>
      <c r="AA93" s="577" t="s">
        <v>1285</v>
      </c>
      <c r="AB93" s="567"/>
      <c r="AC93" s="573"/>
      <c r="AD93" s="573">
        <v>1</v>
      </c>
      <c r="AF93" s="622"/>
    </row>
    <row r="94" spans="1:1018" s="620" customFormat="1" ht="13.5" customHeight="1">
      <c r="A94" s="612">
        <v>76</v>
      </c>
      <c r="B94" s="591"/>
      <c r="C94" s="591"/>
      <c r="D94" s="591" t="s">
        <v>1286</v>
      </c>
      <c r="E94" s="591"/>
      <c r="F94" s="591"/>
      <c r="G94" s="591"/>
      <c r="H94" s="612" t="s">
        <v>1287</v>
      </c>
      <c r="I94" s="613" t="s">
        <v>1288</v>
      </c>
      <c r="J94" s="612"/>
      <c r="K94" s="613" t="s">
        <v>970</v>
      </c>
      <c r="L94" s="612"/>
      <c r="M94" s="612"/>
      <c r="N94" s="612"/>
      <c r="O94" s="612"/>
      <c r="P94" s="614"/>
      <c r="Q94" s="612" t="s">
        <v>817</v>
      </c>
      <c r="R94" s="612"/>
      <c r="S94" s="612" t="s">
        <v>863</v>
      </c>
      <c r="T94" s="615"/>
      <c r="U94" s="612"/>
      <c r="V94" s="616" t="s">
        <v>864</v>
      </c>
      <c r="W94" s="616" t="s">
        <v>864</v>
      </c>
      <c r="X94" s="617"/>
      <c r="Y94" s="618" t="s">
        <v>1289</v>
      </c>
      <c r="Z94" s="612" t="s">
        <v>1290</v>
      </c>
      <c r="AA94" s="619" t="s">
        <v>1291</v>
      </c>
      <c r="AB94" s="612"/>
      <c r="AC94" s="615"/>
      <c r="AD94" s="615">
        <v>1</v>
      </c>
      <c r="AF94" s="621"/>
    </row>
    <row r="95" spans="1:1018" s="578" customFormat="1" ht="13.5" customHeight="1">
      <c r="A95" s="567">
        <v>77</v>
      </c>
      <c r="B95" s="568"/>
      <c r="C95" s="568"/>
      <c r="D95" s="568" t="s">
        <v>1292</v>
      </c>
      <c r="E95" s="568"/>
      <c r="F95" s="568"/>
      <c r="G95" s="568"/>
      <c r="H95" s="567" t="s">
        <v>1293</v>
      </c>
      <c r="I95" s="571" t="s">
        <v>1294</v>
      </c>
      <c r="J95" s="567"/>
      <c r="K95" s="571" t="s">
        <v>910</v>
      </c>
      <c r="L95" s="567"/>
      <c r="M95" s="567"/>
      <c r="N95" s="567"/>
      <c r="O95" s="567"/>
      <c r="P95" s="572"/>
      <c r="Q95" s="567" t="s">
        <v>817</v>
      </c>
      <c r="R95" s="567"/>
      <c r="S95" s="567" t="s">
        <v>863</v>
      </c>
      <c r="T95" s="573"/>
      <c r="U95" s="567"/>
      <c r="V95" s="574"/>
      <c r="W95" s="574" t="s">
        <v>864</v>
      </c>
      <c r="X95" s="575"/>
      <c r="Y95" s="576" t="s">
        <v>1295</v>
      </c>
      <c r="Z95" s="567" t="s">
        <v>1290</v>
      </c>
      <c r="AA95" s="577"/>
      <c r="AB95" s="567"/>
      <c r="AC95" s="573"/>
      <c r="AD95" s="573">
        <v>1</v>
      </c>
      <c r="AF95" s="622"/>
    </row>
    <row r="96" spans="1:1018" s="578" customFormat="1" ht="13.5" customHeight="1">
      <c r="A96" s="567">
        <v>78</v>
      </c>
      <c r="B96" s="568"/>
      <c r="C96" s="568"/>
      <c r="D96" s="568" t="s">
        <v>1296</v>
      </c>
      <c r="E96" s="568"/>
      <c r="F96" s="568"/>
      <c r="G96" s="568"/>
      <c r="H96" s="567" t="s">
        <v>1297</v>
      </c>
      <c r="I96" s="571" t="s">
        <v>1298</v>
      </c>
      <c r="J96" s="567" t="s">
        <v>939</v>
      </c>
      <c r="K96" s="571" t="s">
        <v>939</v>
      </c>
      <c r="L96" s="567" t="s">
        <v>1299</v>
      </c>
      <c r="M96" s="567" t="s">
        <v>1300</v>
      </c>
      <c r="N96" s="567"/>
      <c r="O96" s="567"/>
      <c r="P96" s="572">
        <v>1</v>
      </c>
      <c r="Q96" s="567" t="s">
        <v>817</v>
      </c>
      <c r="R96" s="567"/>
      <c r="S96" s="567" t="s">
        <v>863</v>
      </c>
      <c r="T96" s="573"/>
      <c r="U96" s="567"/>
      <c r="V96" s="574"/>
      <c r="W96" s="574" t="s">
        <v>864</v>
      </c>
      <c r="X96" s="575"/>
      <c r="Y96" s="576"/>
      <c r="Z96" s="567"/>
      <c r="AA96" s="577"/>
      <c r="AB96" s="567"/>
      <c r="AC96" s="573"/>
      <c r="AD96" s="573">
        <v>1</v>
      </c>
    </row>
    <row r="97" spans="1:1014" s="224" customFormat="1" ht="13.5" customHeight="1">
      <c r="A97" s="225">
        <v>79</v>
      </c>
      <c r="B97" s="217"/>
      <c r="C97" s="727"/>
      <c r="D97" s="241" t="s">
        <v>1301</v>
      </c>
      <c r="E97" s="727"/>
      <c r="F97" s="241"/>
      <c r="G97" s="241"/>
      <c r="H97" s="728"/>
      <c r="I97" s="729"/>
      <c r="J97" s="728" t="s">
        <v>1302</v>
      </c>
      <c r="K97" s="729" t="s">
        <v>1303</v>
      </c>
      <c r="L97" s="728"/>
      <c r="M97" s="728"/>
      <c r="N97" s="728"/>
      <c r="O97" s="728"/>
      <c r="P97" s="730"/>
      <c r="Q97" s="728" t="s">
        <v>817</v>
      </c>
      <c r="R97" s="728" t="s">
        <v>864</v>
      </c>
      <c r="S97" s="728" t="s">
        <v>1303</v>
      </c>
      <c r="T97" s="731"/>
      <c r="U97" s="728"/>
      <c r="V97" s="732" t="s">
        <v>864</v>
      </c>
      <c r="W97" s="732" t="s">
        <v>864</v>
      </c>
      <c r="X97" s="232"/>
      <c r="Y97" s="733"/>
      <c r="Z97" s="728"/>
      <c r="AA97" s="734"/>
      <c r="AB97" s="728"/>
      <c r="AC97" s="731">
        <v>1</v>
      </c>
      <c r="AD97" s="731">
        <v>1</v>
      </c>
    </row>
    <row r="98" spans="1:1014" s="224" customFormat="1" ht="13.5" customHeight="1">
      <c r="A98" s="225">
        <v>80</v>
      </c>
      <c r="B98" s="217"/>
      <c r="C98" s="727"/>
      <c r="D98" s="727"/>
      <c r="E98" s="727" t="s">
        <v>1304</v>
      </c>
      <c r="F98" s="727"/>
      <c r="G98" s="727"/>
      <c r="H98" s="728" t="s">
        <v>1305</v>
      </c>
      <c r="I98" s="729" t="s">
        <v>1306</v>
      </c>
      <c r="J98" s="728"/>
      <c r="K98" s="729" t="s">
        <v>1087</v>
      </c>
      <c r="L98" s="728" t="s">
        <v>1307</v>
      </c>
      <c r="M98" s="728" t="s">
        <v>1308</v>
      </c>
      <c r="N98" s="728"/>
      <c r="O98" s="728"/>
      <c r="P98" s="730"/>
      <c r="Q98" s="728" t="s">
        <v>820</v>
      </c>
      <c r="R98" s="728"/>
      <c r="S98" s="728" t="s">
        <v>863</v>
      </c>
      <c r="T98" s="731"/>
      <c r="U98" s="728" t="s">
        <v>1309</v>
      </c>
      <c r="V98" s="732" t="s">
        <v>864</v>
      </c>
      <c r="W98" s="732" t="s">
        <v>864</v>
      </c>
      <c r="X98" s="232"/>
      <c r="Y98" s="733"/>
      <c r="Z98" s="728"/>
      <c r="AA98" s="734"/>
      <c r="AB98" s="728"/>
      <c r="AC98" s="731">
        <v>1</v>
      </c>
      <c r="AD98" s="731">
        <v>1</v>
      </c>
    </row>
    <row r="99" spans="1:1014" s="224" customFormat="1" ht="13.5" customHeight="1">
      <c r="A99" s="225">
        <v>81</v>
      </c>
      <c r="B99" s="217"/>
      <c r="C99" s="727"/>
      <c r="D99" s="241"/>
      <c r="E99" s="727" t="s">
        <v>1104</v>
      </c>
      <c r="F99" s="221"/>
      <c r="G99" s="221"/>
      <c r="H99" s="728" t="s">
        <v>1310</v>
      </c>
      <c r="I99" s="728" t="s">
        <v>1134</v>
      </c>
      <c r="J99" s="728"/>
      <c r="K99" s="729" t="s">
        <v>1311</v>
      </c>
      <c r="L99" s="728"/>
      <c r="M99" s="728"/>
      <c r="N99" s="728"/>
      <c r="O99" s="728"/>
      <c r="P99" s="730"/>
      <c r="Q99" s="728" t="s">
        <v>817</v>
      </c>
      <c r="R99" s="728"/>
      <c r="S99" s="728" t="s">
        <v>863</v>
      </c>
      <c r="T99" s="731"/>
      <c r="U99" s="728"/>
      <c r="V99" s="732" t="s">
        <v>864</v>
      </c>
      <c r="W99" s="732" t="s">
        <v>864</v>
      </c>
      <c r="X99" s="232"/>
      <c r="Y99" s="733"/>
      <c r="Z99" s="728"/>
      <c r="AA99" s="734"/>
      <c r="AB99" s="728"/>
      <c r="AC99" s="731">
        <v>1</v>
      </c>
      <c r="AD99" s="731">
        <v>1</v>
      </c>
    </row>
    <row r="100" spans="1:1014" s="244" customFormat="1" ht="14.25" customHeight="1">
      <c r="A100" s="225">
        <v>82</v>
      </c>
      <c r="B100" s="217"/>
      <c r="C100" s="221"/>
      <c r="D100" s="221"/>
      <c r="E100" s="727" t="s">
        <v>1312</v>
      </c>
      <c r="F100" s="221"/>
      <c r="G100" s="221"/>
      <c r="H100" s="728" t="s">
        <v>1313</v>
      </c>
      <c r="I100" s="729" t="s">
        <v>1314</v>
      </c>
      <c r="J100" s="728"/>
      <c r="K100" s="729" t="s">
        <v>1315</v>
      </c>
      <c r="L100" s="728"/>
      <c r="M100" s="728"/>
      <c r="N100" s="728"/>
      <c r="O100" s="728"/>
      <c r="P100" s="730"/>
      <c r="Q100" s="728" t="s">
        <v>817</v>
      </c>
      <c r="R100" s="728"/>
      <c r="S100" s="728" t="s">
        <v>863</v>
      </c>
      <c r="T100" s="731"/>
      <c r="U100" s="728"/>
      <c r="V100" s="732" t="s">
        <v>864</v>
      </c>
      <c r="W100" s="732" t="s">
        <v>864</v>
      </c>
      <c r="X100" s="232"/>
      <c r="Y100" s="733"/>
      <c r="Z100" s="728"/>
      <c r="AA100" s="734"/>
      <c r="AB100" s="728"/>
      <c r="AC100" s="731">
        <v>1</v>
      </c>
      <c r="AD100" s="731">
        <v>1</v>
      </c>
    </row>
    <row r="101" spans="1:1014" s="578" customFormat="1" ht="13.5" customHeight="1">
      <c r="A101" s="567">
        <v>83</v>
      </c>
      <c r="B101" s="568"/>
      <c r="C101" s="568" t="s">
        <v>1316</v>
      </c>
      <c r="D101" s="568"/>
      <c r="E101" s="568"/>
      <c r="F101" s="568"/>
      <c r="G101" s="568"/>
      <c r="H101" s="567" t="s">
        <v>1317</v>
      </c>
      <c r="I101" s="571"/>
      <c r="J101" s="567" t="s">
        <v>908</v>
      </c>
      <c r="K101" s="571" t="s">
        <v>1318</v>
      </c>
      <c r="L101" s="567"/>
      <c r="M101" s="567"/>
      <c r="N101" s="567"/>
      <c r="O101" s="567"/>
      <c r="P101" s="572"/>
      <c r="Q101" s="567" t="s">
        <v>820</v>
      </c>
      <c r="R101" s="567" t="s">
        <v>864</v>
      </c>
      <c r="S101" s="579" t="s">
        <v>1319</v>
      </c>
      <c r="T101" s="573"/>
      <c r="U101" s="567"/>
      <c r="V101" s="574"/>
      <c r="W101" s="574" t="s">
        <v>864</v>
      </c>
      <c r="X101" s="575"/>
      <c r="Y101" s="576"/>
      <c r="Z101" s="567"/>
      <c r="AA101" s="577"/>
      <c r="AB101" s="567"/>
      <c r="AC101" s="573">
        <v>1</v>
      </c>
      <c r="AD101" s="573"/>
    </row>
    <row r="102" spans="1:1014" s="578" customFormat="1" ht="13.5" customHeight="1">
      <c r="A102" s="567">
        <v>84</v>
      </c>
      <c r="B102" s="568"/>
      <c r="C102" s="568"/>
      <c r="D102" s="568" t="s">
        <v>1320</v>
      </c>
      <c r="E102" s="568"/>
      <c r="F102" s="568"/>
      <c r="G102" s="568"/>
      <c r="H102" s="567" t="s">
        <v>1321</v>
      </c>
      <c r="I102" s="571" t="s">
        <v>1322</v>
      </c>
      <c r="J102" s="567"/>
      <c r="K102" s="571" t="s">
        <v>1323</v>
      </c>
      <c r="L102" s="567"/>
      <c r="M102" s="567"/>
      <c r="N102" s="567"/>
      <c r="O102" s="567"/>
      <c r="P102" s="572"/>
      <c r="Q102" s="567" t="s">
        <v>820</v>
      </c>
      <c r="R102" s="567"/>
      <c r="S102" s="567" t="s">
        <v>863</v>
      </c>
      <c r="T102" s="573"/>
      <c r="U102" s="567"/>
      <c r="V102" s="574"/>
      <c r="W102" s="574" t="s">
        <v>864</v>
      </c>
      <c r="X102" s="575"/>
      <c r="Y102" s="576"/>
      <c r="Z102" s="567" t="s">
        <v>1076</v>
      </c>
      <c r="AA102" s="577"/>
      <c r="AB102" s="567"/>
      <c r="AC102" s="573">
        <v>1</v>
      </c>
      <c r="AD102" s="573"/>
    </row>
    <row r="103" spans="1:1014" s="578" customFormat="1" ht="13.5" customHeight="1">
      <c r="A103" s="567">
        <v>85</v>
      </c>
      <c r="B103" s="568"/>
      <c r="C103" s="568"/>
      <c r="D103" s="568" t="s">
        <v>1324</v>
      </c>
      <c r="E103" s="568"/>
      <c r="F103" s="568"/>
      <c r="G103" s="568"/>
      <c r="H103" s="567" t="s">
        <v>1325</v>
      </c>
      <c r="I103" s="571" t="s">
        <v>1268</v>
      </c>
      <c r="J103" s="567"/>
      <c r="K103" s="571" t="s">
        <v>970</v>
      </c>
      <c r="L103" s="567"/>
      <c r="M103" s="567"/>
      <c r="N103" s="567"/>
      <c r="O103" s="567"/>
      <c r="P103" s="572"/>
      <c r="Q103" s="567" t="s">
        <v>820</v>
      </c>
      <c r="R103" s="567"/>
      <c r="S103" s="567" t="s">
        <v>863</v>
      </c>
      <c r="T103" s="573"/>
      <c r="U103" s="567" t="s">
        <v>1269</v>
      </c>
      <c r="V103" s="574"/>
      <c r="W103" s="574" t="s">
        <v>864</v>
      </c>
      <c r="X103" s="575"/>
      <c r="Y103" s="576"/>
      <c r="Z103" s="567"/>
      <c r="AA103" s="577"/>
      <c r="AB103" s="567"/>
      <c r="AC103" s="573">
        <v>1</v>
      </c>
      <c r="AD103" s="573"/>
    </row>
    <row r="104" spans="1:1014" s="630" customFormat="1" ht="17.25" customHeight="1">
      <c r="A104" s="567">
        <v>86</v>
      </c>
      <c r="B104" s="624"/>
      <c r="C104" s="578"/>
      <c r="D104" s="578" t="s">
        <v>1326</v>
      </c>
      <c r="E104" s="578"/>
      <c r="F104" s="578"/>
      <c r="G104" s="567"/>
      <c r="H104" s="567" t="s">
        <v>1327</v>
      </c>
      <c r="I104" s="625" t="s">
        <v>1273</v>
      </c>
      <c r="J104" s="567"/>
      <c r="K104" s="571" t="s">
        <v>1120</v>
      </c>
      <c r="L104" s="567"/>
      <c r="M104" s="567"/>
      <c r="N104" s="567"/>
      <c r="O104" s="567"/>
      <c r="P104" s="572"/>
      <c r="Q104" s="567" t="s">
        <v>820</v>
      </c>
      <c r="R104" s="567"/>
      <c r="S104" s="567" t="s">
        <v>863</v>
      </c>
      <c r="T104" s="626"/>
      <c r="U104" s="628"/>
      <c r="V104" s="573"/>
      <c r="W104" s="573" t="s">
        <v>864</v>
      </c>
      <c r="X104" s="575"/>
      <c r="Y104" s="627"/>
      <c r="Z104" s="628"/>
      <c r="AA104" s="629"/>
      <c r="AB104" s="628"/>
      <c r="AC104" s="631">
        <v>1</v>
      </c>
      <c r="AD104" s="573">
        <v>1</v>
      </c>
      <c r="AE104" s="624"/>
      <c r="AG104" s="624"/>
      <c r="AH104" s="624"/>
      <c r="AI104" s="624"/>
      <c r="AJ104" s="624"/>
      <c r="AK104" s="624"/>
      <c r="AL104" s="624"/>
      <c r="AM104" s="624"/>
      <c r="AN104" s="624"/>
      <c r="AO104" s="624"/>
      <c r="AP104" s="624"/>
      <c r="AQ104" s="624"/>
      <c r="AR104" s="624"/>
      <c r="AS104" s="624"/>
      <c r="AT104" s="624"/>
      <c r="AU104" s="624"/>
      <c r="AV104" s="624"/>
      <c r="AW104" s="624"/>
      <c r="AX104" s="624"/>
      <c r="AY104" s="624"/>
      <c r="AZ104" s="624"/>
      <c r="BA104" s="624"/>
      <c r="BB104" s="624"/>
      <c r="BC104" s="624"/>
      <c r="BD104" s="624"/>
      <c r="BE104" s="624"/>
      <c r="BF104" s="624"/>
      <c r="BG104" s="624"/>
      <c r="BH104" s="624"/>
      <c r="BI104" s="624"/>
      <c r="BJ104" s="624"/>
      <c r="BK104" s="624"/>
      <c r="BL104" s="624"/>
      <c r="BM104" s="624"/>
      <c r="BN104" s="624"/>
      <c r="BO104" s="624"/>
      <c r="BP104" s="624"/>
      <c r="BQ104" s="624"/>
      <c r="BR104" s="624"/>
      <c r="BS104" s="624"/>
      <c r="BT104" s="624"/>
      <c r="BU104" s="624"/>
      <c r="BV104" s="624"/>
      <c r="BW104" s="624"/>
      <c r="BX104" s="624"/>
      <c r="BY104" s="624"/>
      <c r="BZ104" s="624"/>
      <c r="CA104" s="624"/>
      <c r="CB104" s="624"/>
      <c r="CC104" s="624"/>
      <c r="CD104" s="624"/>
      <c r="CE104" s="624"/>
      <c r="CF104" s="624"/>
      <c r="CG104" s="624"/>
      <c r="CH104" s="624"/>
      <c r="CI104" s="624"/>
      <c r="CJ104" s="624"/>
      <c r="CK104" s="624"/>
      <c r="CL104" s="624"/>
      <c r="CM104" s="624"/>
      <c r="CN104" s="624"/>
      <c r="CO104" s="624"/>
      <c r="CP104" s="624"/>
      <c r="CQ104" s="624"/>
      <c r="CR104" s="624"/>
      <c r="CS104" s="624"/>
      <c r="CT104" s="624"/>
      <c r="CU104" s="624"/>
      <c r="CV104" s="624"/>
      <c r="CW104" s="624"/>
      <c r="CX104" s="624"/>
      <c r="CY104" s="624"/>
      <c r="CZ104" s="624"/>
      <c r="DA104" s="624"/>
      <c r="DB104" s="624"/>
      <c r="DC104" s="624"/>
      <c r="DD104" s="624"/>
      <c r="DE104" s="624"/>
      <c r="DF104" s="624"/>
      <c r="DG104" s="624"/>
      <c r="DH104" s="624"/>
      <c r="DI104" s="624"/>
      <c r="DJ104" s="624"/>
      <c r="DK104" s="624"/>
      <c r="DL104" s="624"/>
      <c r="DM104" s="624"/>
      <c r="DN104" s="624"/>
      <c r="DO104" s="624"/>
      <c r="DP104" s="624"/>
      <c r="DQ104" s="624"/>
      <c r="DR104" s="624"/>
      <c r="DS104" s="624"/>
      <c r="DT104" s="624"/>
      <c r="DU104" s="624"/>
      <c r="DV104" s="624"/>
      <c r="DW104" s="624"/>
      <c r="DX104" s="624"/>
      <c r="DY104" s="624"/>
      <c r="DZ104" s="624"/>
      <c r="EA104" s="624"/>
      <c r="EB104" s="624"/>
      <c r="EC104" s="624"/>
      <c r="ED104" s="624"/>
      <c r="EE104" s="624"/>
      <c r="EF104" s="624"/>
      <c r="EG104" s="624"/>
      <c r="EH104" s="624"/>
      <c r="EI104" s="624"/>
      <c r="EJ104" s="624"/>
      <c r="EK104" s="624"/>
      <c r="EL104" s="624"/>
      <c r="EM104" s="624"/>
      <c r="EN104" s="624"/>
      <c r="EO104" s="624"/>
      <c r="EP104" s="624"/>
      <c r="EQ104" s="624"/>
      <c r="ER104" s="624"/>
      <c r="ES104" s="624"/>
      <c r="ET104" s="624"/>
      <c r="EU104" s="624"/>
      <c r="EV104" s="624"/>
      <c r="EW104" s="624"/>
      <c r="EX104" s="624"/>
      <c r="EY104" s="624"/>
      <c r="EZ104" s="624"/>
      <c r="FA104" s="624"/>
      <c r="FB104" s="624"/>
      <c r="FC104" s="624"/>
      <c r="FD104" s="624"/>
      <c r="FE104" s="624"/>
      <c r="FF104" s="624"/>
      <c r="FG104" s="624"/>
      <c r="FH104" s="624"/>
      <c r="FI104" s="624"/>
      <c r="FJ104" s="624"/>
      <c r="FK104" s="624"/>
      <c r="FL104" s="624"/>
      <c r="FM104" s="624"/>
      <c r="FN104" s="624"/>
      <c r="FO104" s="624"/>
      <c r="FP104" s="624"/>
      <c r="FQ104" s="624"/>
      <c r="FR104" s="624"/>
      <c r="FS104" s="624"/>
      <c r="FT104" s="624"/>
      <c r="FU104" s="624"/>
      <c r="FV104" s="624"/>
      <c r="FW104" s="624"/>
      <c r="FX104" s="624"/>
      <c r="FY104" s="624"/>
      <c r="FZ104" s="624"/>
      <c r="GA104" s="624"/>
      <c r="GB104" s="624"/>
      <c r="GC104" s="624"/>
      <c r="GD104" s="624"/>
      <c r="GE104" s="624"/>
      <c r="GF104" s="624"/>
      <c r="GG104" s="624"/>
      <c r="GH104" s="624"/>
      <c r="GI104" s="624"/>
      <c r="GJ104" s="624"/>
      <c r="GK104" s="624"/>
      <c r="GL104" s="624"/>
      <c r="GM104" s="624"/>
      <c r="GN104" s="624"/>
      <c r="GO104" s="624"/>
      <c r="GP104" s="624"/>
      <c r="GQ104" s="624"/>
      <c r="GR104" s="624"/>
      <c r="GS104" s="624"/>
      <c r="GT104" s="624"/>
      <c r="GU104" s="624"/>
      <c r="GV104" s="624"/>
      <c r="GW104" s="624"/>
      <c r="GX104" s="624"/>
      <c r="GY104" s="624"/>
      <c r="GZ104" s="624"/>
      <c r="HA104" s="624"/>
      <c r="HB104" s="624"/>
      <c r="HC104" s="624"/>
      <c r="HD104" s="624"/>
      <c r="HE104" s="624"/>
      <c r="HF104" s="624"/>
      <c r="HG104" s="624"/>
      <c r="HH104" s="624"/>
      <c r="HI104" s="624"/>
      <c r="HJ104" s="624"/>
      <c r="HK104" s="624"/>
      <c r="HL104" s="624"/>
      <c r="HM104" s="624"/>
      <c r="HN104" s="624"/>
      <c r="HO104" s="624"/>
      <c r="HP104" s="624"/>
      <c r="HQ104" s="624"/>
      <c r="HR104" s="624"/>
      <c r="HS104" s="624"/>
      <c r="HT104" s="624"/>
      <c r="HU104" s="624"/>
      <c r="HV104" s="624"/>
      <c r="HW104" s="624"/>
      <c r="HX104" s="624"/>
      <c r="HY104" s="624"/>
      <c r="HZ104" s="624"/>
      <c r="IA104" s="624"/>
      <c r="IB104" s="624"/>
      <c r="IC104" s="624"/>
      <c r="ID104" s="624"/>
      <c r="IE104" s="624"/>
      <c r="IF104" s="624"/>
      <c r="IG104" s="624"/>
      <c r="IH104" s="624"/>
      <c r="II104" s="624"/>
      <c r="IJ104" s="624"/>
      <c r="IK104" s="624"/>
      <c r="IL104" s="624"/>
      <c r="IM104" s="624"/>
      <c r="IN104" s="624"/>
      <c r="IO104" s="624"/>
      <c r="IP104" s="624"/>
      <c r="IQ104" s="624"/>
      <c r="IR104" s="624"/>
      <c r="IS104" s="624"/>
      <c r="IT104" s="624"/>
      <c r="IU104" s="624"/>
      <c r="IV104" s="624"/>
      <c r="IW104" s="624"/>
      <c r="IX104" s="624"/>
      <c r="IY104" s="624"/>
      <c r="IZ104" s="624"/>
      <c r="JA104" s="624"/>
      <c r="JB104" s="624"/>
      <c r="JC104" s="624"/>
      <c r="JD104" s="624"/>
      <c r="JE104" s="624"/>
      <c r="JF104" s="624"/>
      <c r="JG104" s="624"/>
      <c r="JH104" s="624"/>
      <c r="JI104" s="624"/>
      <c r="JJ104" s="624"/>
      <c r="JK104" s="624"/>
      <c r="JL104" s="624"/>
      <c r="JM104" s="624"/>
      <c r="JN104" s="624"/>
      <c r="JO104" s="624"/>
      <c r="JP104" s="624"/>
      <c r="JQ104" s="624"/>
      <c r="JR104" s="624"/>
      <c r="JS104" s="624"/>
      <c r="JT104" s="624"/>
      <c r="JU104" s="624"/>
      <c r="JV104" s="624"/>
      <c r="JW104" s="624"/>
      <c r="JX104" s="624"/>
      <c r="JY104" s="624"/>
      <c r="JZ104" s="624"/>
      <c r="KA104" s="624"/>
      <c r="KB104" s="624"/>
      <c r="KC104" s="624"/>
      <c r="KD104" s="624"/>
      <c r="KE104" s="624"/>
      <c r="KF104" s="624"/>
      <c r="KG104" s="624"/>
      <c r="KH104" s="624"/>
      <c r="KI104" s="624"/>
      <c r="KJ104" s="624"/>
      <c r="KK104" s="624"/>
      <c r="KL104" s="624"/>
      <c r="KM104" s="624"/>
      <c r="KN104" s="624"/>
      <c r="KO104" s="624"/>
      <c r="KP104" s="624"/>
      <c r="KQ104" s="624"/>
      <c r="KR104" s="624"/>
      <c r="KS104" s="624"/>
      <c r="KT104" s="624"/>
      <c r="KU104" s="624"/>
      <c r="KV104" s="624"/>
      <c r="KW104" s="624"/>
      <c r="KX104" s="624"/>
      <c r="KY104" s="624"/>
      <c r="KZ104" s="624"/>
      <c r="LA104" s="624"/>
      <c r="LB104" s="624"/>
      <c r="LC104" s="624"/>
      <c r="LD104" s="624"/>
      <c r="LE104" s="624"/>
      <c r="LF104" s="624"/>
      <c r="LG104" s="624"/>
      <c r="LH104" s="624"/>
      <c r="LI104" s="624"/>
      <c r="LJ104" s="624"/>
      <c r="LK104" s="624"/>
      <c r="LL104" s="624"/>
      <c r="LM104" s="624"/>
      <c r="LN104" s="624"/>
      <c r="LO104" s="624"/>
      <c r="LP104" s="624"/>
      <c r="LQ104" s="624"/>
      <c r="LR104" s="624"/>
      <c r="LS104" s="624"/>
      <c r="LT104" s="624"/>
      <c r="LU104" s="624"/>
      <c r="LV104" s="624"/>
      <c r="LW104" s="624"/>
      <c r="LX104" s="624"/>
      <c r="LY104" s="624"/>
      <c r="LZ104" s="624"/>
      <c r="MA104" s="624"/>
      <c r="MB104" s="624"/>
      <c r="MC104" s="624"/>
      <c r="MD104" s="624"/>
      <c r="ME104" s="624"/>
      <c r="MF104" s="624"/>
      <c r="MG104" s="624"/>
      <c r="MH104" s="624"/>
      <c r="MI104" s="624"/>
      <c r="MJ104" s="624"/>
      <c r="MK104" s="624"/>
      <c r="ML104" s="624"/>
      <c r="MM104" s="624"/>
      <c r="MN104" s="624"/>
      <c r="MO104" s="624"/>
      <c r="MP104" s="624"/>
      <c r="MQ104" s="624"/>
      <c r="MR104" s="624"/>
      <c r="MS104" s="624"/>
      <c r="MT104" s="624"/>
      <c r="MU104" s="624"/>
      <c r="MV104" s="624"/>
      <c r="MW104" s="624"/>
      <c r="MX104" s="624"/>
      <c r="MY104" s="624"/>
      <c r="MZ104" s="624"/>
      <c r="NA104" s="624"/>
      <c r="NB104" s="624"/>
      <c r="NC104" s="624"/>
      <c r="ND104" s="624"/>
      <c r="NE104" s="624"/>
      <c r="NF104" s="624"/>
      <c r="NG104" s="624"/>
      <c r="NH104" s="624"/>
      <c r="NI104" s="624"/>
      <c r="NJ104" s="624"/>
      <c r="NK104" s="624"/>
      <c r="NL104" s="624"/>
      <c r="NM104" s="624"/>
      <c r="NN104" s="624"/>
      <c r="NO104" s="624"/>
      <c r="NP104" s="624"/>
      <c r="NQ104" s="624"/>
      <c r="NR104" s="624"/>
      <c r="NS104" s="624"/>
      <c r="NT104" s="624"/>
      <c r="NU104" s="624"/>
      <c r="NV104" s="624"/>
      <c r="NW104" s="624"/>
      <c r="NX104" s="624"/>
      <c r="NY104" s="624"/>
      <c r="NZ104" s="624"/>
      <c r="OA104" s="624"/>
      <c r="OB104" s="624"/>
      <c r="OC104" s="624"/>
      <c r="OD104" s="624"/>
      <c r="OE104" s="624"/>
      <c r="OF104" s="624"/>
      <c r="OG104" s="624"/>
      <c r="OH104" s="624"/>
      <c r="OI104" s="624"/>
      <c r="OJ104" s="624"/>
      <c r="OK104" s="624"/>
      <c r="OL104" s="624"/>
      <c r="OM104" s="624"/>
      <c r="ON104" s="624"/>
      <c r="OO104" s="624"/>
      <c r="OP104" s="624"/>
      <c r="OQ104" s="624"/>
      <c r="OR104" s="624"/>
      <c r="OS104" s="624"/>
      <c r="OT104" s="624"/>
      <c r="OU104" s="624"/>
      <c r="OV104" s="624"/>
      <c r="OW104" s="624"/>
      <c r="OX104" s="624"/>
      <c r="OY104" s="624"/>
      <c r="OZ104" s="624"/>
      <c r="PA104" s="624"/>
      <c r="PB104" s="624"/>
      <c r="PC104" s="624"/>
      <c r="PD104" s="624"/>
      <c r="PE104" s="624"/>
      <c r="PF104" s="624"/>
      <c r="PG104" s="624"/>
      <c r="PH104" s="624"/>
      <c r="PI104" s="624"/>
      <c r="PJ104" s="624"/>
      <c r="PK104" s="624"/>
      <c r="PL104" s="624"/>
      <c r="PM104" s="624"/>
      <c r="PN104" s="624"/>
      <c r="PO104" s="624"/>
      <c r="PP104" s="624"/>
      <c r="PQ104" s="624"/>
      <c r="PR104" s="624"/>
      <c r="PS104" s="624"/>
      <c r="PT104" s="624"/>
      <c r="PU104" s="624"/>
      <c r="PV104" s="624"/>
      <c r="PW104" s="624"/>
      <c r="PX104" s="624"/>
      <c r="PY104" s="624"/>
      <c r="PZ104" s="624"/>
      <c r="QA104" s="624"/>
      <c r="QB104" s="624"/>
      <c r="QC104" s="624"/>
      <c r="QD104" s="624"/>
      <c r="QE104" s="624"/>
      <c r="QF104" s="624"/>
      <c r="QG104" s="624"/>
      <c r="QH104" s="624"/>
      <c r="QI104" s="624"/>
      <c r="QJ104" s="624"/>
      <c r="QK104" s="624"/>
      <c r="QL104" s="624"/>
      <c r="QM104" s="624"/>
      <c r="QN104" s="624"/>
      <c r="QO104" s="624"/>
      <c r="QP104" s="624"/>
      <c r="QQ104" s="624"/>
      <c r="QR104" s="624"/>
      <c r="QS104" s="624"/>
      <c r="QT104" s="624"/>
      <c r="QU104" s="624"/>
      <c r="QV104" s="624"/>
      <c r="QW104" s="624"/>
      <c r="QX104" s="624"/>
      <c r="QY104" s="624"/>
      <c r="QZ104" s="624"/>
      <c r="RA104" s="624"/>
      <c r="RB104" s="624"/>
      <c r="RC104" s="624"/>
      <c r="RD104" s="624"/>
      <c r="RE104" s="624"/>
      <c r="RF104" s="624"/>
      <c r="RG104" s="624"/>
      <c r="RH104" s="624"/>
      <c r="RI104" s="624"/>
      <c r="RJ104" s="624"/>
      <c r="RK104" s="624"/>
      <c r="RL104" s="624"/>
      <c r="RM104" s="624"/>
      <c r="RN104" s="624"/>
      <c r="RO104" s="624"/>
      <c r="RP104" s="624"/>
      <c r="RQ104" s="624"/>
      <c r="RR104" s="624"/>
      <c r="RS104" s="624"/>
      <c r="RT104" s="624"/>
      <c r="RU104" s="624"/>
      <c r="RV104" s="624"/>
      <c r="RW104" s="624"/>
      <c r="RX104" s="624"/>
      <c r="RY104" s="624"/>
      <c r="RZ104" s="624"/>
      <c r="SA104" s="624"/>
      <c r="SB104" s="624"/>
      <c r="SC104" s="624"/>
      <c r="SD104" s="624"/>
      <c r="SE104" s="624"/>
      <c r="SF104" s="624"/>
      <c r="SG104" s="624"/>
      <c r="SH104" s="624"/>
      <c r="SI104" s="624"/>
      <c r="SJ104" s="624"/>
      <c r="SK104" s="624"/>
      <c r="SL104" s="624"/>
      <c r="SM104" s="624"/>
      <c r="SN104" s="624"/>
      <c r="SO104" s="624"/>
      <c r="SP104" s="624"/>
      <c r="SQ104" s="624"/>
      <c r="SR104" s="624"/>
      <c r="SS104" s="624"/>
      <c r="ST104" s="624"/>
      <c r="SU104" s="624"/>
      <c r="SV104" s="624"/>
      <c r="SW104" s="624"/>
      <c r="SX104" s="624"/>
      <c r="SY104" s="624"/>
      <c r="SZ104" s="624"/>
      <c r="TA104" s="624"/>
      <c r="TB104" s="624"/>
      <c r="TC104" s="624"/>
      <c r="TD104" s="624"/>
      <c r="TE104" s="624"/>
      <c r="TF104" s="624"/>
      <c r="TG104" s="624"/>
      <c r="TH104" s="624"/>
      <c r="TI104" s="624"/>
      <c r="TJ104" s="624"/>
      <c r="TK104" s="624"/>
      <c r="TL104" s="624"/>
      <c r="TM104" s="624"/>
      <c r="TN104" s="624"/>
      <c r="TO104" s="624"/>
      <c r="TP104" s="624"/>
      <c r="TQ104" s="624"/>
      <c r="TR104" s="624"/>
      <c r="TS104" s="624"/>
      <c r="TT104" s="624"/>
      <c r="TU104" s="624"/>
      <c r="TV104" s="624"/>
      <c r="TW104" s="624"/>
      <c r="TX104" s="624"/>
      <c r="TY104" s="624"/>
      <c r="TZ104" s="624"/>
      <c r="UA104" s="624"/>
      <c r="UB104" s="624"/>
      <c r="UC104" s="624"/>
      <c r="UD104" s="624"/>
      <c r="UE104" s="624"/>
      <c r="UF104" s="624"/>
      <c r="UG104" s="624"/>
      <c r="UH104" s="624"/>
      <c r="UI104" s="624"/>
      <c r="UJ104" s="624"/>
      <c r="UK104" s="624"/>
      <c r="UL104" s="624"/>
      <c r="UM104" s="624"/>
      <c r="UN104" s="624"/>
      <c r="UO104" s="624"/>
      <c r="UP104" s="624"/>
      <c r="UQ104" s="624"/>
      <c r="UR104" s="624"/>
      <c r="US104" s="624"/>
      <c r="UT104" s="624"/>
      <c r="UU104" s="624"/>
      <c r="UV104" s="624"/>
      <c r="UW104" s="624"/>
      <c r="UX104" s="624"/>
      <c r="UY104" s="624"/>
      <c r="UZ104" s="624"/>
      <c r="VA104" s="624"/>
      <c r="VB104" s="624"/>
      <c r="VC104" s="624"/>
      <c r="VD104" s="624"/>
      <c r="VE104" s="624"/>
      <c r="VF104" s="624"/>
      <c r="VG104" s="624"/>
      <c r="VH104" s="624"/>
      <c r="VI104" s="624"/>
      <c r="VJ104" s="624"/>
      <c r="VK104" s="624"/>
      <c r="VL104" s="624"/>
      <c r="VM104" s="624"/>
      <c r="VN104" s="624"/>
      <c r="VO104" s="624"/>
      <c r="VP104" s="624"/>
      <c r="VQ104" s="624"/>
      <c r="VR104" s="624"/>
      <c r="VS104" s="624"/>
      <c r="VT104" s="624"/>
      <c r="VU104" s="624"/>
      <c r="VV104" s="624"/>
      <c r="VW104" s="624"/>
      <c r="VX104" s="624"/>
      <c r="VY104" s="624"/>
      <c r="VZ104" s="624"/>
      <c r="WA104" s="624"/>
      <c r="WB104" s="624"/>
      <c r="WC104" s="624"/>
      <c r="WD104" s="624"/>
      <c r="WE104" s="624"/>
      <c r="WF104" s="624"/>
      <c r="WG104" s="624"/>
      <c r="WH104" s="624"/>
      <c r="WI104" s="624"/>
      <c r="WJ104" s="624"/>
      <c r="WK104" s="624"/>
      <c r="WL104" s="624"/>
      <c r="WM104" s="624"/>
      <c r="WN104" s="624"/>
      <c r="WO104" s="624"/>
      <c r="WP104" s="624"/>
      <c r="WQ104" s="624"/>
      <c r="WR104" s="624"/>
      <c r="WS104" s="624"/>
      <c r="WT104" s="624"/>
      <c r="WU104" s="624"/>
      <c r="WV104" s="624"/>
      <c r="WW104" s="624"/>
      <c r="WX104" s="624"/>
      <c r="WY104" s="624"/>
      <c r="WZ104" s="624"/>
      <c r="XA104" s="624"/>
      <c r="XB104" s="624"/>
      <c r="XC104" s="624"/>
      <c r="XD104" s="624"/>
      <c r="XE104" s="624"/>
      <c r="XF104" s="624"/>
      <c r="XG104" s="624"/>
      <c r="XH104" s="624"/>
      <c r="XI104" s="624"/>
      <c r="XJ104" s="624"/>
      <c r="XK104" s="624"/>
      <c r="XL104" s="624"/>
      <c r="XM104" s="624"/>
      <c r="XN104" s="624"/>
      <c r="XO104" s="624"/>
      <c r="XP104" s="624"/>
      <c r="XQ104" s="624"/>
      <c r="XR104" s="624"/>
      <c r="XS104" s="624"/>
      <c r="XT104" s="624"/>
      <c r="XU104" s="624"/>
      <c r="XV104" s="624"/>
      <c r="XW104" s="624"/>
      <c r="XX104" s="624"/>
      <c r="XY104" s="624"/>
      <c r="XZ104" s="624"/>
      <c r="YA104" s="624"/>
      <c r="YB104" s="624"/>
      <c r="YC104" s="624"/>
      <c r="YD104" s="624"/>
      <c r="YE104" s="624"/>
      <c r="YF104" s="624"/>
      <c r="YG104" s="624"/>
      <c r="YH104" s="624"/>
      <c r="YI104" s="624"/>
      <c r="YJ104" s="624"/>
      <c r="YK104" s="624"/>
      <c r="YL104" s="624"/>
      <c r="YM104" s="624"/>
      <c r="YN104" s="624"/>
      <c r="YO104" s="624"/>
      <c r="YP104" s="624"/>
      <c r="YQ104" s="624"/>
      <c r="YR104" s="624"/>
      <c r="YS104" s="624"/>
      <c r="YT104" s="624"/>
      <c r="YU104" s="624"/>
      <c r="YV104" s="624"/>
      <c r="YW104" s="624"/>
      <c r="YX104" s="624"/>
      <c r="YY104" s="624"/>
      <c r="YZ104" s="624"/>
      <c r="ZA104" s="624"/>
      <c r="ZB104" s="624"/>
      <c r="ZC104" s="624"/>
      <c r="ZD104" s="624"/>
      <c r="ZE104" s="624"/>
      <c r="ZF104" s="624"/>
      <c r="ZG104" s="624"/>
      <c r="ZH104" s="624"/>
      <c r="ZI104" s="624"/>
      <c r="ZJ104" s="624"/>
      <c r="ZK104" s="624"/>
      <c r="ZL104" s="624"/>
      <c r="ZM104" s="624"/>
      <c r="ZN104" s="624"/>
      <c r="ZO104" s="624"/>
      <c r="ZP104" s="624"/>
      <c r="ZQ104" s="624"/>
      <c r="ZR104" s="624"/>
      <c r="ZS104" s="624"/>
      <c r="ZT104" s="624"/>
      <c r="ZU104" s="624"/>
      <c r="ZV104" s="624"/>
      <c r="ZW104" s="624"/>
      <c r="ZX104" s="624"/>
      <c r="ZY104" s="624"/>
      <c r="ZZ104" s="624"/>
      <c r="AAA104" s="624"/>
      <c r="AAB104" s="624"/>
      <c r="AAC104" s="624"/>
      <c r="AAD104" s="624"/>
      <c r="AAE104" s="624"/>
      <c r="AAF104" s="624"/>
      <c r="AAG104" s="624"/>
      <c r="AAH104" s="624"/>
      <c r="AAI104" s="624"/>
      <c r="AAJ104" s="624"/>
      <c r="AAK104" s="624"/>
      <c r="AAL104" s="624"/>
      <c r="AAM104" s="624"/>
      <c r="AAN104" s="624"/>
      <c r="AAO104" s="624"/>
      <c r="AAP104" s="624"/>
      <c r="AAQ104" s="624"/>
      <c r="AAR104" s="624"/>
      <c r="AAS104" s="624"/>
      <c r="AAT104" s="624"/>
      <c r="AAU104" s="624"/>
      <c r="AAV104" s="624"/>
      <c r="AAW104" s="624"/>
      <c r="AAX104" s="624"/>
      <c r="AAY104" s="624"/>
      <c r="AAZ104" s="624"/>
      <c r="ABA104" s="624"/>
      <c r="ABB104" s="624"/>
      <c r="ABC104" s="624"/>
      <c r="ABD104" s="624"/>
      <c r="ABE104" s="624"/>
      <c r="ABF104" s="624"/>
      <c r="ABG104" s="624"/>
      <c r="ABH104" s="624"/>
      <c r="ABI104" s="624"/>
      <c r="ABJ104" s="624"/>
      <c r="ABK104" s="624"/>
      <c r="ABL104" s="624"/>
      <c r="ABM104" s="624"/>
      <c r="ABN104" s="624"/>
      <c r="ABO104" s="624"/>
      <c r="ABP104" s="624"/>
      <c r="ABQ104" s="624"/>
      <c r="ABR104" s="624"/>
      <c r="ABS104" s="624"/>
      <c r="ABT104" s="624"/>
      <c r="ABU104" s="624"/>
      <c r="ABV104" s="624"/>
      <c r="ABW104" s="624"/>
      <c r="ABX104" s="624"/>
      <c r="ABY104" s="624"/>
      <c r="ABZ104" s="624"/>
      <c r="ACA104" s="624"/>
      <c r="ACB104" s="624"/>
      <c r="ACC104" s="624"/>
      <c r="ACD104" s="624"/>
      <c r="ACE104" s="624"/>
      <c r="ACF104" s="624"/>
      <c r="ACG104" s="624"/>
      <c r="ACH104" s="624"/>
      <c r="ACI104" s="624"/>
      <c r="ACJ104" s="624"/>
      <c r="ACK104" s="624"/>
      <c r="ACL104" s="624"/>
      <c r="ACM104" s="624"/>
      <c r="ACN104" s="624"/>
      <c r="ACO104" s="624"/>
      <c r="ACP104" s="624"/>
      <c r="ACQ104" s="624"/>
      <c r="ACR104" s="624"/>
      <c r="ACS104" s="624"/>
      <c r="ACT104" s="624"/>
      <c r="ACU104" s="624"/>
      <c r="ACV104" s="624"/>
      <c r="ACW104" s="624"/>
      <c r="ACX104" s="624"/>
      <c r="ACY104" s="624"/>
      <c r="ACZ104" s="624"/>
      <c r="ADA104" s="624"/>
      <c r="ADB104" s="624"/>
      <c r="ADC104" s="624"/>
      <c r="ADD104" s="624"/>
      <c r="ADE104" s="624"/>
      <c r="ADF104" s="624"/>
      <c r="ADG104" s="624"/>
      <c r="ADH104" s="624"/>
      <c r="ADI104" s="624"/>
      <c r="ADJ104" s="624"/>
      <c r="ADK104" s="624"/>
      <c r="ADL104" s="624"/>
      <c r="ADM104" s="624"/>
      <c r="ADN104" s="624"/>
      <c r="ADO104" s="624"/>
      <c r="ADP104" s="624"/>
      <c r="ADQ104" s="624"/>
      <c r="ADR104" s="624"/>
      <c r="ADS104" s="624"/>
      <c r="ADT104" s="624"/>
      <c r="ADU104" s="624"/>
      <c r="ADV104" s="624"/>
      <c r="ADW104" s="624"/>
      <c r="ADX104" s="624"/>
      <c r="ADY104" s="624"/>
      <c r="ADZ104" s="624"/>
      <c r="AEA104" s="624"/>
      <c r="AEB104" s="624"/>
      <c r="AEC104" s="624"/>
      <c r="AED104" s="624"/>
      <c r="AEE104" s="624"/>
      <c r="AEF104" s="624"/>
      <c r="AEG104" s="624"/>
      <c r="AEH104" s="624"/>
      <c r="AEI104" s="624"/>
      <c r="AEJ104" s="624"/>
      <c r="AEK104" s="624"/>
      <c r="AEL104" s="624"/>
      <c r="AEM104" s="624"/>
      <c r="AEN104" s="624"/>
      <c r="AEO104" s="624"/>
      <c r="AEP104" s="624"/>
      <c r="AEQ104" s="624"/>
      <c r="AER104" s="624"/>
      <c r="AES104" s="624"/>
      <c r="AET104" s="624"/>
      <c r="AEU104" s="624"/>
      <c r="AEV104" s="624"/>
      <c r="AEW104" s="624"/>
      <c r="AEX104" s="624"/>
      <c r="AEY104" s="624"/>
      <c r="AEZ104" s="624"/>
      <c r="AFA104" s="624"/>
      <c r="AFB104" s="624"/>
      <c r="AFC104" s="624"/>
      <c r="AFD104" s="624"/>
      <c r="AFE104" s="624"/>
      <c r="AFF104" s="624"/>
      <c r="AFG104" s="624"/>
      <c r="AFH104" s="624"/>
      <c r="AFI104" s="624"/>
      <c r="AFJ104" s="624"/>
      <c r="AFK104" s="624"/>
      <c r="AFL104" s="624"/>
      <c r="AFM104" s="624"/>
      <c r="AFN104" s="624"/>
      <c r="AFO104" s="624"/>
      <c r="AFP104" s="624"/>
      <c r="AFQ104" s="624"/>
      <c r="AFR104" s="624"/>
      <c r="AFS104" s="624"/>
      <c r="AFT104" s="624"/>
      <c r="AFU104" s="624"/>
      <c r="AFV104" s="624"/>
      <c r="AFW104" s="624"/>
      <c r="AFX104" s="624"/>
      <c r="AFY104" s="624"/>
      <c r="AFZ104" s="624"/>
      <c r="AGA104" s="624"/>
      <c r="AGB104" s="624"/>
      <c r="AGC104" s="624"/>
      <c r="AGD104" s="624"/>
      <c r="AGE104" s="624"/>
      <c r="AGF104" s="624"/>
      <c r="AGG104" s="624"/>
      <c r="AGH104" s="624"/>
      <c r="AGI104" s="624"/>
      <c r="AGJ104" s="624"/>
      <c r="AGK104" s="624"/>
      <c r="AGL104" s="624"/>
      <c r="AGM104" s="624"/>
      <c r="AGN104" s="624"/>
      <c r="AGO104" s="624"/>
      <c r="AGP104" s="624"/>
      <c r="AGQ104" s="624"/>
      <c r="AGR104" s="624"/>
      <c r="AGS104" s="624"/>
      <c r="AGT104" s="624"/>
      <c r="AGU104" s="624"/>
      <c r="AGV104" s="624"/>
      <c r="AGW104" s="624"/>
      <c r="AGX104" s="624"/>
      <c r="AGY104" s="624"/>
      <c r="AGZ104" s="624"/>
      <c r="AHA104" s="624"/>
      <c r="AHB104" s="624"/>
      <c r="AHC104" s="624"/>
      <c r="AHD104" s="624"/>
      <c r="AHE104" s="624"/>
      <c r="AHF104" s="624"/>
      <c r="AHG104" s="624"/>
      <c r="AHH104" s="624"/>
      <c r="AHI104" s="624"/>
      <c r="AHJ104" s="624"/>
      <c r="AHK104" s="624"/>
      <c r="AHL104" s="624"/>
      <c r="AHM104" s="624"/>
      <c r="AHN104" s="624"/>
      <c r="AHO104" s="624"/>
      <c r="AHP104" s="624"/>
      <c r="AHQ104" s="624"/>
      <c r="AHR104" s="624"/>
      <c r="AHS104" s="624"/>
      <c r="AHT104" s="624"/>
      <c r="AHU104" s="624"/>
      <c r="AHV104" s="624"/>
      <c r="AHW104" s="624"/>
      <c r="AHX104" s="624"/>
      <c r="AHY104" s="624"/>
      <c r="AHZ104" s="624"/>
      <c r="AIA104" s="624"/>
      <c r="AIB104" s="624"/>
      <c r="AIC104" s="624"/>
      <c r="AID104" s="624"/>
      <c r="AIE104" s="624"/>
      <c r="AIF104" s="624"/>
      <c r="AIG104" s="624"/>
      <c r="AIH104" s="624"/>
      <c r="AII104" s="624"/>
      <c r="AIJ104" s="624"/>
      <c r="AIK104" s="624"/>
      <c r="AIL104" s="624"/>
      <c r="AIM104" s="624"/>
      <c r="AIN104" s="624"/>
      <c r="AIO104" s="624"/>
      <c r="AIP104" s="624"/>
      <c r="AIQ104" s="624"/>
      <c r="AIR104" s="624"/>
      <c r="AIS104" s="624"/>
      <c r="AIT104" s="624"/>
      <c r="AIU104" s="624"/>
      <c r="AIV104" s="624"/>
      <c r="AIW104" s="624"/>
      <c r="AIX104" s="624"/>
      <c r="AIY104" s="624"/>
      <c r="AIZ104" s="624"/>
      <c r="AJA104" s="624"/>
      <c r="AJB104" s="624"/>
      <c r="AJC104" s="624"/>
      <c r="AJD104" s="624"/>
      <c r="AJE104" s="624"/>
      <c r="AJF104" s="624"/>
      <c r="AJG104" s="624"/>
      <c r="AJH104" s="624"/>
      <c r="AJI104" s="624"/>
      <c r="AJJ104" s="624"/>
      <c r="AJK104" s="624"/>
      <c r="AJL104" s="624"/>
      <c r="AJM104" s="624"/>
      <c r="AJN104" s="624"/>
      <c r="AJO104" s="624"/>
      <c r="AJP104" s="624"/>
      <c r="AJQ104" s="624"/>
      <c r="AJR104" s="624"/>
      <c r="AJS104" s="624"/>
      <c r="AJT104" s="624"/>
      <c r="AJU104" s="624"/>
      <c r="AJV104" s="624"/>
      <c r="AJW104" s="624"/>
      <c r="AJX104" s="624"/>
      <c r="AJY104" s="624"/>
      <c r="AJZ104" s="624"/>
      <c r="AKA104" s="624"/>
      <c r="AKB104" s="624"/>
      <c r="AKC104" s="624"/>
      <c r="AKD104" s="624"/>
      <c r="AKE104" s="624"/>
      <c r="AKF104" s="624"/>
      <c r="AKG104" s="624"/>
      <c r="AKH104" s="624"/>
      <c r="AKI104" s="624"/>
      <c r="AKJ104" s="624"/>
      <c r="AKK104" s="624"/>
      <c r="AKL104" s="624"/>
      <c r="AKM104" s="624"/>
      <c r="AKN104" s="624"/>
      <c r="AKO104" s="624"/>
      <c r="AKP104" s="624"/>
      <c r="AKQ104" s="624"/>
      <c r="AKR104" s="624"/>
      <c r="AKS104" s="624"/>
      <c r="AKT104" s="624"/>
      <c r="AKU104" s="624"/>
      <c r="AKV104" s="624"/>
      <c r="AKW104" s="624"/>
      <c r="AKX104" s="624"/>
      <c r="AKY104" s="624"/>
      <c r="AKZ104" s="624"/>
      <c r="ALA104" s="624"/>
      <c r="ALB104" s="624"/>
      <c r="ALC104" s="624"/>
      <c r="ALD104" s="624"/>
      <c r="ALE104" s="624"/>
      <c r="ALF104" s="624"/>
      <c r="ALG104" s="624"/>
      <c r="ALH104" s="624"/>
      <c r="ALI104" s="624"/>
      <c r="ALJ104" s="624"/>
      <c r="ALK104" s="624"/>
      <c r="ALL104" s="624"/>
      <c r="ALM104" s="624"/>
      <c r="ALN104" s="624"/>
      <c r="ALO104" s="624"/>
      <c r="ALP104" s="624"/>
      <c r="ALQ104" s="624"/>
      <c r="ALR104" s="624"/>
      <c r="ALS104" s="624"/>
      <c r="ALT104" s="624"/>
      <c r="ALU104" s="624"/>
      <c r="ALV104" s="624"/>
      <c r="ALW104" s="624"/>
      <c r="ALX104" s="624"/>
      <c r="ALY104" s="624"/>
      <c r="ALZ104" s="624"/>
    </row>
    <row r="105" spans="1:1014" s="578" customFormat="1" ht="13.5" customHeight="1">
      <c r="A105" s="567">
        <v>87</v>
      </c>
      <c r="B105" s="568"/>
      <c r="C105" s="568" t="s">
        <v>1328</v>
      </c>
      <c r="D105" s="568" t="s">
        <v>1329</v>
      </c>
      <c r="E105" s="632"/>
      <c r="F105" s="568"/>
      <c r="G105" s="568"/>
      <c r="H105" s="567" t="s">
        <v>1330</v>
      </c>
      <c r="I105" s="571"/>
      <c r="J105" s="567" t="s">
        <v>1331</v>
      </c>
      <c r="K105" s="571" t="s">
        <v>1054</v>
      </c>
      <c r="L105" s="567" t="s">
        <v>1332</v>
      </c>
      <c r="M105" s="567" t="s">
        <v>1333</v>
      </c>
      <c r="N105" s="567"/>
      <c r="O105" s="567"/>
      <c r="P105" s="572"/>
      <c r="Q105" s="567" t="s">
        <v>820</v>
      </c>
      <c r="R105" s="567" t="s">
        <v>864</v>
      </c>
      <c r="S105" s="579" t="s">
        <v>1054</v>
      </c>
      <c r="T105" s="633"/>
      <c r="U105" s="567"/>
      <c r="V105" s="574"/>
      <c r="W105" s="574" t="s">
        <v>864</v>
      </c>
      <c r="X105" s="575"/>
      <c r="Y105" s="634"/>
      <c r="Z105" s="567"/>
      <c r="AA105" s="577"/>
      <c r="AB105" s="567"/>
      <c r="AC105" s="573">
        <v>1</v>
      </c>
      <c r="AD105" s="573">
        <v>1</v>
      </c>
    </row>
    <row r="106" spans="1:1014" s="578" customFormat="1" ht="13.5" customHeight="1">
      <c r="A106" s="567">
        <v>88</v>
      </c>
      <c r="B106" s="568"/>
      <c r="C106" s="568" t="s">
        <v>972</v>
      </c>
      <c r="D106" s="568" t="s">
        <v>1334</v>
      </c>
      <c r="E106" s="568"/>
      <c r="F106" s="568"/>
      <c r="G106" s="568"/>
      <c r="H106" s="567" t="s">
        <v>1335</v>
      </c>
      <c r="I106" s="571"/>
      <c r="J106" s="567" t="s">
        <v>974</v>
      </c>
      <c r="K106" s="571" t="s">
        <v>975</v>
      </c>
      <c r="L106" s="567"/>
      <c r="M106" s="567"/>
      <c r="N106" s="567"/>
      <c r="O106" s="567"/>
      <c r="P106" s="572"/>
      <c r="Q106" s="567" t="s">
        <v>820</v>
      </c>
      <c r="R106" s="567" t="s">
        <v>864</v>
      </c>
      <c r="S106" s="579" t="s">
        <v>975</v>
      </c>
      <c r="T106" s="573"/>
      <c r="U106" s="567"/>
      <c r="V106" s="574"/>
      <c r="W106" s="574" t="s">
        <v>864</v>
      </c>
      <c r="X106" s="575"/>
      <c r="Y106" s="576"/>
      <c r="Z106" s="567"/>
      <c r="AA106" s="577"/>
      <c r="AB106" s="567"/>
      <c r="AC106" s="573">
        <v>1</v>
      </c>
      <c r="AD106" s="573">
        <v>1</v>
      </c>
    </row>
    <row r="107" spans="1:1014" s="578" customFormat="1" ht="13.5" customHeight="1">
      <c r="A107" s="567">
        <v>89</v>
      </c>
      <c r="B107" s="568"/>
      <c r="C107" s="568" t="s">
        <v>1336</v>
      </c>
      <c r="D107" s="568"/>
      <c r="E107" s="568"/>
      <c r="F107" s="568"/>
      <c r="G107" s="568"/>
      <c r="H107" s="567" t="s">
        <v>1337</v>
      </c>
      <c r="I107" s="571"/>
      <c r="J107" s="567" t="s">
        <v>1338</v>
      </c>
      <c r="K107" s="571" t="s">
        <v>1338</v>
      </c>
      <c r="L107" s="567"/>
      <c r="M107" s="567"/>
      <c r="N107" s="567"/>
      <c r="O107" s="567"/>
      <c r="P107" s="572"/>
      <c r="Q107" s="567" t="s">
        <v>820</v>
      </c>
      <c r="R107" s="567" t="s">
        <v>864</v>
      </c>
      <c r="S107" s="579" t="s">
        <v>1338</v>
      </c>
      <c r="T107" s="573"/>
      <c r="U107" s="567"/>
      <c r="V107" s="574"/>
      <c r="W107" s="574" t="s">
        <v>864</v>
      </c>
      <c r="X107" s="575"/>
      <c r="Y107" s="576"/>
      <c r="Z107" s="567"/>
      <c r="AA107" s="577"/>
      <c r="AB107" s="567"/>
      <c r="AC107" s="573">
        <v>1</v>
      </c>
      <c r="AD107" s="573">
        <v>1</v>
      </c>
    </row>
    <row r="108" spans="1:1014" s="578" customFormat="1" ht="13.5" customHeight="1">
      <c r="A108" s="567">
        <v>90</v>
      </c>
      <c r="B108" s="568"/>
      <c r="C108" s="568"/>
      <c r="D108" s="568" t="s">
        <v>1339</v>
      </c>
      <c r="E108" s="568"/>
      <c r="F108" s="568"/>
      <c r="G108" s="568"/>
      <c r="H108" s="567" t="s">
        <v>1340</v>
      </c>
      <c r="I108" s="571" t="s">
        <v>1341</v>
      </c>
      <c r="J108" s="567" t="s">
        <v>1342</v>
      </c>
      <c r="K108" s="571"/>
      <c r="L108" s="567"/>
      <c r="M108" s="567"/>
      <c r="N108" s="567"/>
      <c r="O108" s="567"/>
      <c r="P108" s="572"/>
      <c r="Q108" s="567" t="s">
        <v>820</v>
      </c>
      <c r="R108" s="567"/>
      <c r="S108" s="567" t="s">
        <v>863</v>
      </c>
      <c r="T108" s="573"/>
      <c r="U108" s="567"/>
      <c r="V108" s="574"/>
      <c r="W108" s="574" t="s">
        <v>864</v>
      </c>
      <c r="X108" s="575"/>
      <c r="Y108" s="576"/>
      <c r="Z108" s="567" t="s">
        <v>1076</v>
      </c>
      <c r="AA108" s="577"/>
      <c r="AB108" s="567"/>
      <c r="AC108" s="573"/>
      <c r="AD108" s="573">
        <v>1</v>
      </c>
    </row>
    <row r="109" spans="1:1014" s="578" customFormat="1" ht="13.5" customHeight="1">
      <c r="A109" s="567">
        <v>91</v>
      </c>
      <c r="B109" s="568"/>
      <c r="C109" s="568"/>
      <c r="D109" s="568" t="s">
        <v>1343</v>
      </c>
      <c r="E109" s="568"/>
      <c r="F109" s="568"/>
      <c r="G109" s="568"/>
      <c r="H109" s="567" t="s">
        <v>1344</v>
      </c>
      <c r="I109" s="571" t="s">
        <v>1345</v>
      </c>
      <c r="J109" s="567" t="s">
        <v>1346</v>
      </c>
      <c r="K109" s="571"/>
      <c r="L109" s="567"/>
      <c r="M109" s="567"/>
      <c r="N109" s="567"/>
      <c r="O109" s="567"/>
      <c r="P109" s="572"/>
      <c r="Q109" s="567" t="s">
        <v>820</v>
      </c>
      <c r="R109" s="567"/>
      <c r="S109" s="567" t="s">
        <v>863</v>
      </c>
      <c r="T109" s="573"/>
      <c r="U109" s="567"/>
      <c r="V109" s="574"/>
      <c r="W109" s="574" t="s">
        <v>864</v>
      </c>
      <c r="X109" s="575"/>
      <c r="Y109" s="576"/>
      <c r="Z109" s="567" t="s">
        <v>1347</v>
      </c>
      <c r="AA109" s="577"/>
      <c r="AB109" s="567"/>
      <c r="AC109" s="573"/>
      <c r="AD109" s="573">
        <v>1</v>
      </c>
    </row>
    <row r="110" spans="1:1014" s="578" customFormat="1" ht="13.5" customHeight="1">
      <c r="A110" s="567">
        <v>92</v>
      </c>
      <c r="B110" s="568"/>
      <c r="C110" s="568"/>
      <c r="D110" s="568" t="s">
        <v>1348</v>
      </c>
      <c r="E110" s="568"/>
      <c r="F110" s="568"/>
      <c r="G110" s="568"/>
      <c r="H110" s="567" t="s">
        <v>1349</v>
      </c>
      <c r="I110" s="571" t="s">
        <v>1350</v>
      </c>
      <c r="J110" s="567" t="s">
        <v>1351</v>
      </c>
      <c r="K110" s="571" t="s">
        <v>1352</v>
      </c>
      <c r="L110" s="567"/>
      <c r="M110" s="567"/>
      <c r="N110" s="567"/>
      <c r="O110" s="567"/>
      <c r="P110" s="572"/>
      <c r="Q110" s="567" t="s">
        <v>817</v>
      </c>
      <c r="R110" s="567"/>
      <c r="S110" s="567" t="s">
        <v>863</v>
      </c>
      <c r="T110" s="573"/>
      <c r="U110" s="567"/>
      <c r="V110" s="574"/>
      <c r="W110" s="574" t="s">
        <v>864</v>
      </c>
      <c r="X110" s="575"/>
      <c r="Y110" s="576"/>
      <c r="Z110" s="567"/>
      <c r="AA110" s="577"/>
      <c r="AB110" s="567"/>
      <c r="AC110" s="573"/>
      <c r="AD110" s="573">
        <v>1</v>
      </c>
    </row>
    <row r="111" spans="1:1014" s="578" customFormat="1" ht="13.5" customHeight="1">
      <c r="A111" s="567">
        <v>93</v>
      </c>
      <c r="B111" s="568"/>
      <c r="C111" s="568"/>
      <c r="D111" s="568" t="s">
        <v>1353</v>
      </c>
      <c r="E111" s="568" t="s">
        <v>1275</v>
      </c>
      <c r="F111" s="568"/>
      <c r="G111" s="568"/>
      <c r="H111" s="567" t="s">
        <v>1354</v>
      </c>
      <c r="I111" s="594"/>
      <c r="J111" s="567" t="s">
        <v>1355</v>
      </c>
      <c r="K111" s="571" t="s">
        <v>1356</v>
      </c>
      <c r="L111" s="567"/>
      <c r="M111" s="567"/>
      <c r="N111" s="567"/>
      <c r="O111" s="567"/>
      <c r="P111" s="572"/>
      <c r="Q111" s="567" t="s">
        <v>817</v>
      </c>
      <c r="R111" s="567" t="s">
        <v>864</v>
      </c>
      <c r="S111" s="579" t="s">
        <v>1264</v>
      </c>
      <c r="T111" s="573"/>
      <c r="U111" s="567"/>
      <c r="V111" s="574"/>
      <c r="W111" s="574" t="s">
        <v>864</v>
      </c>
      <c r="X111" s="575"/>
      <c r="Y111" s="576"/>
      <c r="Z111" s="567"/>
      <c r="AA111" s="577"/>
      <c r="AB111" s="567"/>
      <c r="AC111" s="573">
        <v>1</v>
      </c>
      <c r="AD111" s="573">
        <v>1</v>
      </c>
    </row>
    <row r="112" spans="1:1014" s="578" customFormat="1" ht="13.5" customHeight="1">
      <c r="A112" s="567">
        <v>94</v>
      </c>
      <c r="B112" s="568"/>
      <c r="C112" s="568"/>
      <c r="D112" s="568" t="s">
        <v>1357</v>
      </c>
      <c r="E112" s="568"/>
      <c r="F112" s="568"/>
      <c r="G112" s="568"/>
      <c r="H112" s="567" t="s">
        <v>1358</v>
      </c>
      <c r="I112" s="571" t="s">
        <v>1359</v>
      </c>
      <c r="J112" s="567" t="s">
        <v>1360</v>
      </c>
      <c r="K112" s="571"/>
      <c r="L112" s="567" t="s">
        <v>1361</v>
      </c>
      <c r="M112" s="567" t="s">
        <v>1362</v>
      </c>
      <c r="N112" s="567"/>
      <c r="O112" s="567"/>
      <c r="P112" s="572"/>
      <c r="Q112" s="567" t="s">
        <v>817</v>
      </c>
      <c r="R112" s="567"/>
      <c r="S112" s="567" t="s">
        <v>863</v>
      </c>
      <c r="T112" s="573"/>
      <c r="U112" s="567"/>
      <c r="V112" s="574"/>
      <c r="W112" s="574" t="s">
        <v>864</v>
      </c>
      <c r="X112" s="575"/>
      <c r="Y112" s="576"/>
      <c r="Z112" s="567"/>
      <c r="AA112" s="577"/>
      <c r="AB112" s="567"/>
      <c r="AC112" s="573">
        <v>1</v>
      </c>
      <c r="AD112" s="573">
        <v>1</v>
      </c>
    </row>
    <row r="113" spans="1:30" s="578" customFormat="1" ht="13.5" customHeight="1">
      <c r="A113" s="567">
        <v>95</v>
      </c>
      <c r="B113" s="568"/>
      <c r="C113" s="568" t="s">
        <v>1363</v>
      </c>
      <c r="D113" s="568"/>
      <c r="E113" s="568"/>
      <c r="F113" s="568"/>
      <c r="G113" s="568"/>
      <c r="H113" s="567" t="s">
        <v>1364</v>
      </c>
      <c r="I113" s="571"/>
      <c r="J113" s="567" t="s">
        <v>1365</v>
      </c>
      <c r="K113" s="571" t="s">
        <v>1366</v>
      </c>
      <c r="L113" s="567"/>
      <c r="M113" s="567"/>
      <c r="N113" s="567"/>
      <c r="O113" s="567"/>
      <c r="P113" s="572"/>
      <c r="Q113" s="567" t="s">
        <v>823</v>
      </c>
      <c r="R113" s="567" t="s">
        <v>864</v>
      </c>
      <c r="S113" s="579" t="s">
        <v>1366</v>
      </c>
      <c r="T113" s="633"/>
      <c r="U113" s="567"/>
      <c r="V113" s="574"/>
      <c r="W113" s="574" t="s">
        <v>864</v>
      </c>
      <c r="X113" s="575"/>
      <c r="Y113" s="634"/>
      <c r="Z113" s="567"/>
      <c r="AA113" s="577"/>
      <c r="AB113" s="567"/>
      <c r="AC113" s="573">
        <v>1</v>
      </c>
      <c r="AD113" s="573">
        <v>1</v>
      </c>
    </row>
    <row r="114" spans="1:30" s="578" customFormat="1" ht="13.5" customHeight="1">
      <c r="A114" s="567">
        <v>96</v>
      </c>
      <c r="B114" s="568"/>
      <c r="C114" s="568"/>
      <c r="D114" s="568" t="s">
        <v>1367</v>
      </c>
      <c r="E114" s="568"/>
      <c r="F114" s="568"/>
      <c r="G114" s="568"/>
      <c r="H114" s="567" t="s">
        <v>1368</v>
      </c>
      <c r="I114" s="571" t="s">
        <v>1369</v>
      </c>
      <c r="J114" s="567" t="s">
        <v>1370</v>
      </c>
      <c r="K114" s="571" t="s">
        <v>1371</v>
      </c>
      <c r="L114" s="567"/>
      <c r="M114" s="567"/>
      <c r="N114" s="567"/>
      <c r="O114" s="567"/>
      <c r="P114" s="572"/>
      <c r="Q114" s="567" t="s">
        <v>817</v>
      </c>
      <c r="R114" s="567"/>
      <c r="S114" s="567" t="s">
        <v>863</v>
      </c>
      <c r="T114" s="573"/>
      <c r="U114" s="567"/>
      <c r="V114" s="574"/>
      <c r="W114" s="574" t="s">
        <v>864</v>
      </c>
      <c r="X114" s="575"/>
      <c r="Y114" s="576"/>
      <c r="Z114" s="567" t="s">
        <v>1015</v>
      </c>
      <c r="AA114" s="577"/>
      <c r="AB114" s="567"/>
      <c r="AC114" s="573">
        <v>1</v>
      </c>
      <c r="AD114" s="573">
        <v>1</v>
      </c>
    </row>
    <row r="115" spans="1:30" s="578" customFormat="1" ht="13.5" customHeight="1">
      <c r="A115" s="567">
        <v>97</v>
      </c>
      <c r="B115" s="568"/>
      <c r="C115" s="568"/>
      <c r="D115" s="568" t="s">
        <v>1372</v>
      </c>
      <c r="E115" s="568"/>
      <c r="F115" s="568"/>
      <c r="G115" s="568"/>
      <c r="H115" s="567" t="s">
        <v>1373</v>
      </c>
      <c r="I115" s="571" t="s">
        <v>1374</v>
      </c>
      <c r="J115" s="567" t="s">
        <v>1375</v>
      </c>
      <c r="K115" s="571"/>
      <c r="L115" s="567"/>
      <c r="M115" s="567"/>
      <c r="N115" s="567"/>
      <c r="O115" s="567"/>
      <c r="P115" s="572"/>
      <c r="Q115" s="567" t="s">
        <v>817</v>
      </c>
      <c r="R115" s="567"/>
      <c r="S115" s="567" t="s">
        <v>863</v>
      </c>
      <c r="T115" s="573"/>
      <c r="U115" s="567"/>
      <c r="V115" s="574"/>
      <c r="W115" s="574" t="s">
        <v>864</v>
      </c>
      <c r="X115" s="575"/>
      <c r="Y115" s="576"/>
      <c r="Z115" s="567"/>
      <c r="AA115" s="577"/>
      <c r="AB115" s="567"/>
      <c r="AC115" s="573">
        <v>1</v>
      </c>
      <c r="AD115" s="573">
        <v>1</v>
      </c>
    </row>
    <row r="116" spans="1:30" s="578" customFormat="1" ht="13.5" customHeight="1">
      <c r="A116" s="567">
        <v>98</v>
      </c>
      <c r="B116" s="568"/>
      <c r="C116" s="568"/>
      <c r="D116" s="568" t="s">
        <v>1376</v>
      </c>
      <c r="E116" s="568"/>
      <c r="F116" s="568"/>
      <c r="G116" s="568"/>
      <c r="H116" s="567" t="s">
        <v>1377</v>
      </c>
      <c r="I116" s="571" t="s">
        <v>1378</v>
      </c>
      <c r="J116" s="567" t="s">
        <v>1379</v>
      </c>
      <c r="K116" s="571"/>
      <c r="L116" s="567"/>
      <c r="M116" s="567"/>
      <c r="N116" s="567"/>
      <c r="O116" s="567"/>
      <c r="P116" s="572"/>
      <c r="Q116" s="567" t="s">
        <v>817</v>
      </c>
      <c r="R116" s="567"/>
      <c r="S116" s="567" t="s">
        <v>1380</v>
      </c>
      <c r="T116" s="573"/>
      <c r="U116" s="567"/>
      <c r="V116" s="574"/>
      <c r="W116" s="574" t="s">
        <v>864</v>
      </c>
      <c r="X116" s="575"/>
      <c r="Y116" s="576"/>
      <c r="Z116" s="567"/>
      <c r="AA116" s="577"/>
      <c r="AB116" s="567"/>
      <c r="AC116" s="573">
        <v>1</v>
      </c>
      <c r="AD116" s="573">
        <v>1</v>
      </c>
    </row>
    <row r="117" spans="1:30" s="578" customFormat="1" ht="13.5" customHeight="1">
      <c r="A117" s="567">
        <v>99</v>
      </c>
      <c r="B117" s="568"/>
      <c r="C117" s="568"/>
      <c r="D117" s="568" t="s">
        <v>875</v>
      </c>
      <c r="E117" s="568"/>
      <c r="F117" s="568"/>
      <c r="G117" s="568"/>
      <c r="H117" s="567" t="s">
        <v>1381</v>
      </c>
      <c r="I117" s="622" t="s">
        <v>1382</v>
      </c>
      <c r="J117" s="567" t="s">
        <v>875</v>
      </c>
      <c r="K117" s="571"/>
      <c r="L117" s="567"/>
      <c r="M117" s="567"/>
      <c r="N117" s="567"/>
      <c r="O117" s="567"/>
      <c r="P117" s="572"/>
      <c r="Q117" s="567" t="s">
        <v>820</v>
      </c>
      <c r="R117" s="567"/>
      <c r="S117" s="567" t="s">
        <v>863</v>
      </c>
      <c r="T117" s="573"/>
      <c r="U117" s="567"/>
      <c r="V117" s="574"/>
      <c r="W117" s="574" t="s">
        <v>864</v>
      </c>
      <c r="X117" s="575"/>
      <c r="Y117" s="576"/>
      <c r="Z117" s="567"/>
      <c r="AA117" s="577"/>
      <c r="AB117" s="567"/>
      <c r="AC117" s="573">
        <v>1</v>
      </c>
      <c r="AD117" s="573">
        <v>1</v>
      </c>
    </row>
    <row r="118" spans="1:30" s="578" customFormat="1" ht="13.5" customHeight="1">
      <c r="A118" s="567">
        <v>100</v>
      </c>
      <c r="B118" s="568"/>
      <c r="C118" s="568"/>
      <c r="D118" s="568" t="s">
        <v>1383</v>
      </c>
      <c r="E118" s="568"/>
      <c r="F118" s="568"/>
      <c r="G118" s="568"/>
      <c r="H118" s="567" t="s">
        <v>1384</v>
      </c>
      <c r="I118" s="571"/>
      <c r="J118" s="567" t="s">
        <v>1385</v>
      </c>
      <c r="K118" s="571"/>
      <c r="L118" s="567"/>
      <c r="M118" s="567"/>
      <c r="N118" s="567"/>
      <c r="O118" s="567"/>
      <c r="P118" s="572"/>
      <c r="Q118" s="567" t="s">
        <v>817</v>
      </c>
      <c r="R118" s="567"/>
      <c r="S118" s="567" t="s">
        <v>863</v>
      </c>
      <c r="T118" s="573"/>
      <c r="U118" s="567"/>
      <c r="V118" s="574"/>
      <c r="W118" s="574" t="s">
        <v>864</v>
      </c>
      <c r="X118" s="575"/>
      <c r="Y118" s="576"/>
      <c r="Z118" s="567"/>
      <c r="AA118" s="577"/>
      <c r="AB118" s="567"/>
      <c r="AC118" s="573">
        <v>1</v>
      </c>
      <c r="AD118" s="573">
        <v>1</v>
      </c>
    </row>
    <row r="119" spans="1:30" s="578" customFormat="1" ht="13" customHeight="1">
      <c r="A119" s="567">
        <v>101</v>
      </c>
      <c r="B119" s="568"/>
      <c r="C119" s="568"/>
      <c r="D119" s="568" t="s">
        <v>1386</v>
      </c>
      <c r="E119" s="568"/>
      <c r="F119" s="568"/>
      <c r="G119" s="568"/>
      <c r="H119" s="567" t="s">
        <v>1387</v>
      </c>
      <c r="I119" s="571"/>
      <c r="J119" s="567" t="s">
        <v>1388</v>
      </c>
      <c r="K119" s="571"/>
      <c r="L119" s="567"/>
      <c r="M119" s="567"/>
      <c r="N119" s="567"/>
      <c r="O119" s="567"/>
      <c r="P119" s="572"/>
      <c r="Q119" s="567" t="s">
        <v>817</v>
      </c>
      <c r="R119" s="567"/>
      <c r="S119" s="567" t="s">
        <v>863</v>
      </c>
      <c r="T119" s="573"/>
      <c r="U119" s="567"/>
      <c r="V119" s="574"/>
      <c r="W119" s="574" t="s">
        <v>864</v>
      </c>
      <c r="X119" s="575"/>
      <c r="Y119" s="576"/>
      <c r="Z119" s="567"/>
      <c r="AA119" s="577"/>
      <c r="AB119" s="567"/>
      <c r="AC119" s="573">
        <v>1</v>
      </c>
      <c r="AD119" s="573">
        <v>1</v>
      </c>
    </row>
    <row r="120" spans="1:30" s="224" customFormat="1" ht="13.5" customHeight="1">
      <c r="A120" s="225">
        <v>102</v>
      </c>
      <c r="B120" s="217" t="s">
        <v>1389</v>
      </c>
      <c r="C120" s="216"/>
      <c r="D120" s="241"/>
      <c r="E120" s="241"/>
      <c r="F120" s="241"/>
      <c r="G120" s="241"/>
      <c r="H120" s="728" t="s">
        <v>1390</v>
      </c>
      <c r="I120" s="729" t="s">
        <v>1341</v>
      </c>
      <c r="J120" s="728"/>
      <c r="K120" s="729" t="s">
        <v>1391</v>
      </c>
      <c r="L120" s="728"/>
      <c r="M120" s="728"/>
      <c r="N120" s="728"/>
      <c r="O120" s="728"/>
      <c r="P120" s="730"/>
      <c r="Q120" s="728" t="s">
        <v>820</v>
      </c>
      <c r="R120" s="728"/>
      <c r="S120" s="728" t="s">
        <v>863</v>
      </c>
      <c r="T120" s="731"/>
      <c r="U120" s="735"/>
      <c r="V120" s="732"/>
      <c r="W120" s="732" t="s">
        <v>864</v>
      </c>
      <c r="X120" s="232"/>
      <c r="Y120" s="379" t="s">
        <v>1392</v>
      </c>
      <c r="Z120" s="385" t="s">
        <v>1347</v>
      </c>
      <c r="AA120" s="734"/>
      <c r="AB120" s="728"/>
      <c r="AC120" s="731"/>
      <c r="AD120" s="731">
        <v>1</v>
      </c>
    </row>
    <row r="121" spans="1:30" s="578" customFormat="1" ht="13.5" customHeight="1">
      <c r="A121" s="567">
        <v>103</v>
      </c>
      <c r="B121" s="568" t="s">
        <v>1393</v>
      </c>
      <c r="C121" s="569"/>
      <c r="D121" s="569"/>
      <c r="E121" s="569"/>
      <c r="F121" s="569"/>
      <c r="G121" s="569"/>
      <c r="H121" s="567" t="s">
        <v>1394</v>
      </c>
      <c r="I121" s="594"/>
      <c r="J121" s="567"/>
      <c r="K121" s="571" t="s">
        <v>1395</v>
      </c>
      <c r="L121" s="567"/>
      <c r="M121" s="567"/>
      <c r="N121" s="567"/>
      <c r="O121" s="567"/>
      <c r="P121" s="572"/>
      <c r="Q121" s="567" t="s">
        <v>823</v>
      </c>
      <c r="R121" s="567" t="s">
        <v>864</v>
      </c>
      <c r="S121" s="595" t="s">
        <v>1395</v>
      </c>
      <c r="T121" s="573"/>
      <c r="U121" s="635"/>
      <c r="V121" s="574"/>
      <c r="W121" s="574" t="s">
        <v>864</v>
      </c>
      <c r="X121" s="575"/>
      <c r="Y121" s="576"/>
      <c r="Z121" s="567"/>
      <c r="AA121" s="577"/>
      <c r="AB121" s="567"/>
      <c r="AC121" s="573"/>
      <c r="AD121" s="573">
        <v>1</v>
      </c>
    </row>
    <row r="122" spans="1:30" s="578" customFormat="1" ht="13.5" customHeight="1">
      <c r="A122" s="567">
        <v>104</v>
      </c>
      <c r="B122" s="569"/>
      <c r="C122" s="568" t="s">
        <v>1304</v>
      </c>
      <c r="D122" s="568"/>
      <c r="E122" s="568"/>
      <c r="F122" s="568"/>
      <c r="G122" s="568"/>
      <c r="H122" s="567" t="s">
        <v>1396</v>
      </c>
      <c r="I122" s="594"/>
      <c r="J122" s="567"/>
      <c r="K122" s="571" t="s">
        <v>1303</v>
      </c>
      <c r="L122" s="567"/>
      <c r="M122" s="567"/>
      <c r="N122" s="567"/>
      <c r="O122" s="567"/>
      <c r="P122" s="572"/>
      <c r="Q122" s="636" t="s">
        <v>817</v>
      </c>
      <c r="R122" s="567" t="s">
        <v>864</v>
      </c>
      <c r="S122" s="595" t="s">
        <v>1303</v>
      </c>
      <c r="T122" s="573"/>
      <c r="U122" s="573"/>
      <c r="V122" s="574"/>
      <c r="W122" s="574" t="s">
        <v>864</v>
      </c>
      <c r="X122" s="575"/>
      <c r="Y122" s="637" t="s">
        <v>1397</v>
      </c>
      <c r="Z122" s="567"/>
      <c r="AA122" s="577"/>
      <c r="AB122" s="567"/>
      <c r="AC122" s="573"/>
      <c r="AD122" s="573">
        <v>1</v>
      </c>
    </row>
    <row r="123" spans="1:30" s="578" customFormat="1" ht="13.5" customHeight="1">
      <c r="A123" s="567">
        <v>105</v>
      </c>
      <c r="B123" s="569"/>
      <c r="C123" s="568" t="s">
        <v>831</v>
      </c>
      <c r="D123" s="568"/>
      <c r="E123" s="568"/>
      <c r="F123" s="568"/>
      <c r="G123" s="568"/>
      <c r="H123" s="567" t="s">
        <v>1398</v>
      </c>
      <c r="I123" s="594"/>
      <c r="J123" s="567"/>
      <c r="K123" s="571" t="s">
        <v>1218</v>
      </c>
      <c r="L123" s="567"/>
      <c r="M123" s="567"/>
      <c r="N123" s="567"/>
      <c r="O123" s="567"/>
      <c r="P123" s="572"/>
      <c r="Q123" s="567" t="s">
        <v>817</v>
      </c>
      <c r="R123" s="567"/>
      <c r="S123" s="567" t="s">
        <v>863</v>
      </c>
      <c r="T123" s="573"/>
      <c r="U123" s="635"/>
      <c r="V123" s="574"/>
      <c r="W123" s="574" t="s">
        <v>864</v>
      </c>
      <c r="X123" s="575"/>
      <c r="Y123" s="576"/>
      <c r="Z123" s="567"/>
      <c r="AA123" s="577"/>
      <c r="AB123" s="567"/>
      <c r="AC123" s="573"/>
      <c r="AD123" s="573">
        <v>1</v>
      </c>
    </row>
    <row r="124" spans="1:30" s="578" customFormat="1" ht="13.5" customHeight="1">
      <c r="A124" s="567">
        <v>106</v>
      </c>
      <c r="B124" s="568"/>
      <c r="C124" s="568" t="s">
        <v>1399</v>
      </c>
      <c r="D124" s="568"/>
      <c r="E124" s="568"/>
      <c r="F124" s="568"/>
      <c r="G124" s="568"/>
      <c r="H124" s="567" t="s">
        <v>1400</v>
      </c>
      <c r="I124" s="594" t="s">
        <v>1401</v>
      </c>
      <c r="J124" s="567"/>
      <c r="K124" s="571" t="s">
        <v>1352</v>
      </c>
      <c r="L124" s="567"/>
      <c r="M124" s="567"/>
      <c r="N124" s="567"/>
      <c r="O124" s="567"/>
      <c r="P124" s="572"/>
      <c r="Q124" s="567" t="s">
        <v>820</v>
      </c>
      <c r="R124" s="567"/>
      <c r="S124" s="567" t="s">
        <v>863</v>
      </c>
      <c r="T124" s="573"/>
      <c r="U124" s="573"/>
      <c r="V124" s="574"/>
      <c r="W124" s="574" t="s">
        <v>864</v>
      </c>
      <c r="X124" s="575"/>
      <c r="Y124" s="576"/>
      <c r="Z124" s="567"/>
      <c r="AA124" s="577"/>
      <c r="AB124" s="567"/>
      <c r="AC124" s="573"/>
      <c r="AD124" s="573">
        <v>1</v>
      </c>
    </row>
    <row r="125" spans="1:30" s="224" customFormat="1" ht="14.25" customHeight="1">
      <c r="A125" s="225">
        <v>107</v>
      </c>
      <c r="B125" s="591" t="s">
        <v>561</v>
      </c>
      <c r="C125" s="217"/>
      <c r="D125" s="217"/>
      <c r="E125" s="217"/>
      <c r="F125" s="217"/>
      <c r="G125" s="217"/>
      <c r="H125" s="728" t="s">
        <v>1402</v>
      </c>
      <c r="I125" s="736"/>
      <c r="J125" s="728"/>
      <c r="K125" s="729" t="s">
        <v>1403</v>
      </c>
      <c r="L125" s="728"/>
      <c r="M125" s="728"/>
      <c r="N125" s="728"/>
      <c r="O125" s="728"/>
      <c r="P125" s="730"/>
      <c r="Q125" s="728" t="s">
        <v>823</v>
      </c>
      <c r="R125" s="728" t="s">
        <v>864</v>
      </c>
      <c r="S125" s="378" t="s">
        <v>1403</v>
      </c>
      <c r="T125" s="731"/>
      <c r="U125" s="259"/>
      <c r="V125" s="260" t="s">
        <v>864</v>
      </c>
      <c r="W125" s="260" t="s">
        <v>864</v>
      </c>
      <c r="X125" s="232"/>
      <c r="Y125" s="733"/>
      <c r="Z125" s="728"/>
      <c r="AA125" s="245"/>
      <c r="AB125" s="728"/>
      <c r="AC125" s="731"/>
      <c r="AD125" s="731">
        <v>1</v>
      </c>
    </row>
    <row r="126" spans="1:30" s="224" customFormat="1" ht="13.5" customHeight="1">
      <c r="A126" s="225">
        <v>108</v>
      </c>
      <c r="B126" s="217"/>
      <c r="C126" s="217" t="s">
        <v>1404</v>
      </c>
      <c r="D126" s="241"/>
      <c r="E126" s="219"/>
      <c r="F126" s="241"/>
      <c r="G126" s="241"/>
      <c r="H126" s="728" t="s">
        <v>1405</v>
      </c>
      <c r="I126" s="736"/>
      <c r="J126" s="728"/>
      <c r="K126" s="729" t="s">
        <v>1218</v>
      </c>
      <c r="L126" s="728"/>
      <c r="M126" s="728"/>
      <c r="N126" s="728"/>
      <c r="O126" s="728"/>
      <c r="P126" s="730"/>
      <c r="Q126" s="728" t="s">
        <v>820</v>
      </c>
      <c r="R126" s="728"/>
      <c r="S126" s="729" t="s">
        <v>863</v>
      </c>
      <c r="T126" s="731"/>
      <c r="U126" s="731"/>
      <c r="V126" s="732"/>
      <c r="W126" s="260" t="s">
        <v>864</v>
      </c>
      <c r="X126" s="232"/>
      <c r="Y126" s="266" t="s">
        <v>1406</v>
      </c>
      <c r="Z126" s="728" t="s">
        <v>1407</v>
      </c>
      <c r="AA126" s="734"/>
      <c r="AB126" s="728"/>
      <c r="AC126" s="731"/>
      <c r="AD126" s="731">
        <v>1</v>
      </c>
    </row>
    <row r="127" spans="1:30" s="578" customFormat="1" ht="13.5" customHeight="1">
      <c r="A127" s="567">
        <v>109</v>
      </c>
      <c r="B127" s="568"/>
      <c r="C127" s="568" t="s">
        <v>1408</v>
      </c>
      <c r="D127" s="568"/>
      <c r="E127" s="568"/>
      <c r="F127" s="568"/>
      <c r="G127" s="568"/>
      <c r="H127" s="567"/>
      <c r="I127" s="594"/>
      <c r="J127" s="567"/>
      <c r="K127" s="571" t="s">
        <v>1409</v>
      </c>
      <c r="L127" s="567"/>
      <c r="M127" s="567"/>
      <c r="N127" s="567"/>
      <c r="O127" s="567"/>
      <c r="P127" s="572"/>
      <c r="Q127" s="567" t="s">
        <v>817</v>
      </c>
      <c r="R127" s="567" t="s">
        <v>864</v>
      </c>
      <c r="S127" s="579" t="s">
        <v>1409</v>
      </c>
      <c r="T127" s="573"/>
      <c r="U127" s="573"/>
      <c r="V127" s="574"/>
      <c r="W127" s="574" t="s">
        <v>864</v>
      </c>
      <c r="X127" s="575"/>
      <c r="Y127" s="576"/>
      <c r="Z127" s="567"/>
      <c r="AA127" s="577"/>
      <c r="AB127" s="567"/>
      <c r="AC127" s="573"/>
      <c r="AD127" s="573">
        <v>1</v>
      </c>
    </row>
    <row r="128" spans="1:30" s="578" customFormat="1" ht="13.5" customHeight="1">
      <c r="A128" s="567">
        <v>110</v>
      </c>
      <c r="B128" s="568"/>
      <c r="C128" s="568"/>
      <c r="D128" s="568" t="s">
        <v>1410</v>
      </c>
      <c r="E128" s="568"/>
      <c r="F128" s="568"/>
      <c r="G128" s="568"/>
      <c r="H128" s="567" t="s">
        <v>1411</v>
      </c>
      <c r="I128" s="594"/>
      <c r="J128" s="567"/>
      <c r="K128" s="571" t="s">
        <v>1412</v>
      </c>
      <c r="L128" s="567"/>
      <c r="M128" s="567"/>
      <c r="N128" s="567"/>
      <c r="O128" s="567"/>
      <c r="P128" s="572"/>
      <c r="Q128" s="567" t="s">
        <v>823</v>
      </c>
      <c r="R128" s="567" t="s">
        <v>864</v>
      </c>
      <c r="S128" s="595" t="s">
        <v>1412</v>
      </c>
      <c r="T128" s="573"/>
      <c r="U128" s="573"/>
      <c r="V128" s="574"/>
      <c r="W128" s="574" t="s">
        <v>864</v>
      </c>
      <c r="X128" s="575"/>
      <c r="Y128" s="576"/>
      <c r="Z128" s="567"/>
      <c r="AA128" s="577"/>
      <c r="AB128" s="567"/>
      <c r="AC128" s="573"/>
      <c r="AD128" s="573">
        <v>1</v>
      </c>
    </row>
    <row r="129" spans="1:30" s="578" customFormat="1" ht="13.5" customHeight="1">
      <c r="A129" s="567">
        <v>111</v>
      </c>
      <c r="B129" s="568"/>
      <c r="C129" s="568"/>
      <c r="D129" s="568"/>
      <c r="E129" s="568" t="s">
        <v>1071</v>
      </c>
      <c r="F129" s="568"/>
      <c r="G129" s="568"/>
      <c r="H129" s="567" t="s">
        <v>1072</v>
      </c>
      <c r="I129" s="594" t="s">
        <v>1413</v>
      </c>
      <c r="J129" s="567"/>
      <c r="K129" s="571" t="s">
        <v>908</v>
      </c>
      <c r="L129" s="567"/>
      <c r="M129" s="567"/>
      <c r="N129" s="567"/>
      <c r="O129" s="567"/>
      <c r="P129" s="572"/>
      <c r="Q129" s="567" t="s">
        <v>820</v>
      </c>
      <c r="R129" s="567"/>
      <c r="S129" s="567" t="s">
        <v>863</v>
      </c>
      <c r="T129" s="573"/>
      <c r="U129" s="573" t="s">
        <v>1414</v>
      </c>
      <c r="V129" s="574"/>
      <c r="W129" s="574" t="s">
        <v>864</v>
      </c>
      <c r="X129" s="575"/>
      <c r="Y129" s="576" t="s">
        <v>1075</v>
      </c>
      <c r="Z129" s="567" t="s">
        <v>1076</v>
      </c>
      <c r="AA129" s="577"/>
      <c r="AB129" s="567"/>
      <c r="AC129" s="573"/>
      <c r="AD129" s="573">
        <v>1</v>
      </c>
    </row>
    <row r="130" spans="1:30" s="578" customFormat="1" ht="13.5" customHeight="1">
      <c r="A130" s="567">
        <v>112</v>
      </c>
      <c r="B130" s="568"/>
      <c r="C130" s="568"/>
      <c r="D130" s="568"/>
      <c r="E130" s="568" t="s">
        <v>1077</v>
      </c>
      <c r="F130" s="568"/>
      <c r="G130" s="568"/>
      <c r="H130" s="567" t="s">
        <v>1078</v>
      </c>
      <c r="I130" s="594" t="s">
        <v>1359</v>
      </c>
      <c r="J130" s="567"/>
      <c r="K130" s="571" t="s">
        <v>1080</v>
      </c>
      <c r="L130" s="567"/>
      <c r="M130" s="567"/>
      <c r="N130" s="567"/>
      <c r="O130" s="567"/>
      <c r="P130" s="572"/>
      <c r="Q130" s="567" t="s">
        <v>820</v>
      </c>
      <c r="R130" s="567"/>
      <c r="S130" s="567" t="s">
        <v>863</v>
      </c>
      <c r="T130" s="573"/>
      <c r="U130" s="573"/>
      <c r="V130" s="574"/>
      <c r="W130" s="574" t="s">
        <v>864</v>
      </c>
      <c r="X130" s="575"/>
      <c r="Y130" s="576"/>
      <c r="Z130" s="567"/>
      <c r="AA130" s="577"/>
      <c r="AB130" s="567"/>
      <c r="AC130" s="573"/>
      <c r="AD130" s="573">
        <v>1</v>
      </c>
    </row>
    <row r="131" spans="1:30" s="578" customFormat="1" ht="13.5" customHeight="1">
      <c r="A131" s="567">
        <v>113</v>
      </c>
      <c r="B131" s="568"/>
      <c r="C131" s="568"/>
      <c r="D131" s="568" t="s">
        <v>1259</v>
      </c>
      <c r="E131" s="568" t="s">
        <v>1275</v>
      </c>
      <c r="F131" s="568"/>
      <c r="G131" s="568"/>
      <c r="H131" s="567" t="s">
        <v>1415</v>
      </c>
      <c r="I131" s="594"/>
      <c r="J131" s="567"/>
      <c r="K131" s="571" t="s">
        <v>1264</v>
      </c>
      <c r="L131" s="567"/>
      <c r="M131" s="567"/>
      <c r="N131" s="567"/>
      <c r="O131" s="567"/>
      <c r="P131" s="572"/>
      <c r="Q131" s="567" t="s">
        <v>823</v>
      </c>
      <c r="R131" s="567" t="s">
        <v>864</v>
      </c>
      <c r="S131" s="579" t="s">
        <v>1264</v>
      </c>
      <c r="T131" s="573"/>
      <c r="U131" s="573"/>
      <c r="V131" s="574"/>
      <c r="W131" s="574" t="s">
        <v>864</v>
      </c>
      <c r="X131" s="575"/>
      <c r="Y131" s="638" t="s">
        <v>1416</v>
      </c>
      <c r="Z131" s="636" t="s">
        <v>1417</v>
      </c>
      <c r="AA131" s="577" t="s">
        <v>1265</v>
      </c>
      <c r="AB131" s="567"/>
      <c r="AC131" s="573"/>
      <c r="AD131" s="573">
        <v>1</v>
      </c>
    </row>
    <row r="132" spans="1:30" s="578" customFormat="1" ht="13.5" customHeight="1">
      <c r="A132" s="567">
        <v>114</v>
      </c>
      <c r="B132" s="568"/>
      <c r="C132" s="568"/>
      <c r="D132" s="568" t="s">
        <v>1051</v>
      </c>
      <c r="E132" s="568"/>
      <c r="F132" s="568"/>
      <c r="G132" s="568"/>
      <c r="H132" s="567" t="s">
        <v>1418</v>
      </c>
      <c r="I132" s="594"/>
      <c r="J132" s="567"/>
      <c r="K132" s="571" t="s">
        <v>1419</v>
      </c>
      <c r="L132" s="567"/>
      <c r="M132" s="567"/>
      <c r="N132" s="567"/>
      <c r="O132" s="567"/>
      <c r="P132" s="572"/>
      <c r="Q132" s="567" t="s">
        <v>817</v>
      </c>
      <c r="R132" s="567" t="s">
        <v>864</v>
      </c>
      <c r="S132" s="595" t="s">
        <v>1419</v>
      </c>
      <c r="T132" s="573"/>
      <c r="U132" s="573"/>
      <c r="V132" s="574"/>
      <c r="W132" s="574" t="s">
        <v>864</v>
      </c>
      <c r="X132" s="575"/>
      <c r="Y132" s="576"/>
      <c r="Z132" s="567"/>
      <c r="AA132" s="577"/>
      <c r="AB132" s="567"/>
      <c r="AC132" s="573"/>
      <c r="AD132" s="573">
        <v>1</v>
      </c>
    </row>
    <row r="133" spans="1:30" s="578" customFormat="1" ht="13.5" customHeight="1">
      <c r="A133" s="567">
        <v>115</v>
      </c>
      <c r="B133" s="568"/>
      <c r="C133" s="568"/>
      <c r="D133" s="568"/>
      <c r="E133" s="568" t="s">
        <v>1081</v>
      </c>
      <c r="F133" s="568" t="s">
        <v>1420</v>
      </c>
      <c r="G133" s="568"/>
      <c r="H133" s="567"/>
      <c r="I133" s="594"/>
      <c r="J133" s="567"/>
      <c r="K133" s="571" t="s">
        <v>1082</v>
      </c>
      <c r="L133" s="567"/>
      <c r="M133" s="567"/>
      <c r="N133" s="567"/>
      <c r="O133" s="567"/>
      <c r="P133" s="572"/>
      <c r="Q133" s="567" t="s">
        <v>817</v>
      </c>
      <c r="R133" s="567" t="s">
        <v>864</v>
      </c>
      <c r="S133" s="579" t="s">
        <v>1082</v>
      </c>
      <c r="T133" s="573"/>
      <c r="U133" s="573"/>
      <c r="V133" s="574"/>
      <c r="W133" s="574" t="s">
        <v>864</v>
      </c>
      <c r="X133" s="575"/>
      <c r="Y133" s="576"/>
      <c r="Z133" s="567"/>
      <c r="AA133" s="577"/>
      <c r="AB133" s="567"/>
      <c r="AC133" s="573"/>
      <c r="AD133" s="573">
        <v>1</v>
      </c>
    </row>
    <row r="134" spans="1:30" s="578" customFormat="1" ht="13.5" customHeight="1">
      <c r="A134" s="567">
        <v>116</v>
      </c>
      <c r="B134" s="568"/>
      <c r="C134" s="568"/>
      <c r="D134" s="568"/>
      <c r="E134" s="568" t="s">
        <v>1106</v>
      </c>
      <c r="F134" s="568" t="s">
        <v>1421</v>
      </c>
      <c r="G134" s="568"/>
      <c r="H134" s="567"/>
      <c r="I134" s="594"/>
      <c r="J134" s="567"/>
      <c r="K134" s="571" t="s">
        <v>1107</v>
      </c>
      <c r="L134" s="567"/>
      <c r="M134" s="567"/>
      <c r="N134" s="567"/>
      <c r="O134" s="567"/>
      <c r="P134" s="572"/>
      <c r="Q134" s="567" t="s">
        <v>817</v>
      </c>
      <c r="R134" s="567" t="s">
        <v>864</v>
      </c>
      <c r="S134" s="579" t="s">
        <v>1107</v>
      </c>
      <c r="T134" s="573"/>
      <c r="U134" s="573"/>
      <c r="V134" s="574"/>
      <c r="W134" s="574" t="s">
        <v>864</v>
      </c>
      <c r="X134" s="575"/>
      <c r="Y134" s="576"/>
      <c r="Z134" s="567"/>
      <c r="AA134" s="577"/>
      <c r="AB134" s="567"/>
      <c r="AC134" s="573"/>
      <c r="AD134" s="573">
        <v>1</v>
      </c>
    </row>
    <row r="135" spans="1:30" s="578" customFormat="1" ht="13.5" customHeight="1">
      <c r="A135" s="567">
        <v>117</v>
      </c>
      <c r="B135" s="568"/>
      <c r="C135" s="568"/>
      <c r="D135" s="568" t="s">
        <v>1422</v>
      </c>
      <c r="E135" s="568"/>
      <c r="F135" s="568"/>
      <c r="G135" s="568"/>
      <c r="H135" s="567"/>
      <c r="I135" s="594"/>
      <c r="J135" s="567"/>
      <c r="K135" s="571" t="s">
        <v>1423</v>
      </c>
      <c r="L135" s="567"/>
      <c r="M135" s="567"/>
      <c r="N135" s="567"/>
      <c r="O135" s="567"/>
      <c r="P135" s="572"/>
      <c r="Q135" s="567" t="s">
        <v>817</v>
      </c>
      <c r="R135" s="567" t="s">
        <v>864</v>
      </c>
      <c r="S135" s="595" t="s">
        <v>1423</v>
      </c>
      <c r="T135" s="573"/>
      <c r="U135" s="573"/>
      <c r="V135" s="574"/>
      <c r="W135" s="574" t="s">
        <v>864</v>
      </c>
      <c r="X135" s="575"/>
      <c r="Y135" s="576"/>
      <c r="Z135" s="576" t="s">
        <v>1424</v>
      </c>
      <c r="AA135" s="577"/>
      <c r="AB135" s="567"/>
      <c r="AC135" s="573"/>
      <c r="AD135" s="573">
        <v>1</v>
      </c>
    </row>
    <row r="136" spans="1:30" s="578" customFormat="1" ht="13.5" customHeight="1">
      <c r="A136" s="567">
        <v>118</v>
      </c>
      <c r="B136" s="568"/>
      <c r="C136" s="568"/>
      <c r="D136" s="568"/>
      <c r="E136" s="568" t="s">
        <v>1304</v>
      </c>
      <c r="F136" s="568"/>
      <c r="G136" s="568"/>
      <c r="H136" s="567" t="s">
        <v>1425</v>
      </c>
      <c r="I136" s="594"/>
      <c r="J136" s="567"/>
      <c r="K136" s="571" t="s">
        <v>1303</v>
      </c>
      <c r="L136" s="567"/>
      <c r="M136" s="567"/>
      <c r="N136" s="567"/>
      <c r="O136" s="567"/>
      <c r="P136" s="572"/>
      <c r="Q136" s="567" t="s">
        <v>820</v>
      </c>
      <c r="R136" s="567" t="s">
        <v>864</v>
      </c>
      <c r="S136" s="579" t="s">
        <v>1303</v>
      </c>
      <c r="T136" s="573"/>
      <c r="U136" s="573"/>
      <c r="V136" s="574"/>
      <c r="W136" s="574" t="s">
        <v>864</v>
      </c>
      <c r="X136" s="575"/>
      <c r="Y136" s="576"/>
      <c r="Z136" s="567"/>
      <c r="AA136" s="577"/>
      <c r="AB136" s="567"/>
      <c r="AC136" s="573"/>
      <c r="AD136" s="573">
        <v>1</v>
      </c>
    </row>
    <row r="137" spans="1:30" s="578" customFormat="1" ht="13.5" customHeight="1">
      <c r="A137" s="567">
        <v>119</v>
      </c>
      <c r="B137" s="568"/>
      <c r="C137" s="568"/>
      <c r="D137" s="568"/>
      <c r="E137" s="568" t="s">
        <v>1426</v>
      </c>
      <c r="F137" s="568"/>
      <c r="G137" s="568"/>
      <c r="H137" s="567" t="s">
        <v>1427</v>
      </c>
      <c r="I137" s="594">
        <v>10000668540</v>
      </c>
      <c r="J137" s="567"/>
      <c r="K137" s="571" t="s">
        <v>1218</v>
      </c>
      <c r="L137" s="567"/>
      <c r="M137" s="567"/>
      <c r="N137" s="567"/>
      <c r="O137" s="567"/>
      <c r="P137" s="572"/>
      <c r="Q137" s="567" t="s">
        <v>817</v>
      </c>
      <c r="R137" s="567"/>
      <c r="S137" s="567" t="s">
        <v>863</v>
      </c>
      <c r="T137" s="573"/>
      <c r="U137" s="573"/>
      <c r="V137" s="574"/>
      <c r="W137" s="574" t="s">
        <v>864</v>
      </c>
      <c r="X137" s="575"/>
      <c r="Y137" s="576" t="s">
        <v>1428</v>
      </c>
      <c r="Z137" s="567" t="s">
        <v>1429</v>
      </c>
      <c r="AA137" s="577"/>
      <c r="AB137" s="567"/>
      <c r="AC137" s="573"/>
      <c r="AD137" s="573">
        <v>1</v>
      </c>
    </row>
    <row r="138" spans="1:30" s="578" customFormat="1" ht="13.5" customHeight="1">
      <c r="A138" s="567">
        <v>120</v>
      </c>
      <c r="B138" s="568"/>
      <c r="C138" s="568"/>
      <c r="D138" s="568"/>
      <c r="E138" s="568" t="s">
        <v>1430</v>
      </c>
      <c r="F138" s="568" t="s">
        <v>1431</v>
      </c>
      <c r="G138" s="568"/>
      <c r="H138" s="567"/>
      <c r="I138" s="594"/>
      <c r="J138" s="567"/>
      <c r="K138" s="571" t="s">
        <v>1419</v>
      </c>
      <c r="L138" s="567"/>
      <c r="M138" s="567"/>
      <c r="N138" s="567"/>
      <c r="O138" s="567"/>
      <c r="P138" s="572"/>
      <c r="Q138" s="567" t="s">
        <v>817</v>
      </c>
      <c r="R138" s="567" t="s">
        <v>864</v>
      </c>
      <c r="S138" s="595" t="s">
        <v>1419</v>
      </c>
      <c r="T138" s="573"/>
      <c r="U138" s="573"/>
      <c r="V138" s="574"/>
      <c r="W138" s="574" t="s">
        <v>864</v>
      </c>
      <c r="X138" s="575"/>
      <c r="Y138" s="576"/>
      <c r="Z138" s="567"/>
      <c r="AA138" s="577"/>
      <c r="AB138" s="567"/>
      <c r="AC138" s="573"/>
      <c r="AD138" s="573">
        <v>1</v>
      </c>
    </row>
    <row r="139" spans="1:30" s="578" customFormat="1" ht="13.5" customHeight="1">
      <c r="A139" s="567">
        <v>121</v>
      </c>
      <c r="B139" s="568"/>
      <c r="C139" s="568"/>
      <c r="D139" s="568"/>
      <c r="E139" s="568" t="s">
        <v>1432</v>
      </c>
      <c r="F139" s="568" t="s">
        <v>1275</v>
      </c>
      <c r="G139" s="568"/>
      <c r="H139" s="567" t="s">
        <v>1415</v>
      </c>
      <c r="I139" s="594"/>
      <c r="J139" s="567"/>
      <c r="K139" s="571" t="s">
        <v>1264</v>
      </c>
      <c r="L139" s="567"/>
      <c r="M139" s="567"/>
      <c r="N139" s="567"/>
      <c r="O139" s="567"/>
      <c r="P139" s="572"/>
      <c r="Q139" s="567" t="s">
        <v>823</v>
      </c>
      <c r="R139" s="567" t="s">
        <v>864</v>
      </c>
      <c r="S139" s="579" t="s">
        <v>1264</v>
      </c>
      <c r="T139" s="573"/>
      <c r="U139" s="635"/>
      <c r="V139" s="574"/>
      <c r="W139" s="574" t="s">
        <v>864</v>
      </c>
      <c r="X139" s="575"/>
      <c r="Y139" s="576"/>
      <c r="Z139" s="567"/>
      <c r="AA139" s="577" t="s">
        <v>1265</v>
      </c>
      <c r="AB139" s="567"/>
      <c r="AC139" s="573"/>
      <c r="AD139" s="573">
        <v>1</v>
      </c>
    </row>
    <row r="140" spans="1:30" s="578" customFormat="1" ht="13.5" customHeight="1">
      <c r="A140" s="567">
        <v>122</v>
      </c>
      <c r="B140" s="568"/>
      <c r="C140" s="568" t="s">
        <v>1433</v>
      </c>
      <c r="D140" s="568"/>
      <c r="E140" s="568"/>
      <c r="F140" s="568"/>
      <c r="G140" s="568"/>
      <c r="H140" s="567" t="s">
        <v>1434</v>
      </c>
      <c r="I140" s="594"/>
      <c r="J140" s="567"/>
      <c r="K140" s="571" t="s">
        <v>1435</v>
      </c>
      <c r="L140" s="567"/>
      <c r="M140" s="567"/>
      <c r="N140" s="567"/>
      <c r="O140" s="567"/>
      <c r="P140" s="572"/>
      <c r="Q140" s="567" t="s">
        <v>817</v>
      </c>
      <c r="R140" s="567" t="s">
        <v>864</v>
      </c>
      <c r="S140" s="579" t="s">
        <v>1436</v>
      </c>
      <c r="T140" s="573"/>
      <c r="U140" s="573"/>
      <c r="V140" s="574"/>
      <c r="W140" s="574" t="s">
        <v>864</v>
      </c>
      <c r="X140" s="575"/>
      <c r="Y140" s="576"/>
      <c r="Z140" s="567"/>
      <c r="AA140" s="577"/>
      <c r="AB140" s="567"/>
      <c r="AC140" s="573"/>
      <c r="AD140" s="573">
        <v>1</v>
      </c>
    </row>
    <row r="141" spans="1:30" s="578" customFormat="1" ht="13.5" customHeight="1">
      <c r="A141" s="567">
        <v>123</v>
      </c>
      <c r="B141" s="568"/>
      <c r="C141" s="568"/>
      <c r="D141" s="568" t="s">
        <v>1437</v>
      </c>
      <c r="E141" s="568"/>
      <c r="F141" s="568"/>
      <c r="G141" s="568"/>
      <c r="H141" s="567" t="s">
        <v>1438</v>
      </c>
      <c r="I141" s="594"/>
      <c r="J141" s="567"/>
      <c r="K141" s="571" t="s">
        <v>1439</v>
      </c>
      <c r="L141" s="567"/>
      <c r="M141" s="567"/>
      <c r="N141" s="567"/>
      <c r="O141" s="567"/>
      <c r="P141" s="572"/>
      <c r="Q141" s="567" t="s">
        <v>817</v>
      </c>
      <c r="R141" s="567" t="s">
        <v>864</v>
      </c>
      <c r="S141" s="579" t="s">
        <v>1440</v>
      </c>
      <c r="T141" s="573"/>
      <c r="U141" s="635"/>
      <c r="V141" s="574"/>
      <c r="W141" s="574" t="s">
        <v>864</v>
      </c>
      <c r="X141" s="575"/>
      <c r="Y141" s="576"/>
      <c r="Z141" s="567"/>
      <c r="AA141" s="577"/>
      <c r="AB141" s="567"/>
      <c r="AC141" s="573"/>
      <c r="AD141" s="573">
        <v>1</v>
      </c>
    </row>
    <row r="142" spans="1:30" s="578" customFormat="1" ht="13.5" customHeight="1">
      <c r="A142" s="567">
        <v>124</v>
      </c>
      <c r="B142" s="568"/>
      <c r="C142" s="568"/>
      <c r="D142" s="568"/>
      <c r="E142" s="568" t="s">
        <v>1441</v>
      </c>
      <c r="F142" s="568"/>
      <c r="G142" s="568"/>
      <c r="H142" s="567" t="s">
        <v>1438</v>
      </c>
      <c r="I142" s="594"/>
      <c r="J142" s="567"/>
      <c r="K142" s="571" t="s">
        <v>888</v>
      </c>
      <c r="L142" s="567"/>
      <c r="M142" s="567"/>
      <c r="N142" s="567"/>
      <c r="O142" s="567"/>
      <c r="P142" s="572"/>
      <c r="Q142" s="567" t="s">
        <v>817</v>
      </c>
      <c r="R142" s="567"/>
      <c r="S142" s="567" t="s">
        <v>863</v>
      </c>
      <c r="T142" s="573"/>
      <c r="U142" s="577" t="s">
        <v>1442</v>
      </c>
      <c r="V142" s="574"/>
      <c r="W142" s="574" t="s">
        <v>864</v>
      </c>
      <c r="X142" s="575"/>
      <c r="Y142" s="576" t="s">
        <v>1443</v>
      </c>
      <c r="Z142" s="567" t="s">
        <v>1444</v>
      </c>
      <c r="AA142" s="577"/>
      <c r="AB142" s="567"/>
      <c r="AC142" s="573"/>
      <c r="AD142" s="573">
        <v>1</v>
      </c>
    </row>
    <row r="143" spans="1:30" s="578" customFormat="1" ht="13.5" customHeight="1">
      <c r="A143" s="567">
        <v>125</v>
      </c>
      <c r="B143" s="568"/>
      <c r="C143" s="568"/>
      <c r="D143" s="568"/>
      <c r="E143" s="568" t="s">
        <v>1445</v>
      </c>
      <c r="F143" s="568"/>
      <c r="G143" s="568"/>
      <c r="H143" s="567" t="s">
        <v>1446</v>
      </c>
      <c r="I143" s="594"/>
      <c r="J143" s="567"/>
      <c r="K143" s="571" t="s">
        <v>1447</v>
      </c>
      <c r="L143" s="567"/>
      <c r="M143" s="567"/>
      <c r="N143" s="567"/>
      <c r="O143" s="567"/>
      <c r="P143" s="572"/>
      <c r="Q143" s="567" t="s">
        <v>817</v>
      </c>
      <c r="R143" s="567"/>
      <c r="S143" s="567" t="s">
        <v>863</v>
      </c>
      <c r="T143" s="573"/>
      <c r="U143" s="577" t="s">
        <v>1448</v>
      </c>
      <c r="V143" s="574"/>
      <c r="W143" s="574" t="s">
        <v>864</v>
      </c>
      <c r="X143" s="575"/>
      <c r="Y143" s="576" t="s">
        <v>1449</v>
      </c>
      <c r="Z143" s="567"/>
      <c r="AA143" s="577"/>
      <c r="AB143" s="567"/>
      <c r="AC143" s="573"/>
      <c r="AD143" s="573">
        <v>1</v>
      </c>
    </row>
    <row r="144" spans="1:30" s="578" customFormat="1" ht="13.5" customHeight="1">
      <c r="A144" s="567">
        <v>126</v>
      </c>
      <c r="B144" s="568"/>
      <c r="C144" s="568"/>
      <c r="D144" s="568" t="s">
        <v>1450</v>
      </c>
      <c r="E144" s="568"/>
      <c r="F144" s="568"/>
      <c r="G144" s="568"/>
      <c r="H144" s="567" t="s">
        <v>1451</v>
      </c>
      <c r="I144" s="594"/>
      <c r="J144" s="567"/>
      <c r="K144" s="571" t="s">
        <v>1092</v>
      </c>
      <c r="L144" s="567"/>
      <c r="M144" s="567"/>
      <c r="N144" s="567"/>
      <c r="O144" s="567"/>
      <c r="P144" s="572"/>
      <c r="Q144" s="567" t="s">
        <v>817</v>
      </c>
      <c r="R144" s="567" t="s">
        <v>864</v>
      </c>
      <c r="S144" s="595" t="s">
        <v>1452</v>
      </c>
      <c r="T144" s="573"/>
      <c r="U144" s="573"/>
      <c r="V144" s="574"/>
      <c r="W144" s="574" t="s">
        <v>864</v>
      </c>
      <c r="X144" s="575"/>
      <c r="Y144" s="576"/>
      <c r="Z144" s="567"/>
      <c r="AA144" s="577"/>
      <c r="AB144" s="567"/>
      <c r="AC144" s="573"/>
      <c r="AD144" s="573">
        <v>1</v>
      </c>
    </row>
    <row r="145" spans="1:30" s="578" customFormat="1" ht="13.5" customHeight="1">
      <c r="A145" s="567">
        <v>127</v>
      </c>
      <c r="B145" s="568"/>
      <c r="C145" s="568"/>
      <c r="D145" s="568"/>
      <c r="E145" s="568" t="s">
        <v>1453</v>
      </c>
      <c r="F145" s="568"/>
      <c r="G145" s="568"/>
      <c r="H145" s="567" t="s">
        <v>1451</v>
      </c>
      <c r="I145" s="594" t="s">
        <v>1454</v>
      </c>
      <c r="J145" s="567"/>
      <c r="K145" s="571" t="s">
        <v>1080</v>
      </c>
      <c r="L145" s="567"/>
      <c r="M145" s="567"/>
      <c r="N145" s="567"/>
      <c r="O145" s="567"/>
      <c r="P145" s="572"/>
      <c r="Q145" s="567" t="s">
        <v>817</v>
      </c>
      <c r="R145" s="567"/>
      <c r="S145" s="567" t="s">
        <v>863</v>
      </c>
      <c r="T145" s="573"/>
      <c r="U145" s="573"/>
      <c r="V145" s="574"/>
      <c r="W145" s="574" t="s">
        <v>864</v>
      </c>
      <c r="X145" s="575"/>
      <c r="Y145" s="576" t="s">
        <v>1455</v>
      </c>
      <c r="Z145" s="567"/>
      <c r="AA145" s="577"/>
      <c r="AB145" s="567"/>
      <c r="AC145" s="573"/>
      <c r="AD145" s="573">
        <v>1</v>
      </c>
    </row>
    <row r="146" spans="1:30" s="578" customFormat="1" ht="13.5" customHeight="1">
      <c r="A146" s="567">
        <v>128</v>
      </c>
      <c r="B146" s="568"/>
      <c r="C146" s="568"/>
      <c r="D146" s="568"/>
      <c r="E146" s="568" t="s">
        <v>1456</v>
      </c>
      <c r="F146" s="568"/>
      <c r="G146" s="568"/>
      <c r="H146" s="567" t="s">
        <v>1457</v>
      </c>
      <c r="I146" s="594" t="s">
        <v>1458</v>
      </c>
      <c r="J146" s="567"/>
      <c r="K146" s="571" t="s">
        <v>1459</v>
      </c>
      <c r="L146" s="567"/>
      <c r="M146" s="567"/>
      <c r="N146" s="567"/>
      <c r="O146" s="567"/>
      <c r="P146" s="572"/>
      <c r="Q146" s="567" t="s">
        <v>817</v>
      </c>
      <c r="R146" s="567"/>
      <c r="S146" s="567" t="s">
        <v>863</v>
      </c>
      <c r="T146" s="573"/>
      <c r="U146" s="573"/>
      <c r="V146" s="574"/>
      <c r="W146" s="574" t="s">
        <v>864</v>
      </c>
      <c r="X146" s="575"/>
      <c r="Y146" s="576" t="s">
        <v>1460</v>
      </c>
      <c r="Z146" s="567"/>
      <c r="AA146" s="577"/>
      <c r="AB146" s="567"/>
      <c r="AC146" s="573"/>
      <c r="AD146" s="573">
        <v>1</v>
      </c>
    </row>
    <row r="147" spans="1:30" s="578" customFormat="1" ht="13.5" customHeight="1">
      <c r="A147" s="567">
        <v>129</v>
      </c>
      <c r="B147" s="568"/>
      <c r="C147" s="568"/>
      <c r="D147" s="568" t="s">
        <v>1461</v>
      </c>
      <c r="E147" s="568"/>
      <c r="F147" s="568"/>
      <c r="G147" s="568"/>
      <c r="H147" s="567" t="s">
        <v>1462</v>
      </c>
      <c r="I147" s="594"/>
      <c r="J147" s="567"/>
      <c r="K147" s="571" t="s">
        <v>1463</v>
      </c>
      <c r="L147" s="567"/>
      <c r="M147" s="567"/>
      <c r="N147" s="567"/>
      <c r="O147" s="567"/>
      <c r="P147" s="572"/>
      <c r="Q147" s="567" t="s">
        <v>817</v>
      </c>
      <c r="R147" s="567" t="s">
        <v>864</v>
      </c>
      <c r="S147" s="579" t="s">
        <v>1464</v>
      </c>
      <c r="T147" s="573"/>
      <c r="U147" s="635"/>
      <c r="V147" s="574"/>
      <c r="W147" s="574" t="s">
        <v>864</v>
      </c>
      <c r="X147" s="575"/>
      <c r="Y147" s="576"/>
      <c r="Z147" s="567"/>
      <c r="AA147" s="577"/>
      <c r="AB147" s="567"/>
      <c r="AC147" s="573"/>
      <c r="AD147" s="573">
        <v>1</v>
      </c>
    </row>
    <row r="148" spans="1:30" s="578" customFormat="1" ht="13.5" customHeight="1">
      <c r="A148" s="567">
        <v>130</v>
      </c>
      <c r="B148" s="568"/>
      <c r="C148" s="568"/>
      <c r="D148" s="568"/>
      <c r="E148" s="568" t="s">
        <v>1465</v>
      </c>
      <c r="F148" s="568"/>
      <c r="G148" s="568"/>
      <c r="H148" s="567" t="s">
        <v>1466</v>
      </c>
      <c r="I148" s="594" t="s">
        <v>1134</v>
      </c>
      <c r="J148" s="567"/>
      <c r="K148" s="571" t="s">
        <v>1467</v>
      </c>
      <c r="L148" s="567"/>
      <c r="M148" s="567"/>
      <c r="N148" s="567"/>
      <c r="O148" s="567"/>
      <c r="P148" s="572"/>
      <c r="Q148" s="567" t="s">
        <v>817</v>
      </c>
      <c r="R148" s="567"/>
      <c r="S148" s="567" t="s">
        <v>863</v>
      </c>
      <c r="T148" s="573"/>
      <c r="U148" s="573"/>
      <c r="V148" s="574"/>
      <c r="W148" s="574" t="s">
        <v>864</v>
      </c>
      <c r="X148" s="575"/>
      <c r="Y148" s="576"/>
      <c r="Z148" s="567"/>
      <c r="AA148" s="577"/>
      <c r="AB148" s="567"/>
      <c r="AC148" s="573"/>
      <c r="AD148" s="573">
        <v>1</v>
      </c>
    </row>
    <row r="149" spans="1:30" s="578" customFormat="1" ht="13.5" customHeight="1">
      <c r="A149" s="567">
        <v>131</v>
      </c>
      <c r="B149" s="568"/>
      <c r="C149" s="568"/>
      <c r="D149" s="568"/>
      <c r="E149" s="568" t="s">
        <v>1468</v>
      </c>
      <c r="F149" s="568"/>
      <c r="G149" s="568"/>
      <c r="H149" s="567" t="s">
        <v>1469</v>
      </c>
      <c r="I149" s="594"/>
      <c r="J149" s="567"/>
      <c r="K149" s="571" t="s">
        <v>1470</v>
      </c>
      <c r="L149" s="567"/>
      <c r="M149" s="567"/>
      <c r="N149" s="567"/>
      <c r="O149" s="567"/>
      <c r="P149" s="572"/>
      <c r="Q149" s="567" t="s">
        <v>817</v>
      </c>
      <c r="R149" s="567"/>
      <c r="S149" s="567" t="s">
        <v>863</v>
      </c>
      <c r="T149" s="573"/>
      <c r="U149" s="573"/>
      <c r="V149" s="574"/>
      <c r="W149" s="574" t="s">
        <v>864</v>
      </c>
      <c r="X149" s="575"/>
      <c r="Y149" s="576"/>
      <c r="Z149" s="567"/>
      <c r="AA149" s="577"/>
      <c r="AB149" s="567"/>
      <c r="AC149" s="573"/>
      <c r="AD149" s="573">
        <v>1</v>
      </c>
    </row>
    <row r="150" spans="1:30" s="578" customFormat="1" ht="13.5" customHeight="1">
      <c r="A150" s="567">
        <v>132</v>
      </c>
      <c r="B150" s="568"/>
      <c r="C150" s="568"/>
      <c r="D150" s="568"/>
      <c r="E150" s="568" t="s">
        <v>1471</v>
      </c>
      <c r="F150" s="568"/>
      <c r="G150" s="568"/>
      <c r="H150" s="567" t="s">
        <v>1472</v>
      </c>
      <c r="I150" s="594"/>
      <c r="J150" s="567"/>
      <c r="K150" s="571" t="s">
        <v>1473</v>
      </c>
      <c r="L150" s="567"/>
      <c r="M150" s="567"/>
      <c r="N150" s="567"/>
      <c r="O150" s="567"/>
      <c r="P150" s="572"/>
      <c r="Q150" s="567" t="s">
        <v>817</v>
      </c>
      <c r="R150" s="567"/>
      <c r="S150" s="567" t="s">
        <v>863</v>
      </c>
      <c r="T150" s="573"/>
      <c r="U150" s="573"/>
      <c r="V150" s="574"/>
      <c r="W150" s="574" t="s">
        <v>864</v>
      </c>
      <c r="X150" s="575"/>
      <c r="Y150" s="576"/>
      <c r="Z150" s="567"/>
      <c r="AA150" s="577"/>
      <c r="AB150" s="567"/>
      <c r="AC150" s="573"/>
      <c r="AD150" s="573">
        <v>1</v>
      </c>
    </row>
    <row r="151" spans="1:30" s="578" customFormat="1" ht="13.5" customHeight="1">
      <c r="A151" s="567">
        <v>135</v>
      </c>
      <c r="B151" s="568"/>
      <c r="C151" s="568"/>
      <c r="D151" s="568"/>
      <c r="E151" s="568" t="s">
        <v>1474</v>
      </c>
      <c r="F151" s="568"/>
      <c r="G151" s="568"/>
      <c r="H151" s="567" t="s">
        <v>1475</v>
      </c>
      <c r="I151" s="594"/>
      <c r="J151" s="567"/>
      <c r="K151" s="571" t="s">
        <v>1476</v>
      </c>
      <c r="L151" s="567"/>
      <c r="M151" s="567"/>
      <c r="N151" s="567"/>
      <c r="O151" s="567"/>
      <c r="P151" s="572"/>
      <c r="Q151" s="567" t="s">
        <v>817</v>
      </c>
      <c r="R151" s="567"/>
      <c r="S151" s="567" t="s">
        <v>1092</v>
      </c>
      <c r="T151" s="573"/>
      <c r="U151" s="635"/>
      <c r="V151" s="574"/>
      <c r="W151" s="574" t="s">
        <v>864</v>
      </c>
      <c r="X151" s="575"/>
      <c r="Y151" s="576" t="s">
        <v>1477</v>
      </c>
      <c r="Z151" s="567" t="s">
        <v>1478</v>
      </c>
      <c r="AA151" s="577"/>
      <c r="AB151" s="567"/>
      <c r="AC151" s="573"/>
      <c r="AD151" s="573">
        <v>1</v>
      </c>
    </row>
    <row r="152" spans="1:30" s="607" customFormat="1" ht="13.5" customHeight="1">
      <c r="A152" s="599">
        <v>133</v>
      </c>
      <c r="B152" s="558"/>
      <c r="C152" s="558" t="s">
        <v>1479</v>
      </c>
      <c r="D152" s="558"/>
      <c r="E152" s="558"/>
      <c r="F152" s="558"/>
      <c r="G152" s="558"/>
      <c r="H152" s="599" t="s">
        <v>1480</v>
      </c>
      <c r="I152" s="641"/>
      <c r="J152" s="599"/>
      <c r="K152" s="600" t="s">
        <v>1481</v>
      </c>
      <c r="L152" s="599"/>
      <c r="M152" s="599"/>
      <c r="N152" s="599"/>
      <c r="O152" s="599"/>
      <c r="P152" s="642"/>
      <c r="Q152" s="599" t="s">
        <v>817</v>
      </c>
      <c r="R152" s="599"/>
      <c r="S152" s="599" t="s">
        <v>1482</v>
      </c>
      <c r="T152" s="602"/>
      <c r="U152" s="643"/>
      <c r="V152" s="603" t="s">
        <v>864</v>
      </c>
      <c r="W152" s="603" t="s">
        <v>864</v>
      </c>
      <c r="X152" s="604"/>
      <c r="Y152" s="605"/>
      <c r="Z152" s="599"/>
      <c r="AA152" s="606"/>
      <c r="AB152" s="599"/>
      <c r="AC152" s="602"/>
      <c r="AD152" s="602">
        <v>1</v>
      </c>
    </row>
    <row r="153" spans="1:30" s="607" customFormat="1" ht="13.5" customHeight="1">
      <c r="A153" s="599">
        <v>134</v>
      </c>
      <c r="B153" s="558"/>
      <c r="C153" s="558" t="s">
        <v>1483</v>
      </c>
      <c r="D153" s="558"/>
      <c r="E153" s="558"/>
      <c r="F153" s="558"/>
      <c r="G153" s="558"/>
      <c r="H153" s="599" t="s">
        <v>1484</v>
      </c>
      <c r="I153" s="641" t="s">
        <v>698</v>
      </c>
      <c r="J153" s="599"/>
      <c r="K153" s="600" t="s">
        <v>1485</v>
      </c>
      <c r="L153" s="599"/>
      <c r="M153" s="599"/>
      <c r="N153" s="599"/>
      <c r="O153" s="599"/>
      <c r="P153" s="642"/>
      <c r="Q153" s="599" t="s">
        <v>817</v>
      </c>
      <c r="R153" s="599"/>
      <c r="S153" s="599" t="s">
        <v>863</v>
      </c>
      <c r="T153" s="602"/>
      <c r="U153" s="602"/>
      <c r="V153" s="603" t="s">
        <v>864</v>
      </c>
      <c r="W153" s="603" t="s">
        <v>864</v>
      </c>
      <c r="X153" s="604"/>
      <c r="Y153" s="605" t="s">
        <v>1486</v>
      </c>
      <c r="Z153" s="599"/>
      <c r="AA153" s="606"/>
      <c r="AB153" s="599"/>
      <c r="AC153" s="602"/>
      <c r="AD153" s="602">
        <v>1</v>
      </c>
    </row>
    <row r="154" spans="1:30" s="607" customFormat="1" ht="13.5" customHeight="1">
      <c r="A154" s="599">
        <v>136</v>
      </c>
      <c r="B154" s="558"/>
      <c r="C154" s="558" t="s">
        <v>1301</v>
      </c>
      <c r="D154" s="568" t="s">
        <v>1487</v>
      </c>
      <c r="E154" s="568"/>
      <c r="F154" s="568"/>
      <c r="G154" s="568"/>
      <c r="H154" s="599" t="s">
        <v>1488</v>
      </c>
      <c r="I154" s="641"/>
      <c r="J154" s="599"/>
      <c r="K154" s="600" t="s">
        <v>1489</v>
      </c>
      <c r="L154" s="599"/>
      <c r="M154" s="599"/>
      <c r="N154" s="599"/>
      <c r="O154" s="599"/>
      <c r="P154" s="642"/>
      <c r="Q154" s="599" t="s">
        <v>817</v>
      </c>
      <c r="R154" s="599" t="s">
        <v>864</v>
      </c>
      <c r="S154" s="610" t="s">
        <v>1303</v>
      </c>
      <c r="T154" s="602"/>
      <c r="U154" s="602"/>
      <c r="V154" s="603" t="s">
        <v>864</v>
      </c>
      <c r="W154" s="603" t="s">
        <v>864</v>
      </c>
      <c r="X154" s="604"/>
      <c r="Y154" s="605"/>
      <c r="Z154" s="599"/>
      <c r="AA154" s="606"/>
      <c r="AB154" s="599"/>
      <c r="AC154" s="602"/>
      <c r="AD154" s="602">
        <v>1</v>
      </c>
    </row>
    <row r="155" spans="1:30" s="578" customFormat="1" ht="14.25" customHeight="1">
      <c r="A155" s="567">
        <v>137</v>
      </c>
      <c r="B155" s="568"/>
      <c r="C155" s="568" t="s">
        <v>1009</v>
      </c>
      <c r="D155" s="568" t="s">
        <v>986</v>
      </c>
      <c r="E155" s="568"/>
      <c r="F155" s="568"/>
      <c r="G155" s="568"/>
      <c r="H155" s="567" t="s">
        <v>1490</v>
      </c>
      <c r="I155" s="571"/>
      <c r="J155" s="567"/>
      <c r="K155" s="567" t="s">
        <v>1011</v>
      </c>
      <c r="L155" s="567"/>
      <c r="M155" s="567"/>
      <c r="N155" s="567"/>
      <c r="O155" s="567"/>
      <c r="P155" s="572"/>
      <c r="Q155" s="567" t="s">
        <v>817</v>
      </c>
      <c r="R155" s="567" t="s">
        <v>864</v>
      </c>
      <c r="S155" s="579" t="s">
        <v>991</v>
      </c>
      <c r="T155" s="573"/>
      <c r="U155" s="567"/>
      <c r="V155" s="574"/>
      <c r="W155" s="574" t="s">
        <v>864</v>
      </c>
      <c r="X155" s="575"/>
      <c r="Y155" s="576" t="s">
        <v>1491</v>
      </c>
      <c r="Z155" s="567" t="s">
        <v>992</v>
      </c>
      <c r="AA155" s="577"/>
      <c r="AB155" s="567"/>
      <c r="AC155" s="573"/>
      <c r="AD155" s="573">
        <v>1</v>
      </c>
    </row>
    <row r="156" spans="1:30" s="578" customFormat="1" ht="12.75" customHeight="1">
      <c r="A156" s="567">
        <v>138</v>
      </c>
      <c r="B156" s="568"/>
      <c r="C156" s="568" t="s">
        <v>1492</v>
      </c>
      <c r="D156" s="568"/>
      <c r="E156" s="568"/>
      <c r="F156" s="568"/>
      <c r="G156" s="568"/>
      <c r="H156" s="567"/>
      <c r="I156" s="571"/>
      <c r="J156" s="567"/>
      <c r="K156" s="571" t="s">
        <v>1120</v>
      </c>
      <c r="L156" s="567"/>
      <c r="M156" s="567"/>
      <c r="N156" s="567"/>
      <c r="O156" s="567"/>
      <c r="P156" s="572"/>
      <c r="Q156" s="567" t="s">
        <v>817</v>
      </c>
      <c r="R156" s="567" t="s">
        <v>864</v>
      </c>
      <c r="S156" s="595" t="s">
        <v>1493</v>
      </c>
      <c r="T156" s="573"/>
      <c r="U156" s="567"/>
      <c r="V156" s="572"/>
      <c r="W156" s="574" t="s">
        <v>864</v>
      </c>
      <c r="X156" s="575"/>
      <c r="Y156" s="576" t="s">
        <v>1494</v>
      </c>
      <c r="Z156" s="567"/>
      <c r="AA156" s="639" t="s">
        <v>1495</v>
      </c>
      <c r="AB156" s="567"/>
      <c r="AC156" s="573"/>
      <c r="AD156" s="573">
        <v>1</v>
      </c>
    </row>
    <row r="157" spans="1:30" s="566" customFormat="1" ht="13.5" customHeight="1">
      <c r="A157" s="556">
        <v>139</v>
      </c>
      <c r="B157" s="557"/>
      <c r="C157" s="558" t="s">
        <v>1496</v>
      </c>
      <c r="D157" s="557"/>
      <c r="E157" s="557"/>
      <c r="F157" s="557"/>
      <c r="G157" s="557"/>
      <c r="H157" s="556" t="s">
        <v>1497</v>
      </c>
      <c r="I157" s="559">
        <v>31</v>
      </c>
      <c r="J157" s="556"/>
      <c r="K157" s="559" t="s">
        <v>1498</v>
      </c>
      <c r="L157" s="556"/>
      <c r="M157" s="556"/>
      <c r="N157" s="556"/>
      <c r="O157" s="556"/>
      <c r="P157" s="560"/>
      <c r="Q157" s="556" t="s">
        <v>817</v>
      </c>
      <c r="R157" s="556"/>
      <c r="S157" s="556" t="s">
        <v>1380</v>
      </c>
      <c r="T157" s="561"/>
      <c r="U157" s="556"/>
      <c r="V157" s="562" t="s">
        <v>864</v>
      </c>
      <c r="W157" s="562" t="s">
        <v>864</v>
      </c>
      <c r="X157" s="563"/>
      <c r="Y157" s="597"/>
      <c r="Z157" s="556"/>
      <c r="AA157" s="565"/>
      <c r="AB157" s="556"/>
      <c r="AC157" s="561"/>
      <c r="AD157" s="561">
        <v>1</v>
      </c>
    </row>
    <row r="158" spans="1:30" s="566" customFormat="1" ht="13.5" customHeight="1">
      <c r="A158" s="556">
        <v>140</v>
      </c>
      <c r="B158" s="557"/>
      <c r="C158" s="558" t="s">
        <v>1499</v>
      </c>
      <c r="D158" s="557"/>
      <c r="E158" s="557"/>
      <c r="F158" s="557"/>
      <c r="G158" s="557"/>
      <c r="H158" s="556" t="s">
        <v>1500</v>
      </c>
      <c r="I158" s="559">
        <v>109</v>
      </c>
      <c r="J158" s="556"/>
      <c r="K158" s="559" t="s">
        <v>1182</v>
      </c>
      <c r="L158" s="556"/>
      <c r="M158" s="556"/>
      <c r="N158" s="556"/>
      <c r="O158" s="556"/>
      <c r="P158" s="560"/>
      <c r="Q158" s="556" t="s">
        <v>817</v>
      </c>
      <c r="R158" s="556"/>
      <c r="S158" s="556" t="s">
        <v>1380</v>
      </c>
      <c r="T158" s="561"/>
      <c r="U158" s="556"/>
      <c r="V158" s="562" t="s">
        <v>864</v>
      </c>
      <c r="W158" s="562" t="s">
        <v>864</v>
      </c>
      <c r="X158" s="563"/>
      <c r="Y158" s="597"/>
      <c r="Z158" s="556"/>
      <c r="AA158" s="565"/>
      <c r="AB158" s="556"/>
      <c r="AC158" s="561"/>
      <c r="AD158" s="561">
        <v>1</v>
      </c>
    </row>
    <row r="159" spans="1:30" s="566" customFormat="1" ht="12.75" customHeight="1">
      <c r="A159" s="556">
        <v>141</v>
      </c>
      <c r="B159" s="557"/>
      <c r="C159" s="558" t="s">
        <v>1501</v>
      </c>
      <c r="D159" s="557"/>
      <c r="E159" s="557"/>
      <c r="F159" s="557"/>
      <c r="G159" s="557"/>
      <c r="H159" s="556" t="s">
        <v>1502</v>
      </c>
      <c r="I159" s="559" t="s">
        <v>1503</v>
      </c>
      <c r="J159" s="556"/>
      <c r="K159" s="559" t="s">
        <v>1504</v>
      </c>
      <c r="L159" s="556"/>
      <c r="M159" s="556"/>
      <c r="N159" s="556"/>
      <c r="O159" s="556"/>
      <c r="P159" s="560"/>
      <c r="Q159" s="556" t="s">
        <v>817</v>
      </c>
      <c r="R159" s="556"/>
      <c r="S159" s="640" t="s">
        <v>863</v>
      </c>
      <c r="T159" s="561"/>
      <c r="U159" s="556" t="s">
        <v>1505</v>
      </c>
      <c r="V159" s="562" t="s">
        <v>864</v>
      </c>
      <c r="W159" s="562" t="s">
        <v>864</v>
      </c>
      <c r="X159" s="563"/>
      <c r="Y159" s="597"/>
      <c r="Z159" s="556"/>
      <c r="AA159" s="565"/>
      <c r="AB159" s="556"/>
      <c r="AC159" s="561"/>
      <c r="AD159" s="561">
        <v>1</v>
      </c>
    </row>
    <row r="160" spans="1:30" s="566" customFormat="1" ht="13.5" customHeight="1">
      <c r="A160" s="556">
        <v>142</v>
      </c>
      <c r="B160" s="557"/>
      <c r="C160" s="558" t="s">
        <v>1506</v>
      </c>
      <c r="D160" s="557"/>
      <c r="E160" s="557"/>
      <c r="F160" s="557"/>
      <c r="G160" s="557"/>
      <c r="H160" s="556"/>
      <c r="I160" s="559" t="s">
        <v>1507</v>
      </c>
      <c r="J160" s="556"/>
      <c r="K160" s="559" t="s">
        <v>1508</v>
      </c>
      <c r="L160" s="556"/>
      <c r="M160" s="556"/>
      <c r="N160" s="556"/>
      <c r="O160" s="556"/>
      <c r="P160" s="560"/>
      <c r="Q160" s="556" t="s">
        <v>817</v>
      </c>
      <c r="R160" s="556"/>
      <c r="S160" s="556" t="s">
        <v>863</v>
      </c>
      <c r="T160" s="561"/>
      <c r="U160" s="556"/>
      <c r="V160" s="562" t="s">
        <v>864</v>
      </c>
      <c r="W160" s="562" t="s">
        <v>864</v>
      </c>
      <c r="X160" s="563"/>
      <c r="Y160" s="597" t="s">
        <v>1509</v>
      </c>
      <c r="Z160" s="556"/>
      <c r="AA160" s="565"/>
      <c r="AB160" s="556"/>
      <c r="AC160" s="561"/>
      <c r="AD160" s="561">
        <v>1</v>
      </c>
    </row>
    <row r="161" spans="1:30" s="578" customFormat="1" ht="13.5" customHeight="1">
      <c r="A161" s="567">
        <v>143</v>
      </c>
      <c r="B161" s="568"/>
      <c r="C161" s="568" t="s">
        <v>1510</v>
      </c>
      <c r="D161" s="568"/>
      <c r="E161" s="568"/>
      <c r="F161" s="568"/>
      <c r="G161" s="568"/>
      <c r="H161" s="567"/>
      <c r="I161" s="571"/>
      <c r="J161" s="567"/>
      <c r="K161" s="571" t="s">
        <v>1511</v>
      </c>
      <c r="L161" s="567"/>
      <c r="M161" s="567"/>
      <c r="N161" s="567"/>
      <c r="O161" s="567"/>
      <c r="P161" s="572"/>
      <c r="Q161" s="567" t="s">
        <v>817</v>
      </c>
      <c r="R161" s="567" t="s">
        <v>864</v>
      </c>
      <c r="S161" s="595" t="s">
        <v>1511</v>
      </c>
      <c r="T161" s="573"/>
      <c r="U161" s="567"/>
      <c r="V161" s="574"/>
      <c r="W161" s="574" t="s">
        <v>864</v>
      </c>
      <c r="X161" s="575"/>
      <c r="Y161" s="576"/>
      <c r="Z161" s="567"/>
      <c r="AA161" s="577"/>
      <c r="AB161" s="567"/>
      <c r="AC161" s="573"/>
      <c r="AD161" s="573">
        <v>1</v>
      </c>
    </row>
    <row r="162" spans="1:30" s="578" customFormat="1" ht="13.5" customHeight="1">
      <c r="A162" s="567">
        <v>144</v>
      </c>
      <c r="B162" s="568"/>
      <c r="C162" s="568"/>
      <c r="D162" s="568" t="s">
        <v>1512</v>
      </c>
      <c r="E162" s="568" t="s">
        <v>986</v>
      </c>
      <c r="F162" s="568"/>
      <c r="G162" s="568"/>
      <c r="H162" s="567" t="s">
        <v>1513</v>
      </c>
      <c r="I162" s="571"/>
      <c r="J162" s="567"/>
      <c r="K162" s="571" t="s">
        <v>1514</v>
      </c>
      <c r="L162" s="567"/>
      <c r="M162" s="567"/>
      <c r="N162" s="567"/>
      <c r="O162" s="567"/>
      <c r="P162" s="572"/>
      <c r="Q162" s="567" t="s">
        <v>817</v>
      </c>
      <c r="R162" s="567" t="s">
        <v>864</v>
      </c>
      <c r="S162" s="595" t="s">
        <v>991</v>
      </c>
      <c r="T162" s="573"/>
      <c r="U162" s="567"/>
      <c r="V162" s="574"/>
      <c r="W162" s="574" t="s">
        <v>864</v>
      </c>
      <c r="X162" s="575"/>
      <c r="Y162" s="576" t="s">
        <v>1515</v>
      </c>
      <c r="Z162" s="567"/>
      <c r="AA162" s="577"/>
      <c r="AB162" s="567"/>
      <c r="AC162" s="573"/>
      <c r="AD162" s="573">
        <v>1</v>
      </c>
    </row>
    <row r="163" spans="1:30" s="578" customFormat="1" ht="14.25" customHeight="1">
      <c r="A163" s="567">
        <v>145</v>
      </c>
      <c r="B163" s="568"/>
      <c r="C163" s="568"/>
      <c r="D163" s="568" t="s">
        <v>1516</v>
      </c>
      <c r="E163" s="568" t="s">
        <v>986</v>
      </c>
      <c r="F163" s="568"/>
      <c r="G163" s="568"/>
      <c r="H163" s="567" t="s">
        <v>1517</v>
      </c>
      <c r="I163" s="571"/>
      <c r="J163" s="567"/>
      <c r="K163" s="571" t="s">
        <v>1518</v>
      </c>
      <c r="L163" s="567"/>
      <c r="M163" s="567"/>
      <c r="N163" s="567"/>
      <c r="O163" s="567"/>
      <c r="P163" s="572"/>
      <c r="Q163" s="567" t="s">
        <v>823</v>
      </c>
      <c r="R163" s="567" t="s">
        <v>864</v>
      </c>
      <c r="S163" s="595" t="s">
        <v>991</v>
      </c>
      <c r="T163" s="573"/>
      <c r="U163" s="567"/>
      <c r="V163" s="574"/>
      <c r="W163" s="574" t="s">
        <v>864</v>
      </c>
      <c r="X163" s="575"/>
      <c r="Y163" s="576" t="s">
        <v>1515</v>
      </c>
      <c r="Z163" s="567"/>
      <c r="AA163" s="577"/>
      <c r="AB163" s="567"/>
      <c r="AC163" s="573"/>
      <c r="AD163" s="573">
        <v>1</v>
      </c>
    </row>
    <row r="164" spans="1:30" s="578" customFormat="1" ht="13.5" customHeight="1">
      <c r="A164" s="567">
        <v>146</v>
      </c>
      <c r="B164" s="568"/>
      <c r="C164" s="568" t="s">
        <v>1519</v>
      </c>
      <c r="D164" s="568" t="s">
        <v>986</v>
      </c>
      <c r="E164" s="568"/>
      <c r="F164" s="568"/>
      <c r="G164" s="568"/>
      <c r="H164" s="567" t="s">
        <v>1520</v>
      </c>
      <c r="I164" s="571"/>
      <c r="J164" s="567"/>
      <c r="K164" s="571" t="s">
        <v>1521</v>
      </c>
      <c r="L164" s="567"/>
      <c r="M164" s="567"/>
      <c r="N164" s="567"/>
      <c r="O164" s="567"/>
      <c r="P164" s="572"/>
      <c r="Q164" s="567" t="s">
        <v>817</v>
      </c>
      <c r="R164" s="567" t="s">
        <v>864</v>
      </c>
      <c r="S164" s="595" t="s">
        <v>991</v>
      </c>
      <c r="T164" s="573"/>
      <c r="U164" s="567"/>
      <c r="V164" s="574"/>
      <c r="W164" s="574" t="s">
        <v>864</v>
      </c>
      <c r="X164" s="575"/>
      <c r="Y164" s="576" t="s">
        <v>1515</v>
      </c>
      <c r="Z164" s="567"/>
      <c r="AA164" s="577"/>
      <c r="AB164" s="567"/>
      <c r="AC164" s="573"/>
      <c r="AD164" s="573">
        <v>1</v>
      </c>
    </row>
    <row r="165" spans="1:30" s="224" customFormat="1" ht="13.5" customHeight="1">
      <c r="A165" s="225">
        <v>147</v>
      </c>
      <c r="B165" s="219" t="s">
        <v>1522</v>
      </c>
      <c r="C165" s="241"/>
      <c r="D165" s="241"/>
      <c r="E165" s="241"/>
      <c r="F165" s="241"/>
      <c r="G165" s="241"/>
      <c r="H165" s="728" t="s">
        <v>1523</v>
      </c>
      <c r="I165" s="729"/>
      <c r="J165" s="728"/>
      <c r="K165" s="729" t="s">
        <v>1524</v>
      </c>
      <c r="L165" s="728"/>
      <c r="M165" s="728"/>
      <c r="N165" s="728"/>
      <c r="O165" s="728"/>
      <c r="P165" s="730"/>
      <c r="Q165" s="737" t="s">
        <v>823</v>
      </c>
      <c r="R165" s="728" t="s">
        <v>864</v>
      </c>
      <c r="S165" s="378" t="s">
        <v>1524</v>
      </c>
      <c r="T165" s="731"/>
      <c r="U165" s="728"/>
      <c r="V165" s="732"/>
      <c r="W165" s="260" t="s">
        <v>864</v>
      </c>
      <c r="X165" s="232"/>
      <c r="Y165" s="733" t="s">
        <v>1525</v>
      </c>
      <c r="Z165" s="728"/>
      <c r="AA165" s="734"/>
      <c r="AB165" s="728"/>
      <c r="AC165" s="731"/>
      <c r="AD165" s="731">
        <v>1</v>
      </c>
    </row>
    <row r="166" spans="1:30" s="578" customFormat="1" ht="13.5" customHeight="1">
      <c r="A166" s="567">
        <v>155</v>
      </c>
      <c r="B166" s="568"/>
      <c r="C166" s="568" t="s">
        <v>1404</v>
      </c>
      <c r="D166" s="568"/>
      <c r="E166" s="568"/>
      <c r="F166" s="568"/>
      <c r="G166" s="568"/>
      <c r="H166" s="567" t="s">
        <v>1526</v>
      </c>
      <c r="I166" s="571"/>
      <c r="J166" s="567"/>
      <c r="K166" s="571" t="s">
        <v>1218</v>
      </c>
      <c r="L166" s="567"/>
      <c r="M166" s="567"/>
      <c r="N166" s="567"/>
      <c r="O166" s="567"/>
      <c r="P166" s="572"/>
      <c r="Q166" s="567" t="s">
        <v>817</v>
      </c>
      <c r="R166" s="567"/>
      <c r="S166" s="567" t="s">
        <v>863</v>
      </c>
      <c r="T166" s="573"/>
      <c r="U166" s="567"/>
      <c r="V166" s="574"/>
      <c r="W166" s="574" t="s">
        <v>864</v>
      </c>
      <c r="X166" s="575"/>
      <c r="Y166" s="576"/>
      <c r="Z166" s="567"/>
      <c r="AA166" s="577"/>
      <c r="AB166" s="567"/>
      <c r="AC166" s="573"/>
      <c r="AD166" s="573">
        <v>1</v>
      </c>
    </row>
    <row r="167" spans="1:30" s="578" customFormat="1" ht="13.5" customHeight="1">
      <c r="A167" s="567">
        <v>148</v>
      </c>
      <c r="B167" s="568"/>
      <c r="C167" s="568" t="s">
        <v>1527</v>
      </c>
      <c r="D167" s="568" t="s">
        <v>1528</v>
      </c>
      <c r="E167" s="568"/>
      <c r="F167" s="568"/>
      <c r="G167" s="568"/>
      <c r="H167" s="567" t="s">
        <v>1529</v>
      </c>
      <c r="I167" s="571"/>
      <c r="J167" s="567"/>
      <c r="K167" s="571" t="s">
        <v>1395</v>
      </c>
      <c r="L167" s="567"/>
      <c r="M167" s="567"/>
      <c r="N167" s="567"/>
      <c r="O167" s="567"/>
      <c r="P167" s="572"/>
      <c r="Q167" s="567" t="s">
        <v>817</v>
      </c>
      <c r="R167" s="567" t="s">
        <v>864</v>
      </c>
      <c r="S167" s="595" t="s">
        <v>1395</v>
      </c>
      <c r="T167" s="573"/>
      <c r="U167" s="567"/>
      <c r="V167" s="574"/>
      <c r="W167" s="574" t="s">
        <v>864</v>
      </c>
      <c r="X167" s="575"/>
      <c r="Y167" s="576"/>
      <c r="Z167" s="567"/>
      <c r="AA167" s="577"/>
      <c r="AB167" s="567"/>
      <c r="AC167" s="573"/>
      <c r="AD167" s="573">
        <v>1</v>
      </c>
    </row>
    <row r="168" spans="1:30" s="656" customFormat="1" ht="13.5" customHeight="1">
      <c r="A168" s="650">
        <v>149</v>
      </c>
      <c r="B168" s="651"/>
      <c r="C168" s="652" t="s">
        <v>1530</v>
      </c>
      <c r="D168" s="651"/>
      <c r="E168" s="651"/>
      <c r="F168" s="651"/>
      <c r="G168" s="651"/>
      <c r="H168" s="650" t="s">
        <v>1531</v>
      </c>
      <c r="I168" s="652" t="s">
        <v>930</v>
      </c>
      <c r="J168" s="650"/>
      <c r="K168" s="652" t="s">
        <v>931</v>
      </c>
      <c r="L168" s="650"/>
      <c r="M168" s="650"/>
      <c r="N168" s="650"/>
      <c r="O168" s="650"/>
      <c r="P168" s="653"/>
      <c r="Q168" s="650" t="s">
        <v>820</v>
      </c>
      <c r="R168" s="650"/>
      <c r="S168" s="650" t="s">
        <v>879</v>
      </c>
      <c r="T168" s="654"/>
      <c r="U168" s="650" t="s">
        <v>932</v>
      </c>
      <c r="V168" s="655"/>
      <c r="W168" s="655" t="s">
        <v>864</v>
      </c>
      <c r="Y168" s="657"/>
      <c r="Z168" s="650"/>
      <c r="AA168" s="658"/>
      <c r="AB168" s="650"/>
      <c r="AC168" s="654"/>
      <c r="AD168" s="654">
        <v>1</v>
      </c>
    </row>
    <row r="169" spans="1:30" s="224" customFormat="1" ht="13.5" customHeight="1">
      <c r="A169" s="225">
        <v>150</v>
      </c>
      <c r="B169" s="219"/>
      <c r="C169" s="241" t="s">
        <v>1532</v>
      </c>
      <c r="D169" s="241"/>
      <c r="E169" s="241"/>
      <c r="F169" s="241"/>
      <c r="G169" s="241"/>
      <c r="H169" s="728" t="s">
        <v>1533</v>
      </c>
      <c r="I169" s="729"/>
      <c r="J169" s="728"/>
      <c r="K169" s="729" t="s">
        <v>939</v>
      </c>
      <c r="L169" s="728"/>
      <c r="M169" s="728"/>
      <c r="N169" s="728"/>
      <c r="O169" s="728"/>
      <c r="P169" s="730"/>
      <c r="Q169" s="728" t="s">
        <v>820</v>
      </c>
      <c r="R169" s="728"/>
      <c r="S169" s="728" t="s">
        <v>863</v>
      </c>
      <c r="T169" s="731"/>
      <c r="U169" s="728"/>
      <c r="V169" s="732" t="s">
        <v>864</v>
      </c>
      <c r="W169" s="260" t="s">
        <v>864</v>
      </c>
      <c r="X169" s="232"/>
      <c r="Y169" s="733"/>
      <c r="Z169" s="728"/>
      <c r="AA169" s="734"/>
      <c r="AB169" s="728"/>
      <c r="AC169" s="731"/>
      <c r="AD169" s="731">
        <v>1</v>
      </c>
    </row>
    <row r="170" spans="1:30" s="578" customFormat="1" ht="13.5" customHeight="1">
      <c r="A170" s="567">
        <v>151</v>
      </c>
      <c r="B170" s="568"/>
      <c r="C170" s="568" t="s">
        <v>1534</v>
      </c>
      <c r="D170" s="568"/>
      <c r="E170" s="568"/>
      <c r="F170" s="568"/>
      <c r="G170" s="568"/>
      <c r="H170" s="567" t="s">
        <v>1535</v>
      </c>
      <c r="I170" s="571"/>
      <c r="J170" s="567"/>
      <c r="K170" s="571" t="s">
        <v>1536</v>
      </c>
      <c r="L170" s="567"/>
      <c r="M170" s="567"/>
      <c r="N170" s="567"/>
      <c r="O170" s="567"/>
      <c r="P170" s="572"/>
      <c r="Q170" s="567" t="s">
        <v>817</v>
      </c>
      <c r="R170" s="567"/>
      <c r="S170" s="567" t="s">
        <v>863</v>
      </c>
      <c r="T170" s="573"/>
      <c r="U170" s="567"/>
      <c r="V170" s="574"/>
      <c r="W170" s="574" t="s">
        <v>864</v>
      </c>
      <c r="X170" s="575"/>
      <c r="Y170" s="576"/>
      <c r="Z170" s="567"/>
      <c r="AA170" s="577"/>
      <c r="AB170" s="567"/>
      <c r="AC170" s="573"/>
      <c r="AD170" s="573">
        <v>1</v>
      </c>
    </row>
    <row r="171" spans="1:30" s="578" customFormat="1" ht="13.5" customHeight="1">
      <c r="A171" s="567">
        <v>152</v>
      </c>
      <c r="B171" s="568"/>
      <c r="C171" s="568" t="s">
        <v>1537</v>
      </c>
      <c r="D171" s="568"/>
      <c r="E171" s="568"/>
      <c r="F171" s="568"/>
      <c r="G171" s="568"/>
      <c r="H171" s="567" t="s">
        <v>1538</v>
      </c>
      <c r="I171" s="571"/>
      <c r="J171" s="567"/>
      <c r="K171" s="571" t="s">
        <v>1539</v>
      </c>
      <c r="L171" s="567"/>
      <c r="M171" s="567"/>
      <c r="N171" s="567"/>
      <c r="O171" s="567"/>
      <c r="P171" s="572"/>
      <c r="Q171" s="567" t="s">
        <v>817</v>
      </c>
      <c r="R171" s="567"/>
      <c r="S171" s="567" t="s">
        <v>863</v>
      </c>
      <c r="T171" s="573"/>
      <c r="U171" s="567"/>
      <c r="V171" s="574"/>
      <c r="W171" s="574" t="s">
        <v>864</v>
      </c>
      <c r="X171" s="575"/>
      <c r="Y171" s="576"/>
      <c r="Z171" s="567"/>
      <c r="AA171" s="577"/>
      <c r="AB171" s="567"/>
      <c r="AC171" s="573"/>
      <c r="AD171" s="573">
        <v>1</v>
      </c>
    </row>
    <row r="172" spans="1:30" s="578" customFormat="1" ht="13.5" customHeight="1">
      <c r="A172" s="567">
        <v>153</v>
      </c>
      <c r="B172" s="568"/>
      <c r="C172" s="568" t="s">
        <v>1540</v>
      </c>
      <c r="D172" s="568"/>
      <c r="E172" s="568"/>
      <c r="F172" s="568"/>
      <c r="G172" s="568"/>
      <c r="H172" s="567" t="s">
        <v>1541</v>
      </c>
      <c r="I172" s="571"/>
      <c r="J172" s="567"/>
      <c r="K172" s="571" t="s">
        <v>1542</v>
      </c>
      <c r="L172" s="567"/>
      <c r="M172" s="567"/>
      <c r="N172" s="567"/>
      <c r="O172" s="567"/>
      <c r="P172" s="572"/>
      <c r="Q172" s="567" t="s">
        <v>817</v>
      </c>
      <c r="R172" s="567"/>
      <c r="S172" s="567" t="s">
        <v>863</v>
      </c>
      <c r="T172" s="573"/>
      <c r="U172" s="567"/>
      <c r="V172" s="574"/>
      <c r="W172" s="574" t="s">
        <v>864</v>
      </c>
      <c r="X172" s="575"/>
      <c r="Y172" s="576"/>
      <c r="Z172" s="567"/>
      <c r="AA172" s="577"/>
      <c r="AB172" s="567"/>
      <c r="AC172" s="573"/>
      <c r="AD172" s="573">
        <v>1</v>
      </c>
    </row>
    <row r="173" spans="1:30" s="578" customFormat="1" ht="13.5" customHeight="1">
      <c r="A173" s="567">
        <v>154</v>
      </c>
      <c r="B173" s="568" t="s">
        <v>1543</v>
      </c>
      <c r="C173" s="568"/>
      <c r="D173" s="568"/>
      <c r="E173" s="568"/>
      <c r="F173" s="568"/>
      <c r="G173" s="568"/>
      <c r="H173" s="644" t="s">
        <v>1544</v>
      </c>
      <c r="I173" s="571"/>
      <c r="J173" s="567"/>
      <c r="K173" s="571" t="s">
        <v>1545</v>
      </c>
      <c r="L173" s="567"/>
      <c r="M173" s="567"/>
      <c r="N173" s="567"/>
      <c r="O173" s="567"/>
      <c r="P173" s="572"/>
      <c r="Q173" s="567" t="s">
        <v>823</v>
      </c>
      <c r="R173" s="567" t="s">
        <v>864</v>
      </c>
      <c r="S173" s="579" t="s">
        <v>1545</v>
      </c>
      <c r="T173" s="573"/>
      <c r="U173" s="567"/>
      <c r="V173" s="574"/>
      <c r="W173" s="574" t="s">
        <v>864</v>
      </c>
      <c r="X173" s="575"/>
      <c r="Y173" s="576" t="s">
        <v>1546</v>
      </c>
      <c r="Z173" s="567" t="s">
        <v>1547</v>
      </c>
      <c r="AA173" s="577"/>
      <c r="AB173" s="567"/>
      <c r="AC173" s="573"/>
      <c r="AD173" s="573">
        <v>1</v>
      </c>
    </row>
    <row r="174" spans="1:30" s="578" customFormat="1" ht="13.5" customHeight="1">
      <c r="A174" s="567">
        <v>155</v>
      </c>
      <c r="B174" s="568"/>
      <c r="C174" s="568" t="s">
        <v>1404</v>
      </c>
      <c r="D174" s="568"/>
      <c r="E174" s="568"/>
      <c r="F174" s="568"/>
      <c r="G174" s="568"/>
      <c r="H174" s="567" t="s">
        <v>1526</v>
      </c>
      <c r="I174" s="571"/>
      <c r="J174" s="567"/>
      <c r="K174" s="571" t="s">
        <v>1218</v>
      </c>
      <c r="L174" s="567"/>
      <c r="M174" s="567"/>
      <c r="N174" s="567"/>
      <c r="O174" s="567"/>
      <c r="P174" s="572"/>
      <c r="Q174" s="567" t="s">
        <v>817</v>
      </c>
      <c r="R174" s="567"/>
      <c r="S174" s="567" t="s">
        <v>863</v>
      </c>
      <c r="T174" s="573"/>
      <c r="U174" s="567"/>
      <c r="V174" s="574"/>
      <c r="W174" s="574" t="s">
        <v>864</v>
      </c>
      <c r="X174" s="575"/>
      <c r="Y174" s="576"/>
      <c r="Z174" s="567"/>
      <c r="AA174" s="577"/>
      <c r="AB174" s="567"/>
      <c r="AC174" s="573"/>
      <c r="AD174" s="573">
        <v>1</v>
      </c>
    </row>
    <row r="175" spans="1:30" s="578" customFormat="1" ht="12.75" customHeight="1">
      <c r="A175" s="567">
        <v>157</v>
      </c>
      <c r="B175" s="568"/>
      <c r="C175" s="568" t="s">
        <v>1548</v>
      </c>
      <c r="D175" s="568"/>
      <c r="E175" s="568"/>
      <c r="F175" s="568"/>
      <c r="G175" s="568"/>
      <c r="H175" s="567" t="s">
        <v>1549</v>
      </c>
      <c r="I175" s="571" t="s">
        <v>930</v>
      </c>
      <c r="J175" s="567"/>
      <c r="K175" s="571" t="s">
        <v>931</v>
      </c>
      <c r="L175" s="567"/>
      <c r="M175" s="567"/>
      <c r="N175" s="567"/>
      <c r="O175" s="567"/>
      <c r="P175" s="572"/>
      <c r="Q175" s="567" t="s">
        <v>820</v>
      </c>
      <c r="R175" s="567"/>
      <c r="S175" s="567" t="s">
        <v>879</v>
      </c>
      <c r="T175" s="573"/>
      <c r="U175" s="567"/>
      <c r="V175" s="574"/>
      <c r="W175" s="574" t="s">
        <v>864</v>
      </c>
      <c r="X175" s="575"/>
      <c r="Y175" s="576"/>
      <c r="Z175" s="567"/>
      <c r="AA175" s="577"/>
      <c r="AB175" s="567"/>
      <c r="AC175" s="573"/>
      <c r="AD175" s="573">
        <v>1</v>
      </c>
    </row>
    <row r="176" spans="1:30" s="578" customFormat="1" ht="12.75" customHeight="1">
      <c r="A176" s="567">
        <v>158</v>
      </c>
      <c r="B176" s="568"/>
      <c r="C176" s="568" t="s">
        <v>1550</v>
      </c>
      <c r="D176" s="568"/>
      <c r="E176" s="568"/>
      <c r="F176" s="568"/>
      <c r="G176" s="568"/>
      <c r="H176" s="644" t="s">
        <v>1551</v>
      </c>
      <c r="I176" s="571" t="s">
        <v>1552</v>
      </c>
      <c r="J176" s="567"/>
      <c r="K176" s="571" t="s">
        <v>970</v>
      </c>
      <c r="L176" s="567"/>
      <c r="M176" s="567"/>
      <c r="N176" s="567"/>
      <c r="O176" s="567"/>
      <c r="P176" s="572"/>
      <c r="Q176" s="645" t="s">
        <v>817</v>
      </c>
      <c r="R176" s="567"/>
      <c r="S176" s="567" t="s">
        <v>863</v>
      </c>
      <c r="T176" s="573"/>
      <c r="U176" s="573"/>
      <c r="V176" s="574"/>
      <c r="W176" s="574" t="s">
        <v>864</v>
      </c>
      <c r="X176" s="575"/>
      <c r="Y176" s="576" t="s">
        <v>1553</v>
      </c>
      <c r="Z176" s="636" t="s">
        <v>1554</v>
      </c>
      <c r="AA176" s="577" t="s">
        <v>1555</v>
      </c>
      <c r="AB176" s="567"/>
      <c r="AC176" s="573"/>
      <c r="AD176" s="573">
        <v>1</v>
      </c>
    </row>
    <row r="177" spans="1:30" s="578" customFormat="1" ht="12.75" customHeight="1">
      <c r="A177" s="567">
        <v>159</v>
      </c>
      <c r="B177" s="568"/>
      <c r="C177" s="568" t="s">
        <v>1556</v>
      </c>
      <c r="D177" s="568"/>
      <c r="E177" s="568"/>
      <c r="F177" s="568"/>
      <c r="G177" s="568"/>
      <c r="H177" s="576" t="s">
        <v>1557</v>
      </c>
      <c r="I177" s="571" t="s">
        <v>1558</v>
      </c>
      <c r="J177" s="567"/>
      <c r="K177" s="571" t="s">
        <v>1559</v>
      </c>
      <c r="L177" s="567"/>
      <c r="M177" s="567"/>
      <c r="N177" s="567"/>
      <c r="O177" s="567"/>
      <c r="P177" s="572"/>
      <c r="Q177" s="567" t="s">
        <v>817</v>
      </c>
      <c r="R177" s="567"/>
      <c r="S177" s="567" t="s">
        <v>863</v>
      </c>
      <c r="T177" s="573"/>
      <c r="U177" s="573"/>
      <c r="V177" s="572"/>
      <c r="W177" s="574" t="s">
        <v>864</v>
      </c>
      <c r="X177" s="575"/>
      <c r="Y177" s="645" t="s">
        <v>1560</v>
      </c>
      <c r="Z177" s="636" t="s">
        <v>1554</v>
      </c>
      <c r="AA177" s="639" t="s">
        <v>1561</v>
      </c>
      <c r="AB177" s="567"/>
      <c r="AC177" s="573"/>
      <c r="AD177" s="573">
        <v>1</v>
      </c>
    </row>
    <row r="178" spans="1:30" s="578" customFormat="1" ht="12.75" customHeight="1">
      <c r="A178" s="567">
        <v>160</v>
      </c>
      <c r="B178" s="568"/>
      <c r="C178" s="568" t="s">
        <v>1562</v>
      </c>
      <c r="D178" s="568"/>
      <c r="E178" s="568"/>
      <c r="F178" s="568"/>
      <c r="G178" s="568"/>
      <c r="H178" s="644" t="s">
        <v>1563</v>
      </c>
      <c r="I178" s="571" t="s">
        <v>1564</v>
      </c>
      <c r="J178" s="567"/>
      <c r="K178" s="571" t="s">
        <v>1565</v>
      </c>
      <c r="L178" s="567"/>
      <c r="M178" s="567"/>
      <c r="N178" s="567"/>
      <c r="O178" s="567"/>
      <c r="P178" s="572"/>
      <c r="Q178" s="645" t="s">
        <v>823</v>
      </c>
      <c r="R178" s="567"/>
      <c r="S178" s="567" t="s">
        <v>863</v>
      </c>
      <c r="T178" s="573"/>
      <c r="U178" s="573"/>
      <c r="V178" s="572"/>
      <c r="W178" s="574" t="s">
        <v>864</v>
      </c>
      <c r="X178" s="575"/>
      <c r="Y178" s="646" t="s">
        <v>1566</v>
      </c>
      <c r="Z178" s="636" t="s">
        <v>1567</v>
      </c>
      <c r="AA178" s="577"/>
      <c r="AB178" s="567"/>
      <c r="AC178" s="573"/>
      <c r="AD178" s="573">
        <v>1</v>
      </c>
    </row>
    <row r="179" spans="1:30" s="578" customFormat="1" ht="12.75" customHeight="1">
      <c r="A179" s="567"/>
      <c r="B179" s="568"/>
      <c r="C179" s="568" t="s">
        <v>1568</v>
      </c>
      <c r="D179" s="568"/>
      <c r="E179" s="568"/>
      <c r="F179" s="568"/>
      <c r="G179" s="568"/>
      <c r="H179" s="644" t="s">
        <v>1569</v>
      </c>
      <c r="I179" s="571"/>
      <c r="J179" s="567"/>
      <c r="K179" s="571" t="s">
        <v>1570</v>
      </c>
      <c r="L179" s="567"/>
      <c r="M179" s="567"/>
      <c r="N179" s="567"/>
      <c r="O179" s="567"/>
      <c r="P179" s="572"/>
      <c r="Q179" s="567" t="s">
        <v>817</v>
      </c>
      <c r="R179" s="567"/>
      <c r="S179" s="567" t="s">
        <v>863</v>
      </c>
      <c r="T179" s="573"/>
      <c r="U179" s="567"/>
      <c r="V179" s="574"/>
      <c r="W179" s="574" t="s">
        <v>864</v>
      </c>
      <c r="X179" s="575"/>
      <c r="Y179" s="646" t="s">
        <v>1571</v>
      </c>
      <c r="Z179" s="567"/>
      <c r="AA179" s="577"/>
      <c r="AB179" s="567"/>
      <c r="AC179" s="573"/>
      <c r="AD179" s="573"/>
    </row>
    <row r="180" spans="1:30" s="578" customFormat="1" ht="12.75" customHeight="1">
      <c r="A180" s="567">
        <v>161.46666666666701</v>
      </c>
      <c r="B180" s="568"/>
      <c r="C180" s="568" t="s">
        <v>1572</v>
      </c>
      <c r="D180" s="568"/>
      <c r="E180" s="568"/>
      <c r="F180" s="568"/>
      <c r="G180" s="568"/>
      <c r="H180" s="644" t="s">
        <v>1573</v>
      </c>
      <c r="I180" s="571" t="s">
        <v>1574</v>
      </c>
      <c r="J180" s="567"/>
      <c r="K180" s="571" t="s">
        <v>1575</v>
      </c>
      <c r="L180" s="567"/>
      <c r="M180" s="567"/>
      <c r="N180" s="567"/>
      <c r="O180" s="567"/>
      <c r="P180" s="572"/>
      <c r="Q180" s="567" t="s">
        <v>817</v>
      </c>
      <c r="R180" s="567"/>
      <c r="S180" s="567" t="s">
        <v>863</v>
      </c>
      <c r="T180" s="573"/>
      <c r="U180" s="572"/>
      <c r="V180" s="572"/>
      <c r="W180" s="574" t="s">
        <v>864</v>
      </c>
      <c r="X180" s="575"/>
      <c r="Y180" s="567" t="s">
        <v>1576</v>
      </c>
      <c r="Z180" s="636" t="s">
        <v>1554</v>
      </c>
      <c r="AA180" s="639"/>
      <c r="AB180" s="567"/>
      <c r="AC180" s="573"/>
      <c r="AD180" s="573">
        <v>1</v>
      </c>
    </row>
    <row r="181" spans="1:30" s="578" customFormat="1" ht="12.75" customHeight="1">
      <c r="A181" s="567">
        <v>162.69523809523801</v>
      </c>
      <c r="B181" s="568"/>
      <c r="C181" s="568" t="s">
        <v>1577</v>
      </c>
      <c r="D181" s="568"/>
      <c r="E181" s="568"/>
      <c r="F181" s="568"/>
      <c r="G181" s="568"/>
      <c r="H181" s="644"/>
      <c r="I181" s="571"/>
      <c r="J181" s="567"/>
      <c r="K181" s="571" t="s">
        <v>1578</v>
      </c>
      <c r="L181" s="567"/>
      <c r="M181" s="567"/>
      <c r="N181" s="567"/>
      <c r="O181" s="567"/>
      <c r="P181" s="572"/>
      <c r="Q181" s="645" t="s">
        <v>817</v>
      </c>
      <c r="R181" s="567" t="s">
        <v>864</v>
      </c>
      <c r="S181" s="595" t="s">
        <v>1578</v>
      </c>
      <c r="T181" s="573"/>
      <c r="U181" s="567"/>
      <c r="V181" s="572"/>
      <c r="W181" s="574" t="s">
        <v>864</v>
      </c>
      <c r="X181" s="575"/>
      <c r="Y181" s="576" t="s">
        <v>1579</v>
      </c>
      <c r="Z181" s="567"/>
      <c r="AA181" s="577"/>
      <c r="AB181" s="567"/>
      <c r="AC181" s="573"/>
      <c r="AD181" s="573">
        <v>1</v>
      </c>
    </row>
    <row r="182" spans="1:30" s="578" customFormat="1" ht="12.75" customHeight="1">
      <c r="A182" s="567">
        <v>163.78952380952401</v>
      </c>
      <c r="B182" s="568"/>
      <c r="C182" s="568"/>
      <c r="D182" s="568" t="s">
        <v>1580</v>
      </c>
      <c r="E182" s="568"/>
      <c r="F182" s="568"/>
      <c r="G182" s="568"/>
      <c r="H182" s="644" t="s">
        <v>1581</v>
      </c>
      <c r="I182" s="571"/>
      <c r="J182" s="567"/>
      <c r="K182" s="571" t="s">
        <v>970</v>
      </c>
      <c r="L182" s="567"/>
      <c r="M182" s="567"/>
      <c r="N182" s="567"/>
      <c r="O182" s="567"/>
      <c r="P182" s="572"/>
      <c r="Q182" s="645" t="s">
        <v>817</v>
      </c>
      <c r="R182" s="567"/>
      <c r="S182" s="567" t="s">
        <v>863</v>
      </c>
      <c r="T182" s="573"/>
      <c r="U182" s="567" t="s">
        <v>1582</v>
      </c>
      <c r="V182" s="572"/>
      <c r="W182" s="574" t="s">
        <v>864</v>
      </c>
      <c r="X182" s="575"/>
      <c r="Y182" s="576"/>
      <c r="Z182" s="567"/>
      <c r="AA182" s="577"/>
      <c r="AB182" s="567"/>
      <c r="AC182" s="573"/>
      <c r="AD182" s="573">
        <v>1</v>
      </c>
    </row>
    <row r="183" spans="1:30" s="578" customFormat="1" ht="12.75" customHeight="1">
      <c r="A183" s="647">
        <v>164.97523809523801</v>
      </c>
      <c r="B183" s="648"/>
      <c r="C183" s="648"/>
      <c r="D183" s="648" t="s">
        <v>1583</v>
      </c>
      <c r="E183" s="568" t="s">
        <v>1584</v>
      </c>
      <c r="F183" s="568"/>
      <c r="G183" s="568"/>
      <c r="H183" s="644"/>
      <c r="I183" s="571"/>
      <c r="J183" s="567"/>
      <c r="K183" s="571" t="s">
        <v>1585</v>
      </c>
      <c r="L183" s="567"/>
      <c r="M183" s="567"/>
      <c r="N183" s="567"/>
      <c r="O183" s="567"/>
      <c r="P183" s="572"/>
      <c r="Q183" s="645" t="s">
        <v>817</v>
      </c>
      <c r="R183" s="567" t="s">
        <v>864</v>
      </c>
      <c r="S183" s="579" t="s">
        <v>1054</v>
      </c>
      <c r="T183" s="573"/>
      <c r="U183" s="567"/>
      <c r="V183" s="574"/>
      <c r="W183" s="574" t="s">
        <v>864</v>
      </c>
      <c r="X183" s="575"/>
      <c r="Y183" s="576"/>
      <c r="Z183" s="567"/>
      <c r="AA183" s="577"/>
      <c r="AB183" s="567"/>
      <c r="AC183" s="573"/>
      <c r="AD183" s="573">
        <v>1</v>
      </c>
    </row>
    <row r="184" spans="1:30" s="578" customFormat="1" ht="14.25" customHeight="1">
      <c r="A184" s="567">
        <v>172.089523809524</v>
      </c>
      <c r="B184" s="568" t="s">
        <v>1586</v>
      </c>
      <c r="C184" s="568" t="s">
        <v>1587</v>
      </c>
      <c r="D184" s="632"/>
      <c r="E184" s="568"/>
      <c r="F184" s="568"/>
      <c r="G184" s="568"/>
      <c r="H184" s="567" t="s">
        <v>1588</v>
      </c>
      <c r="I184" s="571"/>
      <c r="J184" s="567" t="s">
        <v>1589</v>
      </c>
      <c r="K184" s="571" t="s">
        <v>1590</v>
      </c>
      <c r="L184" s="567"/>
      <c r="M184" s="567"/>
      <c r="N184" s="567"/>
      <c r="O184" s="567"/>
      <c r="P184" s="572">
        <v>1</v>
      </c>
      <c r="Q184" s="567" t="s">
        <v>823</v>
      </c>
      <c r="R184" s="567" t="s">
        <v>864</v>
      </c>
      <c r="S184" s="579" t="s">
        <v>1234</v>
      </c>
      <c r="T184" s="633"/>
      <c r="U184" s="567"/>
      <c r="V184" s="574"/>
      <c r="W184" s="574" t="s">
        <v>864</v>
      </c>
      <c r="X184" s="575"/>
      <c r="Y184" s="576"/>
      <c r="Z184" s="567"/>
      <c r="AA184" s="577"/>
      <c r="AB184" s="567"/>
      <c r="AC184" s="573"/>
      <c r="AD184" s="573">
        <v>1</v>
      </c>
    </row>
    <row r="185" spans="1:30" s="578" customFormat="1" ht="13" customHeight="1">
      <c r="A185" s="567">
        <v>173.275238095238</v>
      </c>
      <c r="B185" s="568" t="s">
        <v>1591</v>
      </c>
      <c r="C185" s="569"/>
      <c r="D185" s="568"/>
      <c r="E185" s="568"/>
      <c r="F185" s="568"/>
      <c r="G185" s="568"/>
      <c r="H185" s="567"/>
      <c r="I185" s="571"/>
      <c r="J185" s="567"/>
      <c r="K185" s="567" t="s">
        <v>1592</v>
      </c>
      <c r="L185" s="567"/>
      <c r="M185" s="567"/>
      <c r="N185" s="567"/>
      <c r="O185" s="567"/>
      <c r="P185" s="572"/>
      <c r="Q185" s="567" t="s">
        <v>817</v>
      </c>
      <c r="R185" s="567" t="s">
        <v>864</v>
      </c>
      <c r="S185" s="567" t="s">
        <v>1592</v>
      </c>
      <c r="T185" s="573"/>
      <c r="U185" s="567"/>
      <c r="V185" s="574"/>
      <c r="W185" s="574" t="s">
        <v>864</v>
      </c>
      <c r="X185" s="575"/>
      <c r="Y185" s="576"/>
      <c r="Z185" s="567"/>
      <c r="AA185" s="577"/>
      <c r="AB185" s="567"/>
      <c r="AC185" s="573">
        <v>1</v>
      </c>
      <c r="AD185" s="573">
        <v>1</v>
      </c>
    </row>
    <row r="186" spans="1:30" s="578" customFormat="1" ht="13" customHeight="1">
      <c r="A186" s="567">
        <v>174.46095238095299</v>
      </c>
      <c r="B186" s="568"/>
      <c r="C186" s="569" t="s">
        <v>1593</v>
      </c>
      <c r="D186" s="569"/>
      <c r="E186" s="568"/>
      <c r="F186" s="568"/>
      <c r="G186" s="568"/>
      <c r="H186" s="567" t="s">
        <v>1594</v>
      </c>
      <c r="I186" s="571"/>
      <c r="J186" s="567"/>
      <c r="K186" s="571" t="s">
        <v>1595</v>
      </c>
      <c r="L186" s="567"/>
      <c r="M186" s="567"/>
      <c r="N186" s="567"/>
      <c r="O186" s="567"/>
      <c r="P186" s="572"/>
      <c r="Q186" s="567" t="s">
        <v>1596</v>
      </c>
      <c r="R186" s="567" t="s">
        <v>864</v>
      </c>
      <c r="S186" s="579" t="s">
        <v>1595</v>
      </c>
      <c r="T186" s="573"/>
      <c r="U186" s="567"/>
      <c r="V186" s="574"/>
      <c r="W186" s="574" t="s">
        <v>864</v>
      </c>
      <c r="X186" s="575"/>
      <c r="Y186" s="576"/>
      <c r="Z186" s="567"/>
      <c r="AA186" s="577"/>
      <c r="AB186" s="567"/>
      <c r="AC186" s="573">
        <v>1</v>
      </c>
      <c r="AD186" s="573">
        <v>1</v>
      </c>
    </row>
    <row r="187" spans="1:30" s="578" customFormat="1" ht="13" customHeight="1">
      <c r="A187" s="567">
        <v>175.64666666666699</v>
      </c>
      <c r="B187" s="568"/>
      <c r="C187" s="569"/>
      <c r="D187" s="568" t="s">
        <v>1597</v>
      </c>
      <c r="E187" s="569"/>
      <c r="F187" s="568"/>
      <c r="G187" s="568"/>
      <c r="H187" s="567" t="s">
        <v>1598</v>
      </c>
      <c r="I187" s="571" t="s">
        <v>1599</v>
      </c>
      <c r="J187" s="567"/>
      <c r="K187" s="571" t="s">
        <v>1600</v>
      </c>
      <c r="L187" s="567"/>
      <c r="M187" s="567"/>
      <c r="N187" s="567"/>
      <c r="O187" s="567"/>
      <c r="P187" s="572"/>
      <c r="Q187" s="567" t="s">
        <v>820</v>
      </c>
      <c r="R187" s="567"/>
      <c r="S187" s="567" t="s">
        <v>863</v>
      </c>
      <c r="T187" s="573"/>
      <c r="U187" s="567"/>
      <c r="V187" s="574"/>
      <c r="W187" s="574" t="s">
        <v>864</v>
      </c>
      <c r="X187" s="575"/>
      <c r="Y187" s="576"/>
      <c r="Z187" s="567"/>
      <c r="AA187" s="577"/>
      <c r="AB187" s="567"/>
      <c r="AC187" s="573">
        <v>1</v>
      </c>
      <c r="AD187" s="573">
        <v>1</v>
      </c>
    </row>
    <row r="188" spans="1:30" s="578" customFormat="1" ht="13" customHeight="1">
      <c r="A188" s="567">
        <v>176.83238095238099</v>
      </c>
      <c r="B188" s="568"/>
      <c r="C188" s="569"/>
      <c r="D188" s="568" t="s">
        <v>1001</v>
      </c>
      <c r="E188" s="569"/>
      <c r="F188" s="568"/>
      <c r="G188" s="568"/>
      <c r="H188" s="567" t="s">
        <v>1601</v>
      </c>
      <c r="I188" s="571" t="s">
        <v>399</v>
      </c>
      <c r="J188" s="567"/>
      <c r="K188" s="571" t="s">
        <v>1004</v>
      </c>
      <c r="L188" s="567"/>
      <c r="M188" s="567"/>
      <c r="N188" s="567"/>
      <c r="O188" s="567"/>
      <c r="P188" s="572"/>
      <c r="Q188" s="567" t="s">
        <v>817</v>
      </c>
      <c r="R188" s="567"/>
      <c r="S188" s="567" t="s">
        <v>863</v>
      </c>
      <c r="T188" s="573"/>
      <c r="U188" s="567"/>
      <c r="V188" s="574"/>
      <c r="W188" s="574" t="s">
        <v>864</v>
      </c>
      <c r="X188" s="575"/>
      <c r="Y188" s="576"/>
      <c r="Z188" s="567"/>
      <c r="AA188" s="577"/>
      <c r="AB188" s="567"/>
      <c r="AC188" s="573">
        <v>1</v>
      </c>
      <c r="AD188" s="573">
        <v>1</v>
      </c>
    </row>
    <row r="189" spans="1:30" s="578" customFormat="1" ht="13" customHeight="1">
      <c r="A189" s="567">
        <v>178.01809523809601</v>
      </c>
      <c r="B189" s="568"/>
      <c r="C189" s="569"/>
      <c r="D189" s="568" t="s">
        <v>1602</v>
      </c>
      <c r="E189" s="569"/>
      <c r="F189" s="568"/>
      <c r="G189" s="568"/>
      <c r="H189" s="567" t="s">
        <v>1603</v>
      </c>
      <c r="I189" s="571" t="s">
        <v>1604</v>
      </c>
      <c r="J189" s="567"/>
      <c r="K189" s="571" t="s">
        <v>1080</v>
      </c>
      <c r="L189" s="567"/>
      <c r="M189" s="567"/>
      <c r="N189" s="567"/>
      <c r="O189" s="567"/>
      <c r="P189" s="572"/>
      <c r="Q189" s="567" t="s">
        <v>820</v>
      </c>
      <c r="R189" s="567"/>
      <c r="S189" s="567" t="s">
        <v>863</v>
      </c>
      <c r="T189" s="573"/>
      <c r="U189" s="567"/>
      <c r="V189" s="574"/>
      <c r="W189" s="574" t="s">
        <v>864</v>
      </c>
      <c r="X189" s="575"/>
      <c r="Y189" s="576"/>
      <c r="Z189" s="567"/>
      <c r="AA189" s="577"/>
      <c r="AB189" s="567"/>
      <c r="AC189" s="573">
        <v>1</v>
      </c>
      <c r="AD189" s="573">
        <v>1</v>
      </c>
    </row>
    <row r="190" spans="1:30" s="578" customFormat="1" ht="13" customHeight="1">
      <c r="A190" s="567">
        <v>179.20380952381001</v>
      </c>
      <c r="B190" s="568"/>
      <c r="C190" s="569"/>
      <c r="D190" s="569" t="s">
        <v>1605</v>
      </c>
      <c r="E190" s="569"/>
      <c r="F190" s="568"/>
      <c r="G190" s="568"/>
      <c r="H190" s="567" t="s">
        <v>1606</v>
      </c>
      <c r="I190" s="571" t="s">
        <v>1607</v>
      </c>
      <c r="J190" s="567"/>
      <c r="K190" s="571" t="s">
        <v>939</v>
      </c>
      <c r="L190" s="567"/>
      <c r="M190" s="567"/>
      <c r="N190" s="567"/>
      <c r="O190" s="567"/>
      <c r="P190" s="572"/>
      <c r="Q190" s="567" t="s">
        <v>817</v>
      </c>
      <c r="R190" s="567"/>
      <c r="S190" s="567" t="s">
        <v>863</v>
      </c>
      <c r="T190" s="573"/>
      <c r="U190" s="567"/>
      <c r="V190" s="574"/>
      <c r="W190" s="574" t="s">
        <v>864</v>
      </c>
      <c r="X190" s="575"/>
      <c r="Y190" s="576"/>
      <c r="Z190" s="567"/>
      <c r="AA190" s="577"/>
      <c r="AB190" s="567"/>
      <c r="AC190" s="573">
        <v>1</v>
      </c>
      <c r="AD190" s="573">
        <v>1</v>
      </c>
    </row>
    <row r="191" spans="1:30" s="578" customFormat="1" ht="13" customHeight="1">
      <c r="A191" s="567">
        <v>180.38952380952401</v>
      </c>
      <c r="B191" s="568" t="s">
        <v>1608</v>
      </c>
      <c r="C191" s="569"/>
      <c r="D191" s="568"/>
      <c r="E191" s="568"/>
      <c r="F191" s="568"/>
      <c r="G191" s="568"/>
      <c r="H191" s="567" t="s">
        <v>1609</v>
      </c>
      <c r="I191" s="571"/>
      <c r="J191" s="567"/>
      <c r="K191" s="571" t="s">
        <v>939</v>
      </c>
      <c r="L191" s="567"/>
      <c r="M191" s="567"/>
      <c r="N191" s="567"/>
      <c r="O191" s="567"/>
      <c r="P191" s="572"/>
      <c r="Q191" s="567" t="s">
        <v>817</v>
      </c>
      <c r="R191" s="567"/>
      <c r="S191" s="567" t="s">
        <v>863</v>
      </c>
      <c r="T191" s="573"/>
      <c r="U191" s="567"/>
      <c r="V191" s="573"/>
      <c r="W191" s="573" t="s">
        <v>864</v>
      </c>
      <c r="X191" s="575"/>
      <c r="Y191" s="576"/>
      <c r="Z191" s="567"/>
      <c r="AA191" s="567"/>
      <c r="AB191" s="567"/>
      <c r="AC191" s="573"/>
      <c r="AD191" s="573">
        <v>1</v>
      </c>
    </row>
    <row r="192" spans="1:30" s="224" customFormat="1" ht="12" customHeight="1">
      <c r="A192" s="225">
        <f>SUBTOTAL(103,createCase142[ID])</f>
        <v>176</v>
      </c>
      <c r="C192" s="225">
        <f>SUBTOTAL(103,createCase142[Donnée (Niveau 2)])</f>
        <v>68</v>
      </c>
      <c r="D192" s="225">
        <f>SUBTOTAL(103,createCase142[Donnée (Niveau 3)])</f>
        <v>77</v>
      </c>
      <c r="E192" s="225">
        <f>SUBTOTAL(103,createCase142[Donnée (Niveau 4)])</f>
        <v>31</v>
      </c>
      <c r="F192" s="225">
        <f>SUBTOTAL(103,createCase142[Donnée (Niveau 5)])</f>
        <v>8</v>
      </c>
      <c r="G192" s="225">
        <f>SUBTOTAL(103,createCase142[Donnée (Niveau 6)])</f>
        <v>0</v>
      </c>
      <c r="H192" s="225">
        <f>SUBTOTAL(103,createCase142[Description])</f>
        <v>158</v>
      </c>
      <c r="I192" s="225">
        <f>SUBTOTAL(103,createCase142[Exemples])</f>
        <v>96</v>
      </c>
      <c r="J192" s="225">
        <f>SUBTOTAL(103,createCase142[Balise NexSIS])</f>
        <v>60</v>
      </c>
      <c r="K192" s="239">
        <f>SUBTOTAL(103,createCase142[Nouvelle balise])</f>
        <v>156</v>
      </c>
      <c r="L192" s="225">
        <f>SUBTOTAL(103,createCase142[Nantes - balise])</f>
        <v>22</v>
      </c>
      <c r="M192" s="225">
        <f>SUBTOTAL(103,createCase142[Nantes - description])</f>
        <v>22</v>
      </c>
      <c r="N192" s="225">
        <f>SUBTOTAL(103,createCase142[GT399])</f>
        <v>0</v>
      </c>
      <c r="O192" s="225">
        <f>SUBTOTAL(103,createCase142[GT399 description])</f>
        <v>0</v>
      </c>
      <c r="P192" s="234">
        <f>SUBTOTAL(103,createCase142[Priorisation])</f>
        <v>16</v>
      </c>
      <c r="Q192" s="225"/>
      <c r="R192" s="225">
        <f>SUBTOTAL(103,createCase142[Objet])</f>
        <v>59</v>
      </c>
      <c r="S192" s="225">
        <f>SUBTOTAL(103,createCase142[Format (ou type)])</f>
        <v>180</v>
      </c>
      <c r="T192" s="274"/>
      <c r="U192" s="225"/>
      <c r="V192" s="225"/>
      <c r="W192" s="225"/>
      <c r="Y192" s="271">
        <f>SUBTOTAL(103,createCase142[Commentaire Hub Santé])</f>
        <v>39</v>
      </c>
      <c r="Z192" s="225">
        <f>SUBTOTAL(103,createCase142[Commentaire Philippe Dreyfus])</f>
        <v>41</v>
      </c>
      <c r="AA192" s="239"/>
      <c r="AB192" s="225">
        <f>SUBTOTAL(103,createCase142[Commentaire Yann Penverne])</f>
        <v>0</v>
      </c>
      <c r="AC192" s="225">
        <f>SUBTOTAL(103,createCase142[NexSIS])-COUNTIFS(createCase142[NexSIS],"=X")</f>
        <v>84</v>
      </c>
      <c r="AD192" s="225">
        <f>SUBTOTAL(103,createCase142[Métier])-COUNTIFS(createCase142[Métier],"=X")</f>
        <v>169</v>
      </c>
    </row>
    <row r="193" spans="1:1017" s="128" customFormat="1" ht="12" customHeight="1">
      <c r="A193" s="3"/>
      <c r="B193" s="3"/>
      <c r="C193" s="131"/>
      <c r="D193" s="131"/>
      <c r="E193" s="131"/>
      <c r="F193" s="131"/>
      <c r="G193" s="5"/>
      <c r="H193" s="155"/>
      <c r="I193" s="225"/>
      <c r="J193" s="5"/>
      <c r="K193" s="155"/>
      <c r="L193" s="5"/>
      <c r="M193" s="5"/>
      <c r="N193" s="5"/>
      <c r="O193" s="5"/>
      <c r="P193" s="188"/>
      <c r="Q193" s="5"/>
      <c r="R193" s="5"/>
      <c r="S193" s="5"/>
      <c r="T193" s="56"/>
      <c r="U193" s="56"/>
      <c r="V193" s="56"/>
      <c r="W193" s="56"/>
      <c r="X193"/>
      <c r="Y193" s="178"/>
      <c r="Z193" s="5"/>
      <c r="AA193" s="159"/>
      <c r="AB193" s="56"/>
      <c r="AD193" s="56"/>
      <c r="AMA193"/>
      <c r="AMB193"/>
      <c r="AMC193"/>
    </row>
    <row r="194" spans="1:1017" s="128" customFormat="1" ht="12" customHeight="1">
      <c r="A194" s="129"/>
      <c r="B194" s="129"/>
      <c r="C194" s="129"/>
      <c r="D194" s="129"/>
      <c r="E194" s="129"/>
      <c r="F194" s="129"/>
      <c r="G194" s="96"/>
      <c r="H194" s="96"/>
      <c r="I194" s="225"/>
      <c r="J194" s="96"/>
      <c r="K194" s="159"/>
      <c r="L194" s="96"/>
      <c r="M194" s="96"/>
      <c r="N194" s="96"/>
      <c r="O194" s="96"/>
      <c r="P194" s="173"/>
      <c r="Q194" s="96"/>
      <c r="R194" s="96"/>
      <c r="S194" s="96"/>
      <c r="T194" s="277"/>
      <c r="U194" s="96"/>
      <c r="V194" s="96"/>
      <c r="W194" s="96"/>
      <c r="X194"/>
      <c r="Y194" s="179"/>
      <c r="Z194" s="96"/>
      <c r="AA194" s="159"/>
      <c r="AB194" s="96"/>
      <c r="AD194" s="96"/>
      <c r="AMA194"/>
      <c r="AMB194"/>
      <c r="AMC194"/>
    </row>
    <row r="195" spans="1:1017" s="128" customFormat="1" ht="12" customHeight="1">
      <c r="I195" s="224"/>
      <c r="P195" s="174"/>
      <c r="R195" s="96"/>
      <c r="S195" s="96"/>
      <c r="T195" s="277"/>
      <c r="U195" s="96"/>
      <c r="V195" s="96"/>
      <c r="W195" s="96"/>
      <c r="X195"/>
      <c r="Y195" s="179"/>
      <c r="Z195" s="96"/>
      <c r="AA195" s="159"/>
      <c r="AB195" s="96"/>
      <c r="AD195" s="96"/>
      <c r="AMA195"/>
      <c r="AMB195"/>
      <c r="AMC195"/>
    </row>
    <row r="196" spans="1:1017" s="128" customFormat="1" ht="12" customHeight="1">
      <c r="I196" s="224"/>
      <c r="P196" s="174"/>
      <c r="R196" s="96"/>
      <c r="S196" s="96"/>
      <c r="T196" s="277"/>
      <c r="U196" s="96"/>
      <c r="V196" s="96"/>
      <c r="W196" s="96"/>
      <c r="X196"/>
      <c r="Y196" s="179"/>
      <c r="Z196" s="96"/>
      <c r="AA196" s="159"/>
      <c r="AB196" s="96"/>
      <c r="AD196" s="96"/>
      <c r="AMA196"/>
      <c r="AMB196"/>
      <c r="AMC196"/>
    </row>
    <row r="197" spans="1:1017" s="128" customFormat="1" ht="12" customHeight="1">
      <c r="I197" s="224"/>
      <c r="P197" s="174"/>
      <c r="R197" s="96"/>
      <c r="S197" s="96"/>
      <c r="T197" s="277"/>
      <c r="U197" s="96"/>
      <c r="V197" s="96"/>
      <c r="W197" s="96"/>
      <c r="X197"/>
      <c r="Y197" s="179"/>
      <c r="Z197" s="96"/>
      <c r="AA197" s="159"/>
      <c r="AB197" s="96"/>
      <c r="AD197" s="96"/>
      <c r="AMA197"/>
      <c r="AMB197"/>
      <c r="AMC197"/>
    </row>
    <row r="198" spans="1:1017" s="128" customFormat="1" ht="12" customHeight="1">
      <c r="I198" s="224"/>
      <c r="P198" s="174"/>
      <c r="R198" s="96"/>
      <c r="S198" s="96"/>
      <c r="T198" s="277"/>
      <c r="U198" s="96"/>
      <c r="V198" s="96"/>
      <c r="W198" s="96"/>
      <c r="X198"/>
      <c r="Y198" s="179"/>
      <c r="Z198" s="96"/>
      <c r="AA198" s="159"/>
      <c r="AB198" s="96"/>
      <c r="AD198" s="96"/>
      <c r="AMA198"/>
      <c r="AMB198"/>
      <c r="AMC198"/>
    </row>
    <row r="199" spans="1:1017" ht="12" customHeight="1">
      <c r="G199" s="128"/>
      <c r="H199" s="128"/>
      <c r="I199" s="224"/>
      <c r="J199" s="128"/>
      <c r="K199" s="128"/>
      <c r="L199" s="128"/>
      <c r="M199" s="128"/>
      <c r="N199" s="128"/>
      <c r="O199" s="128"/>
      <c r="P199" s="174"/>
      <c r="Q199" s="128"/>
    </row>
    <row r="200" spans="1:1017" s="117" customFormat="1" ht="12" customHeight="1">
      <c r="A200" s="128"/>
      <c r="B200" s="128"/>
      <c r="C200" s="128"/>
      <c r="D200" s="128"/>
      <c r="E200" s="128"/>
      <c r="F200" s="128"/>
      <c r="G200" s="96"/>
      <c r="H200" s="96"/>
      <c r="I200" s="225"/>
      <c r="J200" s="96"/>
      <c r="K200" s="159"/>
      <c r="L200" s="96"/>
      <c r="M200" s="96"/>
      <c r="N200" s="96"/>
      <c r="O200" s="96"/>
      <c r="P200" s="173"/>
      <c r="Q200" s="96"/>
      <c r="R200" s="96"/>
      <c r="S200" s="96"/>
      <c r="T200" s="277"/>
      <c r="U200" s="96"/>
      <c r="V200" s="96"/>
      <c r="W200" s="96"/>
      <c r="X200"/>
      <c r="Y200" s="179"/>
      <c r="Z200" s="96"/>
      <c r="AA200" s="161"/>
      <c r="AB200" s="96"/>
      <c r="AD200" s="96"/>
      <c r="AMB200"/>
    </row>
    <row r="201" spans="1:1017" ht="12" customHeight="1">
      <c r="A201" s="117"/>
      <c r="B201" s="117"/>
      <c r="C201" s="117"/>
      <c r="D201" s="117"/>
      <c r="E201" s="117"/>
      <c r="F201" s="117"/>
      <c r="G201" s="117"/>
      <c r="H201" s="117"/>
      <c r="I201" s="251"/>
      <c r="J201" s="117"/>
      <c r="K201" s="117"/>
      <c r="L201" s="117"/>
      <c r="M201" s="117"/>
      <c r="N201" s="117"/>
      <c r="O201" s="117"/>
      <c r="P201" s="189"/>
      <c r="Q201" s="117"/>
    </row>
    <row r="202" spans="1:1017" ht="12" customHeight="1">
      <c r="R202" s="112"/>
      <c r="S202" s="112"/>
      <c r="T202" s="125"/>
      <c r="U202" s="112"/>
      <c r="V202" s="112"/>
      <c r="W202" s="112"/>
      <c r="Y202" s="180"/>
      <c r="Z202" s="112"/>
      <c r="AB202" s="112"/>
      <c r="AD202" s="112"/>
    </row>
    <row r="214" spans="1:1018" s="96" customFormat="1" ht="12" customHeight="1">
      <c r="A214" s="130"/>
      <c r="B214" s="130"/>
      <c r="C214" s="130"/>
      <c r="D214" s="130"/>
      <c r="E214" s="130"/>
      <c r="F214" s="130"/>
      <c r="I214" s="225"/>
      <c r="K214" s="159"/>
      <c r="P214" s="173"/>
      <c r="T214" s="277"/>
      <c r="X214"/>
      <c r="Y214" s="179"/>
      <c r="AA214" s="159"/>
      <c r="AC214"/>
      <c r="AE214" s="128"/>
      <c r="AF214"/>
      <c r="AG214" s="128"/>
      <c r="AH214" s="128"/>
      <c r="AI214" s="128"/>
      <c r="AJ214" s="128"/>
      <c r="AK214" s="128"/>
      <c r="AL214" s="128"/>
      <c r="AM214" s="128"/>
      <c r="AN214" s="128"/>
      <c r="AO214" s="128"/>
      <c r="AP214" s="128"/>
      <c r="AQ214" s="128"/>
      <c r="AR214" s="128"/>
      <c r="AS214" s="128"/>
      <c r="AT214" s="128"/>
      <c r="AU214" s="128"/>
      <c r="AV214" s="128"/>
      <c r="AW214" s="128"/>
      <c r="AX214" s="128"/>
      <c r="AY214" s="128"/>
      <c r="AZ214" s="128"/>
      <c r="BA214" s="128"/>
      <c r="BB214" s="128"/>
      <c r="BC214" s="128"/>
      <c r="BD214" s="128"/>
      <c r="BE214" s="128"/>
      <c r="BF214" s="128"/>
      <c r="BG214" s="128"/>
      <c r="BH214" s="128"/>
      <c r="BI214" s="128"/>
      <c r="BJ214" s="128"/>
      <c r="BK214" s="128"/>
      <c r="BL214" s="128"/>
      <c r="BM214" s="128"/>
      <c r="BN214" s="128"/>
      <c r="BO214" s="128"/>
      <c r="BP214" s="128"/>
      <c r="BQ214" s="128"/>
      <c r="BR214" s="128"/>
      <c r="BS214" s="128"/>
      <c r="BT214" s="128"/>
      <c r="BU214" s="128"/>
      <c r="BV214" s="128"/>
      <c r="BW214" s="128"/>
      <c r="BX214" s="128"/>
      <c r="BY214" s="128"/>
      <c r="BZ214" s="128"/>
      <c r="CA214" s="128"/>
      <c r="CB214" s="128"/>
      <c r="CC214" s="128"/>
      <c r="CD214" s="128"/>
      <c r="CE214" s="128"/>
      <c r="CF214" s="128"/>
      <c r="CG214" s="128"/>
      <c r="CH214" s="128"/>
      <c r="CI214" s="128"/>
      <c r="CJ214" s="128"/>
      <c r="CK214" s="128"/>
      <c r="CL214" s="128"/>
      <c r="CM214" s="128"/>
      <c r="CN214" s="128"/>
      <c r="CO214" s="128"/>
      <c r="CP214" s="128"/>
      <c r="CQ214" s="128"/>
      <c r="CR214" s="128"/>
      <c r="CS214" s="128"/>
      <c r="CT214" s="128"/>
      <c r="CU214" s="128"/>
      <c r="CV214" s="128"/>
      <c r="CW214" s="128"/>
      <c r="CX214" s="128"/>
      <c r="CY214" s="128"/>
      <c r="CZ214" s="128"/>
      <c r="DA214" s="128"/>
      <c r="DB214" s="128"/>
      <c r="DC214" s="128"/>
      <c r="DD214" s="128"/>
      <c r="DE214" s="128"/>
      <c r="DF214" s="128"/>
      <c r="DG214" s="128"/>
      <c r="DH214" s="128"/>
      <c r="DI214" s="128"/>
      <c r="DJ214" s="128"/>
      <c r="DK214" s="128"/>
      <c r="DL214" s="128"/>
      <c r="DM214" s="128"/>
      <c r="DN214" s="128"/>
      <c r="DO214" s="128"/>
      <c r="DP214" s="128"/>
      <c r="DQ214" s="128"/>
      <c r="DR214" s="128"/>
      <c r="DS214" s="128"/>
      <c r="DT214" s="128"/>
      <c r="DU214" s="128"/>
      <c r="DV214" s="128"/>
      <c r="DW214" s="128"/>
      <c r="DX214" s="128"/>
      <c r="DY214" s="128"/>
      <c r="DZ214" s="128"/>
      <c r="EA214" s="128"/>
      <c r="EB214" s="128"/>
      <c r="EC214" s="128"/>
      <c r="ED214" s="128"/>
      <c r="EE214" s="128"/>
      <c r="EF214" s="128"/>
      <c r="EG214" s="128"/>
      <c r="EH214" s="128"/>
      <c r="EI214" s="128"/>
      <c r="EJ214" s="128"/>
      <c r="EK214" s="128"/>
      <c r="EL214" s="128"/>
      <c r="EM214" s="128"/>
      <c r="EN214" s="128"/>
      <c r="EO214" s="128"/>
      <c r="EP214" s="128"/>
      <c r="EQ214" s="128"/>
      <c r="ER214" s="128"/>
      <c r="ES214" s="128"/>
      <c r="ET214" s="128"/>
      <c r="EU214" s="128"/>
      <c r="EV214" s="128"/>
      <c r="EW214" s="128"/>
      <c r="EX214" s="128"/>
      <c r="EY214" s="128"/>
      <c r="EZ214" s="128"/>
      <c r="FA214" s="128"/>
      <c r="FB214" s="128"/>
      <c r="FC214" s="128"/>
      <c r="FD214" s="128"/>
      <c r="FE214" s="128"/>
      <c r="FF214" s="128"/>
      <c r="FG214" s="128"/>
      <c r="FH214" s="128"/>
      <c r="FI214" s="128"/>
      <c r="FJ214" s="128"/>
      <c r="FK214" s="128"/>
      <c r="FL214" s="128"/>
      <c r="FM214" s="128"/>
      <c r="FN214" s="128"/>
      <c r="FO214" s="128"/>
      <c r="FP214" s="128"/>
      <c r="FQ214" s="128"/>
      <c r="FR214" s="128"/>
      <c r="FS214" s="128"/>
      <c r="FT214" s="128"/>
      <c r="FU214" s="128"/>
      <c r="FV214" s="128"/>
      <c r="FW214" s="128"/>
      <c r="FX214" s="128"/>
      <c r="FY214" s="128"/>
      <c r="FZ214" s="128"/>
      <c r="GA214" s="128"/>
      <c r="GB214" s="128"/>
      <c r="GC214" s="128"/>
      <c r="GD214" s="128"/>
      <c r="GE214" s="128"/>
      <c r="GF214" s="128"/>
      <c r="GG214" s="128"/>
      <c r="GH214" s="128"/>
      <c r="GI214" s="128"/>
      <c r="GJ214" s="128"/>
      <c r="GK214" s="128"/>
      <c r="GL214" s="128"/>
      <c r="GM214" s="128"/>
      <c r="GN214" s="128"/>
      <c r="GO214" s="128"/>
      <c r="GP214" s="128"/>
      <c r="GQ214" s="128"/>
      <c r="GR214" s="128"/>
      <c r="GS214" s="128"/>
      <c r="GT214" s="128"/>
      <c r="GU214" s="128"/>
      <c r="GV214" s="128"/>
      <c r="GW214" s="128"/>
      <c r="GX214" s="128"/>
      <c r="GY214" s="128"/>
      <c r="GZ214" s="128"/>
      <c r="HA214" s="128"/>
      <c r="HB214" s="128"/>
      <c r="HC214" s="128"/>
      <c r="HD214" s="128"/>
      <c r="HE214" s="128"/>
      <c r="HF214" s="128"/>
      <c r="HG214" s="128"/>
      <c r="HH214" s="128"/>
      <c r="HI214" s="128"/>
      <c r="HJ214" s="128"/>
      <c r="HK214" s="128"/>
      <c r="HL214" s="128"/>
      <c r="HM214" s="128"/>
      <c r="HN214" s="128"/>
      <c r="HO214" s="128"/>
      <c r="HP214" s="128"/>
      <c r="HQ214" s="128"/>
      <c r="HR214" s="128"/>
      <c r="HS214" s="128"/>
      <c r="HT214" s="128"/>
      <c r="HU214" s="128"/>
      <c r="HV214" s="128"/>
      <c r="HW214" s="128"/>
      <c r="HX214" s="128"/>
      <c r="HY214" s="128"/>
      <c r="HZ214" s="128"/>
      <c r="IA214" s="128"/>
      <c r="IB214" s="128"/>
      <c r="IC214" s="128"/>
      <c r="ID214" s="128"/>
      <c r="IE214" s="128"/>
      <c r="IF214" s="128"/>
      <c r="IG214" s="128"/>
      <c r="IH214" s="128"/>
      <c r="II214" s="128"/>
      <c r="IJ214" s="128"/>
      <c r="IK214" s="128"/>
      <c r="IL214" s="128"/>
      <c r="IM214" s="128"/>
      <c r="IN214" s="128"/>
      <c r="IO214" s="128"/>
      <c r="IP214" s="128"/>
      <c r="IQ214" s="128"/>
      <c r="IR214" s="128"/>
      <c r="IS214" s="128"/>
      <c r="IT214" s="128"/>
      <c r="IU214" s="128"/>
      <c r="IV214" s="128"/>
      <c r="IW214" s="128"/>
      <c r="IX214" s="128"/>
      <c r="IY214" s="128"/>
      <c r="IZ214" s="128"/>
      <c r="JA214" s="128"/>
      <c r="JB214" s="128"/>
      <c r="JC214" s="128"/>
      <c r="JD214" s="128"/>
      <c r="JE214" s="128"/>
      <c r="JF214" s="128"/>
      <c r="JG214" s="128"/>
      <c r="JH214" s="128"/>
      <c r="JI214" s="128"/>
      <c r="JJ214" s="128"/>
      <c r="JK214" s="128"/>
      <c r="JL214" s="128"/>
      <c r="JM214" s="128"/>
      <c r="JN214" s="128"/>
      <c r="JO214" s="128"/>
      <c r="JP214" s="128"/>
      <c r="JQ214" s="128"/>
      <c r="JR214" s="128"/>
      <c r="JS214" s="128"/>
      <c r="JT214" s="128"/>
      <c r="JU214" s="128"/>
      <c r="JV214" s="128"/>
      <c r="JW214" s="128"/>
      <c r="JX214" s="128"/>
      <c r="JY214" s="128"/>
      <c r="JZ214" s="128"/>
      <c r="KA214" s="128"/>
      <c r="KB214" s="128"/>
      <c r="KC214" s="128"/>
      <c r="KD214" s="128"/>
      <c r="KE214" s="128"/>
      <c r="KF214" s="128"/>
      <c r="KG214" s="128"/>
      <c r="KH214" s="128"/>
      <c r="KI214" s="128"/>
      <c r="KJ214" s="128"/>
      <c r="KK214" s="128"/>
      <c r="KL214" s="128"/>
      <c r="KM214" s="128"/>
      <c r="KN214" s="128"/>
      <c r="KO214" s="128"/>
      <c r="KP214" s="128"/>
      <c r="KQ214" s="128"/>
      <c r="KR214" s="128"/>
      <c r="KS214" s="128"/>
      <c r="KT214" s="128"/>
      <c r="KU214" s="128"/>
      <c r="KV214" s="128"/>
      <c r="KW214" s="128"/>
      <c r="KX214" s="128"/>
      <c r="KY214" s="128"/>
      <c r="KZ214" s="128"/>
      <c r="LA214" s="128"/>
      <c r="LB214" s="128"/>
      <c r="LC214" s="128"/>
      <c r="LD214" s="128"/>
      <c r="LE214" s="128"/>
      <c r="LF214" s="128"/>
      <c r="LG214" s="128"/>
      <c r="LH214" s="128"/>
      <c r="LI214" s="128"/>
      <c r="LJ214" s="128"/>
      <c r="LK214" s="128"/>
      <c r="LL214" s="128"/>
      <c r="LM214" s="128"/>
      <c r="LN214" s="128"/>
      <c r="LO214" s="128"/>
      <c r="LP214" s="128"/>
      <c r="LQ214" s="128"/>
      <c r="LR214" s="128"/>
      <c r="LS214" s="128"/>
      <c r="LT214" s="128"/>
      <c r="LU214" s="128"/>
      <c r="LV214" s="128"/>
      <c r="LW214" s="128"/>
      <c r="LX214" s="128"/>
      <c r="LY214" s="128"/>
      <c r="LZ214" s="128"/>
      <c r="MA214" s="128"/>
      <c r="MB214" s="128"/>
      <c r="MC214" s="128"/>
      <c r="MD214" s="128"/>
      <c r="ME214" s="128"/>
      <c r="MF214" s="128"/>
      <c r="MG214" s="128"/>
      <c r="MH214" s="128"/>
      <c r="MI214" s="128"/>
      <c r="MJ214" s="128"/>
      <c r="MK214" s="128"/>
      <c r="ML214" s="128"/>
      <c r="MM214" s="128"/>
      <c r="MN214" s="128"/>
      <c r="MO214" s="128"/>
      <c r="MP214" s="128"/>
      <c r="MQ214" s="128"/>
      <c r="MR214" s="128"/>
      <c r="MS214" s="128"/>
      <c r="MT214" s="128"/>
      <c r="MU214" s="128"/>
      <c r="MV214" s="128"/>
      <c r="MW214" s="128"/>
      <c r="MX214" s="128"/>
      <c r="MY214" s="128"/>
      <c r="MZ214" s="128"/>
      <c r="NA214" s="128"/>
      <c r="NB214" s="128"/>
      <c r="NC214" s="128"/>
      <c r="ND214" s="128"/>
      <c r="NE214" s="128"/>
      <c r="NF214" s="128"/>
      <c r="NG214" s="128"/>
      <c r="NH214" s="128"/>
      <c r="NI214" s="128"/>
      <c r="NJ214" s="128"/>
      <c r="NK214" s="128"/>
      <c r="NL214" s="128"/>
      <c r="NM214" s="128"/>
      <c r="NN214" s="128"/>
      <c r="NO214" s="128"/>
      <c r="NP214" s="128"/>
      <c r="NQ214" s="128"/>
      <c r="NR214" s="128"/>
      <c r="NS214" s="128"/>
      <c r="NT214" s="128"/>
      <c r="NU214" s="128"/>
      <c r="NV214" s="128"/>
      <c r="NW214" s="128"/>
      <c r="NX214" s="128"/>
      <c r="NY214" s="128"/>
      <c r="NZ214" s="128"/>
      <c r="OA214" s="128"/>
      <c r="OB214" s="128"/>
      <c r="OC214" s="128"/>
      <c r="OD214" s="128"/>
      <c r="OE214" s="128"/>
      <c r="OF214" s="128"/>
      <c r="OG214" s="128"/>
      <c r="OH214" s="128"/>
      <c r="OI214" s="128"/>
      <c r="OJ214" s="128"/>
      <c r="OK214" s="128"/>
      <c r="OL214" s="128"/>
      <c r="OM214" s="128"/>
      <c r="ON214" s="128"/>
      <c r="OO214" s="128"/>
      <c r="OP214" s="128"/>
      <c r="OQ214" s="128"/>
      <c r="OR214" s="128"/>
      <c r="OS214" s="128"/>
      <c r="OT214" s="128"/>
      <c r="OU214" s="128"/>
      <c r="OV214" s="128"/>
      <c r="OW214" s="128"/>
      <c r="OX214" s="128"/>
      <c r="OY214" s="128"/>
      <c r="OZ214" s="128"/>
      <c r="PA214" s="128"/>
      <c r="PB214" s="128"/>
      <c r="PC214" s="128"/>
      <c r="PD214" s="128"/>
      <c r="PE214" s="128"/>
      <c r="PF214" s="128"/>
      <c r="PG214" s="128"/>
      <c r="PH214" s="128"/>
      <c r="PI214" s="128"/>
      <c r="PJ214" s="128"/>
      <c r="PK214" s="128"/>
      <c r="PL214" s="128"/>
      <c r="PM214" s="128"/>
      <c r="PN214" s="128"/>
      <c r="PO214" s="128"/>
      <c r="PP214" s="128"/>
      <c r="PQ214" s="128"/>
      <c r="PR214" s="128"/>
      <c r="PS214" s="128"/>
      <c r="PT214" s="128"/>
      <c r="PU214" s="128"/>
      <c r="PV214" s="128"/>
      <c r="PW214" s="128"/>
      <c r="PX214" s="128"/>
      <c r="PY214" s="128"/>
      <c r="PZ214" s="128"/>
      <c r="QA214" s="128"/>
      <c r="QB214" s="128"/>
      <c r="QC214" s="128"/>
      <c r="QD214" s="128"/>
      <c r="QE214" s="128"/>
      <c r="QF214" s="128"/>
      <c r="QG214" s="128"/>
      <c r="QH214" s="128"/>
      <c r="QI214" s="128"/>
      <c r="QJ214" s="128"/>
      <c r="QK214" s="128"/>
      <c r="QL214" s="128"/>
      <c r="QM214" s="128"/>
      <c r="QN214" s="128"/>
      <c r="QO214" s="128"/>
      <c r="QP214" s="128"/>
      <c r="QQ214" s="128"/>
      <c r="QR214" s="128"/>
      <c r="QS214" s="128"/>
      <c r="QT214" s="128"/>
      <c r="QU214" s="128"/>
      <c r="QV214" s="128"/>
      <c r="QW214" s="128"/>
      <c r="QX214" s="128"/>
      <c r="QY214" s="128"/>
      <c r="QZ214" s="128"/>
      <c r="RA214" s="128"/>
      <c r="RB214" s="128"/>
      <c r="RC214" s="128"/>
      <c r="RD214" s="128"/>
      <c r="RE214" s="128"/>
      <c r="RF214" s="128"/>
      <c r="RG214" s="128"/>
      <c r="RH214" s="128"/>
      <c r="RI214" s="128"/>
      <c r="RJ214" s="128"/>
      <c r="RK214" s="128"/>
      <c r="RL214" s="128"/>
      <c r="RM214" s="128"/>
      <c r="RN214" s="128"/>
      <c r="RO214" s="128"/>
      <c r="RP214" s="128"/>
      <c r="RQ214" s="128"/>
      <c r="RR214" s="128"/>
      <c r="RS214" s="128"/>
      <c r="RT214" s="128"/>
      <c r="RU214" s="128"/>
      <c r="RV214" s="128"/>
      <c r="RW214" s="128"/>
      <c r="RX214" s="128"/>
      <c r="RY214" s="128"/>
      <c r="RZ214" s="128"/>
      <c r="SA214" s="128"/>
      <c r="SB214" s="128"/>
      <c r="SC214" s="128"/>
      <c r="SD214" s="128"/>
      <c r="SE214" s="128"/>
      <c r="SF214" s="128"/>
      <c r="SG214" s="128"/>
      <c r="SH214" s="128"/>
      <c r="SI214" s="128"/>
      <c r="SJ214" s="128"/>
      <c r="SK214" s="128"/>
      <c r="SL214" s="128"/>
      <c r="SM214" s="128"/>
      <c r="SN214" s="128"/>
      <c r="SO214" s="128"/>
      <c r="SP214" s="128"/>
      <c r="SQ214" s="128"/>
      <c r="SR214" s="128"/>
      <c r="SS214" s="128"/>
      <c r="ST214" s="128"/>
      <c r="SU214" s="128"/>
      <c r="SV214" s="128"/>
      <c r="SW214" s="128"/>
      <c r="SX214" s="128"/>
      <c r="SY214" s="128"/>
      <c r="SZ214" s="128"/>
      <c r="TA214" s="128"/>
      <c r="TB214" s="128"/>
      <c r="TC214" s="128"/>
      <c r="TD214" s="128"/>
      <c r="TE214" s="128"/>
      <c r="TF214" s="128"/>
      <c r="TG214" s="128"/>
      <c r="TH214" s="128"/>
      <c r="TI214" s="128"/>
      <c r="TJ214" s="128"/>
      <c r="TK214" s="128"/>
      <c r="TL214" s="128"/>
      <c r="TM214" s="128"/>
      <c r="TN214" s="128"/>
      <c r="TO214" s="128"/>
      <c r="TP214" s="128"/>
      <c r="TQ214" s="128"/>
      <c r="TR214" s="128"/>
      <c r="TS214" s="128"/>
      <c r="TT214" s="128"/>
      <c r="TU214" s="128"/>
      <c r="TV214" s="128"/>
      <c r="TW214" s="128"/>
      <c r="TX214" s="128"/>
      <c r="TY214" s="128"/>
      <c r="TZ214" s="128"/>
      <c r="UA214" s="128"/>
      <c r="UB214" s="128"/>
      <c r="UC214" s="128"/>
      <c r="UD214" s="128"/>
      <c r="UE214" s="128"/>
      <c r="UF214" s="128"/>
      <c r="UG214" s="128"/>
      <c r="UH214" s="128"/>
      <c r="UI214" s="128"/>
      <c r="UJ214" s="128"/>
      <c r="UK214" s="128"/>
      <c r="UL214" s="128"/>
      <c r="UM214" s="128"/>
      <c r="UN214" s="128"/>
      <c r="UO214" s="128"/>
      <c r="UP214" s="128"/>
      <c r="UQ214" s="128"/>
      <c r="UR214" s="128"/>
      <c r="US214" s="128"/>
      <c r="UT214" s="128"/>
      <c r="UU214" s="128"/>
      <c r="UV214" s="128"/>
      <c r="UW214" s="128"/>
      <c r="UX214" s="128"/>
      <c r="UY214" s="128"/>
      <c r="UZ214" s="128"/>
      <c r="VA214" s="128"/>
      <c r="VB214" s="128"/>
      <c r="VC214" s="128"/>
      <c r="VD214" s="128"/>
      <c r="VE214" s="128"/>
      <c r="VF214" s="128"/>
      <c r="VG214" s="128"/>
      <c r="VH214" s="128"/>
      <c r="VI214" s="128"/>
      <c r="VJ214" s="128"/>
      <c r="VK214" s="128"/>
      <c r="VL214" s="128"/>
      <c r="VM214" s="128"/>
      <c r="VN214" s="128"/>
      <c r="VO214" s="128"/>
      <c r="VP214" s="128"/>
      <c r="VQ214" s="128"/>
      <c r="VR214" s="128"/>
      <c r="VS214" s="128"/>
      <c r="VT214" s="128"/>
      <c r="VU214" s="128"/>
      <c r="VV214" s="128"/>
      <c r="VW214" s="128"/>
      <c r="VX214" s="128"/>
      <c r="VY214" s="128"/>
      <c r="VZ214" s="128"/>
      <c r="WA214" s="128"/>
      <c r="WB214" s="128"/>
      <c r="WC214" s="128"/>
      <c r="WD214" s="128"/>
      <c r="WE214" s="128"/>
      <c r="WF214" s="128"/>
      <c r="WG214" s="128"/>
      <c r="WH214" s="128"/>
      <c r="WI214" s="128"/>
      <c r="WJ214" s="128"/>
      <c r="WK214" s="128"/>
      <c r="WL214" s="128"/>
      <c r="WM214" s="128"/>
      <c r="WN214" s="128"/>
      <c r="WO214" s="128"/>
      <c r="WP214" s="128"/>
      <c r="WQ214" s="128"/>
      <c r="WR214" s="128"/>
      <c r="WS214" s="128"/>
      <c r="WT214" s="128"/>
      <c r="WU214" s="128"/>
      <c r="WV214" s="128"/>
      <c r="WW214" s="128"/>
      <c r="WX214" s="128"/>
      <c r="WY214" s="128"/>
      <c r="WZ214" s="128"/>
      <c r="XA214" s="128"/>
      <c r="XB214" s="128"/>
      <c r="XC214" s="128"/>
      <c r="XD214" s="128"/>
      <c r="XE214" s="128"/>
      <c r="XF214" s="128"/>
      <c r="XG214" s="128"/>
      <c r="XH214" s="128"/>
      <c r="XI214" s="128"/>
      <c r="XJ214" s="128"/>
      <c r="XK214" s="128"/>
      <c r="XL214" s="128"/>
      <c r="XM214" s="128"/>
      <c r="XN214" s="128"/>
      <c r="XO214" s="128"/>
      <c r="XP214" s="128"/>
      <c r="XQ214" s="128"/>
      <c r="XR214" s="128"/>
      <c r="XS214" s="128"/>
      <c r="XT214" s="128"/>
      <c r="XU214" s="128"/>
      <c r="XV214" s="128"/>
      <c r="XW214" s="128"/>
      <c r="XX214" s="128"/>
      <c r="XY214" s="128"/>
      <c r="XZ214" s="128"/>
      <c r="YA214" s="128"/>
      <c r="YB214" s="128"/>
      <c r="YC214" s="128"/>
      <c r="YD214" s="128"/>
      <c r="YE214" s="128"/>
      <c r="YF214" s="128"/>
      <c r="YG214" s="128"/>
      <c r="YH214" s="128"/>
      <c r="YI214" s="128"/>
      <c r="YJ214" s="128"/>
      <c r="YK214" s="128"/>
      <c r="YL214" s="128"/>
      <c r="YM214" s="128"/>
      <c r="YN214" s="128"/>
      <c r="YO214" s="128"/>
      <c r="YP214" s="128"/>
      <c r="YQ214" s="128"/>
      <c r="YR214" s="128"/>
      <c r="YS214" s="128"/>
      <c r="YT214" s="128"/>
      <c r="YU214" s="128"/>
      <c r="YV214" s="128"/>
      <c r="YW214" s="128"/>
      <c r="YX214" s="128"/>
      <c r="YY214" s="128"/>
      <c r="YZ214" s="128"/>
      <c r="ZA214" s="128"/>
      <c r="ZB214" s="128"/>
      <c r="ZC214" s="128"/>
      <c r="ZD214" s="128"/>
      <c r="ZE214" s="128"/>
      <c r="ZF214" s="128"/>
      <c r="ZG214" s="128"/>
      <c r="ZH214" s="128"/>
      <c r="ZI214" s="128"/>
      <c r="ZJ214" s="128"/>
      <c r="ZK214" s="128"/>
      <c r="ZL214" s="128"/>
      <c r="ZM214" s="128"/>
      <c r="ZN214" s="128"/>
      <c r="ZO214" s="128"/>
      <c r="ZP214" s="128"/>
      <c r="ZQ214" s="128"/>
      <c r="ZR214" s="128"/>
      <c r="ZS214" s="128"/>
      <c r="ZT214" s="128"/>
      <c r="ZU214" s="128"/>
      <c r="ZV214" s="128"/>
      <c r="ZW214" s="128"/>
      <c r="ZX214" s="128"/>
      <c r="ZY214" s="128"/>
      <c r="ZZ214" s="128"/>
      <c r="AAA214" s="128"/>
      <c r="AAB214" s="128"/>
      <c r="AAC214" s="128"/>
      <c r="AAD214" s="128"/>
      <c r="AAE214" s="128"/>
      <c r="AAF214" s="128"/>
      <c r="AAG214" s="128"/>
      <c r="AAH214" s="128"/>
      <c r="AAI214" s="128"/>
      <c r="AAJ214" s="128"/>
      <c r="AAK214" s="128"/>
      <c r="AAL214" s="128"/>
      <c r="AAM214" s="128"/>
      <c r="AAN214" s="128"/>
      <c r="AAO214" s="128"/>
      <c r="AAP214" s="128"/>
      <c r="AAQ214" s="128"/>
      <c r="AAR214" s="128"/>
      <c r="AAS214" s="128"/>
      <c r="AAT214" s="128"/>
      <c r="AAU214" s="128"/>
      <c r="AAV214" s="128"/>
      <c r="AAW214" s="128"/>
      <c r="AAX214" s="128"/>
      <c r="AAY214" s="128"/>
      <c r="AAZ214" s="128"/>
      <c r="ABA214" s="128"/>
      <c r="ABB214" s="128"/>
      <c r="ABC214" s="128"/>
      <c r="ABD214" s="128"/>
      <c r="ABE214" s="128"/>
      <c r="ABF214" s="128"/>
      <c r="ABG214" s="128"/>
      <c r="ABH214" s="128"/>
      <c r="ABI214" s="128"/>
      <c r="ABJ214" s="128"/>
      <c r="ABK214" s="128"/>
      <c r="ABL214" s="128"/>
      <c r="ABM214" s="128"/>
      <c r="ABN214" s="128"/>
      <c r="ABO214" s="128"/>
      <c r="ABP214" s="128"/>
      <c r="ABQ214" s="128"/>
      <c r="ABR214" s="128"/>
      <c r="ABS214" s="128"/>
      <c r="ABT214" s="128"/>
      <c r="ABU214" s="128"/>
      <c r="ABV214" s="128"/>
      <c r="ABW214" s="128"/>
      <c r="ABX214" s="128"/>
      <c r="ABY214" s="128"/>
      <c r="ABZ214" s="128"/>
      <c r="ACA214" s="128"/>
      <c r="ACB214" s="128"/>
      <c r="ACC214" s="128"/>
      <c r="ACD214" s="128"/>
      <c r="ACE214" s="128"/>
      <c r="ACF214" s="128"/>
      <c r="ACG214" s="128"/>
      <c r="ACH214" s="128"/>
      <c r="ACI214" s="128"/>
      <c r="ACJ214" s="128"/>
      <c r="ACK214" s="128"/>
      <c r="ACL214" s="128"/>
      <c r="ACM214" s="128"/>
      <c r="ACN214" s="128"/>
      <c r="ACO214" s="128"/>
      <c r="ACP214" s="128"/>
      <c r="ACQ214" s="128"/>
      <c r="ACR214" s="128"/>
      <c r="ACS214" s="128"/>
      <c r="ACT214" s="128"/>
      <c r="ACU214" s="128"/>
      <c r="ACV214" s="128"/>
      <c r="ACW214" s="128"/>
      <c r="ACX214" s="128"/>
      <c r="ACY214" s="128"/>
      <c r="ACZ214" s="128"/>
      <c r="ADA214" s="128"/>
      <c r="ADB214" s="128"/>
      <c r="ADC214" s="128"/>
      <c r="ADD214" s="128"/>
      <c r="ADE214" s="128"/>
      <c r="ADF214" s="128"/>
      <c r="ADG214" s="128"/>
      <c r="ADH214" s="128"/>
      <c r="ADI214" s="128"/>
      <c r="ADJ214" s="128"/>
      <c r="ADK214" s="128"/>
      <c r="ADL214" s="128"/>
      <c r="ADM214" s="128"/>
      <c r="ADN214" s="128"/>
      <c r="ADO214" s="128"/>
      <c r="ADP214" s="128"/>
      <c r="ADQ214" s="128"/>
      <c r="ADR214" s="128"/>
      <c r="ADS214" s="128"/>
      <c r="ADT214" s="128"/>
      <c r="ADU214" s="128"/>
      <c r="ADV214" s="128"/>
      <c r="ADW214" s="128"/>
      <c r="ADX214" s="128"/>
      <c r="ADY214" s="128"/>
      <c r="ADZ214" s="128"/>
      <c r="AEA214" s="128"/>
      <c r="AEB214" s="128"/>
      <c r="AEC214" s="128"/>
      <c r="AED214" s="128"/>
      <c r="AEE214" s="128"/>
      <c r="AEF214" s="128"/>
      <c r="AEG214" s="128"/>
      <c r="AEH214" s="128"/>
      <c r="AEI214" s="128"/>
      <c r="AEJ214" s="128"/>
      <c r="AEK214" s="128"/>
      <c r="AEL214" s="128"/>
      <c r="AEM214" s="128"/>
      <c r="AEN214" s="128"/>
      <c r="AEO214" s="128"/>
      <c r="AEP214" s="128"/>
      <c r="AEQ214" s="128"/>
      <c r="AER214" s="128"/>
      <c r="AES214" s="128"/>
      <c r="AET214" s="128"/>
      <c r="AEU214" s="128"/>
      <c r="AEV214" s="128"/>
      <c r="AEW214" s="128"/>
      <c r="AEX214" s="128"/>
      <c r="AEY214" s="128"/>
      <c r="AEZ214" s="128"/>
      <c r="AFA214" s="128"/>
      <c r="AFB214" s="128"/>
      <c r="AFC214" s="128"/>
      <c r="AFD214" s="128"/>
      <c r="AFE214" s="128"/>
      <c r="AFF214" s="128"/>
      <c r="AFG214" s="128"/>
      <c r="AFH214" s="128"/>
      <c r="AFI214" s="128"/>
      <c r="AFJ214" s="128"/>
      <c r="AFK214" s="128"/>
      <c r="AFL214" s="128"/>
      <c r="AFM214" s="128"/>
      <c r="AFN214" s="128"/>
      <c r="AFO214" s="128"/>
      <c r="AFP214" s="128"/>
      <c r="AFQ214" s="128"/>
      <c r="AFR214" s="128"/>
      <c r="AFS214" s="128"/>
      <c r="AFT214" s="128"/>
      <c r="AFU214" s="128"/>
      <c r="AFV214" s="128"/>
      <c r="AFW214" s="128"/>
      <c r="AFX214" s="128"/>
      <c r="AFY214" s="128"/>
      <c r="AFZ214" s="128"/>
      <c r="AGA214" s="128"/>
      <c r="AGB214" s="128"/>
      <c r="AGC214" s="128"/>
      <c r="AGD214" s="128"/>
      <c r="AGE214" s="128"/>
      <c r="AGF214" s="128"/>
      <c r="AGG214" s="128"/>
      <c r="AGH214" s="128"/>
      <c r="AGI214" s="128"/>
      <c r="AGJ214" s="128"/>
      <c r="AGK214" s="128"/>
      <c r="AGL214" s="128"/>
      <c r="AGM214" s="128"/>
      <c r="AGN214" s="128"/>
      <c r="AGO214" s="128"/>
      <c r="AGP214" s="128"/>
      <c r="AGQ214" s="128"/>
      <c r="AGR214" s="128"/>
      <c r="AGS214" s="128"/>
      <c r="AGT214" s="128"/>
      <c r="AGU214" s="128"/>
      <c r="AGV214" s="128"/>
      <c r="AGW214" s="128"/>
      <c r="AGX214" s="128"/>
      <c r="AGY214" s="128"/>
      <c r="AGZ214" s="128"/>
      <c r="AHA214" s="128"/>
      <c r="AHB214" s="128"/>
      <c r="AHC214" s="128"/>
      <c r="AHD214" s="128"/>
      <c r="AHE214" s="128"/>
      <c r="AHF214" s="128"/>
      <c r="AHG214" s="128"/>
      <c r="AHH214" s="128"/>
      <c r="AHI214" s="128"/>
      <c r="AHJ214" s="128"/>
      <c r="AHK214" s="128"/>
      <c r="AHL214" s="128"/>
      <c r="AHM214" s="128"/>
      <c r="AHN214" s="128"/>
      <c r="AHO214" s="128"/>
      <c r="AHP214" s="128"/>
      <c r="AHQ214" s="128"/>
      <c r="AHR214" s="128"/>
      <c r="AHS214" s="128"/>
      <c r="AHT214" s="128"/>
      <c r="AHU214" s="128"/>
      <c r="AHV214" s="128"/>
      <c r="AHW214" s="128"/>
      <c r="AHX214" s="128"/>
      <c r="AHY214" s="128"/>
      <c r="AHZ214" s="128"/>
      <c r="AIA214" s="128"/>
      <c r="AIB214" s="128"/>
      <c r="AIC214" s="128"/>
      <c r="AID214" s="128"/>
      <c r="AIE214" s="128"/>
      <c r="AIF214" s="128"/>
      <c r="AIG214" s="128"/>
      <c r="AIH214" s="128"/>
      <c r="AII214" s="128"/>
      <c r="AIJ214" s="128"/>
      <c r="AIK214" s="128"/>
      <c r="AIL214" s="128"/>
      <c r="AIM214" s="128"/>
      <c r="AIN214" s="128"/>
      <c r="AIO214" s="128"/>
      <c r="AIP214" s="128"/>
      <c r="AIQ214" s="128"/>
      <c r="AIR214" s="128"/>
      <c r="AIS214" s="128"/>
      <c r="AIT214" s="128"/>
      <c r="AIU214" s="128"/>
      <c r="AIV214" s="128"/>
      <c r="AIW214" s="128"/>
      <c r="AIX214" s="128"/>
      <c r="AIY214" s="128"/>
      <c r="AIZ214" s="128"/>
      <c r="AJA214" s="128"/>
      <c r="AJB214" s="128"/>
      <c r="AJC214" s="128"/>
      <c r="AJD214" s="128"/>
      <c r="AJE214" s="128"/>
      <c r="AJF214" s="128"/>
      <c r="AJG214" s="128"/>
      <c r="AJH214" s="128"/>
      <c r="AJI214" s="128"/>
      <c r="AJJ214" s="128"/>
      <c r="AJK214" s="128"/>
      <c r="AJL214" s="128"/>
      <c r="AJM214" s="128"/>
      <c r="AJN214" s="128"/>
      <c r="AJO214" s="128"/>
      <c r="AJP214" s="128"/>
      <c r="AJQ214" s="128"/>
      <c r="AJR214" s="128"/>
      <c r="AJS214" s="128"/>
      <c r="AJT214" s="128"/>
      <c r="AJU214" s="128"/>
      <c r="AJV214" s="128"/>
      <c r="AJW214" s="128"/>
      <c r="AJX214" s="128"/>
      <c r="AJY214" s="128"/>
      <c r="AJZ214" s="128"/>
      <c r="AKA214" s="128"/>
      <c r="AKB214" s="128"/>
      <c r="AKC214" s="128"/>
      <c r="AKD214" s="128"/>
      <c r="AKE214" s="128"/>
      <c r="AKF214" s="128"/>
      <c r="AKG214" s="128"/>
      <c r="AKH214" s="128"/>
      <c r="AKI214" s="128"/>
      <c r="AKJ214" s="128"/>
      <c r="AKK214" s="128"/>
      <c r="AKL214" s="128"/>
      <c r="AKM214" s="128"/>
      <c r="AKN214" s="128"/>
      <c r="AKO214" s="128"/>
      <c r="AKP214" s="128"/>
      <c r="AKQ214" s="128"/>
      <c r="AKR214" s="128"/>
      <c r="AKS214" s="128"/>
      <c r="AKT214" s="128"/>
      <c r="AKU214" s="128"/>
      <c r="AKV214" s="128"/>
      <c r="AKW214" s="128"/>
      <c r="AKX214" s="128"/>
      <c r="AKY214" s="128"/>
      <c r="AKZ214" s="128"/>
      <c r="ALA214" s="128"/>
      <c r="ALB214" s="128"/>
      <c r="ALC214" s="128"/>
      <c r="ALD214" s="128"/>
      <c r="ALE214" s="128"/>
      <c r="ALF214" s="128"/>
      <c r="ALG214" s="128"/>
      <c r="ALH214" s="128"/>
      <c r="ALI214" s="128"/>
      <c r="ALJ214" s="128"/>
      <c r="ALK214" s="128"/>
      <c r="ALL214" s="128"/>
      <c r="ALM214" s="128"/>
      <c r="ALN214" s="128"/>
      <c r="ALO214" s="128"/>
      <c r="ALP214" s="128"/>
      <c r="ALQ214" s="128"/>
      <c r="ALR214" s="128"/>
      <c r="ALS214" s="128"/>
      <c r="ALT214" s="128"/>
      <c r="ALU214" s="128"/>
      <c r="ALV214" s="128"/>
      <c r="ALW214" s="128"/>
      <c r="ALX214" s="128"/>
      <c r="ALY214" s="128"/>
      <c r="ALZ214" s="128"/>
      <c r="AMA214"/>
      <c r="AMB214"/>
      <c r="AMC214"/>
      <c r="AMD214"/>
    </row>
    <row r="215" spans="1:1018" s="96" customFormat="1" ht="12" customHeight="1">
      <c r="A215" s="130"/>
      <c r="B215" s="130"/>
      <c r="C215" s="130"/>
      <c r="D215" s="130"/>
      <c r="E215" s="130"/>
      <c r="F215" s="130"/>
      <c r="I215" s="225"/>
      <c r="K215" s="159"/>
      <c r="P215" s="173"/>
      <c r="T215" s="277"/>
      <c r="X215"/>
      <c r="Y215" s="179"/>
      <c r="AA215" s="159"/>
      <c r="AC215"/>
      <c r="AE215" s="128"/>
      <c r="AF215"/>
      <c r="AG215" s="128"/>
      <c r="AH215" s="128"/>
      <c r="AI215" s="128"/>
      <c r="AJ215" s="128"/>
      <c r="AK215" s="128"/>
      <c r="AL215" s="128"/>
      <c r="AM215" s="128"/>
      <c r="AN215" s="128"/>
      <c r="AO215" s="128"/>
      <c r="AP215" s="128"/>
      <c r="AQ215" s="128"/>
      <c r="AR215" s="128"/>
      <c r="AS215" s="128"/>
      <c r="AT215" s="128"/>
      <c r="AU215" s="128"/>
      <c r="AV215" s="128"/>
      <c r="AW215" s="128"/>
      <c r="AX215" s="128"/>
      <c r="AY215" s="128"/>
      <c r="AZ215" s="128"/>
      <c r="BA215" s="128"/>
      <c r="BB215" s="128"/>
      <c r="BC215" s="128"/>
      <c r="BD215" s="128"/>
      <c r="BE215" s="128"/>
      <c r="BF215" s="128"/>
      <c r="BG215" s="128"/>
      <c r="BH215" s="128"/>
      <c r="BI215" s="128"/>
      <c r="BJ215" s="128"/>
      <c r="BK215" s="128"/>
      <c r="BL215" s="128"/>
      <c r="BM215" s="128"/>
      <c r="BN215" s="128"/>
      <c r="BO215" s="128"/>
      <c r="BP215" s="128"/>
      <c r="BQ215" s="128"/>
      <c r="BR215" s="128"/>
      <c r="BS215" s="128"/>
      <c r="BT215" s="128"/>
      <c r="BU215" s="128"/>
      <c r="BV215" s="128"/>
      <c r="BW215" s="128"/>
      <c r="BX215" s="128"/>
      <c r="BY215" s="128"/>
      <c r="BZ215" s="128"/>
      <c r="CA215" s="128"/>
      <c r="CB215" s="128"/>
      <c r="CC215" s="128"/>
      <c r="CD215" s="128"/>
      <c r="CE215" s="128"/>
      <c r="CF215" s="128"/>
      <c r="CG215" s="128"/>
      <c r="CH215" s="128"/>
      <c r="CI215" s="128"/>
      <c r="CJ215" s="128"/>
      <c r="CK215" s="128"/>
      <c r="CL215" s="128"/>
      <c r="CM215" s="128"/>
      <c r="CN215" s="128"/>
      <c r="CO215" s="128"/>
      <c r="CP215" s="128"/>
      <c r="CQ215" s="128"/>
      <c r="CR215" s="128"/>
      <c r="CS215" s="128"/>
      <c r="CT215" s="128"/>
      <c r="CU215" s="128"/>
      <c r="CV215" s="128"/>
      <c r="CW215" s="128"/>
      <c r="CX215" s="128"/>
      <c r="CY215" s="128"/>
      <c r="CZ215" s="128"/>
      <c r="DA215" s="128"/>
      <c r="DB215" s="128"/>
      <c r="DC215" s="128"/>
      <c r="DD215" s="128"/>
      <c r="DE215" s="128"/>
      <c r="DF215" s="128"/>
      <c r="DG215" s="128"/>
      <c r="DH215" s="128"/>
      <c r="DI215" s="128"/>
      <c r="DJ215" s="128"/>
      <c r="DK215" s="128"/>
      <c r="DL215" s="128"/>
      <c r="DM215" s="128"/>
      <c r="DN215" s="128"/>
      <c r="DO215" s="128"/>
      <c r="DP215" s="128"/>
      <c r="DQ215" s="128"/>
      <c r="DR215" s="128"/>
      <c r="DS215" s="128"/>
      <c r="DT215" s="128"/>
      <c r="DU215" s="128"/>
      <c r="DV215" s="128"/>
      <c r="DW215" s="128"/>
      <c r="DX215" s="128"/>
      <c r="DY215" s="128"/>
      <c r="DZ215" s="128"/>
      <c r="EA215" s="128"/>
      <c r="EB215" s="128"/>
      <c r="EC215" s="128"/>
      <c r="ED215" s="128"/>
      <c r="EE215" s="128"/>
      <c r="EF215" s="128"/>
      <c r="EG215" s="128"/>
      <c r="EH215" s="128"/>
      <c r="EI215" s="128"/>
      <c r="EJ215" s="128"/>
      <c r="EK215" s="128"/>
      <c r="EL215" s="128"/>
      <c r="EM215" s="128"/>
      <c r="EN215" s="128"/>
      <c r="EO215" s="128"/>
      <c r="EP215" s="128"/>
      <c r="EQ215" s="128"/>
      <c r="ER215" s="128"/>
      <c r="ES215" s="128"/>
      <c r="ET215" s="128"/>
      <c r="EU215" s="128"/>
      <c r="EV215" s="128"/>
      <c r="EW215" s="128"/>
      <c r="EX215" s="128"/>
      <c r="EY215" s="128"/>
      <c r="EZ215" s="128"/>
      <c r="FA215" s="128"/>
      <c r="FB215" s="128"/>
      <c r="FC215" s="128"/>
      <c r="FD215" s="128"/>
      <c r="FE215" s="128"/>
      <c r="FF215" s="128"/>
      <c r="FG215" s="128"/>
      <c r="FH215" s="128"/>
      <c r="FI215" s="128"/>
      <c r="FJ215" s="128"/>
      <c r="FK215" s="128"/>
      <c r="FL215" s="128"/>
      <c r="FM215" s="128"/>
      <c r="FN215" s="128"/>
      <c r="FO215" s="128"/>
      <c r="FP215" s="128"/>
      <c r="FQ215" s="128"/>
      <c r="FR215" s="128"/>
      <c r="FS215" s="128"/>
      <c r="FT215" s="128"/>
      <c r="FU215" s="128"/>
      <c r="FV215" s="128"/>
      <c r="FW215" s="128"/>
      <c r="FX215" s="128"/>
      <c r="FY215" s="128"/>
      <c r="FZ215" s="128"/>
      <c r="GA215" s="128"/>
      <c r="GB215" s="128"/>
      <c r="GC215" s="128"/>
      <c r="GD215" s="128"/>
      <c r="GE215" s="128"/>
      <c r="GF215" s="128"/>
      <c r="GG215" s="128"/>
      <c r="GH215" s="128"/>
      <c r="GI215" s="128"/>
      <c r="GJ215" s="128"/>
      <c r="GK215" s="128"/>
      <c r="GL215" s="128"/>
      <c r="GM215" s="128"/>
      <c r="GN215" s="128"/>
      <c r="GO215" s="128"/>
      <c r="GP215" s="128"/>
      <c r="GQ215" s="128"/>
      <c r="GR215" s="128"/>
      <c r="GS215" s="128"/>
      <c r="GT215" s="128"/>
      <c r="GU215" s="128"/>
      <c r="GV215" s="128"/>
      <c r="GW215" s="128"/>
      <c r="GX215" s="128"/>
      <c r="GY215" s="128"/>
      <c r="GZ215" s="128"/>
      <c r="HA215" s="128"/>
      <c r="HB215" s="128"/>
      <c r="HC215" s="128"/>
      <c r="HD215" s="128"/>
      <c r="HE215" s="128"/>
      <c r="HF215" s="128"/>
      <c r="HG215" s="128"/>
      <c r="HH215" s="128"/>
      <c r="HI215" s="128"/>
      <c r="HJ215" s="128"/>
      <c r="HK215" s="128"/>
      <c r="HL215" s="128"/>
      <c r="HM215" s="128"/>
      <c r="HN215" s="128"/>
      <c r="HO215" s="128"/>
      <c r="HP215" s="128"/>
      <c r="HQ215" s="128"/>
      <c r="HR215" s="128"/>
      <c r="HS215" s="128"/>
      <c r="HT215" s="128"/>
      <c r="HU215" s="128"/>
      <c r="HV215" s="128"/>
      <c r="HW215" s="128"/>
      <c r="HX215" s="128"/>
      <c r="HY215" s="128"/>
      <c r="HZ215" s="128"/>
      <c r="IA215" s="128"/>
      <c r="IB215" s="128"/>
      <c r="IC215" s="128"/>
      <c r="ID215" s="128"/>
      <c r="IE215" s="128"/>
      <c r="IF215" s="128"/>
      <c r="IG215" s="128"/>
      <c r="IH215" s="128"/>
      <c r="II215" s="128"/>
      <c r="IJ215" s="128"/>
      <c r="IK215" s="128"/>
      <c r="IL215" s="128"/>
      <c r="IM215" s="128"/>
      <c r="IN215" s="128"/>
      <c r="IO215" s="128"/>
      <c r="IP215" s="128"/>
      <c r="IQ215" s="128"/>
      <c r="IR215" s="128"/>
      <c r="IS215" s="128"/>
      <c r="IT215" s="128"/>
      <c r="IU215" s="128"/>
      <c r="IV215" s="128"/>
      <c r="IW215" s="128"/>
      <c r="IX215" s="128"/>
      <c r="IY215" s="128"/>
      <c r="IZ215" s="128"/>
      <c r="JA215" s="128"/>
      <c r="JB215" s="128"/>
      <c r="JC215" s="128"/>
      <c r="JD215" s="128"/>
      <c r="JE215" s="128"/>
      <c r="JF215" s="128"/>
      <c r="JG215" s="128"/>
      <c r="JH215" s="128"/>
      <c r="JI215" s="128"/>
      <c r="JJ215" s="128"/>
      <c r="JK215" s="128"/>
      <c r="JL215" s="128"/>
      <c r="JM215" s="128"/>
      <c r="JN215" s="128"/>
      <c r="JO215" s="128"/>
      <c r="JP215" s="128"/>
      <c r="JQ215" s="128"/>
      <c r="JR215" s="128"/>
      <c r="JS215" s="128"/>
      <c r="JT215" s="128"/>
      <c r="JU215" s="128"/>
      <c r="JV215" s="128"/>
      <c r="JW215" s="128"/>
      <c r="JX215" s="128"/>
      <c r="JY215" s="128"/>
      <c r="JZ215" s="128"/>
      <c r="KA215" s="128"/>
      <c r="KB215" s="128"/>
      <c r="KC215" s="128"/>
      <c r="KD215" s="128"/>
      <c r="KE215" s="128"/>
      <c r="KF215" s="128"/>
      <c r="KG215" s="128"/>
      <c r="KH215" s="128"/>
      <c r="KI215" s="128"/>
      <c r="KJ215" s="128"/>
      <c r="KK215" s="128"/>
      <c r="KL215" s="128"/>
      <c r="KM215" s="128"/>
      <c r="KN215" s="128"/>
      <c r="KO215" s="128"/>
      <c r="KP215" s="128"/>
      <c r="KQ215" s="128"/>
      <c r="KR215" s="128"/>
      <c r="KS215" s="128"/>
      <c r="KT215" s="128"/>
      <c r="KU215" s="128"/>
      <c r="KV215" s="128"/>
      <c r="KW215" s="128"/>
      <c r="KX215" s="128"/>
      <c r="KY215" s="128"/>
      <c r="KZ215" s="128"/>
      <c r="LA215" s="128"/>
      <c r="LB215" s="128"/>
      <c r="LC215" s="128"/>
      <c r="LD215" s="128"/>
      <c r="LE215" s="128"/>
      <c r="LF215" s="128"/>
      <c r="LG215" s="128"/>
      <c r="LH215" s="128"/>
      <c r="LI215" s="128"/>
      <c r="LJ215" s="128"/>
      <c r="LK215" s="128"/>
      <c r="LL215" s="128"/>
      <c r="LM215" s="128"/>
      <c r="LN215" s="128"/>
      <c r="LO215" s="128"/>
      <c r="LP215" s="128"/>
      <c r="LQ215" s="128"/>
      <c r="LR215" s="128"/>
      <c r="LS215" s="128"/>
      <c r="LT215" s="128"/>
      <c r="LU215" s="128"/>
      <c r="LV215" s="128"/>
      <c r="LW215" s="128"/>
      <c r="LX215" s="128"/>
      <c r="LY215" s="128"/>
      <c r="LZ215" s="128"/>
      <c r="MA215" s="128"/>
      <c r="MB215" s="128"/>
      <c r="MC215" s="128"/>
      <c r="MD215" s="128"/>
      <c r="ME215" s="128"/>
      <c r="MF215" s="128"/>
      <c r="MG215" s="128"/>
      <c r="MH215" s="128"/>
      <c r="MI215" s="128"/>
      <c r="MJ215" s="128"/>
      <c r="MK215" s="128"/>
      <c r="ML215" s="128"/>
      <c r="MM215" s="128"/>
      <c r="MN215" s="128"/>
      <c r="MO215" s="128"/>
      <c r="MP215" s="128"/>
      <c r="MQ215" s="128"/>
      <c r="MR215" s="128"/>
      <c r="MS215" s="128"/>
      <c r="MT215" s="128"/>
      <c r="MU215" s="128"/>
      <c r="MV215" s="128"/>
      <c r="MW215" s="128"/>
      <c r="MX215" s="128"/>
      <c r="MY215" s="128"/>
      <c r="MZ215" s="128"/>
      <c r="NA215" s="128"/>
      <c r="NB215" s="128"/>
      <c r="NC215" s="128"/>
      <c r="ND215" s="128"/>
      <c r="NE215" s="128"/>
      <c r="NF215" s="128"/>
      <c r="NG215" s="128"/>
      <c r="NH215" s="128"/>
      <c r="NI215" s="128"/>
      <c r="NJ215" s="128"/>
      <c r="NK215" s="128"/>
      <c r="NL215" s="128"/>
      <c r="NM215" s="128"/>
      <c r="NN215" s="128"/>
      <c r="NO215" s="128"/>
      <c r="NP215" s="128"/>
      <c r="NQ215" s="128"/>
      <c r="NR215" s="128"/>
      <c r="NS215" s="128"/>
      <c r="NT215" s="128"/>
      <c r="NU215" s="128"/>
      <c r="NV215" s="128"/>
      <c r="NW215" s="128"/>
      <c r="NX215" s="128"/>
      <c r="NY215" s="128"/>
      <c r="NZ215" s="128"/>
      <c r="OA215" s="128"/>
      <c r="OB215" s="128"/>
      <c r="OC215" s="128"/>
      <c r="OD215" s="128"/>
      <c r="OE215" s="128"/>
      <c r="OF215" s="128"/>
      <c r="OG215" s="128"/>
      <c r="OH215" s="128"/>
      <c r="OI215" s="128"/>
      <c r="OJ215" s="128"/>
      <c r="OK215" s="128"/>
      <c r="OL215" s="128"/>
      <c r="OM215" s="128"/>
      <c r="ON215" s="128"/>
      <c r="OO215" s="128"/>
      <c r="OP215" s="128"/>
      <c r="OQ215" s="128"/>
      <c r="OR215" s="128"/>
      <c r="OS215" s="128"/>
      <c r="OT215" s="128"/>
      <c r="OU215" s="128"/>
      <c r="OV215" s="128"/>
      <c r="OW215" s="128"/>
      <c r="OX215" s="128"/>
      <c r="OY215" s="128"/>
      <c r="OZ215" s="128"/>
      <c r="PA215" s="128"/>
      <c r="PB215" s="128"/>
      <c r="PC215" s="128"/>
      <c r="PD215" s="128"/>
      <c r="PE215" s="128"/>
      <c r="PF215" s="128"/>
      <c r="PG215" s="128"/>
      <c r="PH215" s="128"/>
      <c r="PI215" s="128"/>
      <c r="PJ215" s="128"/>
      <c r="PK215" s="128"/>
      <c r="PL215" s="128"/>
      <c r="PM215" s="128"/>
      <c r="PN215" s="128"/>
      <c r="PO215" s="128"/>
      <c r="PP215" s="128"/>
      <c r="PQ215" s="128"/>
      <c r="PR215" s="128"/>
      <c r="PS215" s="128"/>
      <c r="PT215" s="128"/>
      <c r="PU215" s="128"/>
      <c r="PV215" s="128"/>
      <c r="PW215" s="128"/>
      <c r="PX215" s="128"/>
      <c r="PY215" s="128"/>
      <c r="PZ215" s="128"/>
      <c r="QA215" s="128"/>
      <c r="QB215" s="128"/>
      <c r="QC215" s="128"/>
      <c r="QD215" s="128"/>
      <c r="QE215" s="128"/>
      <c r="QF215" s="128"/>
      <c r="QG215" s="128"/>
      <c r="QH215" s="128"/>
      <c r="QI215" s="128"/>
      <c r="QJ215" s="128"/>
      <c r="QK215" s="128"/>
      <c r="QL215" s="128"/>
      <c r="QM215" s="128"/>
      <c r="QN215" s="128"/>
      <c r="QO215" s="128"/>
      <c r="QP215" s="128"/>
      <c r="QQ215" s="128"/>
      <c r="QR215" s="128"/>
      <c r="QS215" s="128"/>
      <c r="QT215" s="128"/>
      <c r="QU215" s="128"/>
      <c r="QV215" s="128"/>
      <c r="QW215" s="128"/>
      <c r="QX215" s="128"/>
      <c r="QY215" s="128"/>
      <c r="QZ215" s="128"/>
      <c r="RA215" s="128"/>
      <c r="RB215" s="128"/>
      <c r="RC215" s="128"/>
      <c r="RD215" s="128"/>
      <c r="RE215" s="128"/>
      <c r="RF215" s="128"/>
      <c r="RG215" s="128"/>
      <c r="RH215" s="128"/>
      <c r="RI215" s="128"/>
      <c r="RJ215" s="128"/>
      <c r="RK215" s="128"/>
      <c r="RL215" s="128"/>
      <c r="RM215" s="128"/>
      <c r="RN215" s="128"/>
      <c r="RO215" s="128"/>
      <c r="RP215" s="128"/>
      <c r="RQ215" s="128"/>
      <c r="RR215" s="128"/>
      <c r="RS215" s="128"/>
      <c r="RT215" s="128"/>
      <c r="RU215" s="128"/>
      <c r="RV215" s="128"/>
      <c r="RW215" s="128"/>
      <c r="RX215" s="128"/>
      <c r="RY215" s="128"/>
      <c r="RZ215" s="128"/>
      <c r="SA215" s="128"/>
      <c r="SB215" s="128"/>
      <c r="SC215" s="128"/>
      <c r="SD215" s="128"/>
      <c r="SE215" s="128"/>
      <c r="SF215" s="128"/>
      <c r="SG215" s="128"/>
      <c r="SH215" s="128"/>
      <c r="SI215" s="128"/>
      <c r="SJ215" s="128"/>
      <c r="SK215" s="128"/>
      <c r="SL215" s="128"/>
      <c r="SM215" s="128"/>
      <c r="SN215" s="128"/>
      <c r="SO215" s="128"/>
      <c r="SP215" s="128"/>
      <c r="SQ215" s="128"/>
      <c r="SR215" s="128"/>
      <c r="SS215" s="128"/>
      <c r="ST215" s="128"/>
      <c r="SU215" s="128"/>
      <c r="SV215" s="128"/>
      <c r="SW215" s="128"/>
      <c r="SX215" s="128"/>
      <c r="SY215" s="128"/>
      <c r="SZ215" s="128"/>
      <c r="TA215" s="128"/>
      <c r="TB215" s="128"/>
      <c r="TC215" s="128"/>
      <c r="TD215" s="128"/>
      <c r="TE215" s="128"/>
      <c r="TF215" s="128"/>
      <c r="TG215" s="128"/>
      <c r="TH215" s="128"/>
      <c r="TI215" s="128"/>
      <c r="TJ215" s="128"/>
      <c r="TK215" s="128"/>
      <c r="TL215" s="128"/>
      <c r="TM215" s="128"/>
      <c r="TN215" s="128"/>
      <c r="TO215" s="128"/>
      <c r="TP215" s="128"/>
      <c r="TQ215" s="128"/>
      <c r="TR215" s="128"/>
      <c r="TS215" s="128"/>
      <c r="TT215" s="128"/>
      <c r="TU215" s="128"/>
      <c r="TV215" s="128"/>
      <c r="TW215" s="128"/>
      <c r="TX215" s="128"/>
      <c r="TY215" s="128"/>
      <c r="TZ215" s="128"/>
      <c r="UA215" s="128"/>
      <c r="UB215" s="128"/>
      <c r="UC215" s="128"/>
      <c r="UD215" s="128"/>
      <c r="UE215" s="128"/>
      <c r="UF215" s="128"/>
      <c r="UG215" s="128"/>
      <c r="UH215" s="128"/>
      <c r="UI215" s="128"/>
      <c r="UJ215" s="128"/>
      <c r="UK215" s="128"/>
      <c r="UL215" s="128"/>
      <c r="UM215" s="128"/>
      <c r="UN215" s="128"/>
      <c r="UO215" s="128"/>
      <c r="UP215" s="128"/>
      <c r="UQ215" s="128"/>
      <c r="UR215" s="128"/>
      <c r="US215" s="128"/>
      <c r="UT215" s="128"/>
      <c r="UU215" s="128"/>
      <c r="UV215" s="128"/>
      <c r="UW215" s="128"/>
      <c r="UX215" s="128"/>
      <c r="UY215" s="128"/>
      <c r="UZ215" s="128"/>
      <c r="VA215" s="128"/>
      <c r="VB215" s="128"/>
      <c r="VC215" s="128"/>
      <c r="VD215" s="128"/>
      <c r="VE215" s="128"/>
      <c r="VF215" s="128"/>
      <c r="VG215" s="128"/>
      <c r="VH215" s="128"/>
      <c r="VI215" s="128"/>
      <c r="VJ215" s="128"/>
      <c r="VK215" s="128"/>
      <c r="VL215" s="128"/>
      <c r="VM215" s="128"/>
      <c r="VN215" s="128"/>
      <c r="VO215" s="128"/>
      <c r="VP215" s="128"/>
      <c r="VQ215" s="128"/>
      <c r="VR215" s="128"/>
      <c r="VS215" s="128"/>
      <c r="VT215" s="128"/>
      <c r="VU215" s="128"/>
      <c r="VV215" s="128"/>
      <c r="VW215" s="128"/>
      <c r="VX215" s="128"/>
      <c r="VY215" s="128"/>
      <c r="VZ215" s="128"/>
      <c r="WA215" s="128"/>
      <c r="WB215" s="128"/>
      <c r="WC215" s="128"/>
      <c r="WD215" s="128"/>
      <c r="WE215" s="128"/>
      <c r="WF215" s="128"/>
      <c r="WG215" s="128"/>
      <c r="WH215" s="128"/>
      <c r="WI215" s="128"/>
      <c r="WJ215" s="128"/>
      <c r="WK215" s="128"/>
      <c r="WL215" s="128"/>
      <c r="WM215" s="128"/>
      <c r="WN215" s="128"/>
      <c r="WO215" s="128"/>
      <c r="WP215" s="128"/>
      <c r="WQ215" s="128"/>
      <c r="WR215" s="128"/>
      <c r="WS215" s="128"/>
      <c r="WT215" s="128"/>
      <c r="WU215" s="128"/>
      <c r="WV215" s="128"/>
      <c r="WW215" s="128"/>
      <c r="WX215" s="128"/>
      <c r="WY215" s="128"/>
      <c r="WZ215" s="128"/>
      <c r="XA215" s="128"/>
      <c r="XB215" s="128"/>
      <c r="XC215" s="128"/>
      <c r="XD215" s="128"/>
      <c r="XE215" s="128"/>
      <c r="XF215" s="128"/>
      <c r="XG215" s="128"/>
      <c r="XH215" s="128"/>
      <c r="XI215" s="128"/>
      <c r="XJ215" s="128"/>
      <c r="XK215" s="128"/>
      <c r="XL215" s="128"/>
      <c r="XM215" s="128"/>
      <c r="XN215" s="128"/>
      <c r="XO215" s="128"/>
      <c r="XP215" s="128"/>
      <c r="XQ215" s="128"/>
      <c r="XR215" s="128"/>
      <c r="XS215" s="128"/>
      <c r="XT215" s="128"/>
      <c r="XU215" s="128"/>
      <c r="XV215" s="128"/>
      <c r="XW215" s="128"/>
      <c r="XX215" s="128"/>
      <c r="XY215" s="128"/>
      <c r="XZ215" s="128"/>
      <c r="YA215" s="128"/>
      <c r="YB215" s="128"/>
      <c r="YC215" s="128"/>
      <c r="YD215" s="128"/>
      <c r="YE215" s="128"/>
      <c r="YF215" s="128"/>
      <c r="YG215" s="128"/>
      <c r="YH215" s="128"/>
      <c r="YI215" s="128"/>
      <c r="YJ215" s="128"/>
      <c r="YK215" s="128"/>
      <c r="YL215" s="128"/>
      <c r="YM215" s="128"/>
      <c r="YN215" s="128"/>
      <c r="YO215" s="128"/>
      <c r="YP215" s="128"/>
      <c r="YQ215" s="128"/>
      <c r="YR215" s="128"/>
      <c r="YS215" s="128"/>
      <c r="YT215" s="128"/>
      <c r="YU215" s="128"/>
      <c r="YV215" s="128"/>
      <c r="YW215" s="128"/>
      <c r="YX215" s="128"/>
      <c r="YY215" s="128"/>
      <c r="YZ215" s="128"/>
      <c r="ZA215" s="128"/>
      <c r="ZB215" s="128"/>
      <c r="ZC215" s="128"/>
      <c r="ZD215" s="128"/>
      <c r="ZE215" s="128"/>
      <c r="ZF215" s="128"/>
      <c r="ZG215" s="128"/>
      <c r="ZH215" s="128"/>
      <c r="ZI215" s="128"/>
      <c r="ZJ215" s="128"/>
      <c r="ZK215" s="128"/>
      <c r="ZL215" s="128"/>
      <c r="ZM215" s="128"/>
      <c r="ZN215" s="128"/>
      <c r="ZO215" s="128"/>
      <c r="ZP215" s="128"/>
      <c r="ZQ215" s="128"/>
      <c r="ZR215" s="128"/>
      <c r="ZS215" s="128"/>
      <c r="ZT215" s="128"/>
      <c r="ZU215" s="128"/>
      <c r="ZV215" s="128"/>
      <c r="ZW215" s="128"/>
      <c r="ZX215" s="128"/>
      <c r="ZY215" s="128"/>
      <c r="ZZ215" s="128"/>
      <c r="AAA215" s="128"/>
      <c r="AAB215" s="128"/>
      <c r="AAC215" s="128"/>
      <c r="AAD215" s="128"/>
      <c r="AAE215" s="128"/>
      <c r="AAF215" s="128"/>
      <c r="AAG215" s="128"/>
      <c r="AAH215" s="128"/>
      <c r="AAI215" s="128"/>
      <c r="AAJ215" s="128"/>
      <c r="AAK215" s="128"/>
      <c r="AAL215" s="128"/>
      <c r="AAM215" s="128"/>
      <c r="AAN215" s="128"/>
      <c r="AAO215" s="128"/>
      <c r="AAP215" s="128"/>
      <c r="AAQ215" s="128"/>
      <c r="AAR215" s="128"/>
      <c r="AAS215" s="128"/>
      <c r="AAT215" s="128"/>
      <c r="AAU215" s="128"/>
      <c r="AAV215" s="128"/>
      <c r="AAW215" s="128"/>
      <c r="AAX215" s="128"/>
      <c r="AAY215" s="128"/>
      <c r="AAZ215" s="128"/>
      <c r="ABA215" s="128"/>
      <c r="ABB215" s="128"/>
      <c r="ABC215" s="128"/>
      <c r="ABD215" s="128"/>
      <c r="ABE215" s="128"/>
      <c r="ABF215" s="128"/>
      <c r="ABG215" s="128"/>
      <c r="ABH215" s="128"/>
      <c r="ABI215" s="128"/>
      <c r="ABJ215" s="128"/>
      <c r="ABK215" s="128"/>
      <c r="ABL215" s="128"/>
      <c r="ABM215" s="128"/>
      <c r="ABN215" s="128"/>
      <c r="ABO215" s="128"/>
      <c r="ABP215" s="128"/>
      <c r="ABQ215" s="128"/>
      <c r="ABR215" s="128"/>
      <c r="ABS215" s="128"/>
      <c r="ABT215" s="128"/>
      <c r="ABU215" s="128"/>
      <c r="ABV215" s="128"/>
      <c r="ABW215" s="128"/>
      <c r="ABX215" s="128"/>
      <c r="ABY215" s="128"/>
      <c r="ABZ215" s="128"/>
      <c r="ACA215" s="128"/>
      <c r="ACB215" s="128"/>
      <c r="ACC215" s="128"/>
      <c r="ACD215" s="128"/>
      <c r="ACE215" s="128"/>
      <c r="ACF215" s="128"/>
      <c r="ACG215" s="128"/>
      <c r="ACH215" s="128"/>
      <c r="ACI215" s="128"/>
      <c r="ACJ215" s="128"/>
      <c r="ACK215" s="128"/>
      <c r="ACL215" s="128"/>
      <c r="ACM215" s="128"/>
      <c r="ACN215" s="128"/>
      <c r="ACO215" s="128"/>
      <c r="ACP215" s="128"/>
      <c r="ACQ215" s="128"/>
      <c r="ACR215" s="128"/>
      <c r="ACS215" s="128"/>
      <c r="ACT215" s="128"/>
      <c r="ACU215" s="128"/>
      <c r="ACV215" s="128"/>
      <c r="ACW215" s="128"/>
      <c r="ACX215" s="128"/>
      <c r="ACY215" s="128"/>
      <c r="ACZ215" s="128"/>
      <c r="ADA215" s="128"/>
      <c r="ADB215" s="128"/>
      <c r="ADC215" s="128"/>
      <c r="ADD215" s="128"/>
      <c r="ADE215" s="128"/>
      <c r="ADF215" s="128"/>
      <c r="ADG215" s="128"/>
      <c r="ADH215" s="128"/>
      <c r="ADI215" s="128"/>
      <c r="ADJ215" s="128"/>
      <c r="ADK215" s="128"/>
      <c r="ADL215" s="128"/>
      <c r="ADM215" s="128"/>
      <c r="ADN215" s="128"/>
      <c r="ADO215" s="128"/>
      <c r="ADP215" s="128"/>
      <c r="ADQ215" s="128"/>
      <c r="ADR215" s="128"/>
      <c r="ADS215" s="128"/>
      <c r="ADT215" s="128"/>
      <c r="ADU215" s="128"/>
      <c r="ADV215" s="128"/>
      <c r="ADW215" s="128"/>
      <c r="ADX215" s="128"/>
      <c r="ADY215" s="128"/>
      <c r="ADZ215" s="128"/>
      <c r="AEA215" s="128"/>
      <c r="AEB215" s="128"/>
      <c r="AEC215" s="128"/>
      <c r="AED215" s="128"/>
      <c r="AEE215" s="128"/>
      <c r="AEF215" s="128"/>
      <c r="AEG215" s="128"/>
      <c r="AEH215" s="128"/>
      <c r="AEI215" s="128"/>
      <c r="AEJ215" s="128"/>
      <c r="AEK215" s="128"/>
      <c r="AEL215" s="128"/>
      <c r="AEM215" s="128"/>
      <c r="AEN215" s="128"/>
      <c r="AEO215" s="128"/>
      <c r="AEP215" s="128"/>
      <c r="AEQ215" s="128"/>
      <c r="AER215" s="128"/>
      <c r="AES215" s="128"/>
      <c r="AET215" s="128"/>
      <c r="AEU215" s="128"/>
      <c r="AEV215" s="128"/>
      <c r="AEW215" s="128"/>
      <c r="AEX215" s="128"/>
      <c r="AEY215" s="128"/>
      <c r="AEZ215" s="128"/>
      <c r="AFA215" s="128"/>
      <c r="AFB215" s="128"/>
      <c r="AFC215" s="128"/>
      <c r="AFD215" s="128"/>
      <c r="AFE215" s="128"/>
      <c r="AFF215" s="128"/>
      <c r="AFG215" s="128"/>
      <c r="AFH215" s="128"/>
      <c r="AFI215" s="128"/>
      <c r="AFJ215" s="128"/>
      <c r="AFK215" s="128"/>
      <c r="AFL215" s="128"/>
      <c r="AFM215" s="128"/>
      <c r="AFN215" s="128"/>
      <c r="AFO215" s="128"/>
      <c r="AFP215" s="128"/>
      <c r="AFQ215" s="128"/>
      <c r="AFR215" s="128"/>
      <c r="AFS215" s="128"/>
      <c r="AFT215" s="128"/>
      <c r="AFU215" s="128"/>
      <c r="AFV215" s="128"/>
      <c r="AFW215" s="128"/>
      <c r="AFX215" s="128"/>
      <c r="AFY215" s="128"/>
      <c r="AFZ215" s="128"/>
      <c r="AGA215" s="128"/>
      <c r="AGB215" s="128"/>
      <c r="AGC215" s="128"/>
      <c r="AGD215" s="128"/>
      <c r="AGE215" s="128"/>
      <c r="AGF215" s="128"/>
      <c r="AGG215" s="128"/>
      <c r="AGH215" s="128"/>
      <c r="AGI215" s="128"/>
      <c r="AGJ215" s="128"/>
      <c r="AGK215" s="128"/>
      <c r="AGL215" s="128"/>
      <c r="AGM215" s="128"/>
      <c r="AGN215" s="128"/>
      <c r="AGO215" s="128"/>
      <c r="AGP215" s="128"/>
      <c r="AGQ215" s="128"/>
      <c r="AGR215" s="128"/>
      <c r="AGS215" s="128"/>
      <c r="AGT215" s="128"/>
      <c r="AGU215" s="128"/>
      <c r="AGV215" s="128"/>
      <c r="AGW215" s="128"/>
      <c r="AGX215" s="128"/>
      <c r="AGY215" s="128"/>
      <c r="AGZ215" s="128"/>
      <c r="AHA215" s="128"/>
      <c r="AHB215" s="128"/>
      <c r="AHC215" s="128"/>
      <c r="AHD215" s="128"/>
      <c r="AHE215" s="128"/>
      <c r="AHF215" s="128"/>
      <c r="AHG215" s="128"/>
      <c r="AHH215" s="128"/>
      <c r="AHI215" s="128"/>
      <c r="AHJ215" s="128"/>
      <c r="AHK215" s="128"/>
      <c r="AHL215" s="128"/>
      <c r="AHM215" s="128"/>
      <c r="AHN215" s="128"/>
      <c r="AHO215" s="128"/>
      <c r="AHP215" s="128"/>
      <c r="AHQ215" s="128"/>
      <c r="AHR215" s="128"/>
      <c r="AHS215" s="128"/>
      <c r="AHT215" s="128"/>
      <c r="AHU215" s="128"/>
      <c r="AHV215" s="128"/>
      <c r="AHW215" s="128"/>
      <c r="AHX215" s="128"/>
      <c r="AHY215" s="128"/>
      <c r="AHZ215" s="128"/>
      <c r="AIA215" s="128"/>
      <c r="AIB215" s="128"/>
      <c r="AIC215" s="128"/>
      <c r="AID215" s="128"/>
      <c r="AIE215" s="128"/>
      <c r="AIF215" s="128"/>
      <c r="AIG215" s="128"/>
      <c r="AIH215" s="128"/>
      <c r="AII215" s="128"/>
      <c r="AIJ215" s="128"/>
      <c r="AIK215" s="128"/>
      <c r="AIL215" s="128"/>
      <c r="AIM215" s="128"/>
      <c r="AIN215" s="128"/>
      <c r="AIO215" s="128"/>
      <c r="AIP215" s="128"/>
      <c r="AIQ215" s="128"/>
      <c r="AIR215" s="128"/>
      <c r="AIS215" s="128"/>
      <c r="AIT215" s="128"/>
      <c r="AIU215" s="128"/>
      <c r="AIV215" s="128"/>
      <c r="AIW215" s="128"/>
      <c r="AIX215" s="128"/>
      <c r="AIY215" s="128"/>
      <c r="AIZ215" s="128"/>
      <c r="AJA215" s="128"/>
      <c r="AJB215" s="128"/>
      <c r="AJC215" s="128"/>
      <c r="AJD215" s="128"/>
      <c r="AJE215" s="128"/>
      <c r="AJF215" s="128"/>
      <c r="AJG215" s="128"/>
      <c r="AJH215" s="128"/>
      <c r="AJI215" s="128"/>
      <c r="AJJ215" s="128"/>
      <c r="AJK215" s="128"/>
      <c r="AJL215" s="128"/>
      <c r="AJM215" s="128"/>
      <c r="AJN215" s="128"/>
      <c r="AJO215" s="128"/>
      <c r="AJP215" s="128"/>
      <c r="AJQ215" s="128"/>
      <c r="AJR215" s="128"/>
      <c r="AJS215" s="128"/>
      <c r="AJT215" s="128"/>
      <c r="AJU215" s="128"/>
      <c r="AJV215" s="128"/>
      <c r="AJW215" s="128"/>
      <c r="AJX215" s="128"/>
      <c r="AJY215" s="128"/>
      <c r="AJZ215" s="128"/>
      <c r="AKA215" s="128"/>
      <c r="AKB215" s="128"/>
      <c r="AKC215" s="128"/>
      <c r="AKD215" s="128"/>
      <c r="AKE215" s="128"/>
      <c r="AKF215" s="128"/>
      <c r="AKG215" s="128"/>
      <c r="AKH215" s="128"/>
      <c r="AKI215" s="128"/>
      <c r="AKJ215" s="128"/>
      <c r="AKK215" s="128"/>
      <c r="AKL215" s="128"/>
      <c r="AKM215" s="128"/>
      <c r="AKN215" s="128"/>
      <c r="AKO215" s="128"/>
      <c r="AKP215" s="128"/>
      <c r="AKQ215" s="128"/>
      <c r="AKR215" s="128"/>
      <c r="AKS215" s="128"/>
      <c r="AKT215" s="128"/>
      <c r="AKU215" s="128"/>
      <c r="AKV215" s="128"/>
      <c r="AKW215" s="128"/>
      <c r="AKX215" s="128"/>
      <c r="AKY215" s="128"/>
      <c r="AKZ215" s="128"/>
      <c r="ALA215" s="128"/>
      <c r="ALB215" s="128"/>
      <c r="ALC215" s="128"/>
      <c r="ALD215" s="128"/>
      <c r="ALE215" s="128"/>
      <c r="ALF215" s="128"/>
      <c r="ALG215" s="128"/>
      <c r="ALH215" s="128"/>
      <c r="ALI215" s="128"/>
      <c r="ALJ215" s="128"/>
      <c r="ALK215" s="128"/>
      <c r="ALL215" s="128"/>
      <c r="ALM215" s="128"/>
      <c r="ALN215" s="128"/>
      <c r="ALO215" s="128"/>
      <c r="ALP215" s="128"/>
      <c r="ALQ215" s="128"/>
      <c r="ALR215" s="128"/>
      <c r="ALS215" s="128"/>
      <c r="ALT215" s="128"/>
      <c r="ALU215" s="128"/>
      <c r="ALV215" s="128"/>
      <c r="ALW215" s="128"/>
      <c r="ALX215" s="128"/>
      <c r="ALY215" s="128"/>
      <c r="ALZ215" s="128"/>
      <c r="AMA215"/>
      <c r="AMB215"/>
      <c r="AMC215"/>
      <c r="AMD215"/>
    </row>
    <row r="216" spans="1:1018" s="96" customFormat="1" ht="12" customHeight="1">
      <c r="A216" s="130"/>
      <c r="B216" s="130"/>
      <c r="C216" s="130"/>
      <c r="D216" s="130"/>
      <c r="E216" s="130"/>
      <c r="F216" s="130"/>
      <c r="I216" s="225"/>
      <c r="K216" s="159"/>
      <c r="P216" s="173"/>
      <c r="T216" s="277"/>
      <c r="X216"/>
      <c r="Y216" s="179"/>
      <c r="AA216" s="159"/>
      <c r="AC216"/>
      <c r="AE216" s="128"/>
      <c r="AF216"/>
      <c r="AG216" s="128"/>
      <c r="AH216" s="128"/>
      <c r="AI216" s="128"/>
      <c r="AJ216" s="128"/>
      <c r="AK216" s="128"/>
      <c r="AL216" s="128"/>
      <c r="AM216" s="128"/>
      <c r="AN216" s="128"/>
      <c r="AO216" s="128"/>
      <c r="AP216" s="128"/>
      <c r="AQ216" s="128"/>
      <c r="AR216" s="128"/>
      <c r="AS216" s="128"/>
      <c r="AT216" s="128"/>
      <c r="AU216" s="128"/>
      <c r="AV216" s="128"/>
      <c r="AW216" s="128"/>
      <c r="AX216" s="128"/>
      <c r="AY216" s="128"/>
      <c r="AZ216" s="128"/>
      <c r="BA216" s="128"/>
      <c r="BB216" s="128"/>
      <c r="BC216" s="128"/>
      <c r="BD216" s="128"/>
      <c r="BE216" s="128"/>
      <c r="BF216" s="128"/>
      <c r="BG216" s="128"/>
      <c r="BH216" s="128"/>
      <c r="BI216" s="128"/>
      <c r="BJ216" s="128"/>
      <c r="BK216" s="128"/>
      <c r="BL216" s="128"/>
      <c r="BM216" s="128"/>
      <c r="BN216" s="128"/>
      <c r="BO216" s="128"/>
      <c r="BP216" s="128"/>
      <c r="BQ216" s="128"/>
      <c r="BR216" s="128"/>
      <c r="BS216" s="128"/>
      <c r="BT216" s="128"/>
      <c r="BU216" s="128"/>
      <c r="BV216" s="128"/>
      <c r="BW216" s="128"/>
      <c r="BX216" s="128"/>
      <c r="BY216" s="128"/>
      <c r="BZ216" s="128"/>
      <c r="CA216" s="128"/>
      <c r="CB216" s="128"/>
      <c r="CC216" s="128"/>
      <c r="CD216" s="128"/>
      <c r="CE216" s="128"/>
      <c r="CF216" s="128"/>
      <c r="CG216" s="128"/>
      <c r="CH216" s="128"/>
      <c r="CI216" s="128"/>
      <c r="CJ216" s="128"/>
      <c r="CK216" s="128"/>
      <c r="CL216" s="128"/>
      <c r="CM216" s="128"/>
      <c r="CN216" s="128"/>
      <c r="CO216" s="128"/>
      <c r="CP216" s="128"/>
      <c r="CQ216" s="128"/>
      <c r="CR216" s="128"/>
      <c r="CS216" s="128"/>
      <c r="CT216" s="128"/>
      <c r="CU216" s="128"/>
      <c r="CV216" s="128"/>
      <c r="CW216" s="128"/>
      <c r="CX216" s="128"/>
      <c r="CY216" s="128"/>
      <c r="CZ216" s="128"/>
      <c r="DA216" s="128"/>
      <c r="DB216" s="128"/>
      <c r="DC216" s="128"/>
      <c r="DD216" s="128"/>
      <c r="DE216" s="128"/>
      <c r="DF216" s="128"/>
      <c r="DG216" s="128"/>
      <c r="DH216" s="128"/>
      <c r="DI216" s="128"/>
      <c r="DJ216" s="128"/>
      <c r="DK216" s="128"/>
      <c r="DL216" s="128"/>
      <c r="DM216" s="128"/>
      <c r="DN216" s="128"/>
      <c r="DO216" s="128"/>
      <c r="DP216" s="128"/>
      <c r="DQ216" s="128"/>
      <c r="DR216" s="128"/>
      <c r="DS216" s="128"/>
      <c r="DT216" s="128"/>
      <c r="DU216" s="128"/>
      <c r="DV216" s="128"/>
      <c r="DW216" s="128"/>
      <c r="DX216" s="128"/>
      <c r="DY216" s="128"/>
      <c r="DZ216" s="128"/>
      <c r="EA216" s="128"/>
      <c r="EB216" s="128"/>
      <c r="EC216" s="128"/>
      <c r="ED216" s="128"/>
      <c r="EE216" s="128"/>
      <c r="EF216" s="128"/>
      <c r="EG216" s="128"/>
      <c r="EH216" s="128"/>
      <c r="EI216" s="128"/>
      <c r="EJ216" s="128"/>
      <c r="EK216" s="128"/>
      <c r="EL216" s="128"/>
      <c r="EM216" s="128"/>
      <c r="EN216" s="128"/>
      <c r="EO216" s="128"/>
      <c r="EP216" s="128"/>
      <c r="EQ216" s="128"/>
      <c r="ER216" s="128"/>
      <c r="ES216" s="128"/>
      <c r="ET216" s="128"/>
      <c r="EU216" s="128"/>
      <c r="EV216" s="128"/>
      <c r="EW216" s="128"/>
      <c r="EX216" s="128"/>
      <c r="EY216" s="128"/>
      <c r="EZ216" s="128"/>
      <c r="FA216" s="128"/>
      <c r="FB216" s="128"/>
      <c r="FC216" s="128"/>
      <c r="FD216" s="128"/>
      <c r="FE216" s="128"/>
      <c r="FF216" s="128"/>
      <c r="FG216" s="128"/>
      <c r="FH216" s="128"/>
      <c r="FI216" s="128"/>
      <c r="FJ216" s="128"/>
      <c r="FK216" s="128"/>
      <c r="FL216" s="128"/>
      <c r="FM216" s="128"/>
      <c r="FN216" s="128"/>
      <c r="FO216" s="128"/>
      <c r="FP216" s="128"/>
      <c r="FQ216" s="128"/>
      <c r="FR216" s="128"/>
      <c r="FS216" s="128"/>
      <c r="FT216" s="128"/>
      <c r="FU216" s="128"/>
      <c r="FV216" s="128"/>
      <c r="FW216" s="128"/>
      <c r="FX216" s="128"/>
      <c r="FY216" s="128"/>
      <c r="FZ216" s="128"/>
      <c r="GA216" s="128"/>
      <c r="GB216" s="128"/>
      <c r="GC216" s="128"/>
      <c r="GD216" s="128"/>
      <c r="GE216" s="128"/>
      <c r="GF216" s="128"/>
      <c r="GG216" s="128"/>
      <c r="GH216" s="128"/>
      <c r="GI216" s="128"/>
      <c r="GJ216" s="128"/>
      <c r="GK216" s="128"/>
      <c r="GL216" s="128"/>
      <c r="GM216" s="128"/>
      <c r="GN216" s="128"/>
      <c r="GO216" s="128"/>
      <c r="GP216" s="128"/>
      <c r="GQ216" s="128"/>
      <c r="GR216" s="128"/>
      <c r="GS216" s="128"/>
      <c r="GT216" s="128"/>
      <c r="GU216" s="128"/>
      <c r="GV216" s="128"/>
      <c r="GW216" s="128"/>
      <c r="GX216" s="128"/>
      <c r="GY216" s="128"/>
      <c r="GZ216" s="128"/>
      <c r="HA216" s="128"/>
      <c r="HB216" s="128"/>
      <c r="HC216" s="128"/>
      <c r="HD216" s="128"/>
      <c r="HE216" s="128"/>
      <c r="HF216" s="128"/>
      <c r="HG216" s="128"/>
      <c r="HH216" s="128"/>
      <c r="HI216" s="128"/>
      <c r="HJ216" s="128"/>
      <c r="HK216" s="128"/>
      <c r="HL216" s="128"/>
      <c r="HM216" s="128"/>
      <c r="HN216" s="128"/>
      <c r="HO216" s="128"/>
      <c r="HP216" s="128"/>
      <c r="HQ216" s="128"/>
      <c r="HR216" s="128"/>
      <c r="HS216" s="128"/>
      <c r="HT216" s="128"/>
      <c r="HU216" s="128"/>
      <c r="HV216" s="128"/>
      <c r="HW216" s="128"/>
      <c r="HX216" s="128"/>
      <c r="HY216" s="128"/>
      <c r="HZ216" s="128"/>
      <c r="IA216" s="128"/>
      <c r="IB216" s="128"/>
      <c r="IC216" s="128"/>
      <c r="ID216" s="128"/>
      <c r="IE216" s="128"/>
      <c r="IF216" s="128"/>
      <c r="IG216" s="128"/>
      <c r="IH216" s="128"/>
      <c r="II216" s="128"/>
      <c r="IJ216" s="128"/>
      <c r="IK216" s="128"/>
      <c r="IL216" s="128"/>
      <c r="IM216" s="128"/>
      <c r="IN216" s="128"/>
      <c r="IO216" s="128"/>
      <c r="IP216" s="128"/>
      <c r="IQ216" s="128"/>
      <c r="IR216" s="128"/>
      <c r="IS216" s="128"/>
      <c r="IT216" s="128"/>
      <c r="IU216" s="128"/>
      <c r="IV216" s="128"/>
      <c r="IW216" s="128"/>
      <c r="IX216" s="128"/>
      <c r="IY216" s="128"/>
      <c r="IZ216" s="128"/>
      <c r="JA216" s="128"/>
      <c r="JB216" s="128"/>
      <c r="JC216" s="128"/>
      <c r="JD216" s="128"/>
      <c r="JE216" s="128"/>
      <c r="JF216" s="128"/>
      <c r="JG216" s="128"/>
      <c r="JH216" s="128"/>
      <c r="JI216" s="128"/>
      <c r="JJ216" s="128"/>
      <c r="JK216" s="128"/>
      <c r="JL216" s="128"/>
      <c r="JM216" s="128"/>
      <c r="JN216" s="128"/>
      <c r="JO216" s="128"/>
      <c r="JP216" s="128"/>
      <c r="JQ216" s="128"/>
      <c r="JR216" s="128"/>
      <c r="JS216" s="128"/>
      <c r="JT216" s="128"/>
      <c r="JU216" s="128"/>
      <c r="JV216" s="128"/>
      <c r="JW216" s="128"/>
      <c r="JX216" s="128"/>
      <c r="JY216" s="128"/>
      <c r="JZ216" s="128"/>
      <c r="KA216" s="128"/>
      <c r="KB216" s="128"/>
      <c r="KC216" s="128"/>
      <c r="KD216" s="128"/>
      <c r="KE216" s="128"/>
      <c r="KF216" s="128"/>
      <c r="KG216" s="128"/>
      <c r="KH216" s="128"/>
      <c r="KI216" s="128"/>
      <c r="KJ216" s="128"/>
      <c r="KK216" s="128"/>
      <c r="KL216" s="128"/>
      <c r="KM216" s="128"/>
      <c r="KN216" s="128"/>
      <c r="KO216" s="128"/>
      <c r="KP216" s="128"/>
      <c r="KQ216" s="128"/>
      <c r="KR216" s="128"/>
      <c r="KS216" s="128"/>
      <c r="KT216" s="128"/>
      <c r="KU216" s="128"/>
      <c r="KV216" s="128"/>
      <c r="KW216" s="128"/>
      <c r="KX216" s="128"/>
      <c r="KY216" s="128"/>
      <c r="KZ216" s="128"/>
      <c r="LA216" s="128"/>
      <c r="LB216" s="128"/>
      <c r="LC216" s="128"/>
      <c r="LD216" s="128"/>
      <c r="LE216" s="128"/>
      <c r="LF216" s="128"/>
      <c r="LG216" s="128"/>
      <c r="LH216" s="128"/>
      <c r="LI216" s="128"/>
      <c r="LJ216" s="128"/>
      <c r="LK216" s="128"/>
      <c r="LL216" s="128"/>
      <c r="LM216" s="128"/>
      <c r="LN216" s="128"/>
      <c r="LO216" s="128"/>
      <c r="LP216" s="128"/>
      <c r="LQ216" s="128"/>
      <c r="LR216" s="128"/>
      <c r="LS216" s="128"/>
      <c r="LT216" s="128"/>
      <c r="LU216" s="128"/>
      <c r="LV216" s="128"/>
      <c r="LW216" s="128"/>
      <c r="LX216" s="128"/>
      <c r="LY216" s="128"/>
      <c r="LZ216" s="128"/>
      <c r="MA216" s="128"/>
      <c r="MB216" s="128"/>
      <c r="MC216" s="128"/>
      <c r="MD216" s="128"/>
      <c r="ME216" s="128"/>
      <c r="MF216" s="128"/>
      <c r="MG216" s="128"/>
      <c r="MH216" s="128"/>
      <c r="MI216" s="128"/>
      <c r="MJ216" s="128"/>
      <c r="MK216" s="128"/>
      <c r="ML216" s="128"/>
      <c r="MM216" s="128"/>
      <c r="MN216" s="128"/>
      <c r="MO216" s="128"/>
      <c r="MP216" s="128"/>
      <c r="MQ216" s="128"/>
      <c r="MR216" s="128"/>
      <c r="MS216" s="128"/>
      <c r="MT216" s="128"/>
      <c r="MU216" s="128"/>
      <c r="MV216" s="128"/>
      <c r="MW216" s="128"/>
      <c r="MX216" s="128"/>
      <c r="MY216" s="128"/>
      <c r="MZ216" s="128"/>
      <c r="NA216" s="128"/>
      <c r="NB216" s="128"/>
      <c r="NC216" s="128"/>
      <c r="ND216" s="128"/>
      <c r="NE216" s="128"/>
      <c r="NF216" s="128"/>
      <c r="NG216" s="128"/>
      <c r="NH216" s="128"/>
      <c r="NI216" s="128"/>
      <c r="NJ216" s="128"/>
      <c r="NK216" s="128"/>
      <c r="NL216" s="128"/>
      <c r="NM216" s="128"/>
      <c r="NN216" s="128"/>
      <c r="NO216" s="128"/>
      <c r="NP216" s="128"/>
      <c r="NQ216" s="128"/>
      <c r="NR216" s="128"/>
      <c r="NS216" s="128"/>
      <c r="NT216" s="128"/>
      <c r="NU216" s="128"/>
      <c r="NV216" s="128"/>
      <c r="NW216" s="128"/>
      <c r="NX216" s="128"/>
      <c r="NY216" s="128"/>
      <c r="NZ216" s="128"/>
      <c r="OA216" s="128"/>
      <c r="OB216" s="128"/>
      <c r="OC216" s="128"/>
      <c r="OD216" s="128"/>
      <c r="OE216" s="128"/>
      <c r="OF216" s="128"/>
      <c r="OG216" s="128"/>
      <c r="OH216" s="128"/>
      <c r="OI216" s="128"/>
      <c r="OJ216" s="128"/>
      <c r="OK216" s="128"/>
      <c r="OL216" s="128"/>
      <c r="OM216" s="128"/>
      <c r="ON216" s="128"/>
      <c r="OO216" s="128"/>
      <c r="OP216" s="128"/>
      <c r="OQ216" s="128"/>
      <c r="OR216" s="128"/>
      <c r="OS216" s="128"/>
      <c r="OT216" s="128"/>
      <c r="OU216" s="128"/>
      <c r="OV216" s="128"/>
      <c r="OW216" s="128"/>
      <c r="OX216" s="128"/>
      <c r="OY216" s="128"/>
      <c r="OZ216" s="128"/>
      <c r="PA216" s="128"/>
      <c r="PB216" s="128"/>
      <c r="PC216" s="128"/>
      <c r="PD216" s="128"/>
      <c r="PE216" s="128"/>
      <c r="PF216" s="128"/>
      <c r="PG216" s="128"/>
      <c r="PH216" s="128"/>
      <c r="PI216" s="128"/>
      <c r="PJ216" s="128"/>
      <c r="PK216" s="128"/>
      <c r="PL216" s="128"/>
      <c r="PM216" s="128"/>
      <c r="PN216" s="128"/>
      <c r="PO216" s="128"/>
      <c r="PP216" s="128"/>
      <c r="PQ216" s="128"/>
      <c r="PR216" s="128"/>
      <c r="PS216" s="128"/>
      <c r="PT216" s="128"/>
      <c r="PU216" s="128"/>
      <c r="PV216" s="128"/>
      <c r="PW216" s="128"/>
      <c r="PX216" s="128"/>
      <c r="PY216" s="128"/>
      <c r="PZ216" s="128"/>
      <c r="QA216" s="128"/>
      <c r="QB216" s="128"/>
      <c r="QC216" s="128"/>
      <c r="QD216" s="128"/>
      <c r="QE216" s="128"/>
      <c r="QF216" s="128"/>
      <c r="QG216" s="128"/>
      <c r="QH216" s="128"/>
      <c r="QI216" s="128"/>
      <c r="QJ216" s="128"/>
      <c r="QK216" s="128"/>
      <c r="QL216" s="128"/>
      <c r="QM216" s="128"/>
      <c r="QN216" s="128"/>
      <c r="QO216" s="128"/>
      <c r="QP216" s="128"/>
      <c r="QQ216" s="128"/>
      <c r="QR216" s="128"/>
      <c r="QS216" s="128"/>
      <c r="QT216" s="128"/>
      <c r="QU216" s="128"/>
      <c r="QV216" s="128"/>
      <c r="QW216" s="128"/>
      <c r="QX216" s="128"/>
      <c r="QY216" s="128"/>
      <c r="QZ216" s="128"/>
      <c r="RA216" s="128"/>
      <c r="RB216" s="128"/>
      <c r="RC216" s="128"/>
      <c r="RD216" s="128"/>
      <c r="RE216" s="128"/>
      <c r="RF216" s="128"/>
      <c r="RG216" s="128"/>
      <c r="RH216" s="128"/>
      <c r="RI216" s="128"/>
      <c r="RJ216" s="128"/>
      <c r="RK216" s="128"/>
      <c r="RL216" s="128"/>
      <c r="RM216" s="128"/>
      <c r="RN216" s="128"/>
      <c r="RO216" s="128"/>
      <c r="RP216" s="128"/>
      <c r="RQ216" s="128"/>
      <c r="RR216" s="128"/>
      <c r="RS216" s="128"/>
      <c r="RT216" s="128"/>
      <c r="RU216" s="128"/>
      <c r="RV216" s="128"/>
      <c r="RW216" s="128"/>
      <c r="RX216" s="128"/>
      <c r="RY216" s="128"/>
      <c r="RZ216" s="128"/>
      <c r="SA216" s="128"/>
      <c r="SB216" s="128"/>
      <c r="SC216" s="128"/>
      <c r="SD216" s="128"/>
      <c r="SE216" s="128"/>
      <c r="SF216" s="128"/>
      <c r="SG216" s="128"/>
      <c r="SH216" s="128"/>
      <c r="SI216" s="128"/>
      <c r="SJ216" s="128"/>
      <c r="SK216" s="128"/>
      <c r="SL216" s="128"/>
      <c r="SM216" s="128"/>
      <c r="SN216" s="128"/>
      <c r="SO216" s="128"/>
      <c r="SP216" s="128"/>
      <c r="SQ216" s="128"/>
      <c r="SR216" s="128"/>
      <c r="SS216" s="128"/>
      <c r="ST216" s="128"/>
      <c r="SU216" s="128"/>
      <c r="SV216" s="128"/>
      <c r="SW216" s="128"/>
      <c r="SX216" s="128"/>
      <c r="SY216" s="128"/>
      <c r="SZ216" s="128"/>
      <c r="TA216" s="128"/>
      <c r="TB216" s="128"/>
      <c r="TC216" s="128"/>
      <c r="TD216" s="128"/>
      <c r="TE216" s="128"/>
      <c r="TF216" s="128"/>
      <c r="TG216" s="128"/>
      <c r="TH216" s="128"/>
      <c r="TI216" s="128"/>
      <c r="TJ216" s="128"/>
      <c r="TK216" s="128"/>
      <c r="TL216" s="128"/>
      <c r="TM216" s="128"/>
      <c r="TN216" s="128"/>
      <c r="TO216" s="128"/>
      <c r="TP216" s="128"/>
      <c r="TQ216" s="128"/>
      <c r="TR216" s="128"/>
      <c r="TS216" s="128"/>
      <c r="TT216" s="128"/>
      <c r="TU216" s="128"/>
      <c r="TV216" s="128"/>
      <c r="TW216" s="128"/>
      <c r="TX216" s="128"/>
      <c r="TY216" s="128"/>
      <c r="TZ216" s="128"/>
      <c r="UA216" s="128"/>
      <c r="UB216" s="128"/>
      <c r="UC216" s="128"/>
      <c r="UD216" s="128"/>
      <c r="UE216" s="128"/>
      <c r="UF216" s="128"/>
      <c r="UG216" s="128"/>
      <c r="UH216" s="128"/>
      <c r="UI216" s="128"/>
      <c r="UJ216" s="128"/>
      <c r="UK216" s="128"/>
      <c r="UL216" s="128"/>
      <c r="UM216" s="128"/>
      <c r="UN216" s="128"/>
      <c r="UO216" s="128"/>
      <c r="UP216" s="128"/>
      <c r="UQ216" s="128"/>
      <c r="UR216" s="128"/>
      <c r="US216" s="128"/>
      <c r="UT216" s="128"/>
      <c r="UU216" s="128"/>
      <c r="UV216" s="128"/>
      <c r="UW216" s="128"/>
      <c r="UX216" s="128"/>
      <c r="UY216" s="128"/>
      <c r="UZ216" s="128"/>
      <c r="VA216" s="128"/>
      <c r="VB216" s="128"/>
      <c r="VC216" s="128"/>
      <c r="VD216" s="128"/>
      <c r="VE216" s="128"/>
      <c r="VF216" s="128"/>
      <c r="VG216" s="128"/>
      <c r="VH216" s="128"/>
      <c r="VI216" s="128"/>
      <c r="VJ216" s="128"/>
      <c r="VK216" s="128"/>
      <c r="VL216" s="128"/>
      <c r="VM216" s="128"/>
      <c r="VN216" s="128"/>
      <c r="VO216" s="128"/>
      <c r="VP216" s="128"/>
      <c r="VQ216" s="128"/>
      <c r="VR216" s="128"/>
      <c r="VS216" s="128"/>
      <c r="VT216" s="128"/>
      <c r="VU216" s="128"/>
      <c r="VV216" s="128"/>
      <c r="VW216" s="128"/>
      <c r="VX216" s="128"/>
      <c r="VY216" s="128"/>
      <c r="VZ216" s="128"/>
      <c r="WA216" s="128"/>
      <c r="WB216" s="128"/>
      <c r="WC216" s="128"/>
      <c r="WD216" s="128"/>
      <c r="WE216" s="128"/>
      <c r="WF216" s="128"/>
      <c r="WG216" s="128"/>
      <c r="WH216" s="128"/>
      <c r="WI216" s="128"/>
      <c r="WJ216" s="128"/>
      <c r="WK216" s="128"/>
      <c r="WL216" s="128"/>
      <c r="WM216" s="128"/>
      <c r="WN216" s="128"/>
      <c r="WO216" s="128"/>
      <c r="WP216" s="128"/>
      <c r="WQ216" s="128"/>
      <c r="WR216" s="128"/>
      <c r="WS216" s="128"/>
      <c r="WT216" s="128"/>
      <c r="WU216" s="128"/>
      <c r="WV216" s="128"/>
      <c r="WW216" s="128"/>
      <c r="WX216" s="128"/>
      <c r="WY216" s="128"/>
      <c r="WZ216" s="128"/>
      <c r="XA216" s="128"/>
      <c r="XB216" s="128"/>
      <c r="XC216" s="128"/>
      <c r="XD216" s="128"/>
      <c r="XE216" s="128"/>
      <c r="XF216" s="128"/>
      <c r="XG216" s="128"/>
      <c r="XH216" s="128"/>
      <c r="XI216" s="128"/>
      <c r="XJ216" s="128"/>
      <c r="XK216" s="128"/>
      <c r="XL216" s="128"/>
      <c r="XM216" s="128"/>
      <c r="XN216" s="128"/>
      <c r="XO216" s="128"/>
      <c r="XP216" s="128"/>
      <c r="XQ216" s="128"/>
      <c r="XR216" s="128"/>
      <c r="XS216" s="128"/>
      <c r="XT216" s="128"/>
      <c r="XU216" s="128"/>
      <c r="XV216" s="128"/>
      <c r="XW216" s="128"/>
      <c r="XX216" s="128"/>
      <c r="XY216" s="128"/>
      <c r="XZ216" s="128"/>
      <c r="YA216" s="128"/>
      <c r="YB216" s="128"/>
      <c r="YC216" s="128"/>
      <c r="YD216" s="128"/>
      <c r="YE216" s="128"/>
      <c r="YF216" s="128"/>
      <c r="YG216" s="128"/>
      <c r="YH216" s="128"/>
      <c r="YI216" s="128"/>
      <c r="YJ216" s="128"/>
      <c r="YK216" s="128"/>
      <c r="YL216" s="128"/>
      <c r="YM216" s="128"/>
      <c r="YN216" s="128"/>
      <c r="YO216" s="128"/>
      <c r="YP216" s="128"/>
      <c r="YQ216" s="128"/>
      <c r="YR216" s="128"/>
      <c r="YS216" s="128"/>
      <c r="YT216" s="128"/>
      <c r="YU216" s="128"/>
      <c r="YV216" s="128"/>
      <c r="YW216" s="128"/>
      <c r="YX216" s="128"/>
      <c r="YY216" s="128"/>
      <c r="YZ216" s="128"/>
      <c r="ZA216" s="128"/>
      <c r="ZB216" s="128"/>
      <c r="ZC216" s="128"/>
      <c r="ZD216" s="128"/>
      <c r="ZE216" s="128"/>
      <c r="ZF216" s="128"/>
      <c r="ZG216" s="128"/>
      <c r="ZH216" s="128"/>
      <c r="ZI216" s="128"/>
      <c r="ZJ216" s="128"/>
      <c r="ZK216" s="128"/>
      <c r="ZL216" s="128"/>
      <c r="ZM216" s="128"/>
      <c r="ZN216" s="128"/>
      <c r="ZO216" s="128"/>
      <c r="ZP216" s="128"/>
      <c r="ZQ216" s="128"/>
      <c r="ZR216" s="128"/>
      <c r="ZS216" s="128"/>
      <c r="ZT216" s="128"/>
      <c r="ZU216" s="128"/>
      <c r="ZV216" s="128"/>
      <c r="ZW216" s="128"/>
      <c r="ZX216" s="128"/>
      <c r="ZY216" s="128"/>
      <c r="ZZ216" s="128"/>
      <c r="AAA216" s="128"/>
      <c r="AAB216" s="128"/>
      <c r="AAC216" s="128"/>
      <c r="AAD216" s="128"/>
      <c r="AAE216" s="128"/>
      <c r="AAF216" s="128"/>
      <c r="AAG216" s="128"/>
      <c r="AAH216" s="128"/>
      <c r="AAI216" s="128"/>
      <c r="AAJ216" s="128"/>
      <c r="AAK216" s="128"/>
      <c r="AAL216" s="128"/>
      <c r="AAM216" s="128"/>
      <c r="AAN216" s="128"/>
      <c r="AAO216" s="128"/>
      <c r="AAP216" s="128"/>
      <c r="AAQ216" s="128"/>
      <c r="AAR216" s="128"/>
      <c r="AAS216" s="128"/>
      <c r="AAT216" s="128"/>
      <c r="AAU216" s="128"/>
      <c r="AAV216" s="128"/>
      <c r="AAW216" s="128"/>
      <c r="AAX216" s="128"/>
      <c r="AAY216" s="128"/>
      <c r="AAZ216" s="128"/>
      <c r="ABA216" s="128"/>
      <c r="ABB216" s="128"/>
      <c r="ABC216" s="128"/>
      <c r="ABD216" s="128"/>
      <c r="ABE216" s="128"/>
      <c r="ABF216" s="128"/>
      <c r="ABG216" s="128"/>
      <c r="ABH216" s="128"/>
      <c r="ABI216" s="128"/>
      <c r="ABJ216" s="128"/>
      <c r="ABK216" s="128"/>
      <c r="ABL216" s="128"/>
      <c r="ABM216" s="128"/>
      <c r="ABN216" s="128"/>
      <c r="ABO216" s="128"/>
      <c r="ABP216" s="128"/>
      <c r="ABQ216" s="128"/>
      <c r="ABR216" s="128"/>
      <c r="ABS216" s="128"/>
      <c r="ABT216" s="128"/>
      <c r="ABU216" s="128"/>
      <c r="ABV216" s="128"/>
      <c r="ABW216" s="128"/>
      <c r="ABX216" s="128"/>
      <c r="ABY216" s="128"/>
      <c r="ABZ216" s="128"/>
      <c r="ACA216" s="128"/>
      <c r="ACB216" s="128"/>
      <c r="ACC216" s="128"/>
      <c r="ACD216" s="128"/>
      <c r="ACE216" s="128"/>
      <c r="ACF216" s="128"/>
      <c r="ACG216" s="128"/>
      <c r="ACH216" s="128"/>
      <c r="ACI216" s="128"/>
      <c r="ACJ216" s="128"/>
      <c r="ACK216" s="128"/>
      <c r="ACL216" s="128"/>
      <c r="ACM216" s="128"/>
      <c r="ACN216" s="128"/>
      <c r="ACO216" s="128"/>
      <c r="ACP216" s="128"/>
      <c r="ACQ216" s="128"/>
      <c r="ACR216" s="128"/>
      <c r="ACS216" s="128"/>
      <c r="ACT216" s="128"/>
      <c r="ACU216" s="128"/>
      <c r="ACV216" s="128"/>
      <c r="ACW216" s="128"/>
      <c r="ACX216" s="128"/>
      <c r="ACY216" s="128"/>
      <c r="ACZ216" s="128"/>
      <c r="ADA216" s="128"/>
      <c r="ADB216" s="128"/>
      <c r="ADC216" s="128"/>
      <c r="ADD216" s="128"/>
      <c r="ADE216" s="128"/>
      <c r="ADF216" s="128"/>
      <c r="ADG216" s="128"/>
      <c r="ADH216" s="128"/>
      <c r="ADI216" s="128"/>
      <c r="ADJ216" s="128"/>
      <c r="ADK216" s="128"/>
      <c r="ADL216" s="128"/>
      <c r="ADM216" s="128"/>
      <c r="ADN216" s="128"/>
      <c r="ADO216" s="128"/>
      <c r="ADP216" s="128"/>
      <c r="ADQ216" s="128"/>
      <c r="ADR216" s="128"/>
      <c r="ADS216" s="128"/>
      <c r="ADT216" s="128"/>
      <c r="ADU216" s="128"/>
      <c r="ADV216" s="128"/>
      <c r="ADW216" s="128"/>
      <c r="ADX216" s="128"/>
      <c r="ADY216" s="128"/>
      <c r="ADZ216" s="128"/>
      <c r="AEA216" s="128"/>
      <c r="AEB216" s="128"/>
      <c r="AEC216" s="128"/>
      <c r="AED216" s="128"/>
      <c r="AEE216" s="128"/>
      <c r="AEF216" s="128"/>
      <c r="AEG216" s="128"/>
      <c r="AEH216" s="128"/>
      <c r="AEI216" s="128"/>
      <c r="AEJ216" s="128"/>
      <c r="AEK216" s="128"/>
      <c r="AEL216" s="128"/>
      <c r="AEM216" s="128"/>
      <c r="AEN216" s="128"/>
      <c r="AEO216" s="128"/>
      <c r="AEP216" s="128"/>
      <c r="AEQ216" s="128"/>
      <c r="AER216" s="128"/>
      <c r="AES216" s="128"/>
      <c r="AET216" s="128"/>
      <c r="AEU216" s="128"/>
      <c r="AEV216" s="128"/>
      <c r="AEW216" s="128"/>
      <c r="AEX216" s="128"/>
      <c r="AEY216" s="128"/>
      <c r="AEZ216" s="128"/>
      <c r="AFA216" s="128"/>
      <c r="AFB216" s="128"/>
      <c r="AFC216" s="128"/>
      <c r="AFD216" s="128"/>
      <c r="AFE216" s="128"/>
      <c r="AFF216" s="128"/>
      <c r="AFG216" s="128"/>
      <c r="AFH216" s="128"/>
      <c r="AFI216" s="128"/>
      <c r="AFJ216" s="128"/>
      <c r="AFK216" s="128"/>
      <c r="AFL216" s="128"/>
      <c r="AFM216" s="128"/>
      <c r="AFN216" s="128"/>
      <c r="AFO216" s="128"/>
      <c r="AFP216" s="128"/>
      <c r="AFQ216" s="128"/>
      <c r="AFR216" s="128"/>
      <c r="AFS216" s="128"/>
      <c r="AFT216" s="128"/>
      <c r="AFU216" s="128"/>
      <c r="AFV216" s="128"/>
      <c r="AFW216" s="128"/>
      <c r="AFX216" s="128"/>
      <c r="AFY216" s="128"/>
      <c r="AFZ216" s="128"/>
      <c r="AGA216" s="128"/>
      <c r="AGB216" s="128"/>
      <c r="AGC216" s="128"/>
      <c r="AGD216" s="128"/>
      <c r="AGE216" s="128"/>
      <c r="AGF216" s="128"/>
      <c r="AGG216" s="128"/>
      <c r="AGH216" s="128"/>
      <c r="AGI216" s="128"/>
      <c r="AGJ216" s="128"/>
      <c r="AGK216" s="128"/>
      <c r="AGL216" s="128"/>
      <c r="AGM216" s="128"/>
      <c r="AGN216" s="128"/>
      <c r="AGO216" s="128"/>
      <c r="AGP216" s="128"/>
      <c r="AGQ216" s="128"/>
      <c r="AGR216" s="128"/>
      <c r="AGS216" s="128"/>
      <c r="AGT216" s="128"/>
      <c r="AGU216" s="128"/>
      <c r="AGV216" s="128"/>
      <c r="AGW216" s="128"/>
      <c r="AGX216" s="128"/>
      <c r="AGY216" s="128"/>
      <c r="AGZ216" s="128"/>
      <c r="AHA216" s="128"/>
      <c r="AHB216" s="128"/>
      <c r="AHC216" s="128"/>
      <c r="AHD216" s="128"/>
      <c r="AHE216" s="128"/>
      <c r="AHF216" s="128"/>
      <c r="AHG216" s="128"/>
      <c r="AHH216" s="128"/>
      <c r="AHI216" s="128"/>
      <c r="AHJ216" s="128"/>
      <c r="AHK216" s="128"/>
      <c r="AHL216" s="128"/>
      <c r="AHM216" s="128"/>
      <c r="AHN216" s="128"/>
      <c r="AHO216" s="128"/>
      <c r="AHP216" s="128"/>
      <c r="AHQ216" s="128"/>
      <c r="AHR216" s="128"/>
      <c r="AHS216" s="128"/>
      <c r="AHT216" s="128"/>
      <c r="AHU216" s="128"/>
      <c r="AHV216" s="128"/>
      <c r="AHW216" s="128"/>
      <c r="AHX216" s="128"/>
      <c r="AHY216" s="128"/>
      <c r="AHZ216" s="128"/>
      <c r="AIA216" s="128"/>
      <c r="AIB216" s="128"/>
      <c r="AIC216" s="128"/>
      <c r="AID216" s="128"/>
      <c r="AIE216" s="128"/>
      <c r="AIF216" s="128"/>
      <c r="AIG216" s="128"/>
      <c r="AIH216" s="128"/>
      <c r="AII216" s="128"/>
      <c r="AIJ216" s="128"/>
      <c r="AIK216" s="128"/>
      <c r="AIL216" s="128"/>
      <c r="AIM216" s="128"/>
      <c r="AIN216" s="128"/>
      <c r="AIO216" s="128"/>
      <c r="AIP216" s="128"/>
      <c r="AIQ216" s="128"/>
      <c r="AIR216" s="128"/>
      <c r="AIS216" s="128"/>
      <c r="AIT216" s="128"/>
      <c r="AIU216" s="128"/>
      <c r="AIV216" s="128"/>
      <c r="AIW216" s="128"/>
      <c r="AIX216" s="128"/>
      <c r="AIY216" s="128"/>
      <c r="AIZ216" s="128"/>
      <c r="AJA216" s="128"/>
      <c r="AJB216" s="128"/>
      <c r="AJC216" s="128"/>
      <c r="AJD216" s="128"/>
      <c r="AJE216" s="128"/>
      <c r="AJF216" s="128"/>
      <c r="AJG216" s="128"/>
      <c r="AJH216" s="128"/>
      <c r="AJI216" s="128"/>
      <c r="AJJ216" s="128"/>
      <c r="AJK216" s="128"/>
      <c r="AJL216" s="128"/>
      <c r="AJM216" s="128"/>
      <c r="AJN216" s="128"/>
      <c r="AJO216" s="128"/>
      <c r="AJP216" s="128"/>
      <c r="AJQ216" s="128"/>
      <c r="AJR216" s="128"/>
      <c r="AJS216" s="128"/>
      <c r="AJT216" s="128"/>
      <c r="AJU216" s="128"/>
      <c r="AJV216" s="128"/>
      <c r="AJW216" s="128"/>
      <c r="AJX216" s="128"/>
      <c r="AJY216" s="128"/>
      <c r="AJZ216" s="128"/>
      <c r="AKA216" s="128"/>
      <c r="AKB216" s="128"/>
      <c r="AKC216" s="128"/>
      <c r="AKD216" s="128"/>
      <c r="AKE216" s="128"/>
      <c r="AKF216" s="128"/>
      <c r="AKG216" s="128"/>
      <c r="AKH216" s="128"/>
      <c r="AKI216" s="128"/>
      <c r="AKJ216" s="128"/>
      <c r="AKK216" s="128"/>
      <c r="AKL216" s="128"/>
      <c r="AKM216" s="128"/>
      <c r="AKN216" s="128"/>
      <c r="AKO216" s="128"/>
      <c r="AKP216" s="128"/>
      <c r="AKQ216" s="128"/>
      <c r="AKR216" s="128"/>
      <c r="AKS216" s="128"/>
      <c r="AKT216" s="128"/>
      <c r="AKU216" s="128"/>
      <c r="AKV216" s="128"/>
      <c r="AKW216" s="128"/>
      <c r="AKX216" s="128"/>
      <c r="AKY216" s="128"/>
      <c r="AKZ216" s="128"/>
      <c r="ALA216" s="128"/>
      <c r="ALB216" s="128"/>
      <c r="ALC216" s="128"/>
      <c r="ALD216" s="128"/>
      <c r="ALE216" s="128"/>
      <c r="ALF216" s="128"/>
      <c r="ALG216" s="128"/>
      <c r="ALH216" s="128"/>
      <c r="ALI216" s="128"/>
      <c r="ALJ216" s="128"/>
      <c r="ALK216" s="128"/>
      <c r="ALL216" s="128"/>
      <c r="ALM216" s="128"/>
      <c r="ALN216" s="128"/>
      <c r="ALO216" s="128"/>
      <c r="ALP216" s="128"/>
      <c r="ALQ216" s="128"/>
      <c r="ALR216" s="128"/>
      <c r="ALS216" s="128"/>
      <c r="ALT216" s="128"/>
      <c r="ALU216" s="128"/>
      <c r="ALV216" s="128"/>
      <c r="ALW216" s="128"/>
      <c r="ALX216" s="128"/>
      <c r="ALY216" s="128"/>
      <c r="ALZ216" s="128"/>
      <c r="AMA216"/>
      <c r="AMB216"/>
      <c r="AMC216"/>
      <c r="AMD216"/>
    </row>
    <row r="217" spans="1:1018" s="96" customFormat="1" ht="12" customHeight="1">
      <c r="A217" s="130"/>
      <c r="B217" s="130"/>
      <c r="C217" s="130"/>
      <c r="D217" s="130"/>
      <c r="E217" s="130"/>
      <c r="F217" s="130"/>
      <c r="I217" s="225"/>
      <c r="K217" s="159"/>
      <c r="P217" s="173"/>
      <c r="T217" s="277"/>
      <c r="X217"/>
      <c r="Y217" s="179"/>
      <c r="AA217" s="159"/>
      <c r="AC217"/>
      <c r="AE217" s="128"/>
      <c r="AF217"/>
      <c r="AG217" s="128"/>
      <c r="AH217" s="128"/>
      <c r="AI217" s="128"/>
      <c r="AJ217" s="128"/>
      <c r="AK217" s="128"/>
      <c r="AL217" s="128"/>
      <c r="AM217" s="128"/>
      <c r="AN217" s="128"/>
      <c r="AO217" s="128"/>
      <c r="AP217" s="128"/>
      <c r="AQ217" s="128"/>
      <c r="AR217" s="128"/>
      <c r="AS217" s="128"/>
      <c r="AT217" s="128"/>
      <c r="AU217" s="128"/>
      <c r="AV217" s="128"/>
      <c r="AW217" s="128"/>
      <c r="AX217" s="128"/>
      <c r="AY217" s="128"/>
      <c r="AZ217" s="128"/>
      <c r="BA217" s="128"/>
      <c r="BB217" s="128"/>
      <c r="BC217" s="128"/>
      <c r="BD217" s="128"/>
      <c r="BE217" s="128"/>
      <c r="BF217" s="128"/>
      <c r="BG217" s="128"/>
      <c r="BH217" s="128"/>
      <c r="BI217" s="128"/>
      <c r="BJ217" s="128"/>
      <c r="BK217" s="128"/>
      <c r="BL217" s="128"/>
      <c r="BM217" s="128"/>
      <c r="BN217" s="128"/>
      <c r="BO217" s="128"/>
      <c r="BP217" s="128"/>
      <c r="BQ217" s="128"/>
      <c r="BR217" s="128"/>
      <c r="BS217" s="128"/>
      <c r="BT217" s="128"/>
      <c r="BU217" s="128"/>
      <c r="BV217" s="128"/>
      <c r="BW217" s="128"/>
      <c r="BX217" s="128"/>
      <c r="BY217" s="128"/>
      <c r="BZ217" s="128"/>
      <c r="CA217" s="128"/>
      <c r="CB217" s="128"/>
      <c r="CC217" s="128"/>
      <c r="CD217" s="128"/>
      <c r="CE217" s="128"/>
      <c r="CF217" s="128"/>
      <c r="CG217" s="128"/>
      <c r="CH217" s="128"/>
      <c r="CI217" s="128"/>
      <c r="CJ217" s="128"/>
      <c r="CK217" s="128"/>
      <c r="CL217" s="128"/>
      <c r="CM217" s="128"/>
      <c r="CN217" s="128"/>
      <c r="CO217" s="128"/>
      <c r="CP217" s="128"/>
      <c r="CQ217" s="128"/>
      <c r="CR217" s="128"/>
      <c r="CS217" s="128"/>
      <c r="CT217" s="128"/>
      <c r="CU217" s="128"/>
      <c r="CV217" s="128"/>
      <c r="CW217" s="128"/>
      <c r="CX217" s="128"/>
      <c r="CY217" s="128"/>
      <c r="CZ217" s="128"/>
      <c r="DA217" s="128"/>
      <c r="DB217" s="128"/>
      <c r="DC217" s="128"/>
      <c r="DD217" s="128"/>
      <c r="DE217" s="128"/>
      <c r="DF217" s="128"/>
      <c r="DG217" s="128"/>
      <c r="DH217" s="128"/>
      <c r="DI217" s="128"/>
      <c r="DJ217" s="128"/>
      <c r="DK217" s="128"/>
      <c r="DL217" s="128"/>
      <c r="DM217" s="128"/>
      <c r="DN217" s="128"/>
      <c r="DO217" s="128"/>
      <c r="DP217" s="128"/>
      <c r="DQ217" s="128"/>
      <c r="DR217" s="128"/>
      <c r="DS217" s="128"/>
      <c r="DT217" s="128"/>
      <c r="DU217" s="128"/>
      <c r="DV217" s="128"/>
      <c r="DW217" s="128"/>
      <c r="DX217" s="128"/>
      <c r="DY217" s="128"/>
      <c r="DZ217" s="128"/>
      <c r="EA217" s="128"/>
      <c r="EB217" s="128"/>
      <c r="EC217" s="128"/>
      <c r="ED217" s="128"/>
      <c r="EE217" s="128"/>
      <c r="EF217" s="128"/>
      <c r="EG217" s="128"/>
      <c r="EH217" s="128"/>
      <c r="EI217" s="128"/>
      <c r="EJ217" s="128"/>
      <c r="EK217" s="128"/>
      <c r="EL217" s="128"/>
      <c r="EM217" s="128"/>
      <c r="EN217" s="128"/>
      <c r="EO217" s="128"/>
      <c r="EP217" s="128"/>
      <c r="EQ217" s="128"/>
      <c r="ER217" s="128"/>
      <c r="ES217" s="128"/>
      <c r="ET217" s="128"/>
      <c r="EU217" s="128"/>
      <c r="EV217" s="128"/>
      <c r="EW217" s="128"/>
      <c r="EX217" s="128"/>
      <c r="EY217" s="128"/>
      <c r="EZ217" s="128"/>
      <c r="FA217" s="128"/>
      <c r="FB217" s="128"/>
      <c r="FC217" s="128"/>
      <c r="FD217" s="128"/>
      <c r="FE217" s="128"/>
      <c r="FF217" s="128"/>
      <c r="FG217" s="128"/>
      <c r="FH217" s="128"/>
      <c r="FI217" s="128"/>
      <c r="FJ217" s="128"/>
      <c r="FK217" s="128"/>
      <c r="FL217" s="128"/>
      <c r="FM217" s="128"/>
      <c r="FN217" s="128"/>
      <c r="FO217" s="128"/>
      <c r="FP217" s="128"/>
      <c r="FQ217" s="128"/>
      <c r="FR217" s="128"/>
      <c r="FS217" s="128"/>
      <c r="FT217" s="128"/>
      <c r="FU217" s="128"/>
      <c r="FV217" s="128"/>
      <c r="FW217" s="128"/>
      <c r="FX217" s="128"/>
      <c r="FY217" s="128"/>
      <c r="FZ217" s="128"/>
      <c r="GA217" s="128"/>
      <c r="GB217" s="128"/>
      <c r="GC217" s="128"/>
      <c r="GD217" s="128"/>
      <c r="GE217" s="128"/>
      <c r="GF217" s="128"/>
      <c r="GG217" s="128"/>
      <c r="GH217" s="128"/>
      <c r="GI217" s="128"/>
      <c r="GJ217" s="128"/>
      <c r="GK217" s="128"/>
      <c r="GL217" s="128"/>
      <c r="GM217" s="128"/>
      <c r="GN217" s="128"/>
      <c r="GO217" s="128"/>
      <c r="GP217" s="128"/>
      <c r="GQ217" s="128"/>
      <c r="GR217" s="128"/>
      <c r="GS217" s="128"/>
      <c r="GT217" s="128"/>
      <c r="GU217" s="128"/>
      <c r="GV217" s="128"/>
      <c r="GW217" s="128"/>
      <c r="GX217" s="128"/>
      <c r="GY217" s="128"/>
      <c r="GZ217" s="128"/>
      <c r="HA217" s="128"/>
      <c r="HB217" s="128"/>
      <c r="HC217" s="128"/>
      <c r="HD217" s="128"/>
      <c r="HE217" s="128"/>
      <c r="HF217" s="128"/>
      <c r="HG217" s="128"/>
      <c r="HH217" s="128"/>
      <c r="HI217" s="128"/>
      <c r="HJ217" s="128"/>
      <c r="HK217" s="128"/>
      <c r="HL217" s="128"/>
      <c r="HM217" s="128"/>
      <c r="HN217" s="128"/>
      <c r="HO217" s="128"/>
      <c r="HP217" s="128"/>
      <c r="HQ217" s="128"/>
      <c r="HR217" s="128"/>
      <c r="HS217" s="128"/>
      <c r="HT217" s="128"/>
      <c r="HU217" s="128"/>
      <c r="HV217" s="128"/>
      <c r="HW217" s="128"/>
      <c r="HX217" s="128"/>
      <c r="HY217" s="128"/>
      <c r="HZ217" s="128"/>
      <c r="IA217" s="128"/>
      <c r="IB217" s="128"/>
      <c r="IC217" s="128"/>
      <c r="ID217" s="128"/>
      <c r="IE217" s="128"/>
      <c r="IF217" s="128"/>
      <c r="IG217" s="128"/>
      <c r="IH217" s="128"/>
      <c r="II217" s="128"/>
      <c r="IJ217" s="128"/>
      <c r="IK217" s="128"/>
      <c r="IL217" s="128"/>
      <c r="IM217" s="128"/>
      <c r="IN217" s="128"/>
      <c r="IO217" s="128"/>
      <c r="IP217" s="128"/>
      <c r="IQ217" s="128"/>
      <c r="IR217" s="128"/>
      <c r="IS217" s="128"/>
      <c r="IT217" s="128"/>
      <c r="IU217" s="128"/>
      <c r="IV217" s="128"/>
      <c r="IW217" s="128"/>
      <c r="IX217" s="128"/>
      <c r="IY217" s="128"/>
      <c r="IZ217" s="128"/>
      <c r="JA217" s="128"/>
      <c r="JB217" s="128"/>
      <c r="JC217" s="128"/>
      <c r="JD217" s="128"/>
      <c r="JE217" s="128"/>
      <c r="JF217" s="128"/>
      <c r="JG217" s="128"/>
      <c r="JH217" s="128"/>
      <c r="JI217" s="128"/>
      <c r="JJ217" s="128"/>
      <c r="JK217" s="128"/>
      <c r="JL217" s="128"/>
      <c r="JM217" s="128"/>
      <c r="JN217" s="128"/>
      <c r="JO217" s="128"/>
      <c r="JP217" s="128"/>
      <c r="JQ217" s="128"/>
      <c r="JR217" s="128"/>
      <c r="JS217" s="128"/>
      <c r="JT217" s="128"/>
      <c r="JU217" s="128"/>
      <c r="JV217" s="128"/>
      <c r="JW217" s="128"/>
      <c r="JX217" s="128"/>
      <c r="JY217" s="128"/>
      <c r="JZ217" s="128"/>
      <c r="KA217" s="128"/>
      <c r="KB217" s="128"/>
      <c r="KC217" s="128"/>
      <c r="KD217" s="128"/>
      <c r="KE217" s="128"/>
      <c r="KF217" s="128"/>
      <c r="KG217" s="128"/>
      <c r="KH217" s="128"/>
      <c r="KI217" s="128"/>
      <c r="KJ217" s="128"/>
      <c r="KK217" s="128"/>
      <c r="KL217" s="128"/>
      <c r="KM217" s="128"/>
      <c r="KN217" s="128"/>
      <c r="KO217" s="128"/>
      <c r="KP217" s="128"/>
      <c r="KQ217" s="128"/>
      <c r="KR217" s="128"/>
      <c r="KS217" s="128"/>
      <c r="KT217" s="128"/>
      <c r="KU217" s="128"/>
      <c r="KV217" s="128"/>
      <c r="KW217" s="128"/>
      <c r="KX217" s="128"/>
      <c r="KY217" s="128"/>
      <c r="KZ217" s="128"/>
      <c r="LA217" s="128"/>
      <c r="LB217" s="128"/>
      <c r="LC217" s="128"/>
      <c r="LD217" s="128"/>
      <c r="LE217" s="128"/>
      <c r="LF217" s="128"/>
      <c r="LG217" s="128"/>
      <c r="LH217" s="128"/>
      <c r="LI217" s="128"/>
      <c r="LJ217" s="128"/>
      <c r="LK217" s="128"/>
      <c r="LL217" s="128"/>
      <c r="LM217" s="128"/>
      <c r="LN217" s="128"/>
      <c r="LO217" s="128"/>
      <c r="LP217" s="128"/>
      <c r="LQ217" s="128"/>
      <c r="LR217" s="128"/>
      <c r="LS217" s="128"/>
      <c r="LT217" s="128"/>
      <c r="LU217" s="128"/>
      <c r="LV217" s="128"/>
      <c r="LW217" s="128"/>
      <c r="LX217" s="128"/>
      <c r="LY217" s="128"/>
      <c r="LZ217" s="128"/>
      <c r="MA217" s="128"/>
      <c r="MB217" s="128"/>
      <c r="MC217" s="128"/>
      <c r="MD217" s="128"/>
      <c r="ME217" s="128"/>
      <c r="MF217" s="128"/>
      <c r="MG217" s="128"/>
      <c r="MH217" s="128"/>
      <c r="MI217" s="128"/>
      <c r="MJ217" s="128"/>
      <c r="MK217" s="128"/>
      <c r="ML217" s="128"/>
      <c r="MM217" s="128"/>
      <c r="MN217" s="128"/>
      <c r="MO217" s="128"/>
      <c r="MP217" s="128"/>
      <c r="MQ217" s="128"/>
      <c r="MR217" s="128"/>
      <c r="MS217" s="128"/>
      <c r="MT217" s="128"/>
      <c r="MU217" s="128"/>
      <c r="MV217" s="128"/>
      <c r="MW217" s="128"/>
      <c r="MX217" s="128"/>
      <c r="MY217" s="128"/>
      <c r="MZ217" s="128"/>
      <c r="NA217" s="128"/>
      <c r="NB217" s="128"/>
      <c r="NC217" s="128"/>
      <c r="ND217" s="128"/>
      <c r="NE217" s="128"/>
      <c r="NF217" s="128"/>
      <c r="NG217" s="128"/>
      <c r="NH217" s="128"/>
      <c r="NI217" s="128"/>
      <c r="NJ217" s="128"/>
      <c r="NK217" s="128"/>
      <c r="NL217" s="128"/>
      <c r="NM217" s="128"/>
      <c r="NN217" s="128"/>
      <c r="NO217" s="128"/>
      <c r="NP217" s="128"/>
      <c r="NQ217" s="128"/>
      <c r="NR217" s="128"/>
      <c r="NS217" s="128"/>
      <c r="NT217" s="128"/>
      <c r="NU217" s="128"/>
      <c r="NV217" s="128"/>
      <c r="NW217" s="128"/>
      <c r="NX217" s="128"/>
      <c r="NY217" s="128"/>
      <c r="NZ217" s="128"/>
      <c r="OA217" s="128"/>
      <c r="OB217" s="128"/>
      <c r="OC217" s="128"/>
      <c r="OD217" s="128"/>
      <c r="OE217" s="128"/>
      <c r="OF217" s="128"/>
      <c r="OG217" s="128"/>
      <c r="OH217" s="128"/>
      <c r="OI217" s="128"/>
      <c r="OJ217" s="128"/>
      <c r="OK217" s="128"/>
      <c r="OL217" s="128"/>
      <c r="OM217" s="128"/>
      <c r="ON217" s="128"/>
      <c r="OO217" s="128"/>
      <c r="OP217" s="128"/>
      <c r="OQ217" s="128"/>
      <c r="OR217" s="128"/>
      <c r="OS217" s="128"/>
      <c r="OT217" s="128"/>
      <c r="OU217" s="128"/>
      <c r="OV217" s="128"/>
      <c r="OW217" s="128"/>
      <c r="OX217" s="128"/>
      <c r="OY217" s="128"/>
      <c r="OZ217" s="128"/>
      <c r="PA217" s="128"/>
      <c r="PB217" s="128"/>
      <c r="PC217" s="128"/>
      <c r="PD217" s="128"/>
      <c r="PE217" s="128"/>
      <c r="PF217" s="128"/>
      <c r="PG217" s="128"/>
      <c r="PH217" s="128"/>
      <c r="PI217" s="128"/>
      <c r="PJ217" s="128"/>
      <c r="PK217" s="128"/>
      <c r="PL217" s="128"/>
      <c r="PM217" s="128"/>
      <c r="PN217" s="128"/>
      <c r="PO217" s="128"/>
      <c r="PP217" s="128"/>
      <c r="PQ217" s="128"/>
      <c r="PR217" s="128"/>
      <c r="PS217" s="128"/>
      <c r="PT217" s="128"/>
      <c r="PU217" s="128"/>
      <c r="PV217" s="128"/>
      <c r="PW217" s="128"/>
      <c r="PX217" s="128"/>
      <c r="PY217" s="128"/>
      <c r="PZ217" s="128"/>
      <c r="QA217" s="128"/>
      <c r="QB217" s="128"/>
      <c r="QC217" s="128"/>
      <c r="QD217" s="128"/>
      <c r="QE217" s="128"/>
      <c r="QF217" s="128"/>
      <c r="QG217" s="128"/>
      <c r="QH217" s="128"/>
      <c r="QI217" s="128"/>
      <c r="QJ217" s="128"/>
      <c r="QK217" s="128"/>
      <c r="QL217" s="128"/>
      <c r="QM217" s="128"/>
      <c r="QN217" s="128"/>
      <c r="QO217" s="128"/>
      <c r="QP217" s="128"/>
      <c r="QQ217" s="128"/>
      <c r="QR217" s="128"/>
      <c r="QS217" s="128"/>
      <c r="QT217" s="128"/>
      <c r="QU217" s="128"/>
      <c r="QV217" s="128"/>
      <c r="QW217" s="128"/>
      <c r="QX217" s="128"/>
      <c r="QY217" s="128"/>
      <c r="QZ217" s="128"/>
      <c r="RA217" s="128"/>
      <c r="RB217" s="128"/>
      <c r="RC217" s="128"/>
      <c r="RD217" s="128"/>
      <c r="RE217" s="128"/>
      <c r="RF217" s="128"/>
      <c r="RG217" s="128"/>
      <c r="RH217" s="128"/>
      <c r="RI217" s="128"/>
      <c r="RJ217" s="128"/>
      <c r="RK217" s="128"/>
      <c r="RL217" s="128"/>
      <c r="RM217" s="128"/>
      <c r="RN217" s="128"/>
      <c r="RO217" s="128"/>
      <c r="RP217" s="128"/>
      <c r="RQ217" s="128"/>
      <c r="RR217" s="128"/>
      <c r="RS217" s="128"/>
      <c r="RT217" s="128"/>
      <c r="RU217" s="128"/>
      <c r="RV217" s="128"/>
      <c r="RW217" s="128"/>
      <c r="RX217" s="128"/>
      <c r="RY217" s="128"/>
      <c r="RZ217" s="128"/>
      <c r="SA217" s="128"/>
      <c r="SB217" s="128"/>
      <c r="SC217" s="128"/>
      <c r="SD217" s="128"/>
      <c r="SE217" s="128"/>
      <c r="SF217" s="128"/>
      <c r="SG217" s="128"/>
      <c r="SH217" s="128"/>
      <c r="SI217" s="128"/>
      <c r="SJ217" s="128"/>
      <c r="SK217" s="128"/>
      <c r="SL217" s="128"/>
      <c r="SM217" s="128"/>
      <c r="SN217" s="128"/>
      <c r="SO217" s="128"/>
      <c r="SP217" s="128"/>
      <c r="SQ217" s="128"/>
      <c r="SR217" s="128"/>
      <c r="SS217" s="128"/>
      <c r="ST217" s="128"/>
      <c r="SU217" s="128"/>
      <c r="SV217" s="128"/>
      <c r="SW217" s="128"/>
      <c r="SX217" s="128"/>
      <c r="SY217" s="128"/>
      <c r="SZ217" s="128"/>
      <c r="TA217" s="128"/>
      <c r="TB217" s="128"/>
      <c r="TC217" s="128"/>
      <c r="TD217" s="128"/>
      <c r="TE217" s="128"/>
      <c r="TF217" s="128"/>
      <c r="TG217" s="128"/>
      <c r="TH217" s="128"/>
      <c r="TI217" s="128"/>
      <c r="TJ217" s="128"/>
      <c r="TK217" s="128"/>
      <c r="TL217" s="128"/>
      <c r="TM217" s="128"/>
      <c r="TN217" s="128"/>
      <c r="TO217" s="128"/>
      <c r="TP217" s="128"/>
      <c r="TQ217" s="128"/>
      <c r="TR217" s="128"/>
      <c r="TS217" s="128"/>
      <c r="TT217" s="128"/>
      <c r="TU217" s="128"/>
      <c r="TV217" s="128"/>
      <c r="TW217" s="128"/>
      <c r="TX217" s="128"/>
      <c r="TY217" s="128"/>
      <c r="TZ217" s="128"/>
      <c r="UA217" s="128"/>
      <c r="UB217" s="128"/>
      <c r="UC217" s="128"/>
      <c r="UD217" s="128"/>
      <c r="UE217" s="128"/>
      <c r="UF217" s="128"/>
      <c r="UG217" s="128"/>
      <c r="UH217" s="128"/>
      <c r="UI217" s="128"/>
      <c r="UJ217" s="128"/>
      <c r="UK217" s="128"/>
      <c r="UL217" s="128"/>
      <c r="UM217" s="128"/>
      <c r="UN217" s="128"/>
      <c r="UO217" s="128"/>
      <c r="UP217" s="128"/>
      <c r="UQ217" s="128"/>
      <c r="UR217" s="128"/>
      <c r="US217" s="128"/>
      <c r="UT217" s="128"/>
      <c r="UU217" s="128"/>
      <c r="UV217" s="128"/>
      <c r="UW217" s="128"/>
      <c r="UX217" s="128"/>
      <c r="UY217" s="128"/>
      <c r="UZ217" s="128"/>
      <c r="VA217" s="128"/>
      <c r="VB217" s="128"/>
      <c r="VC217" s="128"/>
      <c r="VD217" s="128"/>
      <c r="VE217" s="128"/>
      <c r="VF217" s="128"/>
      <c r="VG217" s="128"/>
      <c r="VH217" s="128"/>
      <c r="VI217" s="128"/>
      <c r="VJ217" s="128"/>
      <c r="VK217" s="128"/>
      <c r="VL217" s="128"/>
      <c r="VM217" s="128"/>
      <c r="VN217" s="128"/>
      <c r="VO217" s="128"/>
      <c r="VP217" s="128"/>
      <c r="VQ217" s="128"/>
      <c r="VR217" s="128"/>
      <c r="VS217" s="128"/>
      <c r="VT217" s="128"/>
      <c r="VU217" s="128"/>
      <c r="VV217" s="128"/>
      <c r="VW217" s="128"/>
      <c r="VX217" s="128"/>
      <c r="VY217" s="128"/>
      <c r="VZ217" s="128"/>
      <c r="WA217" s="128"/>
      <c r="WB217" s="128"/>
      <c r="WC217" s="128"/>
      <c r="WD217" s="128"/>
      <c r="WE217" s="128"/>
      <c r="WF217" s="128"/>
      <c r="WG217" s="128"/>
      <c r="WH217" s="128"/>
      <c r="WI217" s="128"/>
      <c r="WJ217" s="128"/>
      <c r="WK217" s="128"/>
      <c r="WL217" s="128"/>
      <c r="WM217" s="128"/>
      <c r="WN217" s="128"/>
      <c r="WO217" s="128"/>
      <c r="WP217" s="128"/>
      <c r="WQ217" s="128"/>
      <c r="WR217" s="128"/>
      <c r="WS217" s="128"/>
      <c r="WT217" s="128"/>
      <c r="WU217" s="128"/>
      <c r="WV217" s="128"/>
      <c r="WW217" s="128"/>
      <c r="WX217" s="128"/>
      <c r="WY217" s="128"/>
      <c r="WZ217" s="128"/>
      <c r="XA217" s="128"/>
      <c r="XB217" s="128"/>
      <c r="XC217" s="128"/>
      <c r="XD217" s="128"/>
      <c r="XE217" s="128"/>
      <c r="XF217" s="128"/>
      <c r="XG217" s="128"/>
      <c r="XH217" s="128"/>
      <c r="XI217" s="128"/>
      <c r="XJ217" s="128"/>
      <c r="XK217" s="128"/>
      <c r="XL217" s="128"/>
      <c r="XM217" s="128"/>
      <c r="XN217" s="128"/>
      <c r="XO217" s="128"/>
      <c r="XP217" s="128"/>
      <c r="XQ217" s="128"/>
      <c r="XR217" s="128"/>
      <c r="XS217" s="128"/>
      <c r="XT217" s="128"/>
      <c r="XU217" s="128"/>
      <c r="XV217" s="128"/>
      <c r="XW217" s="128"/>
      <c r="XX217" s="128"/>
      <c r="XY217" s="128"/>
      <c r="XZ217" s="128"/>
      <c r="YA217" s="128"/>
      <c r="YB217" s="128"/>
      <c r="YC217" s="128"/>
      <c r="YD217" s="128"/>
      <c r="YE217" s="128"/>
      <c r="YF217" s="128"/>
      <c r="YG217" s="128"/>
      <c r="YH217" s="128"/>
      <c r="YI217" s="128"/>
      <c r="YJ217" s="128"/>
      <c r="YK217" s="128"/>
      <c r="YL217" s="128"/>
      <c r="YM217" s="128"/>
      <c r="YN217" s="128"/>
      <c r="YO217" s="128"/>
      <c r="YP217" s="128"/>
      <c r="YQ217" s="128"/>
      <c r="YR217" s="128"/>
      <c r="YS217" s="128"/>
      <c r="YT217" s="128"/>
      <c r="YU217" s="128"/>
      <c r="YV217" s="128"/>
      <c r="YW217" s="128"/>
      <c r="YX217" s="128"/>
      <c r="YY217" s="128"/>
      <c r="YZ217" s="128"/>
      <c r="ZA217" s="128"/>
      <c r="ZB217" s="128"/>
      <c r="ZC217" s="128"/>
      <c r="ZD217" s="128"/>
      <c r="ZE217" s="128"/>
      <c r="ZF217" s="128"/>
      <c r="ZG217" s="128"/>
      <c r="ZH217" s="128"/>
      <c r="ZI217" s="128"/>
      <c r="ZJ217" s="128"/>
      <c r="ZK217" s="128"/>
      <c r="ZL217" s="128"/>
      <c r="ZM217" s="128"/>
      <c r="ZN217" s="128"/>
      <c r="ZO217" s="128"/>
      <c r="ZP217" s="128"/>
      <c r="ZQ217" s="128"/>
      <c r="ZR217" s="128"/>
      <c r="ZS217" s="128"/>
      <c r="ZT217" s="128"/>
      <c r="ZU217" s="128"/>
      <c r="ZV217" s="128"/>
      <c r="ZW217" s="128"/>
      <c r="ZX217" s="128"/>
      <c r="ZY217" s="128"/>
      <c r="ZZ217" s="128"/>
      <c r="AAA217" s="128"/>
      <c r="AAB217" s="128"/>
      <c r="AAC217" s="128"/>
      <c r="AAD217" s="128"/>
      <c r="AAE217" s="128"/>
      <c r="AAF217" s="128"/>
      <c r="AAG217" s="128"/>
      <c r="AAH217" s="128"/>
      <c r="AAI217" s="128"/>
      <c r="AAJ217" s="128"/>
      <c r="AAK217" s="128"/>
      <c r="AAL217" s="128"/>
      <c r="AAM217" s="128"/>
      <c r="AAN217" s="128"/>
      <c r="AAO217" s="128"/>
      <c r="AAP217" s="128"/>
      <c r="AAQ217" s="128"/>
      <c r="AAR217" s="128"/>
      <c r="AAS217" s="128"/>
      <c r="AAT217" s="128"/>
      <c r="AAU217" s="128"/>
      <c r="AAV217" s="128"/>
      <c r="AAW217" s="128"/>
      <c r="AAX217" s="128"/>
      <c r="AAY217" s="128"/>
      <c r="AAZ217" s="128"/>
      <c r="ABA217" s="128"/>
      <c r="ABB217" s="128"/>
      <c r="ABC217" s="128"/>
      <c r="ABD217" s="128"/>
      <c r="ABE217" s="128"/>
      <c r="ABF217" s="128"/>
      <c r="ABG217" s="128"/>
      <c r="ABH217" s="128"/>
      <c r="ABI217" s="128"/>
      <c r="ABJ217" s="128"/>
      <c r="ABK217" s="128"/>
      <c r="ABL217" s="128"/>
      <c r="ABM217" s="128"/>
      <c r="ABN217" s="128"/>
      <c r="ABO217" s="128"/>
      <c r="ABP217" s="128"/>
      <c r="ABQ217" s="128"/>
      <c r="ABR217" s="128"/>
      <c r="ABS217" s="128"/>
      <c r="ABT217" s="128"/>
      <c r="ABU217" s="128"/>
      <c r="ABV217" s="128"/>
      <c r="ABW217" s="128"/>
      <c r="ABX217" s="128"/>
      <c r="ABY217" s="128"/>
      <c r="ABZ217" s="128"/>
      <c r="ACA217" s="128"/>
      <c r="ACB217" s="128"/>
      <c r="ACC217" s="128"/>
      <c r="ACD217" s="128"/>
      <c r="ACE217" s="128"/>
      <c r="ACF217" s="128"/>
      <c r="ACG217" s="128"/>
      <c r="ACH217" s="128"/>
      <c r="ACI217" s="128"/>
      <c r="ACJ217" s="128"/>
      <c r="ACK217" s="128"/>
      <c r="ACL217" s="128"/>
      <c r="ACM217" s="128"/>
      <c r="ACN217" s="128"/>
      <c r="ACO217" s="128"/>
      <c r="ACP217" s="128"/>
      <c r="ACQ217" s="128"/>
      <c r="ACR217" s="128"/>
      <c r="ACS217" s="128"/>
      <c r="ACT217" s="128"/>
      <c r="ACU217" s="128"/>
      <c r="ACV217" s="128"/>
      <c r="ACW217" s="128"/>
      <c r="ACX217" s="128"/>
      <c r="ACY217" s="128"/>
      <c r="ACZ217" s="128"/>
      <c r="ADA217" s="128"/>
      <c r="ADB217" s="128"/>
      <c r="ADC217" s="128"/>
      <c r="ADD217" s="128"/>
      <c r="ADE217" s="128"/>
      <c r="ADF217" s="128"/>
      <c r="ADG217" s="128"/>
      <c r="ADH217" s="128"/>
      <c r="ADI217" s="128"/>
      <c r="ADJ217" s="128"/>
      <c r="ADK217" s="128"/>
      <c r="ADL217" s="128"/>
      <c r="ADM217" s="128"/>
      <c r="ADN217" s="128"/>
      <c r="ADO217" s="128"/>
      <c r="ADP217" s="128"/>
      <c r="ADQ217" s="128"/>
      <c r="ADR217" s="128"/>
      <c r="ADS217" s="128"/>
      <c r="ADT217" s="128"/>
      <c r="ADU217" s="128"/>
      <c r="ADV217" s="128"/>
      <c r="ADW217" s="128"/>
      <c r="ADX217" s="128"/>
      <c r="ADY217" s="128"/>
      <c r="ADZ217" s="128"/>
      <c r="AEA217" s="128"/>
      <c r="AEB217" s="128"/>
      <c r="AEC217" s="128"/>
      <c r="AED217" s="128"/>
      <c r="AEE217" s="128"/>
      <c r="AEF217" s="128"/>
      <c r="AEG217" s="128"/>
      <c r="AEH217" s="128"/>
      <c r="AEI217" s="128"/>
      <c r="AEJ217" s="128"/>
      <c r="AEK217" s="128"/>
      <c r="AEL217" s="128"/>
      <c r="AEM217" s="128"/>
      <c r="AEN217" s="128"/>
      <c r="AEO217" s="128"/>
      <c r="AEP217" s="128"/>
      <c r="AEQ217" s="128"/>
      <c r="AER217" s="128"/>
      <c r="AES217" s="128"/>
      <c r="AET217" s="128"/>
      <c r="AEU217" s="128"/>
      <c r="AEV217" s="128"/>
      <c r="AEW217" s="128"/>
      <c r="AEX217" s="128"/>
      <c r="AEY217" s="128"/>
      <c r="AEZ217" s="128"/>
      <c r="AFA217" s="128"/>
      <c r="AFB217" s="128"/>
      <c r="AFC217" s="128"/>
      <c r="AFD217" s="128"/>
      <c r="AFE217" s="128"/>
      <c r="AFF217" s="128"/>
      <c r="AFG217" s="128"/>
      <c r="AFH217" s="128"/>
      <c r="AFI217" s="128"/>
      <c r="AFJ217" s="128"/>
      <c r="AFK217" s="128"/>
      <c r="AFL217" s="128"/>
      <c r="AFM217" s="128"/>
      <c r="AFN217" s="128"/>
      <c r="AFO217" s="128"/>
      <c r="AFP217" s="128"/>
      <c r="AFQ217" s="128"/>
      <c r="AFR217" s="128"/>
      <c r="AFS217" s="128"/>
      <c r="AFT217" s="128"/>
      <c r="AFU217" s="128"/>
      <c r="AFV217" s="128"/>
      <c r="AFW217" s="128"/>
      <c r="AFX217" s="128"/>
      <c r="AFY217" s="128"/>
      <c r="AFZ217" s="128"/>
      <c r="AGA217" s="128"/>
      <c r="AGB217" s="128"/>
      <c r="AGC217" s="128"/>
      <c r="AGD217" s="128"/>
      <c r="AGE217" s="128"/>
      <c r="AGF217" s="128"/>
      <c r="AGG217" s="128"/>
      <c r="AGH217" s="128"/>
      <c r="AGI217" s="128"/>
      <c r="AGJ217" s="128"/>
      <c r="AGK217" s="128"/>
      <c r="AGL217" s="128"/>
      <c r="AGM217" s="128"/>
      <c r="AGN217" s="128"/>
      <c r="AGO217" s="128"/>
      <c r="AGP217" s="128"/>
      <c r="AGQ217" s="128"/>
      <c r="AGR217" s="128"/>
      <c r="AGS217" s="128"/>
      <c r="AGT217" s="128"/>
      <c r="AGU217" s="128"/>
      <c r="AGV217" s="128"/>
      <c r="AGW217" s="128"/>
      <c r="AGX217" s="128"/>
      <c r="AGY217" s="128"/>
      <c r="AGZ217" s="128"/>
      <c r="AHA217" s="128"/>
      <c r="AHB217" s="128"/>
      <c r="AHC217" s="128"/>
      <c r="AHD217" s="128"/>
      <c r="AHE217" s="128"/>
      <c r="AHF217" s="128"/>
      <c r="AHG217" s="128"/>
      <c r="AHH217" s="128"/>
      <c r="AHI217" s="128"/>
      <c r="AHJ217" s="128"/>
      <c r="AHK217" s="128"/>
      <c r="AHL217" s="128"/>
      <c r="AHM217" s="128"/>
      <c r="AHN217" s="128"/>
      <c r="AHO217" s="128"/>
      <c r="AHP217" s="128"/>
      <c r="AHQ217" s="128"/>
      <c r="AHR217" s="128"/>
      <c r="AHS217" s="128"/>
      <c r="AHT217" s="128"/>
      <c r="AHU217" s="128"/>
      <c r="AHV217" s="128"/>
      <c r="AHW217" s="128"/>
      <c r="AHX217" s="128"/>
      <c r="AHY217" s="128"/>
      <c r="AHZ217" s="128"/>
      <c r="AIA217" s="128"/>
      <c r="AIB217" s="128"/>
      <c r="AIC217" s="128"/>
      <c r="AID217" s="128"/>
      <c r="AIE217" s="128"/>
      <c r="AIF217" s="128"/>
      <c r="AIG217" s="128"/>
      <c r="AIH217" s="128"/>
      <c r="AII217" s="128"/>
      <c r="AIJ217" s="128"/>
      <c r="AIK217" s="128"/>
      <c r="AIL217" s="128"/>
      <c r="AIM217" s="128"/>
      <c r="AIN217" s="128"/>
      <c r="AIO217" s="128"/>
      <c r="AIP217" s="128"/>
      <c r="AIQ217" s="128"/>
      <c r="AIR217" s="128"/>
      <c r="AIS217" s="128"/>
      <c r="AIT217" s="128"/>
      <c r="AIU217" s="128"/>
      <c r="AIV217" s="128"/>
      <c r="AIW217" s="128"/>
      <c r="AIX217" s="128"/>
      <c r="AIY217" s="128"/>
      <c r="AIZ217" s="128"/>
      <c r="AJA217" s="128"/>
      <c r="AJB217" s="128"/>
      <c r="AJC217" s="128"/>
      <c r="AJD217" s="128"/>
      <c r="AJE217" s="128"/>
      <c r="AJF217" s="128"/>
      <c r="AJG217" s="128"/>
      <c r="AJH217" s="128"/>
      <c r="AJI217" s="128"/>
      <c r="AJJ217" s="128"/>
      <c r="AJK217" s="128"/>
      <c r="AJL217" s="128"/>
      <c r="AJM217" s="128"/>
      <c r="AJN217" s="128"/>
      <c r="AJO217" s="128"/>
      <c r="AJP217" s="128"/>
      <c r="AJQ217" s="128"/>
      <c r="AJR217" s="128"/>
      <c r="AJS217" s="128"/>
      <c r="AJT217" s="128"/>
      <c r="AJU217" s="128"/>
      <c r="AJV217" s="128"/>
      <c r="AJW217" s="128"/>
      <c r="AJX217" s="128"/>
      <c r="AJY217" s="128"/>
      <c r="AJZ217" s="128"/>
      <c r="AKA217" s="128"/>
      <c r="AKB217" s="128"/>
      <c r="AKC217" s="128"/>
      <c r="AKD217" s="128"/>
      <c r="AKE217" s="128"/>
      <c r="AKF217" s="128"/>
      <c r="AKG217" s="128"/>
      <c r="AKH217" s="128"/>
      <c r="AKI217" s="128"/>
      <c r="AKJ217" s="128"/>
      <c r="AKK217" s="128"/>
      <c r="AKL217" s="128"/>
      <c r="AKM217" s="128"/>
      <c r="AKN217" s="128"/>
      <c r="AKO217" s="128"/>
      <c r="AKP217" s="128"/>
      <c r="AKQ217" s="128"/>
      <c r="AKR217" s="128"/>
      <c r="AKS217" s="128"/>
      <c r="AKT217" s="128"/>
      <c r="AKU217" s="128"/>
      <c r="AKV217" s="128"/>
      <c r="AKW217" s="128"/>
      <c r="AKX217" s="128"/>
      <c r="AKY217" s="128"/>
      <c r="AKZ217" s="128"/>
      <c r="ALA217" s="128"/>
      <c r="ALB217" s="128"/>
      <c r="ALC217" s="128"/>
      <c r="ALD217" s="128"/>
      <c r="ALE217" s="128"/>
      <c r="ALF217" s="128"/>
      <c r="ALG217" s="128"/>
      <c r="ALH217" s="128"/>
      <c r="ALI217" s="128"/>
      <c r="ALJ217" s="128"/>
      <c r="ALK217" s="128"/>
      <c r="ALL217" s="128"/>
      <c r="ALM217" s="128"/>
      <c r="ALN217" s="128"/>
      <c r="ALO217" s="128"/>
      <c r="ALP217" s="128"/>
      <c r="ALQ217" s="128"/>
      <c r="ALR217" s="128"/>
      <c r="ALS217" s="128"/>
      <c r="ALT217" s="128"/>
      <c r="ALU217" s="128"/>
      <c r="ALV217" s="128"/>
      <c r="ALW217" s="128"/>
      <c r="ALX217" s="128"/>
      <c r="ALY217" s="128"/>
      <c r="ALZ217" s="128"/>
      <c r="AMA217"/>
      <c r="AMB217"/>
      <c r="AMC217"/>
      <c r="AMD217"/>
    </row>
    <row r="218" spans="1:1018" s="96" customFormat="1" ht="12" customHeight="1">
      <c r="A218" s="130"/>
      <c r="B218" s="130"/>
      <c r="C218" s="130"/>
      <c r="D218" s="130"/>
      <c r="E218" s="130"/>
      <c r="F218" s="130"/>
      <c r="I218" s="225"/>
      <c r="K218" s="159"/>
      <c r="P218" s="173"/>
      <c r="T218" s="277"/>
      <c r="X218"/>
      <c r="Y218" s="179"/>
      <c r="AA218" s="159"/>
      <c r="AC218"/>
      <c r="AE218" s="128"/>
      <c r="AF218"/>
      <c r="AG218" s="128"/>
      <c r="AH218" s="128"/>
      <c r="AI218" s="128"/>
      <c r="AJ218" s="128"/>
      <c r="AK218" s="128"/>
      <c r="AL218" s="128"/>
      <c r="AM218" s="128"/>
      <c r="AN218" s="128"/>
      <c r="AO218" s="128"/>
      <c r="AP218" s="128"/>
      <c r="AQ218" s="128"/>
      <c r="AR218" s="128"/>
      <c r="AS218" s="128"/>
      <c r="AT218" s="128"/>
      <c r="AU218" s="128"/>
      <c r="AV218" s="128"/>
      <c r="AW218" s="128"/>
      <c r="AX218" s="128"/>
      <c r="AY218" s="128"/>
      <c r="AZ218" s="128"/>
      <c r="BA218" s="128"/>
      <c r="BB218" s="128"/>
      <c r="BC218" s="128"/>
      <c r="BD218" s="128"/>
      <c r="BE218" s="128"/>
      <c r="BF218" s="128"/>
      <c r="BG218" s="128"/>
      <c r="BH218" s="128"/>
      <c r="BI218" s="128"/>
      <c r="BJ218" s="128"/>
      <c r="BK218" s="128"/>
      <c r="BL218" s="128"/>
      <c r="BM218" s="128"/>
      <c r="BN218" s="128"/>
      <c r="BO218" s="128"/>
      <c r="BP218" s="128"/>
      <c r="BQ218" s="128"/>
      <c r="BR218" s="128"/>
      <c r="BS218" s="128"/>
      <c r="BT218" s="128"/>
      <c r="BU218" s="128"/>
      <c r="BV218" s="128"/>
      <c r="BW218" s="128"/>
      <c r="BX218" s="128"/>
      <c r="BY218" s="128"/>
      <c r="BZ218" s="128"/>
      <c r="CA218" s="128"/>
      <c r="CB218" s="128"/>
      <c r="CC218" s="128"/>
      <c r="CD218" s="128"/>
      <c r="CE218" s="128"/>
      <c r="CF218" s="128"/>
      <c r="CG218" s="128"/>
      <c r="CH218" s="128"/>
      <c r="CI218" s="128"/>
      <c r="CJ218" s="128"/>
      <c r="CK218" s="128"/>
      <c r="CL218" s="128"/>
      <c r="CM218" s="128"/>
      <c r="CN218" s="128"/>
      <c r="CO218" s="128"/>
      <c r="CP218" s="128"/>
      <c r="CQ218" s="128"/>
      <c r="CR218" s="128"/>
      <c r="CS218" s="128"/>
      <c r="CT218" s="128"/>
      <c r="CU218" s="128"/>
      <c r="CV218" s="128"/>
      <c r="CW218" s="128"/>
      <c r="CX218" s="128"/>
      <c r="CY218" s="128"/>
      <c r="CZ218" s="128"/>
      <c r="DA218" s="128"/>
      <c r="DB218" s="128"/>
      <c r="DC218" s="128"/>
      <c r="DD218" s="128"/>
      <c r="DE218" s="128"/>
      <c r="DF218" s="128"/>
      <c r="DG218" s="128"/>
      <c r="DH218" s="128"/>
      <c r="DI218" s="128"/>
      <c r="DJ218" s="128"/>
      <c r="DK218" s="128"/>
      <c r="DL218" s="128"/>
      <c r="DM218" s="128"/>
      <c r="DN218" s="128"/>
      <c r="DO218" s="128"/>
      <c r="DP218" s="128"/>
      <c r="DQ218" s="128"/>
      <c r="DR218" s="128"/>
      <c r="DS218" s="128"/>
      <c r="DT218" s="128"/>
      <c r="DU218" s="128"/>
      <c r="DV218" s="128"/>
      <c r="DW218" s="128"/>
      <c r="DX218" s="128"/>
      <c r="DY218" s="128"/>
      <c r="DZ218" s="128"/>
      <c r="EA218" s="128"/>
      <c r="EB218" s="128"/>
      <c r="EC218" s="128"/>
      <c r="ED218" s="128"/>
      <c r="EE218" s="128"/>
      <c r="EF218" s="128"/>
      <c r="EG218" s="128"/>
      <c r="EH218" s="128"/>
      <c r="EI218" s="128"/>
      <c r="EJ218" s="128"/>
      <c r="EK218" s="128"/>
      <c r="EL218" s="128"/>
      <c r="EM218" s="128"/>
      <c r="EN218" s="128"/>
      <c r="EO218" s="128"/>
      <c r="EP218" s="128"/>
      <c r="EQ218" s="128"/>
      <c r="ER218" s="128"/>
      <c r="ES218" s="128"/>
      <c r="ET218" s="128"/>
      <c r="EU218" s="128"/>
      <c r="EV218" s="128"/>
      <c r="EW218" s="128"/>
      <c r="EX218" s="128"/>
      <c r="EY218" s="128"/>
      <c r="EZ218" s="128"/>
      <c r="FA218" s="128"/>
      <c r="FB218" s="128"/>
      <c r="FC218" s="128"/>
      <c r="FD218" s="128"/>
      <c r="FE218" s="128"/>
      <c r="FF218" s="128"/>
      <c r="FG218" s="128"/>
      <c r="FH218" s="128"/>
      <c r="FI218" s="128"/>
      <c r="FJ218" s="128"/>
      <c r="FK218" s="128"/>
      <c r="FL218" s="128"/>
      <c r="FM218" s="128"/>
      <c r="FN218" s="128"/>
      <c r="FO218" s="128"/>
      <c r="FP218" s="128"/>
      <c r="FQ218" s="128"/>
      <c r="FR218" s="128"/>
      <c r="FS218" s="128"/>
      <c r="FT218" s="128"/>
      <c r="FU218" s="128"/>
      <c r="FV218" s="128"/>
      <c r="FW218" s="128"/>
      <c r="FX218" s="128"/>
      <c r="FY218" s="128"/>
      <c r="FZ218" s="128"/>
      <c r="GA218" s="128"/>
      <c r="GB218" s="128"/>
      <c r="GC218" s="128"/>
      <c r="GD218" s="128"/>
      <c r="GE218" s="128"/>
      <c r="GF218" s="128"/>
      <c r="GG218" s="128"/>
      <c r="GH218" s="128"/>
      <c r="GI218" s="128"/>
      <c r="GJ218" s="128"/>
      <c r="GK218" s="128"/>
      <c r="GL218" s="128"/>
      <c r="GM218" s="128"/>
      <c r="GN218" s="128"/>
      <c r="GO218" s="128"/>
      <c r="GP218" s="128"/>
      <c r="GQ218" s="128"/>
      <c r="GR218" s="128"/>
      <c r="GS218" s="128"/>
      <c r="GT218" s="128"/>
      <c r="GU218" s="128"/>
      <c r="GV218" s="128"/>
      <c r="GW218" s="128"/>
      <c r="GX218" s="128"/>
      <c r="GY218" s="128"/>
      <c r="GZ218" s="128"/>
      <c r="HA218" s="128"/>
      <c r="HB218" s="128"/>
      <c r="HC218" s="128"/>
      <c r="HD218" s="128"/>
      <c r="HE218" s="128"/>
      <c r="HF218" s="128"/>
      <c r="HG218" s="128"/>
      <c r="HH218" s="128"/>
      <c r="HI218" s="128"/>
      <c r="HJ218" s="128"/>
      <c r="HK218" s="128"/>
      <c r="HL218" s="128"/>
      <c r="HM218" s="128"/>
      <c r="HN218" s="128"/>
      <c r="HO218" s="128"/>
      <c r="HP218" s="128"/>
      <c r="HQ218" s="128"/>
      <c r="HR218" s="128"/>
      <c r="HS218" s="128"/>
      <c r="HT218" s="128"/>
      <c r="HU218" s="128"/>
      <c r="HV218" s="128"/>
      <c r="HW218" s="128"/>
      <c r="HX218" s="128"/>
      <c r="HY218" s="128"/>
      <c r="HZ218" s="128"/>
      <c r="IA218" s="128"/>
      <c r="IB218" s="128"/>
      <c r="IC218" s="128"/>
      <c r="ID218" s="128"/>
      <c r="IE218" s="128"/>
      <c r="IF218" s="128"/>
      <c r="IG218" s="128"/>
      <c r="IH218" s="128"/>
      <c r="II218" s="128"/>
      <c r="IJ218" s="128"/>
      <c r="IK218" s="128"/>
      <c r="IL218" s="128"/>
      <c r="IM218" s="128"/>
      <c r="IN218" s="128"/>
      <c r="IO218" s="128"/>
      <c r="IP218" s="128"/>
      <c r="IQ218" s="128"/>
      <c r="IR218" s="128"/>
      <c r="IS218" s="128"/>
      <c r="IT218" s="128"/>
      <c r="IU218" s="128"/>
      <c r="IV218" s="128"/>
      <c r="IW218" s="128"/>
      <c r="IX218" s="128"/>
      <c r="IY218" s="128"/>
      <c r="IZ218" s="128"/>
      <c r="JA218" s="128"/>
      <c r="JB218" s="128"/>
      <c r="JC218" s="128"/>
      <c r="JD218" s="128"/>
      <c r="JE218" s="128"/>
      <c r="JF218" s="128"/>
      <c r="JG218" s="128"/>
      <c r="JH218" s="128"/>
      <c r="JI218" s="128"/>
      <c r="JJ218" s="128"/>
      <c r="JK218" s="128"/>
      <c r="JL218" s="128"/>
      <c r="JM218" s="128"/>
      <c r="JN218" s="128"/>
      <c r="JO218" s="128"/>
      <c r="JP218" s="128"/>
      <c r="JQ218" s="128"/>
      <c r="JR218" s="128"/>
      <c r="JS218" s="128"/>
      <c r="JT218" s="128"/>
      <c r="JU218" s="128"/>
      <c r="JV218" s="128"/>
      <c r="JW218" s="128"/>
      <c r="JX218" s="128"/>
      <c r="JY218" s="128"/>
      <c r="JZ218" s="128"/>
      <c r="KA218" s="128"/>
      <c r="KB218" s="128"/>
      <c r="KC218" s="128"/>
      <c r="KD218" s="128"/>
      <c r="KE218" s="128"/>
      <c r="KF218" s="128"/>
      <c r="KG218" s="128"/>
      <c r="KH218" s="128"/>
      <c r="KI218" s="128"/>
      <c r="KJ218" s="128"/>
      <c r="KK218" s="128"/>
      <c r="KL218" s="128"/>
      <c r="KM218" s="128"/>
      <c r="KN218" s="128"/>
      <c r="KO218" s="128"/>
      <c r="KP218" s="128"/>
      <c r="KQ218" s="128"/>
      <c r="KR218" s="128"/>
      <c r="KS218" s="128"/>
      <c r="KT218" s="128"/>
      <c r="KU218" s="128"/>
      <c r="KV218" s="128"/>
      <c r="KW218" s="128"/>
      <c r="KX218" s="128"/>
      <c r="KY218" s="128"/>
      <c r="KZ218" s="128"/>
      <c r="LA218" s="128"/>
      <c r="LB218" s="128"/>
      <c r="LC218" s="128"/>
      <c r="LD218" s="128"/>
      <c r="LE218" s="128"/>
      <c r="LF218" s="128"/>
      <c r="LG218" s="128"/>
      <c r="LH218" s="128"/>
      <c r="LI218" s="128"/>
      <c r="LJ218" s="128"/>
      <c r="LK218" s="128"/>
      <c r="LL218" s="128"/>
      <c r="LM218" s="128"/>
      <c r="LN218" s="128"/>
      <c r="LO218" s="128"/>
      <c r="LP218" s="128"/>
      <c r="LQ218" s="128"/>
      <c r="LR218" s="128"/>
      <c r="LS218" s="128"/>
      <c r="LT218" s="128"/>
      <c r="LU218" s="128"/>
      <c r="LV218" s="128"/>
      <c r="LW218" s="128"/>
      <c r="LX218" s="128"/>
      <c r="LY218" s="128"/>
      <c r="LZ218" s="128"/>
      <c r="MA218" s="128"/>
      <c r="MB218" s="128"/>
      <c r="MC218" s="128"/>
      <c r="MD218" s="128"/>
      <c r="ME218" s="128"/>
      <c r="MF218" s="128"/>
      <c r="MG218" s="128"/>
      <c r="MH218" s="128"/>
      <c r="MI218" s="128"/>
      <c r="MJ218" s="128"/>
      <c r="MK218" s="128"/>
      <c r="ML218" s="128"/>
      <c r="MM218" s="128"/>
      <c r="MN218" s="128"/>
      <c r="MO218" s="128"/>
      <c r="MP218" s="128"/>
      <c r="MQ218" s="128"/>
      <c r="MR218" s="128"/>
      <c r="MS218" s="128"/>
      <c r="MT218" s="128"/>
      <c r="MU218" s="128"/>
      <c r="MV218" s="128"/>
      <c r="MW218" s="128"/>
      <c r="MX218" s="128"/>
      <c r="MY218" s="128"/>
      <c r="MZ218" s="128"/>
      <c r="NA218" s="128"/>
      <c r="NB218" s="128"/>
      <c r="NC218" s="128"/>
      <c r="ND218" s="128"/>
      <c r="NE218" s="128"/>
      <c r="NF218" s="128"/>
      <c r="NG218" s="128"/>
      <c r="NH218" s="128"/>
      <c r="NI218" s="128"/>
      <c r="NJ218" s="128"/>
      <c r="NK218" s="128"/>
      <c r="NL218" s="128"/>
      <c r="NM218" s="128"/>
      <c r="NN218" s="128"/>
      <c r="NO218" s="128"/>
      <c r="NP218" s="128"/>
      <c r="NQ218" s="128"/>
      <c r="NR218" s="128"/>
      <c r="NS218" s="128"/>
      <c r="NT218" s="128"/>
      <c r="NU218" s="128"/>
      <c r="NV218" s="128"/>
      <c r="NW218" s="128"/>
      <c r="NX218" s="128"/>
      <c r="NY218" s="128"/>
      <c r="NZ218" s="128"/>
      <c r="OA218" s="128"/>
      <c r="OB218" s="128"/>
      <c r="OC218" s="128"/>
      <c r="OD218" s="128"/>
      <c r="OE218" s="128"/>
      <c r="OF218" s="128"/>
      <c r="OG218" s="128"/>
      <c r="OH218" s="128"/>
      <c r="OI218" s="128"/>
      <c r="OJ218" s="128"/>
      <c r="OK218" s="128"/>
      <c r="OL218" s="128"/>
      <c r="OM218" s="128"/>
      <c r="ON218" s="128"/>
      <c r="OO218" s="128"/>
      <c r="OP218" s="128"/>
      <c r="OQ218" s="128"/>
      <c r="OR218" s="128"/>
      <c r="OS218" s="128"/>
      <c r="OT218" s="128"/>
      <c r="OU218" s="128"/>
      <c r="OV218" s="128"/>
      <c r="OW218" s="128"/>
      <c r="OX218" s="128"/>
      <c r="OY218" s="128"/>
      <c r="OZ218" s="128"/>
      <c r="PA218" s="128"/>
      <c r="PB218" s="128"/>
      <c r="PC218" s="128"/>
      <c r="PD218" s="128"/>
      <c r="PE218" s="128"/>
      <c r="PF218" s="128"/>
      <c r="PG218" s="128"/>
      <c r="PH218" s="128"/>
      <c r="PI218" s="128"/>
      <c r="PJ218" s="128"/>
      <c r="PK218" s="128"/>
      <c r="PL218" s="128"/>
      <c r="PM218" s="128"/>
      <c r="PN218" s="128"/>
      <c r="PO218" s="128"/>
      <c r="PP218" s="128"/>
      <c r="PQ218" s="128"/>
      <c r="PR218" s="128"/>
      <c r="PS218" s="128"/>
      <c r="PT218" s="128"/>
      <c r="PU218" s="128"/>
      <c r="PV218" s="128"/>
      <c r="PW218" s="128"/>
      <c r="PX218" s="128"/>
      <c r="PY218" s="128"/>
      <c r="PZ218" s="128"/>
      <c r="QA218" s="128"/>
      <c r="QB218" s="128"/>
      <c r="QC218" s="128"/>
      <c r="QD218" s="128"/>
      <c r="QE218" s="128"/>
      <c r="QF218" s="128"/>
      <c r="QG218" s="128"/>
      <c r="QH218" s="128"/>
      <c r="QI218" s="128"/>
      <c r="QJ218" s="128"/>
      <c r="QK218" s="128"/>
      <c r="QL218" s="128"/>
      <c r="QM218" s="128"/>
      <c r="QN218" s="128"/>
      <c r="QO218" s="128"/>
      <c r="QP218" s="128"/>
      <c r="QQ218" s="128"/>
      <c r="QR218" s="128"/>
      <c r="QS218" s="128"/>
      <c r="QT218" s="128"/>
      <c r="QU218" s="128"/>
      <c r="QV218" s="128"/>
      <c r="QW218" s="128"/>
      <c r="QX218" s="128"/>
      <c r="QY218" s="128"/>
      <c r="QZ218" s="128"/>
      <c r="RA218" s="128"/>
      <c r="RB218" s="128"/>
      <c r="RC218" s="128"/>
      <c r="RD218" s="128"/>
      <c r="RE218" s="128"/>
      <c r="RF218" s="128"/>
      <c r="RG218" s="128"/>
      <c r="RH218" s="128"/>
      <c r="RI218" s="128"/>
      <c r="RJ218" s="128"/>
      <c r="RK218" s="128"/>
      <c r="RL218" s="128"/>
      <c r="RM218" s="128"/>
      <c r="RN218" s="128"/>
      <c r="RO218" s="128"/>
      <c r="RP218" s="128"/>
      <c r="RQ218" s="128"/>
      <c r="RR218" s="128"/>
      <c r="RS218" s="128"/>
      <c r="RT218" s="128"/>
      <c r="RU218" s="128"/>
      <c r="RV218" s="128"/>
      <c r="RW218" s="128"/>
      <c r="RX218" s="128"/>
      <c r="RY218" s="128"/>
      <c r="RZ218" s="128"/>
      <c r="SA218" s="128"/>
      <c r="SB218" s="128"/>
      <c r="SC218" s="128"/>
      <c r="SD218" s="128"/>
      <c r="SE218" s="128"/>
      <c r="SF218" s="128"/>
      <c r="SG218" s="128"/>
      <c r="SH218" s="128"/>
      <c r="SI218" s="128"/>
      <c r="SJ218" s="128"/>
      <c r="SK218" s="128"/>
      <c r="SL218" s="128"/>
      <c r="SM218" s="128"/>
      <c r="SN218" s="128"/>
      <c r="SO218" s="128"/>
      <c r="SP218" s="128"/>
      <c r="SQ218" s="128"/>
      <c r="SR218" s="128"/>
      <c r="SS218" s="128"/>
      <c r="ST218" s="128"/>
      <c r="SU218" s="128"/>
      <c r="SV218" s="128"/>
      <c r="SW218" s="128"/>
      <c r="SX218" s="128"/>
      <c r="SY218" s="128"/>
      <c r="SZ218" s="128"/>
      <c r="TA218" s="128"/>
      <c r="TB218" s="128"/>
      <c r="TC218" s="128"/>
      <c r="TD218" s="128"/>
      <c r="TE218" s="128"/>
      <c r="TF218" s="128"/>
      <c r="TG218" s="128"/>
      <c r="TH218" s="128"/>
      <c r="TI218" s="128"/>
      <c r="TJ218" s="128"/>
      <c r="TK218" s="128"/>
      <c r="TL218" s="128"/>
      <c r="TM218" s="128"/>
      <c r="TN218" s="128"/>
      <c r="TO218" s="128"/>
      <c r="TP218" s="128"/>
      <c r="TQ218" s="128"/>
      <c r="TR218" s="128"/>
      <c r="TS218" s="128"/>
      <c r="TT218" s="128"/>
      <c r="TU218" s="128"/>
      <c r="TV218" s="128"/>
      <c r="TW218" s="128"/>
      <c r="TX218" s="128"/>
      <c r="TY218" s="128"/>
      <c r="TZ218" s="128"/>
      <c r="UA218" s="128"/>
      <c r="UB218" s="128"/>
      <c r="UC218" s="128"/>
      <c r="UD218" s="128"/>
      <c r="UE218" s="128"/>
      <c r="UF218" s="128"/>
      <c r="UG218" s="128"/>
      <c r="UH218" s="128"/>
      <c r="UI218" s="128"/>
      <c r="UJ218" s="128"/>
      <c r="UK218" s="128"/>
      <c r="UL218" s="128"/>
      <c r="UM218" s="128"/>
      <c r="UN218" s="128"/>
      <c r="UO218" s="128"/>
      <c r="UP218" s="128"/>
      <c r="UQ218" s="128"/>
      <c r="UR218" s="128"/>
      <c r="US218" s="128"/>
      <c r="UT218" s="128"/>
      <c r="UU218" s="128"/>
      <c r="UV218" s="128"/>
      <c r="UW218" s="128"/>
      <c r="UX218" s="128"/>
      <c r="UY218" s="128"/>
      <c r="UZ218" s="128"/>
      <c r="VA218" s="128"/>
      <c r="VB218" s="128"/>
      <c r="VC218" s="128"/>
      <c r="VD218" s="128"/>
      <c r="VE218" s="128"/>
      <c r="VF218" s="128"/>
      <c r="VG218" s="128"/>
      <c r="VH218" s="128"/>
      <c r="VI218" s="128"/>
      <c r="VJ218" s="128"/>
      <c r="VK218" s="128"/>
      <c r="VL218" s="128"/>
      <c r="VM218" s="128"/>
      <c r="VN218" s="128"/>
      <c r="VO218" s="128"/>
      <c r="VP218" s="128"/>
      <c r="VQ218" s="128"/>
      <c r="VR218" s="128"/>
      <c r="VS218" s="128"/>
      <c r="VT218" s="128"/>
      <c r="VU218" s="128"/>
      <c r="VV218" s="128"/>
      <c r="VW218" s="128"/>
      <c r="VX218" s="128"/>
      <c r="VY218" s="128"/>
      <c r="VZ218" s="128"/>
      <c r="WA218" s="128"/>
      <c r="WB218" s="128"/>
      <c r="WC218" s="128"/>
      <c r="WD218" s="128"/>
      <c r="WE218" s="128"/>
      <c r="WF218" s="128"/>
      <c r="WG218" s="128"/>
      <c r="WH218" s="128"/>
      <c r="WI218" s="128"/>
      <c r="WJ218" s="128"/>
      <c r="WK218" s="128"/>
      <c r="WL218" s="128"/>
      <c r="WM218" s="128"/>
      <c r="WN218" s="128"/>
      <c r="WO218" s="128"/>
      <c r="WP218" s="128"/>
      <c r="WQ218" s="128"/>
      <c r="WR218" s="128"/>
      <c r="WS218" s="128"/>
      <c r="WT218" s="128"/>
      <c r="WU218" s="128"/>
      <c r="WV218" s="128"/>
      <c r="WW218" s="128"/>
      <c r="WX218" s="128"/>
      <c r="WY218" s="128"/>
      <c r="WZ218" s="128"/>
      <c r="XA218" s="128"/>
      <c r="XB218" s="128"/>
      <c r="XC218" s="128"/>
      <c r="XD218" s="128"/>
      <c r="XE218" s="128"/>
      <c r="XF218" s="128"/>
      <c r="XG218" s="128"/>
      <c r="XH218" s="128"/>
      <c r="XI218" s="128"/>
      <c r="XJ218" s="128"/>
      <c r="XK218" s="128"/>
      <c r="XL218" s="128"/>
      <c r="XM218" s="128"/>
      <c r="XN218" s="128"/>
      <c r="XO218" s="128"/>
      <c r="XP218" s="128"/>
      <c r="XQ218" s="128"/>
      <c r="XR218" s="128"/>
      <c r="XS218" s="128"/>
      <c r="XT218" s="128"/>
      <c r="XU218" s="128"/>
      <c r="XV218" s="128"/>
      <c r="XW218" s="128"/>
      <c r="XX218" s="128"/>
      <c r="XY218" s="128"/>
      <c r="XZ218" s="128"/>
      <c r="YA218" s="128"/>
      <c r="YB218" s="128"/>
      <c r="YC218" s="128"/>
      <c r="YD218" s="128"/>
      <c r="YE218" s="128"/>
      <c r="YF218" s="128"/>
      <c r="YG218" s="128"/>
      <c r="YH218" s="128"/>
      <c r="YI218" s="128"/>
      <c r="YJ218" s="128"/>
      <c r="YK218" s="128"/>
      <c r="YL218" s="128"/>
      <c r="YM218" s="128"/>
      <c r="YN218" s="128"/>
      <c r="YO218" s="128"/>
      <c r="YP218" s="128"/>
      <c r="YQ218" s="128"/>
      <c r="YR218" s="128"/>
      <c r="YS218" s="128"/>
      <c r="YT218" s="128"/>
      <c r="YU218" s="128"/>
      <c r="YV218" s="128"/>
      <c r="YW218" s="128"/>
      <c r="YX218" s="128"/>
      <c r="YY218" s="128"/>
      <c r="YZ218" s="128"/>
      <c r="ZA218" s="128"/>
      <c r="ZB218" s="128"/>
      <c r="ZC218" s="128"/>
      <c r="ZD218" s="128"/>
      <c r="ZE218" s="128"/>
      <c r="ZF218" s="128"/>
      <c r="ZG218" s="128"/>
      <c r="ZH218" s="128"/>
      <c r="ZI218" s="128"/>
      <c r="ZJ218" s="128"/>
      <c r="ZK218" s="128"/>
      <c r="ZL218" s="128"/>
      <c r="ZM218" s="128"/>
      <c r="ZN218" s="128"/>
      <c r="ZO218" s="128"/>
      <c r="ZP218" s="128"/>
      <c r="ZQ218" s="128"/>
      <c r="ZR218" s="128"/>
      <c r="ZS218" s="128"/>
      <c r="ZT218" s="128"/>
      <c r="ZU218" s="128"/>
      <c r="ZV218" s="128"/>
      <c r="ZW218" s="128"/>
      <c r="ZX218" s="128"/>
      <c r="ZY218" s="128"/>
      <c r="ZZ218" s="128"/>
      <c r="AAA218" s="128"/>
      <c r="AAB218" s="128"/>
      <c r="AAC218" s="128"/>
      <c r="AAD218" s="128"/>
      <c r="AAE218" s="128"/>
      <c r="AAF218" s="128"/>
      <c r="AAG218" s="128"/>
      <c r="AAH218" s="128"/>
      <c r="AAI218" s="128"/>
      <c r="AAJ218" s="128"/>
      <c r="AAK218" s="128"/>
      <c r="AAL218" s="128"/>
      <c r="AAM218" s="128"/>
      <c r="AAN218" s="128"/>
      <c r="AAO218" s="128"/>
      <c r="AAP218" s="128"/>
      <c r="AAQ218" s="128"/>
      <c r="AAR218" s="128"/>
      <c r="AAS218" s="128"/>
      <c r="AAT218" s="128"/>
      <c r="AAU218" s="128"/>
      <c r="AAV218" s="128"/>
      <c r="AAW218" s="128"/>
      <c r="AAX218" s="128"/>
      <c r="AAY218" s="128"/>
      <c r="AAZ218" s="128"/>
      <c r="ABA218" s="128"/>
      <c r="ABB218" s="128"/>
      <c r="ABC218" s="128"/>
      <c r="ABD218" s="128"/>
      <c r="ABE218" s="128"/>
      <c r="ABF218" s="128"/>
      <c r="ABG218" s="128"/>
      <c r="ABH218" s="128"/>
      <c r="ABI218" s="128"/>
      <c r="ABJ218" s="128"/>
      <c r="ABK218" s="128"/>
      <c r="ABL218" s="128"/>
      <c r="ABM218" s="128"/>
      <c r="ABN218" s="128"/>
      <c r="ABO218" s="128"/>
      <c r="ABP218" s="128"/>
      <c r="ABQ218" s="128"/>
      <c r="ABR218" s="128"/>
      <c r="ABS218" s="128"/>
      <c r="ABT218" s="128"/>
      <c r="ABU218" s="128"/>
      <c r="ABV218" s="128"/>
      <c r="ABW218" s="128"/>
      <c r="ABX218" s="128"/>
      <c r="ABY218" s="128"/>
      <c r="ABZ218" s="128"/>
      <c r="ACA218" s="128"/>
      <c r="ACB218" s="128"/>
      <c r="ACC218" s="128"/>
      <c r="ACD218" s="128"/>
      <c r="ACE218" s="128"/>
      <c r="ACF218" s="128"/>
      <c r="ACG218" s="128"/>
      <c r="ACH218" s="128"/>
      <c r="ACI218" s="128"/>
      <c r="ACJ218" s="128"/>
      <c r="ACK218" s="128"/>
      <c r="ACL218" s="128"/>
      <c r="ACM218" s="128"/>
      <c r="ACN218" s="128"/>
      <c r="ACO218" s="128"/>
      <c r="ACP218" s="128"/>
      <c r="ACQ218" s="128"/>
      <c r="ACR218" s="128"/>
      <c r="ACS218" s="128"/>
      <c r="ACT218" s="128"/>
      <c r="ACU218" s="128"/>
      <c r="ACV218" s="128"/>
      <c r="ACW218" s="128"/>
      <c r="ACX218" s="128"/>
      <c r="ACY218" s="128"/>
      <c r="ACZ218" s="128"/>
      <c r="ADA218" s="128"/>
      <c r="ADB218" s="128"/>
      <c r="ADC218" s="128"/>
      <c r="ADD218" s="128"/>
      <c r="ADE218" s="128"/>
      <c r="ADF218" s="128"/>
      <c r="ADG218" s="128"/>
      <c r="ADH218" s="128"/>
      <c r="ADI218" s="128"/>
      <c r="ADJ218" s="128"/>
      <c r="ADK218" s="128"/>
      <c r="ADL218" s="128"/>
      <c r="ADM218" s="128"/>
      <c r="ADN218" s="128"/>
      <c r="ADO218" s="128"/>
      <c r="ADP218" s="128"/>
      <c r="ADQ218" s="128"/>
      <c r="ADR218" s="128"/>
      <c r="ADS218" s="128"/>
      <c r="ADT218" s="128"/>
      <c r="ADU218" s="128"/>
      <c r="ADV218" s="128"/>
      <c r="ADW218" s="128"/>
      <c r="ADX218" s="128"/>
      <c r="ADY218" s="128"/>
      <c r="ADZ218" s="128"/>
      <c r="AEA218" s="128"/>
      <c r="AEB218" s="128"/>
      <c r="AEC218" s="128"/>
      <c r="AED218" s="128"/>
      <c r="AEE218" s="128"/>
      <c r="AEF218" s="128"/>
      <c r="AEG218" s="128"/>
      <c r="AEH218" s="128"/>
      <c r="AEI218" s="128"/>
      <c r="AEJ218" s="128"/>
      <c r="AEK218" s="128"/>
      <c r="AEL218" s="128"/>
      <c r="AEM218" s="128"/>
      <c r="AEN218" s="128"/>
      <c r="AEO218" s="128"/>
      <c r="AEP218" s="128"/>
      <c r="AEQ218" s="128"/>
      <c r="AER218" s="128"/>
      <c r="AES218" s="128"/>
      <c r="AET218" s="128"/>
      <c r="AEU218" s="128"/>
      <c r="AEV218" s="128"/>
      <c r="AEW218" s="128"/>
      <c r="AEX218" s="128"/>
      <c r="AEY218" s="128"/>
      <c r="AEZ218" s="128"/>
      <c r="AFA218" s="128"/>
      <c r="AFB218" s="128"/>
      <c r="AFC218" s="128"/>
      <c r="AFD218" s="128"/>
      <c r="AFE218" s="128"/>
      <c r="AFF218" s="128"/>
      <c r="AFG218" s="128"/>
      <c r="AFH218" s="128"/>
      <c r="AFI218" s="128"/>
      <c r="AFJ218" s="128"/>
      <c r="AFK218" s="128"/>
      <c r="AFL218" s="128"/>
      <c r="AFM218" s="128"/>
      <c r="AFN218" s="128"/>
      <c r="AFO218" s="128"/>
      <c r="AFP218" s="128"/>
      <c r="AFQ218" s="128"/>
      <c r="AFR218" s="128"/>
      <c r="AFS218" s="128"/>
      <c r="AFT218" s="128"/>
      <c r="AFU218" s="128"/>
      <c r="AFV218" s="128"/>
      <c r="AFW218" s="128"/>
      <c r="AFX218" s="128"/>
      <c r="AFY218" s="128"/>
      <c r="AFZ218" s="128"/>
      <c r="AGA218" s="128"/>
      <c r="AGB218" s="128"/>
      <c r="AGC218" s="128"/>
      <c r="AGD218" s="128"/>
      <c r="AGE218" s="128"/>
      <c r="AGF218" s="128"/>
      <c r="AGG218" s="128"/>
      <c r="AGH218" s="128"/>
      <c r="AGI218" s="128"/>
      <c r="AGJ218" s="128"/>
      <c r="AGK218" s="128"/>
      <c r="AGL218" s="128"/>
      <c r="AGM218" s="128"/>
      <c r="AGN218" s="128"/>
      <c r="AGO218" s="128"/>
      <c r="AGP218" s="128"/>
      <c r="AGQ218" s="128"/>
      <c r="AGR218" s="128"/>
      <c r="AGS218" s="128"/>
      <c r="AGT218" s="128"/>
      <c r="AGU218" s="128"/>
      <c r="AGV218" s="128"/>
      <c r="AGW218" s="128"/>
      <c r="AGX218" s="128"/>
      <c r="AGY218" s="128"/>
      <c r="AGZ218" s="128"/>
      <c r="AHA218" s="128"/>
      <c r="AHB218" s="128"/>
      <c r="AHC218" s="128"/>
      <c r="AHD218" s="128"/>
      <c r="AHE218" s="128"/>
      <c r="AHF218" s="128"/>
      <c r="AHG218" s="128"/>
      <c r="AHH218" s="128"/>
      <c r="AHI218" s="128"/>
      <c r="AHJ218" s="128"/>
      <c r="AHK218" s="128"/>
      <c r="AHL218" s="128"/>
      <c r="AHM218" s="128"/>
      <c r="AHN218" s="128"/>
      <c r="AHO218" s="128"/>
      <c r="AHP218" s="128"/>
      <c r="AHQ218" s="128"/>
      <c r="AHR218" s="128"/>
      <c r="AHS218" s="128"/>
      <c r="AHT218" s="128"/>
      <c r="AHU218" s="128"/>
      <c r="AHV218" s="128"/>
      <c r="AHW218" s="128"/>
      <c r="AHX218" s="128"/>
      <c r="AHY218" s="128"/>
      <c r="AHZ218" s="128"/>
      <c r="AIA218" s="128"/>
      <c r="AIB218" s="128"/>
      <c r="AIC218" s="128"/>
      <c r="AID218" s="128"/>
      <c r="AIE218" s="128"/>
      <c r="AIF218" s="128"/>
      <c r="AIG218" s="128"/>
      <c r="AIH218" s="128"/>
      <c r="AII218" s="128"/>
      <c r="AIJ218" s="128"/>
      <c r="AIK218" s="128"/>
      <c r="AIL218" s="128"/>
      <c r="AIM218" s="128"/>
      <c r="AIN218" s="128"/>
      <c r="AIO218" s="128"/>
      <c r="AIP218" s="128"/>
      <c r="AIQ218" s="128"/>
      <c r="AIR218" s="128"/>
      <c r="AIS218" s="128"/>
      <c r="AIT218" s="128"/>
      <c r="AIU218" s="128"/>
      <c r="AIV218" s="128"/>
      <c r="AIW218" s="128"/>
      <c r="AIX218" s="128"/>
      <c r="AIY218" s="128"/>
      <c r="AIZ218" s="128"/>
      <c r="AJA218" s="128"/>
      <c r="AJB218" s="128"/>
      <c r="AJC218" s="128"/>
      <c r="AJD218" s="128"/>
      <c r="AJE218" s="128"/>
      <c r="AJF218" s="128"/>
      <c r="AJG218" s="128"/>
      <c r="AJH218" s="128"/>
      <c r="AJI218" s="128"/>
      <c r="AJJ218" s="128"/>
      <c r="AJK218" s="128"/>
      <c r="AJL218" s="128"/>
      <c r="AJM218" s="128"/>
      <c r="AJN218" s="128"/>
      <c r="AJO218" s="128"/>
      <c r="AJP218" s="128"/>
      <c r="AJQ218" s="128"/>
      <c r="AJR218" s="128"/>
      <c r="AJS218" s="128"/>
      <c r="AJT218" s="128"/>
      <c r="AJU218" s="128"/>
      <c r="AJV218" s="128"/>
      <c r="AJW218" s="128"/>
      <c r="AJX218" s="128"/>
      <c r="AJY218" s="128"/>
      <c r="AJZ218" s="128"/>
      <c r="AKA218" s="128"/>
      <c r="AKB218" s="128"/>
      <c r="AKC218" s="128"/>
      <c r="AKD218" s="128"/>
      <c r="AKE218" s="128"/>
      <c r="AKF218" s="128"/>
      <c r="AKG218" s="128"/>
      <c r="AKH218" s="128"/>
      <c r="AKI218" s="128"/>
      <c r="AKJ218" s="128"/>
      <c r="AKK218" s="128"/>
      <c r="AKL218" s="128"/>
      <c r="AKM218" s="128"/>
      <c r="AKN218" s="128"/>
      <c r="AKO218" s="128"/>
      <c r="AKP218" s="128"/>
      <c r="AKQ218" s="128"/>
      <c r="AKR218" s="128"/>
      <c r="AKS218" s="128"/>
      <c r="AKT218" s="128"/>
      <c r="AKU218" s="128"/>
      <c r="AKV218" s="128"/>
      <c r="AKW218" s="128"/>
      <c r="AKX218" s="128"/>
      <c r="AKY218" s="128"/>
      <c r="AKZ218" s="128"/>
      <c r="ALA218" s="128"/>
      <c r="ALB218" s="128"/>
      <c r="ALC218" s="128"/>
      <c r="ALD218" s="128"/>
      <c r="ALE218" s="128"/>
      <c r="ALF218" s="128"/>
      <c r="ALG218" s="128"/>
      <c r="ALH218" s="128"/>
      <c r="ALI218" s="128"/>
      <c r="ALJ218" s="128"/>
      <c r="ALK218" s="128"/>
      <c r="ALL218" s="128"/>
      <c r="ALM218" s="128"/>
      <c r="ALN218" s="128"/>
      <c r="ALO218" s="128"/>
      <c r="ALP218" s="128"/>
      <c r="ALQ218" s="128"/>
      <c r="ALR218" s="128"/>
      <c r="ALS218" s="128"/>
      <c r="ALT218" s="128"/>
      <c r="ALU218" s="128"/>
      <c r="ALV218" s="128"/>
      <c r="ALW218" s="128"/>
      <c r="ALX218" s="128"/>
      <c r="ALY218" s="128"/>
      <c r="ALZ218" s="128"/>
      <c r="AMA218"/>
      <c r="AMB218"/>
      <c r="AMC218"/>
      <c r="AMD218"/>
    </row>
    <row r="219" spans="1:1018" s="96" customFormat="1" ht="12" customHeight="1">
      <c r="A219" s="130"/>
      <c r="B219" s="130"/>
      <c r="C219" s="130"/>
      <c r="D219" s="130"/>
      <c r="E219" s="130"/>
      <c r="F219" s="130"/>
      <c r="I219" s="225"/>
      <c r="K219" s="159"/>
      <c r="P219" s="173"/>
      <c r="T219" s="277"/>
      <c r="X219"/>
      <c r="Y219" s="179"/>
      <c r="AA219" s="159"/>
      <c r="AC219"/>
      <c r="AE219" s="128"/>
      <c r="AF219"/>
      <c r="AG219" s="128"/>
      <c r="AH219" s="128"/>
      <c r="AI219" s="128"/>
      <c r="AJ219" s="128"/>
      <c r="AK219" s="128"/>
      <c r="AL219" s="128"/>
      <c r="AM219" s="128"/>
      <c r="AN219" s="128"/>
      <c r="AO219" s="128"/>
      <c r="AP219" s="128"/>
      <c r="AQ219" s="128"/>
      <c r="AR219" s="128"/>
      <c r="AS219" s="128"/>
      <c r="AT219" s="128"/>
      <c r="AU219" s="128"/>
      <c r="AV219" s="128"/>
      <c r="AW219" s="128"/>
      <c r="AX219" s="128"/>
      <c r="AY219" s="128"/>
      <c r="AZ219" s="128"/>
      <c r="BA219" s="128"/>
      <c r="BB219" s="128"/>
      <c r="BC219" s="128"/>
      <c r="BD219" s="128"/>
      <c r="BE219" s="128"/>
      <c r="BF219" s="128"/>
      <c r="BG219" s="128"/>
      <c r="BH219" s="128"/>
      <c r="BI219" s="128"/>
      <c r="BJ219" s="128"/>
      <c r="BK219" s="128"/>
      <c r="BL219" s="128"/>
      <c r="BM219" s="128"/>
      <c r="BN219" s="128"/>
      <c r="BO219" s="128"/>
      <c r="BP219" s="128"/>
      <c r="BQ219" s="128"/>
      <c r="BR219" s="128"/>
      <c r="BS219" s="128"/>
      <c r="BT219" s="128"/>
      <c r="BU219" s="128"/>
      <c r="BV219" s="128"/>
      <c r="BW219" s="128"/>
      <c r="BX219" s="128"/>
      <c r="BY219" s="128"/>
      <c r="BZ219" s="128"/>
      <c r="CA219" s="128"/>
      <c r="CB219" s="128"/>
      <c r="CC219" s="128"/>
      <c r="CD219" s="128"/>
      <c r="CE219" s="128"/>
      <c r="CF219" s="128"/>
      <c r="CG219" s="128"/>
      <c r="CH219" s="128"/>
      <c r="CI219" s="128"/>
      <c r="CJ219" s="128"/>
      <c r="CK219" s="128"/>
      <c r="CL219" s="128"/>
      <c r="CM219" s="128"/>
      <c r="CN219" s="128"/>
      <c r="CO219" s="128"/>
      <c r="CP219" s="128"/>
      <c r="CQ219" s="128"/>
      <c r="CR219" s="128"/>
      <c r="CS219" s="128"/>
      <c r="CT219" s="128"/>
      <c r="CU219" s="128"/>
      <c r="CV219" s="128"/>
      <c r="CW219" s="128"/>
      <c r="CX219" s="128"/>
      <c r="CY219" s="128"/>
      <c r="CZ219" s="128"/>
      <c r="DA219" s="128"/>
      <c r="DB219" s="128"/>
      <c r="DC219" s="128"/>
      <c r="DD219" s="128"/>
      <c r="DE219" s="128"/>
      <c r="DF219" s="128"/>
      <c r="DG219" s="128"/>
      <c r="DH219" s="128"/>
      <c r="DI219" s="128"/>
      <c r="DJ219" s="128"/>
      <c r="DK219" s="128"/>
      <c r="DL219" s="128"/>
      <c r="DM219" s="128"/>
      <c r="DN219" s="128"/>
      <c r="DO219" s="128"/>
      <c r="DP219" s="128"/>
      <c r="DQ219" s="128"/>
      <c r="DR219" s="128"/>
      <c r="DS219" s="128"/>
      <c r="DT219" s="128"/>
      <c r="DU219" s="128"/>
      <c r="DV219" s="128"/>
      <c r="DW219" s="128"/>
      <c r="DX219" s="128"/>
      <c r="DY219" s="128"/>
      <c r="DZ219" s="128"/>
      <c r="EA219" s="128"/>
      <c r="EB219" s="128"/>
      <c r="EC219" s="128"/>
      <c r="ED219" s="128"/>
      <c r="EE219" s="128"/>
      <c r="EF219" s="128"/>
      <c r="EG219" s="128"/>
      <c r="EH219" s="128"/>
      <c r="EI219" s="128"/>
      <c r="EJ219" s="128"/>
      <c r="EK219" s="128"/>
      <c r="EL219" s="128"/>
      <c r="EM219" s="128"/>
      <c r="EN219" s="128"/>
      <c r="EO219" s="128"/>
      <c r="EP219" s="128"/>
      <c r="EQ219" s="128"/>
      <c r="ER219" s="128"/>
      <c r="ES219" s="128"/>
      <c r="ET219" s="128"/>
      <c r="EU219" s="128"/>
      <c r="EV219" s="128"/>
      <c r="EW219" s="128"/>
      <c r="EX219" s="128"/>
      <c r="EY219" s="128"/>
      <c r="EZ219" s="128"/>
      <c r="FA219" s="128"/>
      <c r="FB219" s="128"/>
      <c r="FC219" s="128"/>
      <c r="FD219" s="128"/>
      <c r="FE219" s="128"/>
      <c r="FF219" s="128"/>
      <c r="FG219" s="128"/>
      <c r="FH219" s="128"/>
      <c r="FI219" s="128"/>
      <c r="FJ219" s="128"/>
      <c r="FK219" s="128"/>
      <c r="FL219" s="128"/>
      <c r="FM219" s="128"/>
      <c r="FN219" s="128"/>
      <c r="FO219" s="128"/>
      <c r="FP219" s="128"/>
      <c r="FQ219" s="128"/>
      <c r="FR219" s="128"/>
      <c r="FS219" s="128"/>
      <c r="FT219" s="128"/>
      <c r="FU219" s="128"/>
      <c r="FV219" s="128"/>
      <c r="FW219" s="128"/>
      <c r="FX219" s="128"/>
      <c r="FY219" s="128"/>
      <c r="FZ219" s="128"/>
      <c r="GA219" s="128"/>
      <c r="GB219" s="128"/>
      <c r="GC219" s="128"/>
      <c r="GD219" s="128"/>
      <c r="GE219" s="128"/>
      <c r="GF219" s="128"/>
      <c r="GG219" s="128"/>
      <c r="GH219" s="128"/>
      <c r="GI219" s="128"/>
      <c r="GJ219" s="128"/>
      <c r="GK219" s="128"/>
      <c r="GL219" s="128"/>
      <c r="GM219" s="128"/>
      <c r="GN219" s="128"/>
      <c r="GO219" s="128"/>
      <c r="GP219" s="128"/>
      <c r="GQ219" s="128"/>
      <c r="GR219" s="128"/>
      <c r="GS219" s="128"/>
      <c r="GT219" s="128"/>
      <c r="GU219" s="128"/>
      <c r="GV219" s="128"/>
      <c r="GW219" s="128"/>
      <c r="GX219" s="128"/>
      <c r="GY219" s="128"/>
      <c r="GZ219" s="128"/>
      <c r="HA219" s="128"/>
      <c r="HB219" s="128"/>
      <c r="HC219" s="128"/>
      <c r="HD219" s="128"/>
      <c r="HE219" s="128"/>
      <c r="HF219" s="128"/>
      <c r="HG219" s="128"/>
      <c r="HH219" s="128"/>
      <c r="HI219" s="128"/>
      <c r="HJ219" s="128"/>
      <c r="HK219" s="128"/>
      <c r="HL219" s="128"/>
      <c r="HM219" s="128"/>
      <c r="HN219" s="128"/>
      <c r="HO219" s="128"/>
      <c r="HP219" s="128"/>
      <c r="HQ219" s="128"/>
      <c r="HR219" s="128"/>
      <c r="HS219" s="128"/>
      <c r="HT219" s="128"/>
      <c r="HU219" s="128"/>
      <c r="HV219" s="128"/>
      <c r="HW219" s="128"/>
      <c r="HX219" s="128"/>
      <c r="HY219" s="128"/>
      <c r="HZ219" s="128"/>
      <c r="IA219" s="128"/>
      <c r="IB219" s="128"/>
      <c r="IC219" s="128"/>
      <c r="ID219" s="128"/>
      <c r="IE219" s="128"/>
      <c r="IF219" s="128"/>
      <c r="IG219" s="128"/>
      <c r="IH219" s="128"/>
      <c r="II219" s="128"/>
      <c r="IJ219" s="128"/>
      <c r="IK219" s="128"/>
      <c r="IL219" s="128"/>
      <c r="IM219" s="128"/>
      <c r="IN219" s="128"/>
      <c r="IO219" s="128"/>
      <c r="IP219" s="128"/>
      <c r="IQ219" s="128"/>
      <c r="IR219" s="128"/>
      <c r="IS219" s="128"/>
      <c r="IT219" s="128"/>
      <c r="IU219" s="128"/>
      <c r="IV219" s="128"/>
      <c r="IW219" s="128"/>
      <c r="IX219" s="128"/>
      <c r="IY219" s="128"/>
      <c r="IZ219" s="128"/>
      <c r="JA219" s="128"/>
      <c r="JB219" s="128"/>
      <c r="JC219" s="128"/>
      <c r="JD219" s="128"/>
      <c r="JE219" s="128"/>
      <c r="JF219" s="128"/>
      <c r="JG219" s="128"/>
      <c r="JH219" s="128"/>
      <c r="JI219" s="128"/>
      <c r="JJ219" s="128"/>
      <c r="JK219" s="128"/>
      <c r="JL219" s="128"/>
      <c r="JM219" s="128"/>
      <c r="JN219" s="128"/>
      <c r="JO219" s="128"/>
      <c r="JP219" s="128"/>
      <c r="JQ219" s="128"/>
      <c r="JR219" s="128"/>
      <c r="JS219" s="128"/>
      <c r="JT219" s="128"/>
      <c r="JU219" s="128"/>
      <c r="JV219" s="128"/>
      <c r="JW219" s="128"/>
      <c r="JX219" s="128"/>
      <c r="JY219" s="128"/>
      <c r="JZ219" s="128"/>
      <c r="KA219" s="128"/>
      <c r="KB219" s="128"/>
      <c r="KC219" s="128"/>
      <c r="KD219" s="128"/>
      <c r="KE219" s="128"/>
      <c r="KF219" s="128"/>
      <c r="KG219" s="128"/>
      <c r="KH219" s="128"/>
      <c r="KI219" s="128"/>
      <c r="KJ219" s="128"/>
      <c r="KK219" s="128"/>
      <c r="KL219" s="128"/>
      <c r="KM219" s="128"/>
      <c r="KN219" s="128"/>
      <c r="KO219" s="128"/>
      <c r="KP219" s="128"/>
      <c r="KQ219" s="128"/>
      <c r="KR219" s="128"/>
      <c r="KS219" s="128"/>
      <c r="KT219" s="128"/>
      <c r="KU219" s="128"/>
      <c r="KV219" s="128"/>
      <c r="KW219" s="128"/>
      <c r="KX219" s="128"/>
      <c r="KY219" s="128"/>
      <c r="KZ219" s="128"/>
      <c r="LA219" s="128"/>
      <c r="LB219" s="128"/>
      <c r="LC219" s="128"/>
      <c r="LD219" s="128"/>
      <c r="LE219" s="128"/>
      <c r="LF219" s="128"/>
      <c r="LG219" s="128"/>
      <c r="LH219" s="128"/>
      <c r="LI219" s="128"/>
      <c r="LJ219" s="128"/>
      <c r="LK219" s="128"/>
      <c r="LL219" s="128"/>
      <c r="LM219" s="128"/>
      <c r="LN219" s="128"/>
      <c r="LO219" s="128"/>
      <c r="LP219" s="128"/>
      <c r="LQ219" s="128"/>
      <c r="LR219" s="128"/>
      <c r="LS219" s="128"/>
      <c r="LT219" s="128"/>
      <c r="LU219" s="128"/>
      <c r="LV219" s="128"/>
      <c r="LW219" s="128"/>
      <c r="LX219" s="128"/>
      <c r="LY219" s="128"/>
      <c r="LZ219" s="128"/>
      <c r="MA219" s="128"/>
      <c r="MB219" s="128"/>
      <c r="MC219" s="128"/>
      <c r="MD219" s="128"/>
      <c r="ME219" s="128"/>
      <c r="MF219" s="128"/>
      <c r="MG219" s="128"/>
      <c r="MH219" s="128"/>
      <c r="MI219" s="128"/>
      <c r="MJ219" s="128"/>
      <c r="MK219" s="128"/>
      <c r="ML219" s="128"/>
      <c r="MM219" s="128"/>
      <c r="MN219" s="128"/>
      <c r="MO219" s="128"/>
      <c r="MP219" s="128"/>
      <c r="MQ219" s="128"/>
      <c r="MR219" s="128"/>
      <c r="MS219" s="128"/>
      <c r="MT219" s="128"/>
      <c r="MU219" s="128"/>
      <c r="MV219" s="128"/>
      <c r="MW219" s="128"/>
      <c r="MX219" s="128"/>
      <c r="MY219" s="128"/>
      <c r="MZ219" s="128"/>
      <c r="NA219" s="128"/>
      <c r="NB219" s="128"/>
      <c r="NC219" s="128"/>
      <c r="ND219" s="128"/>
      <c r="NE219" s="128"/>
      <c r="NF219" s="128"/>
      <c r="NG219" s="128"/>
      <c r="NH219" s="128"/>
      <c r="NI219" s="128"/>
      <c r="NJ219" s="128"/>
      <c r="NK219" s="128"/>
      <c r="NL219" s="128"/>
      <c r="NM219" s="128"/>
      <c r="NN219" s="128"/>
      <c r="NO219" s="128"/>
      <c r="NP219" s="128"/>
      <c r="NQ219" s="128"/>
      <c r="NR219" s="128"/>
      <c r="NS219" s="128"/>
      <c r="NT219" s="128"/>
      <c r="NU219" s="128"/>
      <c r="NV219" s="128"/>
      <c r="NW219" s="128"/>
      <c r="NX219" s="128"/>
      <c r="NY219" s="128"/>
      <c r="NZ219" s="128"/>
      <c r="OA219" s="128"/>
      <c r="OB219" s="128"/>
      <c r="OC219" s="128"/>
      <c r="OD219" s="128"/>
      <c r="OE219" s="128"/>
      <c r="OF219" s="128"/>
      <c r="OG219" s="128"/>
      <c r="OH219" s="128"/>
      <c r="OI219" s="128"/>
      <c r="OJ219" s="128"/>
      <c r="OK219" s="128"/>
      <c r="OL219" s="128"/>
      <c r="OM219" s="128"/>
      <c r="ON219" s="128"/>
      <c r="OO219" s="128"/>
      <c r="OP219" s="128"/>
      <c r="OQ219" s="128"/>
      <c r="OR219" s="128"/>
      <c r="OS219" s="128"/>
      <c r="OT219" s="128"/>
      <c r="OU219" s="128"/>
      <c r="OV219" s="128"/>
      <c r="OW219" s="128"/>
      <c r="OX219" s="128"/>
      <c r="OY219" s="128"/>
      <c r="OZ219" s="128"/>
      <c r="PA219" s="128"/>
      <c r="PB219" s="128"/>
      <c r="PC219" s="128"/>
      <c r="PD219" s="128"/>
      <c r="PE219" s="128"/>
      <c r="PF219" s="128"/>
      <c r="PG219" s="128"/>
      <c r="PH219" s="128"/>
      <c r="PI219" s="128"/>
      <c r="PJ219" s="128"/>
      <c r="PK219" s="128"/>
      <c r="PL219" s="128"/>
      <c r="PM219" s="128"/>
      <c r="PN219" s="128"/>
      <c r="PO219" s="128"/>
      <c r="PP219" s="128"/>
      <c r="PQ219" s="128"/>
      <c r="PR219" s="128"/>
      <c r="PS219" s="128"/>
      <c r="PT219" s="128"/>
      <c r="PU219" s="128"/>
      <c r="PV219" s="128"/>
      <c r="PW219" s="128"/>
      <c r="PX219" s="128"/>
      <c r="PY219" s="128"/>
      <c r="PZ219" s="128"/>
      <c r="QA219" s="128"/>
      <c r="QB219" s="128"/>
      <c r="QC219" s="128"/>
      <c r="QD219" s="128"/>
      <c r="QE219" s="128"/>
      <c r="QF219" s="128"/>
      <c r="QG219" s="128"/>
      <c r="QH219" s="128"/>
      <c r="QI219" s="128"/>
      <c r="QJ219" s="128"/>
      <c r="QK219" s="128"/>
      <c r="QL219" s="128"/>
      <c r="QM219" s="128"/>
      <c r="QN219" s="128"/>
      <c r="QO219" s="128"/>
      <c r="QP219" s="128"/>
      <c r="QQ219" s="128"/>
      <c r="QR219" s="128"/>
      <c r="QS219" s="128"/>
      <c r="QT219" s="128"/>
      <c r="QU219" s="128"/>
      <c r="QV219" s="128"/>
      <c r="QW219" s="128"/>
      <c r="QX219" s="128"/>
      <c r="QY219" s="128"/>
      <c r="QZ219" s="128"/>
      <c r="RA219" s="128"/>
      <c r="RB219" s="128"/>
      <c r="RC219" s="128"/>
      <c r="RD219" s="128"/>
      <c r="RE219" s="128"/>
      <c r="RF219" s="128"/>
      <c r="RG219" s="128"/>
      <c r="RH219" s="128"/>
      <c r="RI219" s="128"/>
      <c r="RJ219" s="128"/>
      <c r="RK219" s="128"/>
      <c r="RL219" s="128"/>
      <c r="RM219" s="128"/>
      <c r="RN219" s="128"/>
      <c r="RO219" s="128"/>
      <c r="RP219" s="128"/>
      <c r="RQ219" s="128"/>
      <c r="RR219" s="128"/>
      <c r="RS219" s="128"/>
      <c r="RT219" s="128"/>
      <c r="RU219" s="128"/>
      <c r="RV219" s="128"/>
      <c r="RW219" s="128"/>
      <c r="RX219" s="128"/>
      <c r="RY219" s="128"/>
      <c r="RZ219" s="128"/>
      <c r="SA219" s="128"/>
      <c r="SB219" s="128"/>
      <c r="SC219" s="128"/>
      <c r="SD219" s="128"/>
      <c r="SE219" s="128"/>
      <c r="SF219" s="128"/>
      <c r="SG219" s="128"/>
      <c r="SH219" s="128"/>
      <c r="SI219" s="128"/>
      <c r="SJ219" s="128"/>
      <c r="SK219" s="128"/>
      <c r="SL219" s="128"/>
      <c r="SM219" s="128"/>
      <c r="SN219" s="128"/>
      <c r="SO219" s="128"/>
      <c r="SP219" s="128"/>
      <c r="SQ219" s="128"/>
      <c r="SR219" s="128"/>
      <c r="SS219" s="128"/>
      <c r="ST219" s="128"/>
      <c r="SU219" s="128"/>
      <c r="SV219" s="128"/>
      <c r="SW219" s="128"/>
      <c r="SX219" s="128"/>
      <c r="SY219" s="128"/>
      <c r="SZ219" s="128"/>
      <c r="TA219" s="128"/>
      <c r="TB219" s="128"/>
      <c r="TC219" s="128"/>
      <c r="TD219" s="128"/>
      <c r="TE219" s="128"/>
      <c r="TF219" s="128"/>
      <c r="TG219" s="128"/>
      <c r="TH219" s="128"/>
      <c r="TI219" s="128"/>
      <c r="TJ219" s="128"/>
      <c r="TK219" s="128"/>
      <c r="TL219" s="128"/>
      <c r="TM219" s="128"/>
      <c r="TN219" s="128"/>
      <c r="TO219" s="128"/>
      <c r="TP219" s="128"/>
      <c r="TQ219" s="128"/>
      <c r="TR219" s="128"/>
      <c r="TS219" s="128"/>
      <c r="TT219" s="128"/>
      <c r="TU219" s="128"/>
      <c r="TV219" s="128"/>
      <c r="TW219" s="128"/>
      <c r="TX219" s="128"/>
      <c r="TY219" s="128"/>
      <c r="TZ219" s="128"/>
      <c r="UA219" s="128"/>
      <c r="UB219" s="128"/>
      <c r="UC219" s="128"/>
      <c r="UD219" s="128"/>
      <c r="UE219" s="128"/>
      <c r="UF219" s="128"/>
      <c r="UG219" s="128"/>
      <c r="UH219" s="128"/>
      <c r="UI219" s="128"/>
      <c r="UJ219" s="128"/>
      <c r="UK219" s="128"/>
      <c r="UL219" s="128"/>
      <c r="UM219" s="128"/>
      <c r="UN219" s="128"/>
      <c r="UO219" s="128"/>
      <c r="UP219" s="128"/>
      <c r="UQ219" s="128"/>
      <c r="UR219" s="128"/>
      <c r="US219" s="128"/>
      <c r="UT219" s="128"/>
      <c r="UU219" s="128"/>
      <c r="UV219" s="128"/>
      <c r="UW219" s="128"/>
      <c r="UX219" s="128"/>
      <c r="UY219" s="128"/>
      <c r="UZ219" s="128"/>
      <c r="VA219" s="128"/>
      <c r="VB219" s="128"/>
      <c r="VC219" s="128"/>
      <c r="VD219" s="128"/>
      <c r="VE219" s="128"/>
      <c r="VF219" s="128"/>
      <c r="VG219" s="128"/>
      <c r="VH219" s="128"/>
      <c r="VI219" s="128"/>
      <c r="VJ219" s="128"/>
      <c r="VK219" s="128"/>
      <c r="VL219" s="128"/>
      <c r="VM219" s="128"/>
      <c r="VN219" s="128"/>
      <c r="VO219" s="128"/>
      <c r="VP219" s="128"/>
      <c r="VQ219" s="128"/>
      <c r="VR219" s="128"/>
      <c r="VS219" s="128"/>
      <c r="VT219" s="128"/>
      <c r="VU219" s="128"/>
      <c r="VV219" s="128"/>
      <c r="VW219" s="128"/>
      <c r="VX219" s="128"/>
      <c r="VY219" s="128"/>
      <c r="VZ219" s="128"/>
      <c r="WA219" s="128"/>
      <c r="WB219" s="128"/>
      <c r="WC219" s="128"/>
      <c r="WD219" s="128"/>
      <c r="WE219" s="128"/>
      <c r="WF219" s="128"/>
      <c r="WG219" s="128"/>
      <c r="WH219" s="128"/>
      <c r="WI219" s="128"/>
      <c r="WJ219" s="128"/>
      <c r="WK219" s="128"/>
      <c r="WL219" s="128"/>
      <c r="WM219" s="128"/>
      <c r="WN219" s="128"/>
      <c r="WO219" s="128"/>
      <c r="WP219" s="128"/>
      <c r="WQ219" s="128"/>
      <c r="WR219" s="128"/>
      <c r="WS219" s="128"/>
      <c r="WT219" s="128"/>
      <c r="WU219" s="128"/>
      <c r="WV219" s="128"/>
      <c r="WW219" s="128"/>
      <c r="WX219" s="128"/>
      <c r="WY219" s="128"/>
      <c r="WZ219" s="128"/>
      <c r="XA219" s="128"/>
      <c r="XB219" s="128"/>
      <c r="XC219" s="128"/>
      <c r="XD219" s="128"/>
      <c r="XE219" s="128"/>
      <c r="XF219" s="128"/>
      <c r="XG219" s="128"/>
      <c r="XH219" s="128"/>
      <c r="XI219" s="128"/>
      <c r="XJ219" s="128"/>
      <c r="XK219" s="128"/>
      <c r="XL219" s="128"/>
      <c r="XM219" s="128"/>
      <c r="XN219" s="128"/>
      <c r="XO219" s="128"/>
      <c r="XP219" s="128"/>
      <c r="XQ219" s="128"/>
      <c r="XR219" s="128"/>
      <c r="XS219" s="128"/>
      <c r="XT219" s="128"/>
      <c r="XU219" s="128"/>
      <c r="XV219" s="128"/>
      <c r="XW219" s="128"/>
      <c r="XX219" s="128"/>
      <c r="XY219" s="128"/>
      <c r="XZ219" s="128"/>
      <c r="YA219" s="128"/>
      <c r="YB219" s="128"/>
      <c r="YC219" s="128"/>
      <c r="YD219" s="128"/>
      <c r="YE219" s="128"/>
      <c r="YF219" s="128"/>
      <c r="YG219" s="128"/>
      <c r="YH219" s="128"/>
      <c r="YI219" s="128"/>
      <c r="YJ219" s="128"/>
      <c r="YK219" s="128"/>
      <c r="YL219" s="128"/>
      <c r="YM219" s="128"/>
      <c r="YN219" s="128"/>
      <c r="YO219" s="128"/>
      <c r="YP219" s="128"/>
      <c r="YQ219" s="128"/>
      <c r="YR219" s="128"/>
      <c r="YS219" s="128"/>
      <c r="YT219" s="128"/>
      <c r="YU219" s="128"/>
      <c r="YV219" s="128"/>
      <c r="YW219" s="128"/>
      <c r="YX219" s="128"/>
      <c r="YY219" s="128"/>
      <c r="YZ219" s="128"/>
      <c r="ZA219" s="128"/>
      <c r="ZB219" s="128"/>
      <c r="ZC219" s="128"/>
      <c r="ZD219" s="128"/>
      <c r="ZE219" s="128"/>
      <c r="ZF219" s="128"/>
      <c r="ZG219" s="128"/>
      <c r="ZH219" s="128"/>
      <c r="ZI219" s="128"/>
      <c r="ZJ219" s="128"/>
      <c r="ZK219" s="128"/>
      <c r="ZL219" s="128"/>
      <c r="ZM219" s="128"/>
      <c r="ZN219" s="128"/>
      <c r="ZO219" s="128"/>
      <c r="ZP219" s="128"/>
      <c r="ZQ219" s="128"/>
      <c r="ZR219" s="128"/>
      <c r="ZS219" s="128"/>
      <c r="ZT219" s="128"/>
      <c r="ZU219" s="128"/>
      <c r="ZV219" s="128"/>
      <c r="ZW219" s="128"/>
      <c r="ZX219" s="128"/>
      <c r="ZY219" s="128"/>
      <c r="ZZ219" s="128"/>
      <c r="AAA219" s="128"/>
      <c r="AAB219" s="128"/>
      <c r="AAC219" s="128"/>
      <c r="AAD219" s="128"/>
      <c r="AAE219" s="128"/>
      <c r="AAF219" s="128"/>
      <c r="AAG219" s="128"/>
      <c r="AAH219" s="128"/>
      <c r="AAI219" s="128"/>
      <c r="AAJ219" s="128"/>
      <c r="AAK219" s="128"/>
      <c r="AAL219" s="128"/>
      <c r="AAM219" s="128"/>
      <c r="AAN219" s="128"/>
      <c r="AAO219" s="128"/>
      <c r="AAP219" s="128"/>
      <c r="AAQ219" s="128"/>
      <c r="AAR219" s="128"/>
      <c r="AAS219" s="128"/>
      <c r="AAT219" s="128"/>
      <c r="AAU219" s="128"/>
      <c r="AAV219" s="128"/>
      <c r="AAW219" s="128"/>
      <c r="AAX219" s="128"/>
      <c r="AAY219" s="128"/>
      <c r="AAZ219" s="128"/>
      <c r="ABA219" s="128"/>
      <c r="ABB219" s="128"/>
      <c r="ABC219" s="128"/>
      <c r="ABD219" s="128"/>
      <c r="ABE219" s="128"/>
      <c r="ABF219" s="128"/>
      <c r="ABG219" s="128"/>
      <c r="ABH219" s="128"/>
      <c r="ABI219" s="128"/>
      <c r="ABJ219" s="128"/>
      <c r="ABK219" s="128"/>
      <c r="ABL219" s="128"/>
      <c r="ABM219" s="128"/>
      <c r="ABN219" s="128"/>
      <c r="ABO219" s="128"/>
      <c r="ABP219" s="128"/>
      <c r="ABQ219" s="128"/>
      <c r="ABR219" s="128"/>
      <c r="ABS219" s="128"/>
      <c r="ABT219" s="128"/>
      <c r="ABU219" s="128"/>
      <c r="ABV219" s="128"/>
      <c r="ABW219" s="128"/>
      <c r="ABX219" s="128"/>
      <c r="ABY219" s="128"/>
      <c r="ABZ219" s="128"/>
      <c r="ACA219" s="128"/>
      <c r="ACB219" s="128"/>
      <c r="ACC219" s="128"/>
      <c r="ACD219" s="128"/>
      <c r="ACE219" s="128"/>
      <c r="ACF219" s="128"/>
      <c r="ACG219" s="128"/>
      <c r="ACH219" s="128"/>
      <c r="ACI219" s="128"/>
      <c r="ACJ219" s="128"/>
      <c r="ACK219" s="128"/>
      <c r="ACL219" s="128"/>
      <c r="ACM219" s="128"/>
      <c r="ACN219" s="128"/>
      <c r="ACO219" s="128"/>
      <c r="ACP219" s="128"/>
      <c r="ACQ219" s="128"/>
      <c r="ACR219" s="128"/>
      <c r="ACS219" s="128"/>
      <c r="ACT219" s="128"/>
      <c r="ACU219" s="128"/>
      <c r="ACV219" s="128"/>
      <c r="ACW219" s="128"/>
      <c r="ACX219" s="128"/>
      <c r="ACY219" s="128"/>
      <c r="ACZ219" s="128"/>
      <c r="ADA219" s="128"/>
      <c r="ADB219" s="128"/>
      <c r="ADC219" s="128"/>
      <c r="ADD219" s="128"/>
      <c r="ADE219" s="128"/>
      <c r="ADF219" s="128"/>
      <c r="ADG219" s="128"/>
      <c r="ADH219" s="128"/>
      <c r="ADI219" s="128"/>
      <c r="ADJ219" s="128"/>
      <c r="ADK219" s="128"/>
      <c r="ADL219" s="128"/>
      <c r="ADM219" s="128"/>
      <c r="ADN219" s="128"/>
      <c r="ADO219" s="128"/>
      <c r="ADP219" s="128"/>
      <c r="ADQ219" s="128"/>
      <c r="ADR219" s="128"/>
      <c r="ADS219" s="128"/>
      <c r="ADT219" s="128"/>
      <c r="ADU219" s="128"/>
      <c r="ADV219" s="128"/>
      <c r="ADW219" s="128"/>
      <c r="ADX219" s="128"/>
      <c r="ADY219" s="128"/>
      <c r="ADZ219" s="128"/>
      <c r="AEA219" s="128"/>
      <c r="AEB219" s="128"/>
      <c r="AEC219" s="128"/>
      <c r="AED219" s="128"/>
      <c r="AEE219" s="128"/>
      <c r="AEF219" s="128"/>
      <c r="AEG219" s="128"/>
      <c r="AEH219" s="128"/>
      <c r="AEI219" s="128"/>
      <c r="AEJ219" s="128"/>
      <c r="AEK219" s="128"/>
      <c r="AEL219" s="128"/>
      <c r="AEM219" s="128"/>
      <c r="AEN219" s="128"/>
      <c r="AEO219" s="128"/>
      <c r="AEP219" s="128"/>
      <c r="AEQ219" s="128"/>
      <c r="AER219" s="128"/>
      <c r="AES219" s="128"/>
      <c r="AET219" s="128"/>
      <c r="AEU219" s="128"/>
      <c r="AEV219" s="128"/>
      <c r="AEW219" s="128"/>
      <c r="AEX219" s="128"/>
      <c r="AEY219" s="128"/>
      <c r="AEZ219" s="128"/>
      <c r="AFA219" s="128"/>
      <c r="AFB219" s="128"/>
      <c r="AFC219" s="128"/>
      <c r="AFD219" s="128"/>
      <c r="AFE219" s="128"/>
      <c r="AFF219" s="128"/>
      <c r="AFG219" s="128"/>
      <c r="AFH219" s="128"/>
      <c r="AFI219" s="128"/>
      <c r="AFJ219" s="128"/>
      <c r="AFK219" s="128"/>
      <c r="AFL219" s="128"/>
      <c r="AFM219" s="128"/>
      <c r="AFN219" s="128"/>
      <c r="AFO219" s="128"/>
      <c r="AFP219" s="128"/>
      <c r="AFQ219" s="128"/>
      <c r="AFR219" s="128"/>
      <c r="AFS219" s="128"/>
      <c r="AFT219" s="128"/>
      <c r="AFU219" s="128"/>
      <c r="AFV219" s="128"/>
      <c r="AFW219" s="128"/>
      <c r="AFX219" s="128"/>
      <c r="AFY219" s="128"/>
      <c r="AFZ219" s="128"/>
      <c r="AGA219" s="128"/>
      <c r="AGB219" s="128"/>
      <c r="AGC219" s="128"/>
      <c r="AGD219" s="128"/>
      <c r="AGE219" s="128"/>
      <c r="AGF219" s="128"/>
      <c r="AGG219" s="128"/>
      <c r="AGH219" s="128"/>
      <c r="AGI219" s="128"/>
      <c r="AGJ219" s="128"/>
      <c r="AGK219" s="128"/>
      <c r="AGL219" s="128"/>
      <c r="AGM219" s="128"/>
      <c r="AGN219" s="128"/>
      <c r="AGO219" s="128"/>
      <c r="AGP219" s="128"/>
      <c r="AGQ219" s="128"/>
      <c r="AGR219" s="128"/>
      <c r="AGS219" s="128"/>
      <c r="AGT219" s="128"/>
      <c r="AGU219" s="128"/>
      <c r="AGV219" s="128"/>
      <c r="AGW219" s="128"/>
      <c r="AGX219" s="128"/>
      <c r="AGY219" s="128"/>
      <c r="AGZ219" s="128"/>
      <c r="AHA219" s="128"/>
      <c r="AHB219" s="128"/>
      <c r="AHC219" s="128"/>
      <c r="AHD219" s="128"/>
      <c r="AHE219" s="128"/>
      <c r="AHF219" s="128"/>
      <c r="AHG219" s="128"/>
      <c r="AHH219" s="128"/>
      <c r="AHI219" s="128"/>
      <c r="AHJ219" s="128"/>
      <c r="AHK219" s="128"/>
      <c r="AHL219" s="128"/>
      <c r="AHM219" s="128"/>
      <c r="AHN219" s="128"/>
      <c r="AHO219" s="128"/>
      <c r="AHP219" s="128"/>
      <c r="AHQ219" s="128"/>
      <c r="AHR219" s="128"/>
      <c r="AHS219" s="128"/>
      <c r="AHT219" s="128"/>
      <c r="AHU219" s="128"/>
      <c r="AHV219" s="128"/>
      <c r="AHW219" s="128"/>
      <c r="AHX219" s="128"/>
      <c r="AHY219" s="128"/>
      <c r="AHZ219" s="128"/>
      <c r="AIA219" s="128"/>
      <c r="AIB219" s="128"/>
      <c r="AIC219" s="128"/>
      <c r="AID219" s="128"/>
      <c r="AIE219" s="128"/>
      <c r="AIF219" s="128"/>
      <c r="AIG219" s="128"/>
      <c r="AIH219" s="128"/>
      <c r="AII219" s="128"/>
      <c r="AIJ219" s="128"/>
      <c r="AIK219" s="128"/>
      <c r="AIL219" s="128"/>
      <c r="AIM219" s="128"/>
      <c r="AIN219" s="128"/>
      <c r="AIO219" s="128"/>
      <c r="AIP219" s="128"/>
      <c r="AIQ219" s="128"/>
      <c r="AIR219" s="128"/>
      <c r="AIS219" s="128"/>
      <c r="AIT219" s="128"/>
      <c r="AIU219" s="128"/>
      <c r="AIV219" s="128"/>
      <c r="AIW219" s="128"/>
      <c r="AIX219" s="128"/>
      <c r="AIY219" s="128"/>
      <c r="AIZ219" s="128"/>
      <c r="AJA219" s="128"/>
      <c r="AJB219" s="128"/>
      <c r="AJC219" s="128"/>
      <c r="AJD219" s="128"/>
      <c r="AJE219" s="128"/>
      <c r="AJF219" s="128"/>
      <c r="AJG219" s="128"/>
      <c r="AJH219" s="128"/>
      <c r="AJI219" s="128"/>
      <c r="AJJ219" s="128"/>
      <c r="AJK219" s="128"/>
      <c r="AJL219" s="128"/>
      <c r="AJM219" s="128"/>
      <c r="AJN219" s="128"/>
      <c r="AJO219" s="128"/>
      <c r="AJP219" s="128"/>
      <c r="AJQ219" s="128"/>
      <c r="AJR219" s="128"/>
      <c r="AJS219" s="128"/>
      <c r="AJT219" s="128"/>
      <c r="AJU219" s="128"/>
      <c r="AJV219" s="128"/>
      <c r="AJW219" s="128"/>
      <c r="AJX219" s="128"/>
      <c r="AJY219" s="128"/>
      <c r="AJZ219" s="128"/>
      <c r="AKA219" s="128"/>
      <c r="AKB219" s="128"/>
      <c r="AKC219" s="128"/>
      <c r="AKD219" s="128"/>
      <c r="AKE219" s="128"/>
      <c r="AKF219" s="128"/>
      <c r="AKG219" s="128"/>
      <c r="AKH219" s="128"/>
      <c r="AKI219" s="128"/>
      <c r="AKJ219" s="128"/>
      <c r="AKK219" s="128"/>
      <c r="AKL219" s="128"/>
      <c r="AKM219" s="128"/>
      <c r="AKN219" s="128"/>
      <c r="AKO219" s="128"/>
      <c r="AKP219" s="128"/>
      <c r="AKQ219" s="128"/>
      <c r="AKR219" s="128"/>
      <c r="AKS219" s="128"/>
      <c r="AKT219" s="128"/>
      <c r="AKU219" s="128"/>
      <c r="AKV219" s="128"/>
      <c r="AKW219" s="128"/>
      <c r="AKX219" s="128"/>
      <c r="AKY219" s="128"/>
      <c r="AKZ219" s="128"/>
      <c r="ALA219" s="128"/>
      <c r="ALB219" s="128"/>
      <c r="ALC219" s="128"/>
      <c r="ALD219" s="128"/>
      <c r="ALE219" s="128"/>
      <c r="ALF219" s="128"/>
      <c r="ALG219" s="128"/>
      <c r="ALH219" s="128"/>
      <c r="ALI219" s="128"/>
      <c r="ALJ219" s="128"/>
      <c r="ALK219" s="128"/>
      <c r="ALL219" s="128"/>
      <c r="ALM219" s="128"/>
      <c r="ALN219" s="128"/>
      <c r="ALO219" s="128"/>
      <c r="ALP219" s="128"/>
      <c r="ALQ219" s="128"/>
      <c r="ALR219" s="128"/>
      <c r="ALS219" s="128"/>
      <c r="ALT219" s="128"/>
      <c r="ALU219" s="128"/>
      <c r="ALV219" s="128"/>
      <c r="ALW219" s="128"/>
      <c r="ALX219" s="128"/>
      <c r="ALY219" s="128"/>
      <c r="ALZ219" s="128"/>
      <c r="AMA219"/>
      <c r="AMB219"/>
      <c r="AMC219"/>
      <c r="AMD219"/>
    </row>
    <row r="220" spans="1:1018" s="96" customFormat="1" ht="12" customHeight="1">
      <c r="A220" s="130"/>
      <c r="B220" s="130"/>
      <c r="C220" s="130"/>
      <c r="D220" s="130"/>
      <c r="E220" s="130"/>
      <c r="F220" s="130"/>
      <c r="I220" s="225"/>
      <c r="K220" s="159"/>
      <c r="P220" s="173"/>
      <c r="T220" s="277"/>
      <c r="X220"/>
      <c r="Y220" s="179"/>
      <c r="AA220" s="159"/>
      <c r="AC220"/>
      <c r="AE220" s="128"/>
      <c r="AF220"/>
      <c r="AG220" s="128"/>
      <c r="AH220" s="128"/>
      <c r="AI220" s="128"/>
      <c r="AJ220" s="128"/>
      <c r="AK220" s="128"/>
      <c r="AL220" s="128"/>
      <c r="AM220" s="128"/>
      <c r="AN220" s="128"/>
      <c r="AO220" s="128"/>
      <c r="AP220" s="128"/>
      <c r="AQ220" s="128"/>
      <c r="AR220" s="128"/>
      <c r="AS220" s="128"/>
      <c r="AT220" s="128"/>
      <c r="AU220" s="128"/>
      <c r="AV220" s="128"/>
      <c r="AW220" s="128"/>
      <c r="AX220" s="128"/>
      <c r="AY220" s="128"/>
      <c r="AZ220" s="128"/>
      <c r="BA220" s="128"/>
      <c r="BB220" s="128"/>
      <c r="BC220" s="128"/>
      <c r="BD220" s="128"/>
      <c r="BE220" s="128"/>
      <c r="BF220" s="128"/>
      <c r="BG220" s="128"/>
      <c r="BH220" s="128"/>
      <c r="BI220" s="128"/>
      <c r="BJ220" s="128"/>
      <c r="BK220" s="128"/>
      <c r="BL220" s="128"/>
      <c r="BM220" s="128"/>
      <c r="BN220" s="128"/>
      <c r="BO220" s="128"/>
      <c r="BP220" s="128"/>
      <c r="BQ220" s="128"/>
      <c r="BR220" s="128"/>
      <c r="BS220" s="128"/>
      <c r="BT220" s="128"/>
      <c r="BU220" s="128"/>
      <c r="BV220" s="128"/>
      <c r="BW220" s="128"/>
      <c r="BX220" s="128"/>
      <c r="BY220" s="128"/>
      <c r="BZ220" s="128"/>
      <c r="CA220" s="128"/>
      <c r="CB220" s="128"/>
      <c r="CC220" s="128"/>
      <c r="CD220" s="128"/>
      <c r="CE220" s="128"/>
      <c r="CF220" s="128"/>
      <c r="CG220" s="128"/>
      <c r="CH220" s="128"/>
      <c r="CI220" s="128"/>
      <c r="CJ220" s="128"/>
      <c r="CK220" s="128"/>
      <c r="CL220" s="128"/>
      <c r="CM220" s="128"/>
      <c r="CN220" s="128"/>
      <c r="CO220" s="128"/>
      <c r="CP220" s="128"/>
      <c r="CQ220" s="128"/>
      <c r="CR220" s="128"/>
      <c r="CS220" s="128"/>
      <c r="CT220" s="128"/>
      <c r="CU220" s="128"/>
      <c r="CV220" s="128"/>
      <c r="CW220" s="128"/>
      <c r="CX220" s="128"/>
      <c r="CY220" s="128"/>
      <c r="CZ220" s="128"/>
      <c r="DA220" s="128"/>
      <c r="DB220" s="128"/>
      <c r="DC220" s="128"/>
      <c r="DD220" s="128"/>
      <c r="DE220" s="128"/>
      <c r="DF220" s="128"/>
      <c r="DG220" s="128"/>
      <c r="DH220" s="128"/>
      <c r="DI220" s="128"/>
      <c r="DJ220" s="128"/>
      <c r="DK220" s="128"/>
      <c r="DL220" s="128"/>
      <c r="DM220" s="128"/>
      <c r="DN220" s="128"/>
      <c r="DO220" s="128"/>
      <c r="DP220" s="128"/>
      <c r="DQ220" s="128"/>
      <c r="DR220" s="128"/>
      <c r="DS220" s="128"/>
      <c r="DT220" s="128"/>
      <c r="DU220" s="128"/>
      <c r="DV220" s="128"/>
      <c r="DW220" s="128"/>
      <c r="DX220" s="128"/>
      <c r="DY220" s="128"/>
      <c r="DZ220" s="128"/>
      <c r="EA220" s="128"/>
      <c r="EB220" s="128"/>
      <c r="EC220" s="128"/>
      <c r="ED220" s="128"/>
      <c r="EE220" s="128"/>
      <c r="EF220" s="128"/>
      <c r="EG220" s="128"/>
      <c r="EH220" s="128"/>
      <c r="EI220" s="128"/>
      <c r="EJ220" s="128"/>
      <c r="EK220" s="128"/>
      <c r="EL220" s="128"/>
      <c r="EM220" s="128"/>
      <c r="EN220" s="128"/>
      <c r="EO220" s="128"/>
      <c r="EP220" s="128"/>
      <c r="EQ220" s="128"/>
      <c r="ER220" s="128"/>
      <c r="ES220" s="128"/>
      <c r="ET220" s="128"/>
      <c r="EU220" s="128"/>
      <c r="EV220" s="128"/>
      <c r="EW220" s="128"/>
      <c r="EX220" s="128"/>
      <c r="EY220" s="128"/>
      <c r="EZ220" s="128"/>
      <c r="FA220" s="128"/>
      <c r="FB220" s="128"/>
      <c r="FC220" s="128"/>
      <c r="FD220" s="128"/>
      <c r="FE220" s="128"/>
      <c r="FF220" s="128"/>
      <c r="FG220" s="128"/>
      <c r="FH220" s="128"/>
      <c r="FI220" s="128"/>
      <c r="FJ220" s="128"/>
      <c r="FK220" s="128"/>
      <c r="FL220" s="128"/>
      <c r="FM220" s="128"/>
      <c r="FN220" s="128"/>
      <c r="FO220" s="128"/>
      <c r="FP220" s="128"/>
      <c r="FQ220" s="128"/>
      <c r="FR220" s="128"/>
      <c r="FS220" s="128"/>
      <c r="FT220" s="128"/>
      <c r="FU220" s="128"/>
      <c r="FV220" s="128"/>
      <c r="FW220" s="128"/>
      <c r="FX220" s="128"/>
      <c r="FY220" s="128"/>
      <c r="FZ220" s="128"/>
      <c r="GA220" s="128"/>
      <c r="GB220" s="128"/>
      <c r="GC220" s="128"/>
      <c r="GD220" s="128"/>
      <c r="GE220" s="128"/>
      <c r="GF220" s="128"/>
      <c r="GG220" s="128"/>
      <c r="GH220" s="128"/>
      <c r="GI220" s="128"/>
      <c r="GJ220" s="128"/>
      <c r="GK220" s="128"/>
      <c r="GL220" s="128"/>
      <c r="GM220" s="128"/>
      <c r="GN220" s="128"/>
      <c r="GO220" s="128"/>
      <c r="GP220" s="128"/>
      <c r="GQ220" s="128"/>
      <c r="GR220" s="128"/>
      <c r="GS220" s="128"/>
      <c r="GT220" s="128"/>
      <c r="GU220" s="128"/>
      <c r="GV220" s="128"/>
      <c r="GW220" s="128"/>
      <c r="GX220" s="128"/>
      <c r="GY220" s="128"/>
      <c r="GZ220" s="128"/>
      <c r="HA220" s="128"/>
      <c r="HB220" s="128"/>
      <c r="HC220" s="128"/>
      <c r="HD220" s="128"/>
      <c r="HE220" s="128"/>
      <c r="HF220" s="128"/>
      <c r="HG220" s="128"/>
      <c r="HH220" s="128"/>
      <c r="HI220" s="128"/>
      <c r="HJ220" s="128"/>
      <c r="HK220" s="128"/>
      <c r="HL220" s="128"/>
      <c r="HM220" s="128"/>
      <c r="HN220" s="128"/>
      <c r="HO220" s="128"/>
      <c r="HP220" s="128"/>
      <c r="HQ220" s="128"/>
      <c r="HR220" s="128"/>
      <c r="HS220" s="128"/>
      <c r="HT220" s="128"/>
      <c r="HU220" s="128"/>
      <c r="HV220" s="128"/>
      <c r="HW220" s="128"/>
      <c r="HX220" s="128"/>
      <c r="HY220" s="128"/>
      <c r="HZ220" s="128"/>
      <c r="IA220" s="128"/>
      <c r="IB220" s="128"/>
      <c r="IC220" s="128"/>
      <c r="ID220" s="128"/>
      <c r="IE220" s="128"/>
      <c r="IF220" s="128"/>
      <c r="IG220" s="128"/>
      <c r="IH220" s="128"/>
      <c r="II220" s="128"/>
      <c r="IJ220" s="128"/>
      <c r="IK220" s="128"/>
      <c r="IL220" s="128"/>
      <c r="IM220" s="128"/>
      <c r="IN220" s="128"/>
      <c r="IO220" s="128"/>
      <c r="IP220" s="128"/>
      <c r="IQ220" s="128"/>
      <c r="IR220" s="128"/>
      <c r="IS220" s="128"/>
      <c r="IT220" s="128"/>
      <c r="IU220" s="128"/>
      <c r="IV220" s="128"/>
      <c r="IW220" s="128"/>
      <c r="IX220" s="128"/>
      <c r="IY220" s="128"/>
      <c r="IZ220" s="128"/>
      <c r="JA220" s="128"/>
      <c r="JB220" s="128"/>
      <c r="JC220" s="128"/>
      <c r="JD220" s="128"/>
      <c r="JE220" s="128"/>
      <c r="JF220" s="128"/>
      <c r="JG220" s="128"/>
      <c r="JH220" s="128"/>
      <c r="JI220" s="128"/>
      <c r="JJ220" s="128"/>
      <c r="JK220" s="128"/>
      <c r="JL220" s="128"/>
      <c r="JM220" s="128"/>
      <c r="JN220" s="128"/>
      <c r="JO220" s="128"/>
      <c r="JP220" s="128"/>
      <c r="JQ220" s="128"/>
      <c r="JR220" s="128"/>
      <c r="JS220" s="128"/>
      <c r="JT220" s="128"/>
      <c r="JU220" s="128"/>
      <c r="JV220" s="128"/>
      <c r="JW220" s="128"/>
      <c r="JX220" s="128"/>
      <c r="JY220" s="128"/>
      <c r="JZ220" s="128"/>
      <c r="KA220" s="128"/>
      <c r="KB220" s="128"/>
      <c r="KC220" s="128"/>
      <c r="KD220" s="128"/>
      <c r="KE220" s="128"/>
      <c r="KF220" s="128"/>
      <c r="KG220" s="128"/>
      <c r="KH220" s="128"/>
      <c r="KI220" s="128"/>
      <c r="KJ220" s="128"/>
      <c r="KK220" s="128"/>
      <c r="KL220" s="128"/>
      <c r="KM220" s="128"/>
      <c r="KN220" s="128"/>
      <c r="KO220" s="128"/>
      <c r="KP220" s="128"/>
      <c r="KQ220" s="128"/>
      <c r="KR220" s="128"/>
      <c r="KS220" s="128"/>
      <c r="KT220" s="128"/>
      <c r="KU220" s="128"/>
      <c r="KV220" s="128"/>
      <c r="KW220" s="128"/>
      <c r="KX220" s="128"/>
      <c r="KY220" s="128"/>
      <c r="KZ220" s="128"/>
      <c r="LA220" s="128"/>
      <c r="LB220" s="128"/>
      <c r="LC220" s="128"/>
      <c r="LD220" s="128"/>
      <c r="LE220" s="128"/>
      <c r="LF220" s="128"/>
      <c r="LG220" s="128"/>
      <c r="LH220" s="128"/>
      <c r="LI220" s="128"/>
      <c r="LJ220" s="128"/>
      <c r="LK220" s="128"/>
      <c r="LL220" s="128"/>
      <c r="LM220" s="128"/>
      <c r="LN220" s="128"/>
      <c r="LO220" s="128"/>
      <c r="LP220" s="128"/>
      <c r="LQ220" s="128"/>
      <c r="LR220" s="128"/>
      <c r="LS220" s="128"/>
      <c r="LT220" s="128"/>
      <c r="LU220" s="128"/>
      <c r="LV220" s="128"/>
      <c r="LW220" s="128"/>
      <c r="LX220" s="128"/>
      <c r="LY220" s="128"/>
      <c r="LZ220" s="128"/>
      <c r="MA220" s="128"/>
      <c r="MB220" s="128"/>
      <c r="MC220" s="128"/>
      <c r="MD220" s="128"/>
      <c r="ME220" s="128"/>
      <c r="MF220" s="128"/>
      <c r="MG220" s="128"/>
      <c r="MH220" s="128"/>
      <c r="MI220" s="128"/>
      <c r="MJ220" s="128"/>
      <c r="MK220" s="128"/>
      <c r="ML220" s="128"/>
      <c r="MM220" s="128"/>
      <c r="MN220" s="128"/>
      <c r="MO220" s="128"/>
      <c r="MP220" s="128"/>
      <c r="MQ220" s="128"/>
      <c r="MR220" s="128"/>
      <c r="MS220" s="128"/>
      <c r="MT220" s="128"/>
      <c r="MU220" s="128"/>
      <c r="MV220" s="128"/>
      <c r="MW220" s="128"/>
      <c r="MX220" s="128"/>
      <c r="MY220" s="128"/>
      <c r="MZ220" s="128"/>
      <c r="NA220" s="128"/>
      <c r="NB220" s="128"/>
      <c r="NC220" s="128"/>
      <c r="ND220" s="128"/>
      <c r="NE220" s="128"/>
      <c r="NF220" s="128"/>
      <c r="NG220" s="128"/>
      <c r="NH220" s="128"/>
      <c r="NI220" s="128"/>
      <c r="NJ220" s="128"/>
      <c r="NK220" s="128"/>
      <c r="NL220" s="128"/>
      <c r="NM220" s="128"/>
      <c r="NN220" s="128"/>
      <c r="NO220" s="128"/>
      <c r="NP220" s="128"/>
      <c r="NQ220" s="128"/>
      <c r="NR220" s="128"/>
      <c r="NS220" s="128"/>
      <c r="NT220" s="128"/>
      <c r="NU220" s="128"/>
      <c r="NV220" s="128"/>
      <c r="NW220" s="128"/>
      <c r="NX220" s="128"/>
      <c r="NY220" s="128"/>
      <c r="NZ220" s="128"/>
      <c r="OA220" s="128"/>
      <c r="OB220" s="128"/>
      <c r="OC220" s="128"/>
      <c r="OD220" s="128"/>
      <c r="OE220" s="128"/>
      <c r="OF220" s="128"/>
      <c r="OG220" s="128"/>
      <c r="OH220" s="128"/>
      <c r="OI220" s="128"/>
      <c r="OJ220" s="128"/>
      <c r="OK220" s="128"/>
      <c r="OL220" s="128"/>
      <c r="OM220" s="128"/>
      <c r="ON220" s="128"/>
      <c r="OO220" s="128"/>
      <c r="OP220" s="128"/>
      <c r="OQ220" s="128"/>
      <c r="OR220" s="128"/>
      <c r="OS220" s="128"/>
      <c r="OT220" s="128"/>
      <c r="OU220" s="128"/>
      <c r="OV220" s="128"/>
      <c r="OW220" s="128"/>
      <c r="OX220" s="128"/>
      <c r="OY220" s="128"/>
      <c r="OZ220" s="128"/>
      <c r="PA220" s="128"/>
      <c r="PB220" s="128"/>
      <c r="PC220" s="128"/>
      <c r="PD220" s="128"/>
      <c r="PE220" s="128"/>
      <c r="PF220" s="128"/>
      <c r="PG220" s="128"/>
      <c r="PH220" s="128"/>
      <c r="PI220" s="128"/>
      <c r="PJ220" s="128"/>
      <c r="PK220" s="128"/>
      <c r="PL220" s="128"/>
      <c r="PM220" s="128"/>
      <c r="PN220" s="128"/>
      <c r="PO220" s="128"/>
      <c r="PP220" s="128"/>
      <c r="PQ220" s="128"/>
      <c r="PR220" s="128"/>
      <c r="PS220" s="128"/>
      <c r="PT220" s="128"/>
      <c r="PU220" s="128"/>
      <c r="PV220" s="128"/>
      <c r="PW220" s="128"/>
      <c r="PX220" s="128"/>
      <c r="PY220" s="128"/>
      <c r="PZ220" s="128"/>
      <c r="QA220" s="128"/>
      <c r="QB220" s="128"/>
      <c r="QC220" s="128"/>
      <c r="QD220" s="128"/>
      <c r="QE220" s="128"/>
      <c r="QF220" s="128"/>
      <c r="QG220" s="128"/>
      <c r="QH220" s="128"/>
      <c r="QI220" s="128"/>
      <c r="QJ220" s="128"/>
      <c r="QK220" s="128"/>
      <c r="QL220" s="128"/>
      <c r="QM220" s="128"/>
      <c r="QN220" s="128"/>
      <c r="QO220" s="128"/>
      <c r="QP220" s="128"/>
      <c r="QQ220" s="128"/>
      <c r="QR220" s="128"/>
      <c r="QS220" s="128"/>
      <c r="QT220" s="128"/>
      <c r="QU220" s="128"/>
      <c r="QV220" s="128"/>
      <c r="QW220" s="128"/>
      <c r="QX220" s="128"/>
      <c r="QY220" s="128"/>
      <c r="QZ220" s="128"/>
      <c r="RA220" s="128"/>
      <c r="RB220" s="128"/>
      <c r="RC220" s="128"/>
      <c r="RD220" s="128"/>
      <c r="RE220" s="128"/>
      <c r="RF220" s="128"/>
      <c r="RG220" s="128"/>
      <c r="RH220" s="128"/>
      <c r="RI220" s="128"/>
      <c r="RJ220" s="128"/>
      <c r="RK220" s="128"/>
      <c r="RL220" s="128"/>
      <c r="RM220" s="128"/>
      <c r="RN220" s="128"/>
      <c r="RO220" s="128"/>
      <c r="RP220" s="128"/>
      <c r="RQ220" s="128"/>
      <c r="RR220" s="128"/>
      <c r="RS220" s="128"/>
      <c r="RT220" s="128"/>
      <c r="RU220" s="128"/>
      <c r="RV220" s="128"/>
      <c r="RW220" s="128"/>
      <c r="RX220" s="128"/>
      <c r="RY220" s="128"/>
      <c r="RZ220" s="128"/>
      <c r="SA220" s="128"/>
      <c r="SB220" s="128"/>
      <c r="SC220" s="128"/>
      <c r="SD220" s="128"/>
      <c r="SE220" s="128"/>
      <c r="SF220" s="128"/>
      <c r="SG220" s="128"/>
      <c r="SH220" s="128"/>
      <c r="SI220" s="128"/>
      <c r="SJ220" s="128"/>
      <c r="SK220" s="128"/>
      <c r="SL220" s="128"/>
      <c r="SM220" s="128"/>
      <c r="SN220" s="128"/>
      <c r="SO220" s="128"/>
      <c r="SP220" s="128"/>
      <c r="SQ220" s="128"/>
      <c r="SR220" s="128"/>
      <c r="SS220" s="128"/>
      <c r="ST220" s="128"/>
      <c r="SU220" s="128"/>
      <c r="SV220" s="128"/>
      <c r="SW220" s="128"/>
      <c r="SX220" s="128"/>
      <c r="SY220" s="128"/>
      <c r="SZ220" s="128"/>
      <c r="TA220" s="128"/>
      <c r="TB220" s="128"/>
      <c r="TC220" s="128"/>
      <c r="TD220" s="128"/>
      <c r="TE220" s="128"/>
      <c r="TF220" s="128"/>
      <c r="TG220" s="128"/>
      <c r="TH220" s="128"/>
      <c r="TI220" s="128"/>
      <c r="TJ220" s="128"/>
      <c r="TK220" s="128"/>
      <c r="TL220" s="128"/>
      <c r="TM220" s="128"/>
      <c r="TN220" s="128"/>
      <c r="TO220" s="128"/>
      <c r="TP220" s="128"/>
      <c r="TQ220" s="128"/>
      <c r="TR220" s="128"/>
      <c r="TS220" s="128"/>
      <c r="TT220" s="128"/>
      <c r="TU220" s="128"/>
      <c r="TV220" s="128"/>
      <c r="TW220" s="128"/>
      <c r="TX220" s="128"/>
      <c r="TY220" s="128"/>
      <c r="TZ220" s="128"/>
      <c r="UA220" s="128"/>
      <c r="UB220" s="128"/>
      <c r="UC220" s="128"/>
      <c r="UD220" s="128"/>
      <c r="UE220" s="128"/>
      <c r="UF220" s="128"/>
      <c r="UG220" s="128"/>
      <c r="UH220" s="128"/>
      <c r="UI220" s="128"/>
      <c r="UJ220" s="128"/>
      <c r="UK220" s="128"/>
      <c r="UL220" s="128"/>
      <c r="UM220" s="128"/>
      <c r="UN220" s="128"/>
      <c r="UO220" s="128"/>
      <c r="UP220" s="128"/>
      <c r="UQ220" s="128"/>
      <c r="UR220" s="128"/>
      <c r="US220" s="128"/>
      <c r="UT220" s="128"/>
      <c r="UU220" s="128"/>
      <c r="UV220" s="128"/>
      <c r="UW220" s="128"/>
      <c r="UX220" s="128"/>
      <c r="UY220" s="128"/>
      <c r="UZ220" s="128"/>
      <c r="VA220" s="128"/>
      <c r="VB220" s="128"/>
      <c r="VC220" s="128"/>
      <c r="VD220" s="128"/>
      <c r="VE220" s="128"/>
      <c r="VF220" s="128"/>
      <c r="VG220" s="128"/>
      <c r="VH220" s="128"/>
      <c r="VI220" s="128"/>
      <c r="VJ220" s="128"/>
      <c r="VK220" s="128"/>
      <c r="VL220" s="128"/>
      <c r="VM220" s="128"/>
      <c r="VN220" s="128"/>
      <c r="VO220" s="128"/>
      <c r="VP220" s="128"/>
      <c r="VQ220" s="128"/>
      <c r="VR220" s="128"/>
      <c r="VS220" s="128"/>
      <c r="VT220" s="128"/>
      <c r="VU220" s="128"/>
      <c r="VV220" s="128"/>
      <c r="VW220" s="128"/>
      <c r="VX220" s="128"/>
      <c r="VY220" s="128"/>
      <c r="VZ220" s="128"/>
      <c r="WA220" s="128"/>
      <c r="WB220" s="128"/>
      <c r="WC220" s="128"/>
      <c r="WD220" s="128"/>
      <c r="WE220" s="128"/>
      <c r="WF220" s="128"/>
      <c r="WG220" s="128"/>
      <c r="WH220" s="128"/>
      <c r="WI220" s="128"/>
      <c r="WJ220" s="128"/>
      <c r="WK220" s="128"/>
      <c r="WL220" s="128"/>
      <c r="WM220" s="128"/>
      <c r="WN220" s="128"/>
      <c r="WO220" s="128"/>
      <c r="WP220" s="128"/>
      <c r="WQ220" s="128"/>
      <c r="WR220" s="128"/>
      <c r="WS220" s="128"/>
      <c r="WT220" s="128"/>
      <c r="WU220" s="128"/>
      <c r="WV220" s="128"/>
      <c r="WW220" s="128"/>
      <c r="WX220" s="128"/>
      <c r="WY220" s="128"/>
      <c r="WZ220" s="128"/>
      <c r="XA220" s="128"/>
      <c r="XB220" s="128"/>
      <c r="XC220" s="128"/>
      <c r="XD220" s="128"/>
      <c r="XE220" s="128"/>
      <c r="XF220" s="128"/>
      <c r="XG220" s="128"/>
      <c r="XH220" s="128"/>
      <c r="XI220" s="128"/>
      <c r="XJ220" s="128"/>
      <c r="XK220" s="128"/>
      <c r="XL220" s="128"/>
      <c r="XM220" s="128"/>
      <c r="XN220" s="128"/>
      <c r="XO220" s="128"/>
      <c r="XP220" s="128"/>
      <c r="XQ220" s="128"/>
      <c r="XR220" s="128"/>
      <c r="XS220" s="128"/>
      <c r="XT220" s="128"/>
      <c r="XU220" s="128"/>
      <c r="XV220" s="128"/>
      <c r="XW220" s="128"/>
      <c r="XX220" s="128"/>
      <c r="XY220" s="128"/>
      <c r="XZ220" s="128"/>
      <c r="YA220" s="128"/>
      <c r="YB220" s="128"/>
      <c r="YC220" s="128"/>
      <c r="YD220" s="128"/>
      <c r="YE220" s="128"/>
      <c r="YF220" s="128"/>
      <c r="YG220" s="128"/>
      <c r="YH220" s="128"/>
      <c r="YI220" s="128"/>
      <c r="YJ220" s="128"/>
      <c r="YK220" s="128"/>
      <c r="YL220" s="128"/>
      <c r="YM220" s="128"/>
      <c r="YN220" s="128"/>
      <c r="YO220" s="128"/>
      <c r="YP220" s="128"/>
      <c r="YQ220" s="128"/>
      <c r="YR220" s="128"/>
      <c r="YS220" s="128"/>
      <c r="YT220" s="128"/>
      <c r="YU220" s="128"/>
      <c r="YV220" s="128"/>
      <c r="YW220" s="128"/>
      <c r="YX220" s="128"/>
      <c r="YY220" s="128"/>
      <c r="YZ220" s="128"/>
      <c r="ZA220" s="128"/>
      <c r="ZB220" s="128"/>
      <c r="ZC220" s="128"/>
      <c r="ZD220" s="128"/>
      <c r="ZE220" s="128"/>
      <c r="ZF220" s="128"/>
      <c r="ZG220" s="128"/>
      <c r="ZH220" s="128"/>
      <c r="ZI220" s="128"/>
      <c r="ZJ220" s="128"/>
      <c r="ZK220" s="128"/>
      <c r="ZL220" s="128"/>
      <c r="ZM220" s="128"/>
      <c r="ZN220" s="128"/>
      <c r="ZO220" s="128"/>
      <c r="ZP220" s="128"/>
      <c r="ZQ220" s="128"/>
      <c r="ZR220" s="128"/>
      <c r="ZS220" s="128"/>
      <c r="ZT220" s="128"/>
      <c r="ZU220" s="128"/>
      <c r="ZV220" s="128"/>
      <c r="ZW220" s="128"/>
      <c r="ZX220" s="128"/>
      <c r="ZY220" s="128"/>
      <c r="ZZ220" s="128"/>
      <c r="AAA220" s="128"/>
      <c r="AAB220" s="128"/>
      <c r="AAC220" s="128"/>
      <c r="AAD220" s="128"/>
      <c r="AAE220" s="128"/>
      <c r="AAF220" s="128"/>
      <c r="AAG220" s="128"/>
      <c r="AAH220" s="128"/>
      <c r="AAI220" s="128"/>
      <c r="AAJ220" s="128"/>
      <c r="AAK220" s="128"/>
      <c r="AAL220" s="128"/>
      <c r="AAM220" s="128"/>
      <c r="AAN220" s="128"/>
      <c r="AAO220" s="128"/>
      <c r="AAP220" s="128"/>
      <c r="AAQ220" s="128"/>
      <c r="AAR220" s="128"/>
      <c r="AAS220" s="128"/>
      <c r="AAT220" s="128"/>
      <c r="AAU220" s="128"/>
      <c r="AAV220" s="128"/>
      <c r="AAW220" s="128"/>
      <c r="AAX220" s="128"/>
      <c r="AAY220" s="128"/>
      <c r="AAZ220" s="128"/>
      <c r="ABA220" s="128"/>
      <c r="ABB220" s="128"/>
      <c r="ABC220" s="128"/>
      <c r="ABD220" s="128"/>
      <c r="ABE220" s="128"/>
      <c r="ABF220" s="128"/>
      <c r="ABG220" s="128"/>
      <c r="ABH220" s="128"/>
      <c r="ABI220" s="128"/>
      <c r="ABJ220" s="128"/>
      <c r="ABK220" s="128"/>
      <c r="ABL220" s="128"/>
      <c r="ABM220" s="128"/>
      <c r="ABN220" s="128"/>
      <c r="ABO220" s="128"/>
      <c r="ABP220" s="128"/>
      <c r="ABQ220" s="128"/>
      <c r="ABR220" s="128"/>
      <c r="ABS220" s="128"/>
      <c r="ABT220" s="128"/>
      <c r="ABU220" s="128"/>
      <c r="ABV220" s="128"/>
      <c r="ABW220" s="128"/>
      <c r="ABX220" s="128"/>
      <c r="ABY220" s="128"/>
      <c r="ABZ220" s="128"/>
      <c r="ACA220" s="128"/>
      <c r="ACB220" s="128"/>
      <c r="ACC220" s="128"/>
      <c r="ACD220" s="128"/>
      <c r="ACE220" s="128"/>
      <c r="ACF220" s="128"/>
      <c r="ACG220" s="128"/>
      <c r="ACH220" s="128"/>
      <c r="ACI220" s="128"/>
      <c r="ACJ220" s="128"/>
      <c r="ACK220" s="128"/>
      <c r="ACL220" s="128"/>
      <c r="ACM220" s="128"/>
      <c r="ACN220" s="128"/>
      <c r="ACO220" s="128"/>
      <c r="ACP220" s="128"/>
      <c r="ACQ220" s="128"/>
      <c r="ACR220" s="128"/>
      <c r="ACS220" s="128"/>
      <c r="ACT220" s="128"/>
      <c r="ACU220" s="128"/>
      <c r="ACV220" s="128"/>
      <c r="ACW220" s="128"/>
      <c r="ACX220" s="128"/>
      <c r="ACY220" s="128"/>
      <c r="ACZ220" s="128"/>
      <c r="ADA220" s="128"/>
      <c r="ADB220" s="128"/>
      <c r="ADC220" s="128"/>
      <c r="ADD220" s="128"/>
      <c r="ADE220" s="128"/>
      <c r="ADF220" s="128"/>
      <c r="ADG220" s="128"/>
      <c r="ADH220" s="128"/>
      <c r="ADI220" s="128"/>
      <c r="ADJ220" s="128"/>
      <c r="ADK220" s="128"/>
      <c r="ADL220" s="128"/>
      <c r="ADM220" s="128"/>
      <c r="ADN220" s="128"/>
      <c r="ADO220" s="128"/>
      <c r="ADP220" s="128"/>
      <c r="ADQ220" s="128"/>
      <c r="ADR220" s="128"/>
      <c r="ADS220" s="128"/>
      <c r="ADT220" s="128"/>
      <c r="ADU220" s="128"/>
      <c r="ADV220" s="128"/>
      <c r="ADW220" s="128"/>
      <c r="ADX220" s="128"/>
      <c r="ADY220" s="128"/>
      <c r="ADZ220" s="128"/>
      <c r="AEA220" s="128"/>
      <c r="AEB220" s="128"/>
      <c r="AEC220" s="128"/>
      <c r="AED220" s="128"/>
      <c r="AEE220" s="128"/>
      <c r="AEF220" s="128"/>
      <c r="AEG220" s="128"/>
      <c r="AEH220" s="128"/>
      <c r="AEI220" s="128"/>
      <c r="AEJ220" s="128"/>
      <c r="AEK220" s="128"/>
      <c r="AEL220" s="128"/>
      <c r="AEM220" s="128"/>
      <c r="AEN220" s="128"/>
      <c r="AEO220" s="128"/>
      <c r="AEP220" s="128"/>
      <c r="AEQ220" s="128"/>
      <c r="AER220" s="128"/>
      <c r="AES220" s="128"/>
      <c r="AET220" s="128"/>
      <c r="AEU220" s="128"/>
      <c r="AEV220" s="128"/>
      <c r="AEW220" s="128"/>
      <c r="AEX220" s="128"/>
      <c r="AEY220" s="128"/>
      <c r="AEZ220" s="128"/>
      <c r="AFA220" s="128"/>
      <c r="AFB220" s="128"/>
      <c r="AFC220" s="128"/>
      <c r="AFD220" s="128"/>
      <c r="AFE220" s="128"/>
      <c r="AFF220" s="128"/>
      <c r="AFG220" s="128"/>
      <c r="AFH220" s="128"/>
      <c r="AFI220" s="128"/>
      <c r="AFJ220" s="128"/>
      <c r="AFK220" s="128"/>
      <c r="AFL220" s="128"/>
      <c r="AFM220" s="128"/>
      <c r="AFN220" s="128"/>
      <c r="AFO220" s="128"/>
      <c r="AFP220" s="128"/>
      <c r="AFQ220" s="128"/>
      <c r="AFR220" s="128"/>
      <c r="AFS220" s="128"/>
      <c r="AFT220" s="128"/>
      <c r="AFU220" s="128"/>
      <c r="AFV220" s="128"/>
      <c r="AFW220" s="128"/>
      <c r="AFX220" s="128"/>
      <c r="AFY220" s="128"/>
      <c r="AFZ220" s="128"/>
      <c r="AGA220" s="128"/>
      <c r="AGB220" s="128"/>
      <c r="AGC220" s="128"/>
      <c r="AGD220" s="128"/>
      <c r="AGE220" s="128"/>
      <c r="AGF220" s="128"/>
      <c r="AGG220" s="128"/>
      <c r="AGH220" s="128"/>
      <c r="AGI220" s="128"/>
      <c r="AGJ220" s="128"/>
      <c r="AGK220" s="128"/>
      <c r="AGL220" s="128"/>
      <c r="AGM220" s="128"/>
      <c r="AGN220" s="128"/>
      <c r="AGO220" s="128"/>
      <c r="AGP220" s="128"/>
      <c r="AGQ220" s="128"/>
      <c r="AGR220" s="128"/>
      <c r="AGS220" s="128"/>
      <c r="AGT220" s="128"/>
      <c r="AGU220" s="128"/>
      <c r="AGV220" s="128"/>
      <c r="AGW220" s="128"/>
      <c r="AGX220" s="128"/>
      <c r="AGY220" s="128"/>
      <c r="AGZ220" s="128"/>
      <c r="AHA220" s="128"/>
      <c r="AHB220" s="128"/>
      <c r="AHC220" s="128"/>
      <c r="AHD220" s="128"/>
      <c r="AHE220" s="128"/>
      <c r="AHF220" s="128"/>
      <c r="AHG220" s="128"/>
      <c r="AHH220" s="128"/>
      <c r="AHI220" s="128"/>
      <c r="AHJ220" s="128"/>
      <c r="AHK220" s="128"/>
      <c r="AHL220" s="128"/>
      <c r="AHM220" s="128"/>
      <c r="AHN220" s="128"/>
      <c r="AHO220" s="128"/>
      <c r="AHP220" s="128"/>
      <c r="AHQ220" s="128"/>
      <c r="AHR220" s="128"/>
      <c r="AHS220" s="128"/>
      <c r="AHT220" s="128"/>
      <c r="AHU220" s="128"/>
      <c r="AHV220" s="128"/>
      <c r="AHW220" s="128"/>
      <c r="AHX220" s="128"/>
      <c r="AHY220" s="128"/>
      <c r="AHZ220" s="128"/>
      <c r="AIA220" s="128"/>
      <c r="AIB220" s="128"/>
      <c r="AIC220" s="128"/>
      <c r="AID220" s="128"/>
      <c r="AIE220" s="128"/>
      <c r="AIF220" s="128"/>
      <c r="AIG220" s="128"/>
      <c r="AIH220" s="128"/>
      <c r="AII220" s="128"/>
      <c r="AIJ220" s="128"/>
      <c r="AIK220" s="128"/>
      <c r="AIL220" s="128"/>
      <c r="AIM220" s="128"/>
      <c r="AIN220" s="128"/>
      <c r="AIO220" s="128"/>
      <c r="AIP220" s="128"/>
      <c r="AIQ220" s="128"/>
      <c r="AIR220" s="128"/>
      <c r="AIS220" s="128"/>
      <c r="AIT220" s="128"/>
      <c r="AIU220" s="128"/>
      <c r="AIV220" s="128"/>
      <c r="AIW220" s="128"/>
      <c r="AIX220" s="128"/>
      <c r="AIY220" s="128"/>
      <c r="AIZ220" s="128"/>
      <c r="AJA220" s="128"/>
      <c r="AJB220" s="128"/>
      <c r="AJC220" s="128"/>
      <c r="AJD220" s="128"/>
      <c r="AJE220" s="128"/>
      <c r="AJF220" s="128"/>
      <c r="AJG220" s="128"/>
      <c r="AJH220" s="128"/>
      <c r="AJI220" s="128"/>
      <c r="AJJ220" s="128"/>
      <c r="AJK220" s="128"/>
      <c r="AJL220" s="128"/>
      <c r="AJM220" s="128"/>
      <c r="AJN220" s="128"/>
      <c r="AJO220" s="128"/>
      <c r="AJP220" s="128"/>
      <c r="AJQ220" s="128"/>
      <c r="AJR220" s="128"/>
      <c r="AJS220" s="128"/>
      <c r="AJT220" s="128"/>
      <c r="AJU220" s="128"/>
      <c r="AJV220" s="128"/>
      <c r="AJW220" s="128"/>
      <c r="AJX220" s="128"/>
      <c r="AJY220" s="128"/>
      <c r="AJZ220" s="128"/>
      <c r="AKA220" s="128"/>
      <c r="AKB220" s="128"/>
      <c r="AKC220" s="128"/>
      <c r="AKD220" s="128"/>
      <c r="AKE220" s="128"/>
      <c r="AKF220" s="128"/>
      <c r="AKG220" s="128"/>
      <c r="AKH220" s="128"/>
      <c r="AKI220" s="128"/>
      <c r="AKJ220" s="128"/>
      <c r="AKK220" s="128"/>
      <c r="AKL220" s="128"/>
      <c r="AKM220" s="128"/>
      <c r="AKN220" s="128"/>
      <c r="AKO220" s="128"/>
      <c r="AKP220" s="128"/>
      <c r="AKQ220" s="128"/>
      <c r="AKR220" s="128"/>
      <c r="AKS220" s="128"/>
      <c r="AKT220" s="128"/>
      <c r="AKU220" s="128"/>
      <c r="AKV220" s="128"/>
      <c r="AKW220" s="128"/>
      <c r="AKX220" s="128"/>
      <c r="AKY220" s="128"/>
      <c r="AKZ220" s="128"/>
      <c r="ALA220" s="128"/>
      <c r="ALB220" s="128"/>
      <c r="ALC220" s="128"/>
      <c r="ALD220" s="128"/>
      <c r="ALE220" s="128"/>
      <c r="ALF220" s="128"/>
      <c r="ALG220" s="128"/>
      <c r="ALH220" s="128"/>
      <c r="ALI220" s="128"/>
      <c r="ALJ220" s="128"/>
      <c r="ALK220" s="128"/>
      <c r="ALL220" s="128"/>
      <c r="ALM220" s="128"/>
      <c r="ALN220" s="128"/>
      <c r="ALO220" s="128"/>
      <c r="ALP220" s="128"/>
      <c r="ALQ220" s="128"/>
      <c r="ALR220" s="128"/>
      <c r="ALS220" s="128"/>
      <c r="ALT220" s="128"/>
      <c r="ALU220" s="128"/>
      <c r="ALV220" s="128"/>
      <c r="ALW220" s="128"/>
      <c r="ALX220" s="128"/>
      <c r="ALY220" s="128"/>
      <c r="ALZ220" s="128"/>
      <c r="AMA220"/>
      <c r="AMB220"/>
      <c r="AMC220"/>
      <c r="AMD220"/>
    </row>
    <row r="221" spans="1:1018" s="96" customFormat="1" ht="12" customHeight="1">
      <c r="A221" s="130"/>
      <c r="B221" s="130"/>
      <c r="C221" s="130"/>
      <c r="D221" s="130"/>
      <c r="E221" s="130"/>
      <c r="F221" s="130"/>
      <c r="I221" s="225"/>
      <c r="K221" s="159"/>
      <c r="P221" s="173"/>
      <c r="T221" s="277"/>
      <c r="X221"/>
      <c r="Y221" s="179"/>
      <c r="AA221" s="159"/>
      <c r="AC221"/>
      <c r="AE221" s="128"/>
      <c r="AF221"/>
      <c r="AG221" s="128"/>
      <c r="AH221" s="128"/>
      <c r="AI221" s="128"/>
      <c r="AJ221" s="128"/>
      <c r="AK221" s="128"/>
      <c r="AL221" s="128"/>
      <c r="AM221" s="128"/>
      <c r="AN221" s="128"/>
      <c r="AO221" s="128"/>
      <c r="AP221" s="128"/>
      <c r="AQ221" s="128"/>
      <c r="AR221" s="128"/>
      <c r="AS221" s="128"/>
      <c r="AT221" s="128"/>
      <c r="AU221" s="128"/>
      <c r="AV221" s="128"/>
      <c r="AW221" s="128"/>
      <c r="AX221" s="128"/>
      <c r="AY221" s="128"/>
      <c r="AZ221" s="128"/>
      <c r="BA221" s="128"/>
      <c r="BB221" s="128"/>
      <c r="BC221" s="128"/>
      <c r="BD221" s="128"/>
      <c r="BE221" s="128"/>
      <c r="BF221" s="128"/>
      <c r="BG221" s="128"/>
      <c r="BH221" s="128"/>
      <c r="BI221" s="128"/>
      <c r="BJ221" s="128"/>
      <c r="BK221" s="128"/>
      <c r="BL221" s="128"/>
      <c r="BM221" s="128"/>
      <c r="BN221" s="128"/>
      <c r="BO221" s="128"/>
      <c r="BP221" s="128"/>
      <c r="BQ221" s="128"/>
      <c r="BR221" s="128"/>
      <c r="BS221" s="128"/>
      <c r="BT221" s="128"/>
      <c r="BU221" s="128"/>
      <c r="BV221" s="128"/>
      <c r="BW221" s="128"/>
      <c r="BX221" s="128"/>
      <c r="BY221" s="128"/>
      <c r="BZ221" s="128"/>
      <c r="CA221" s="128"/>
      <c r="CB221" s="128"/>
      <c r="CC221" s="128"/>
      <c r="CD221" s="128"/>
      <c r="CE221" s="128"/>
      <c r="CF221" s="128"/>
      <c r="CG221" s="128"/>
      <c r="CH221" s="128"/>
      <c r="CI221" s="128"/>
      <c r="CJ221" s="128"/>
      <c r="CK221" s="128"/>
      <c r="CL221" s="128"/>
      <c r="CM221" s="128"/>
      <c r="CN221" s="128"/>
      <c r="CO221" s="128"/>
      <c r="CP221" s="128"/>
      <c r="CQ221" s="128"/>
      <c r="CR221" s="128"/>
      <c r="CS221" s="128"/>
      <c r="CT221" s="128"/>
      <c r="CU221" s="128"/>
      <c r="CV221" s="128"/>
      <c r="CW221" s="128"/>
      <c r="CX221" s="128"/>
      <c r="CY221" s="128"/>
      <c r="CZ221" s="128"/>
      <c r="DA221" s="128"/>
      <c r="DB221" s="128"/>
      <c r="DC221" s="128"/>
      <c r="DD221" s="128"/>
      <c r="DE221" s="128"/>
      <c r="DF221" s="128"/>
      <c r="DG221" s="128"/>
      <c r="DH221" s="128"/>
      <c r="DI221" s="128"/>
      <c r="DJ221" s="128"/>
      <c r="DK221" s="128"/>
      <c r="DL221" s="128"/>
      <c r="DM221" s="128"/>
      <c r="DN221" s="128"/>
      <c r="DO221" s="128"/>
      <c r="DP221" s="128"/>
      <c r="DQ221" s="128"/>
      <c r="DR221" s="128"/>
      <c r="DS221" s="128"/>
      <c r="DT221" s="128"/>
      <c r="DU221" s="128"/>
      <c r="DV221" s="128"/>
      <c r="DW221" s="128"/>
      <c r="DX221" s="128"/>
      <c r="DY221" s="128"/>
      <c r="DZ221" s="128"/>
      <c r="EA221" s="128"/>
      <c r="EB221" s="128"/>
      <c r="EC221" s="128"/>
      <c r="ED221" s="128"/>
      <c r="EE221" s="128"/>
      <c r="EF221" s="128"/>
      <c r="EG221" s="128"/>
      <c r="EH221" s="128"/>
      <c r="EI221" s="128"/>
      <c r="EJ221" s="128"/>
      <c r="EK221" s="128"/>
      <c r="EL221" s="128"/>
      <c r="EM221" s="128"/>
      <c r="EN221" s="128"/>
      <c r="EO221" s="128"/>
      <c r="EP221" s="128"/>
      <c r="EQ221" s="128"/>
      <c r="ER221" s="128"/>
      <c r="ES221" s="128"/>
      <c r="ET221" s="128"/>
      <c r="EU221" s="128"/>
      <c r="EV221" s="128"/>
      <c r="EW221" s="128"/>
      <c r="EX221" s="128"/>
      <c r="EY221" s="128"/>
      <c r="EZ221" s="128"/>
      <c r="FA221" s="128"/>
      <c r="FB221" s="128"/>
      <c r="FC221" s="128"/>
      <c r="FD221" s="128"/>
      <c r="FE221" s="128"/>
      <c r="FF221" s="128"/>
      <c r="FG221" s="128"/>
      <c r="FH221" s="128"/>
      <c r="FI221" s="128"/>
      <c r="FJ221" s="128"/>
      <c r="FK221" s="128"/>
      <c r="FL221" s="128"/>
      <c r="FM221" s="128"/>
      <c r="FN221" s="128"/>
      <c r="FO221" s="128"/>
      <c r="FP221" s="128"/>
      <c r="FQ221" s="128"/>
      <c r="FR221" s="128"/>
      <c r="FS221" s="128"/>
      <c r="FT221" s="128"/>
      <c r="FU221" s="128"/>
      <c r="FV221" s="128"/>
      <c r="FW221" s="128"/>
      <c r="FX221" s="128"/>
      <c r="FY221" s="128"/>
      <c r="FZ221" s="128"/>
      <c r="GA221" s="128"/>
      <c r="GB221" s="128"/>
      <c r="GC221" s="128"/>
      <c r="GD221" s="128"/>
      <c r="GE221" s="128"/>
      <c r="GF221" s="128"/>
      <c r="GG221" s="128"/>
      <c r="GH221" s="128"/>
      <c r="GI221" s="128"/>
      <c r="GJ221" s="128"/>
      <c r="GK221" s="128"/>
      <c r="GL221" s="128"/>
      <c r="GM221" s="128"/>
      <c r="GN221" s="128"/>
      <c r="GO221" s="128"/>
      <c r="GP221" s="128"/>
      <c r="GQ221" s="128"/>
      <c r="GR221" s="128"/>
      <c r="GS221" s="128"/>
      <c r="GT221" s="128"/>
      <c r="GU221" s="128"/>
      <c r="GV221" s="128"/>
      <c r="GW221" s="128"/>
      <c r="GX221" s="128"/>
      <c r="GY221" s="128"/>
      <c r="GZ221" s="128"/>
      <c r="HA221" s="128"/>
      <c r="HB221" s="128"/>
      <c r="HC221" s="128"/>
      <c r="HD221" s="128"/>
      <c r="HE221" s="128"/>
      <c r="HF221" s="128"/>
      <c r="HG221" s="128"/>
      <c r="HH221" s="128"/>
      <c r="HI221" s="128"/>
      <c r="HJ221" s="128"/>
      <c r="HK221" s="128"/>
      <c r="HL221" s="128"/>
      <c r="HM221" s="128"/>
      <c r="HN221" s="128"/>
      <c r="HO221" s="128"/>
      <c r="HP221" s="128"/>
      <c r="HQ221" s="128"/>
      <c r="HR221" s="128"/>
      <c r="HS221" s="128"/>
      <c r="HT221" s="128"/>
      <c r="HU221" s="128"/>
      <c r="HV221" s="128"/>
      <c r="HW221" s="128"/>
      <c r="HX221" s="128"/>
      <c r="HY221" s="128"/>
      <c r="HZ221" s="128"/>
      <c r="IA221" s="128"/>
      <c r="IB221" s="128"/>
      <c r="IC221" s="128"/>
      <c r="ID221" s="128"/>
      <c r="IE221" s="128"/>
      <c r="IF221" s="128"/>
      <c r="IG221" s="128"/>
      <c r="IH221" s="128"/>
      <c r="II221" s="128"/>
      <c r="IJ221" s="128"/>
      <c r="IK221" s="128"/>
      <c r="IL221" s="128"/>
      <c r="IM221" s="128"/>
      <c r="IN221" s="128"/>
      <c r="IO221" s="128"/>
      <c r="IP221" s="128"/>
      <c r="IQ221" s="128"/>
      <c r="IR221" s="128"/>
      <c r="IS221" s="128"/>
      <c r="IT221" s="128"/>
      <c r="IU221" s="128"/>
      <c r="IV221" s="128"/>
      <c r="IW221" s="128"/>
      <c r="IX221" s="128"/>
      <c r="IY221" s="128"/>
      <c r="IZ221" s="128"/>
      <c r="JA221" s="128"/>
      <c r="JB221" s="128"/>
      <c r="JC221" s="128"/>
      <c r="JD221" s="128"/>
      <c r="JE221" s="128"/>
      <c r="JF221" s="128"/>
      <c r="JG221" s="128"/>
      <c r="JH221" s="128"/>
      <c r="JI221" s="128"/>
      <c r="JJ221" s="128"/>
      <c r="JK221" s="128"/>
      <c r="JL221" s="128"/>
      <c r="JM221" s="128"/>
      <c r="JN221" s="128"/>
      <c r="JO221" s="128"/>
      <c r="JP221" s="128"/>
      <c r="JQ221" s="128"/>
      <c r="JR221" s="128"/>
      <c r="JS221" s="128"/>
      <c r="JT221" s="128"/>
      <c r="JU221" s="128"/>
      <c r="JV221" s="128"/>
      <c r="JW221" s="128"/>
      <c r="JX221" s="128"/>
      <c r="JY221" s="128"/>
      <c r="JZ221" s="128"/>
      <c r="KA221" s="128"/>
      <c r="KB221" s="128"/>
      <c r="KC221" s="128"/>
      <c r="KD221" s="128"/>
      <c r="KE221" s="128"/>
      <c r="KF221" s="128"/>
      <c r="KG221" s="128"/>
      <c r="KH221" s="128"/>
      <c r="KI221" s="128"/>
      <c r="KJ221" s="128"/>
      <c r="KK221" s="128"/>
      <c r="KL221" s="128"/>
      <c r="KM221" s="128"/>
      <c r="KN221" s="128"/>
      <c r="KO221" s="128"/>
      <c r="KP221" s="128"/>
      <c r="KQ221" s="128"/>
      <c r="KR221" s="128"/>
      <c r="KS221" s="128"/>
      <c r="KT221" s="128"/>
      <c r="KU221" s="128"/>
      <c r="KV221" s="128"/>
      <c r="KW221" s="128"/>
      <c r="KX221" s="128"/>
      <c r="KY221" s="128"/>
      <c r="KZ221" s="128"/>
      <c r="LA221" s="128"/>
      <c r="LB221" s="128"/>
      <c r="LC221" s="128"/>
      <c r="LD221" s="128"/>
      <c r="LE221" s="128"/>
      <c r="LF221" s="128"/>
      <c r="LG221" s="128"/>
      <c r="LH221" s="128"/>
      <c r="LI221" s="128"/>
      <c r="LJ221" s="128"/>
      <c r="LK221" s="128"/>
      <c r="LL221" s="128"/>
      <c r="LM221" s="128"/>
      <c r="LN221" s="128"/>
      <c r="LO221" s="128"/>
      <c r="LP221" s="128"/>
      <c r="LQ221" s="128"/>
      <c r="LR221" s="128"/>
      <c r="LS221" s="128"/>
      <c r="LT221" s="128"/>
      <c r="LU221" s="128"/>
      <c r="LV221" s="128"/>
      <c r="LW221" s="128"/>
      <c r="LX221" s="128"/>
      <c r="LY221" s="128"/>
      <c r="LZ221" s="128"/>
      <c r="MA221" s="128"/>
      <c r="MB221" s="128"/>
      <c r="MC221" s="128"/>
      <c r="MD221" s="128"/>
      <c r="ME221" s="128"/>
      <c r="MF221" s="128"/>
      <c r="MG221" s="128"/>
      <c r="MH221" s="128"/>
      <c r="MI221" s="128"/>
      <c r="MJ221" s="128"/>
      <c r="MK221" s="128"/>
      <c r="ML221" s="128"/>
      <c r="MM221" s="128"/>
      <c r="MN221" s="128"/>
      <c r="MO221" s="128"/>
      <c r="MP221" s="128"/>
      <c r="MQ221" s="128"/>
      <c r="MR221" s="128"/>
      <c r="MS221" s="128"/>
      <c r="MT221" s="128"/>
      <c r="MU221" s="128"/>
      <c r="MV221" s="128"/>
      <c r="MW221" s="128"/>
      <c r="MX221" s="128"/>
      <c r="MY221" s="128"/>
      <c r="MZ221" s="128"/>
      <c r="NA221" s="128"/>
      <c r="NB221" s="128"/>
      <c r="NC221" s="128"/>
      <c r="ND221" s="128"/>
      <c r="NE221" s="128"/>
      <c r="NF221" s="128"/>
      <c r="NG221" s="128"/>
      <c r="NH221" s="128"/>
      <c r="NI221" s="128"/>
      <c r="NJ221" s="128"/>
      <c r="NK221" s="128"/>
      <c r="NL221" s="128"/>
      <c r="NM221" s="128"/>
      <c r="NN221" s="128"/>
      <c r="NO221" s="128"/>
      <c r="NP221" s="128"/>
      <c r="NQ221" s="128"/>
      <c r="NR221" s="128"/>
      <c r="NS221" s="128"/>
      <c r="NT221" s="128"/>
      <c r="NU221" s="128"/>
      <c r="NV221" s="128"/>
      <c r="NW221" s="128"/>
      <c r="NX221" s="128"/>
      <c r="NY221" s="128"/>
      <c r="NZ221" s="128"/>
      <c r="OA221" s="128"/>
      <c r="OB221" s="128"/>
      <c r="OC221" s="128"/>
      <c r="OD221" s="128"/>
      <c r="OE221" s="128"/>
      <c r="OF221" s="128"/>
      <c r="OG221" s="128"/>
      <c r="OH221" s="128"/>
      <c r="OI221" s="128"/>
      <c r="OJ221" s="128"/>
      <c r="OK221" s="128"/>
      <c r="OL221" s="128"/>
      <c r="OM221" s="128"/>
      <c r="ON221" s="128"/>
      <c r="OO221" s="128"/>
      <c r="OP221" s="128"/>
      <c r="OQ221" s="128"/>
      <c r="OR221" s="128"/>
      <c r="OS221" s="128"/>
      <c r="OT221" s="128"/>
      <c r="OU221" s="128"/>
      <c r="OV221" s="128"/>
      <c r="OW221" s="128"/>
      <c r="OX221" s="128"/>
      <c r="OY221" s="128"/>
      <c r="OZ221" s="128"/>
      <c r="PA221" s="128"/>
      <c r="PB221" s="128"/>
      <c r="PC221" s="128"/>
      <c r="PD221" s="128"/>
      <c r="PE221" s="128"/>
      <c r="PF221" s="128"/>
      <c r="PG221" s="128"/>
      <c r="PH221" s="128"/>
      <c r="PI221" s="128"/>
      <c r="PJ221" s="128"/>
      <c r="PK221" s="128"/>
      <c r="PL221" s="128"/>
      <c r="PM221" s="128"/>
      <c r="PN221" s="128"/>
      <c r="PO221" s="128"/>
      <c r="PP221" s="128"/>
      <c r="PQ221" s="128"/>
      <c r="PR221" s="128"/>
      <c r="PS221" s="128"/>
      <c r="PT221" s="128"/>
      <c r="PU221" s="128"/>
      <c r="PV221" s="128"/>
      <c r="PW221" s="128"/>
      <c r="PX221" s="128"/>
      <c r="PY221" s="128"/>
      <c r="PZ221" s="128"/>
      <c r="QA221" s="128"/>
      <c r="QB221" s="128"/>
      <c r="QC221" s="128"/>
      <c r="QD221" s="128"/>
      <c r="QE221" s="128"/>
      <c r="QF221" s="128"/>
      <c r="QG221" s="128"/>
      <c r="QH221" s="128"/>
      <c r="QI221" s="128"/>
      <c r="QJ221" s="128"/>
      <c r="QK221" s="128"/>
      <c r="QL221" s="128"/>
      <c r="QM221" s="128"/>
      <c r="QN221" s="128"/>
      <c r="QO221" s="128"/>
      <c r="QP221" s="128"/>
      <c r="QQ221" s="128"/>
      <c r="QR221" s="128"/>
      <c r="QS221" s="128"/>
      <c r="QT221" s="128"/>
      <c r="QU221" s="128"/>
      <c r="QV221" s="128"/>
      <c r="QW221" s="128"/>
      <c r="QX221" s="128"/>
      <c r="QY221" s="128"/>
      <c r="QZ221" s="128"/>
      <c r="RA221" s="128"/>
      <c r="RB221" s="128"/>
      <c r="RC221" s="128"/>
      <c r="RD221" s="128"/>
      <c r="RE221" s="128"/>
      <c r="RF221" s="128"/>
      <c r="RG221" s="128"/>
      <c r="RH221" s="128"/>
      <c r="RI221" s="128"/>
      <c r="RJ221" s="128"/>
      <c r="RK221" s="128"/>
      <c r="RL221" s="128"/>
      <c r="RM221" s="128"/>
      <c r="RN221" s="128"/>
      <c r="RO221" s="128"/>
      <c r="RP221" s="128"/>
      <c r="RQ221" s="128"/>
      <c r="RR221" s="128"/>
      <c r="RS221" s="128"/>
      <c r="RT221" s="128"/>
      <c r="RU221" s="128"/>
      <c r="RV221" s="128"/>
      <c r="RW221" s="128"/>
      <c r="RX221" s="128"/>
      <c r="RY221" s="128"/>
      <c r="RZ221" s="128"/>
      <c r="SA221" s="128"/>
      <c r="SB221" s="128"/>
      <c r="SC221" s="128"/>
      <c r="SD221" s="128"/>
      <c r="SE221" s="128"/>
      <c r="SF221" s="128"/>
      <c r="SG221" s="128"/>
      <c r="SH221" s="128"/>
      <c r="SI221" s="128"/>
      <c r="SJ221" s="128"/>
      <c r="SK221" s="128"/>
      <c r="SL221" s="128"/>
      <c r="SM221" s="128"/>
      <c r="SN221" s="128"/>
      <c r="SO221" s="128"/>
      <c r="SP221" s="128"/>
      <c r="SQ221" s="128"/>
      <c r="SR221" s="128"/>
      <c r="SS221" s="128"/>
      <c r="ST221" s="128"/>
      <c r="SU221" s="128"/>
      <c r="SV221" s="128"/>
      <c r="SW221" s="128"/>
      <c r="SX221" s="128"/>
      <c r="SY221" s="128"/>
      <c r="SZ221" s="128"/>
      <c r="TA221" s="128"/>
      <c r="TB221" s="128"/>
      <c r="TC221" s="128"/>
      <c r="TD221" s="128"/>
      <c r="TE221" s="128"/>
      <c r="TF221" s="128"/>
      <c r="TG221" s="128"/>
      <c r="TH221" s="128"/>
      <c r="TI221" s="128"/>
      <c r="TJ221" s="128"/>
      <c r="TK221" s="128"/>
      <c r="TL221" s="128"/>
      <c r="TM221" s="128"/>
      <c r="TN221" s="128"/>
      <c r="TO221" s="128"/>
      <c r="TP221" s="128"/>
      <c r="TQ221" s="128"/>
      <c r="TR221" s="128"/>
      <c r="TS221" s="128"/>
      <c r="TT221" s="128"/>
      <c r="TU221" s="128"/>
      <c r="TV221" s="128"/>
      <c r="TW221" s="128"/>
      <c r="TX221" s="128"/>
      <c r="TY221" s="128"/>
      <c r="TZ221" s="128"/>
      <c r="UA221" s="128"/>
      <c r="UB221" s="128"/>
      <c r="UC221" s="128"/>
      <c r="UD221" s="128"/>
      <c r="UE221" s="128"/>
      <c r="UF221" s="128"/>
      <c r="UG221" s="128"/>
      <c r="UH221" s="128"/>
      <c r="UI221" s="128"/>
      <c r="UJ221" s="128"/>
      <c r="UK221" s="128"/>
      <c r="UL221" s="128"/>
      <c r="UM221" s="128"/>
      <c r="UN221" s="128"/>
      <c r="UO221" s="128"/>
      <c r="UP221" s="128"/>
      <c r="UQ221" s="128"/>
      <c r="UR221" s="128"/>
      <c r="US221" s="128"/>
      <c r="UT221" s="128"/>
      <c r="UU221" s="128"/>
      <c r="UV221" s="128"/>
      <c r="UW221" s="128"/>
      <c r="UX221" s="128"/>
      <c r="UY221" s="128"/>
      <c r="UZ221" s="128"/>
      <c r="VA221" s="128"/>
      <c r="VB221" s="128"/>
      <c r="VC221" s="128"/>
      <c r="VD221" s="128"/>
      <c r="VE221" s="128"/>
      <c r="VF221" s="128"/>
      <c r="VG221" s="128"/>
      <c r="VH221" s="128"/>
      <c r="VI221" s="128"/>
      <c r="VJ221" s="128"/>
      <c r="VK221" s="128"/>
      <c r="VL221" s="128"/>
      <c r="VM221" s="128"/>
      <c r="VN221" s="128"/>
      <c r="VO221" s="128"/>
      <c r="VP221" s="128"/>
      <c r="VQ221" s="128"/>
      <c r="VR221" s="128"/>
      <c r="VS221" s="128"/>
      <c r="VT221" s="128"/>
      <c r="VU221" s="128"/>
      <c r="VV221" s="128"/>
      <c r="VW221" s="128"/>
      <c r="VX221" s="128"/>
      <c r="VY221" s="128"/>
      <c r="VZ221" s="128"/>
      <c r="WA221" s="128"/>
      <c r="WB221" s="128"/>
      <c r="WC221" s="128"/>
      <c r="WD221" s="128"/>
      <c r="WE221" s="128"/>
      <c r="WF221" s="128"/>
      <c r="WG221" s="128"/>
      <c r="WH221" s="128"/>
      <c r="WI221" s="128"/>
      <c r="WJ221" s="128"/>
      <c r="WK221" s="128"/>
      <c r="WL221" s="128"/>
      <c r="WM221" s="128"/>
      <c r="WN221" s="128"/>
      <c r="WO221" s="128"/>
      <c r="WP221" s="128"/>
      <c r="WQ221" s="128"/>
      <c r="WR221" s="128"/>
      <c r="WS221" s="128"/>
      <c r="WT221" s="128"/>
      <c r="WU221" s="128"/>
      <c r="WV221" s="128"/>
      <c r="WW221" s="128"/>
      <c r="WX221" s="128"/>
      <c r="WY221" s="128"/>
      <c r="WZ221" s="128"/>
      <c r="XA221" s="128"/>
      <c r="XB221" s="128"/>
      <c r="XC221" s="128"/>
      <c r="XD221" s="128"/>
      <c r="XE221" s="128"/>
      <c r="XF221" s="128"/>
      <c r="XG221" s="128"/>
      <c r="XH221" s="128"/>
      <c r="XI221" s="128"/>
      <c r="XJ221" s="128"/>
      <c r="XK221" s="128"/>
      <c r="XL221" s="128"/>
      <c r="XM221" s="128"/>
      <c r="XN221" s="128"/>
      <c r="XO221" s="128"/>
      <c r="XP221" s="128"/>
      <c r="XQ221" s="128"/>
      <c r="XR221" s="128"/>
      <c r="XS221" s="128"/>
      <c r="XT221" s="128"/>
      <c r="XU221" s="128"/>
      <c r="XV221" s="128"/>
      <c r="XW221" s="128"/>
      <c r="XX221" s="128"/>
      <c r="XY221" s="128"/>
      <c r="XZ221" s="128"/>
      <c r="YA221" s="128"/>
      <c r="YB221" s="128"/>
      <c r="YC221" s="128"/>
      <c r="YD221" s="128"/>
      <c r="YE221" s="128"/>
      <c r="YF221" s="128"/>
      <c r="YG221" s="128"/>
      <c r="YH221" s="128"/>
      <c r="YI221" s="128"/>
      <c r="YJ221" s="128"/>
      <c r="YK221" s="128"/>
      <c r="YL221" s="128"/>
      <c r="YM221" s="128"/>
      <c r="YN221" s="128"/>
      <c r="YO221" s="128"/>
      <c r="YP221" s="128"/>
      <c r="YQ221" s="128"/>
      <c r="YR221" s="128"/>
      <c r="YS221" s="128"/>
      <c r="YT221" s="128"/>
      <c r="YU221" s="128"/>
      <c r="YV221" s="128"/>
      <c r="YW221" s="128"/>
      <c r="YX221" s="128"/>
      <c r="YY221" s="128"/>
      <c r="YZ221" s="128"/>
      <c r="ZA221" s="128"/>
      <c r="ZB221" s="128"/>
      <c r="ZC221" s="128"/>
      <c r="ZD221" s="128"/>
      <c r="ZE221" s="128"/>
      <c r="ZF221" s="128"/>
      <c r="ZG221" s="128"/>
      <c r="ZH221" s="128"/>
      <c r="ZI221" s="128"/>
      <c r="ZJ221" s="128"/>
      <c r="ZK221" s="128"/>
      <c r="ZL221" s="128"/>
      <c r="ZM221" s="128"/>
      <c r="ZN221" s="128"/>
      <c r="ZO221" s="128"/>
      <c r="ZP221" s="128"/>
      <c r="ZQ221" s="128"/>
      <c r="ZR221" s="128"/>
      <c r="ZS221" s="128"/>
      <c r="ZT221" s="128"/>
      <c r="ZU221" s="128"/>
      <c r="ZV221" s="128"/>
      <c r="ZW221" s="128"/>
      <c r="ZX221" s="128"/>
      <c r="ZY221" s="128"/>
      <c r="ZZ221" s="128"/>
      <c r="AAA221" s="128"/>
      <c r="AAB221" s="128"/>
      <c r="AAC221" s="128"/>
      <c r="AAD221" s="128"/>
      <c r="AAE221" s="128"/>
      <c r="AAF221" s="128"/>
      <c r="AAG221" s="128"/>
      <c r="AAH221" s="128"/>
      <c r="AAI221" s="128"/>
      <c r="AAJ221" s="128"/>
      <c r="AAK221" s="128"/>
      <c r="AAL221" s="128"/>
      <c r="AAM221" s="128"/>
      <c r="AAN221" s="128"/>
      <c r="AAO221" s="128"/>
      <c r="AAP221" s="128"/>
      <c r="AAQ221" s="128"/>
      <c r="AAR221" s="128"/>
      <c r="AAS221" s="128"/>
      <c r="AAT221" s="128"/>
      <c r="AAU221" s="128"/>
      <c r="AAV221" s="128"/>
      <c r="AAW221" s="128"/>
      <c r="AAX221" s="128"/>
      <c r="AAY221" s="128"/>
      <c r="AAZ221" s="128"/>
      <c r="ABA221" s="128"/>
      <c r="ABB221" s="128"/>
      <c r="ABC221" s="128"/>
      <c r="ABD221" s="128"/>
      <c r="ABE221" s="128"/>
      <c r="ABF221" s="128"/>
      <c r="ABG221" s="128"/>
      <c r="ABH221" s="128"/>
      <c r="ABI221" s="128"/>
      <c r="ABJ221" s="128"/>
      <c r="ABK221" s="128"/>
      <c r="ABL221" s="128"/>
      <c r="ABM221" s="128"/>
      <c r="ABN221" s="128"/>
      <c r="ABO221" s="128"/>
      <c r="ABP221" s="128"/>
      <c r="ABQ221" s="128"/>
      <c r="ABR221" s="128"/>
      <c r="ABS221" s="128"/>
      <c r="ABT221" s="128"/>
      <c r="ABU221" s="128"/>
      <c r="ABV221" s="128"/>
      <c r="ABW221" s="128"/>
      <c r="ABX221" s="128"/>
      <c r="ABY221" s="128"/>
      <c r="ABZ221" s="128"/>
      <c r="ACA221" s="128"/>
      <c r="ACB221" s="128"/>
      <c r="ACC221" s="128"/>
      <c r="ACD221" s="128"/>
      <c r="ACE221" s="128"/>
      <c r="ACF221" s="128"/>
      <c r="ACG221" s="128"/>
      <c r="ACH221" s="128"/>
      <c r="ACI221" s="128"/>
      <c r="ACJ221" s="128"/>
      <c r="ACK221" s="128"/>
      <c r="ACL221" s="128"/>
      <c r="ACM221" s="128"/>
      <c r="ACN221" s="128"/>
      <c r="ACO221" s="128"/>
      <c r="ACP221" s="128"/>
      <c r="ACQ221" s="128"/>
      <c r="ACR221" s="128"/>
      <c r="ACS221" s="128"/>
      <c r="ACT221" s="128"/>
      <c r="ACU221" s="128"/>
      <c r="ACV221" s="128"/>
      <c r="ACW221" s="128"/>
      <c r="ACX221" s="128"/>
      <c r="ACY221" s="128"/>
      <c r="ACZ221" s="128"/>
      <c r="ADA221" s="128"/>
      <c r="ADB221" s="128"/>
      <c r="ADC221" s="128"/>
      <c r="ADD221" s="128"/>
      <c r="ADE221" s="128"/>
      <c r="ADF221" s="128"/>
      <c r="ADG221" s="128"/>
      <c r="ADH221" s="128"/>
      <c r="ADI221" s="128"/>
      <c r="ADJ221" s="128"/>
      <c r="ADK221" s="128"/>
      <c r="ADL221" s="128"/>
      <c r="ADM221" s="128"/>
      <c r="ADN221" s="128"/>
      <c r="ADO221" s="128"/>
      <c r="ADP221" s="128"/>
      <c r="ADQ221" s="128"/>
      <c r="ADR221" s="128"/>
      <c r="ADS221" s="128"/>
      <c r="ADT221" s="128"/>
      <c r="ADU221" s="128"/>
      <c r="ADV221" s="128"/>
      <c r="ADW221" s="128"/>
      <c r="ADX221" s="128"/>
      <c r="ADY221" s="128"/>
      <c r="ADZ221" s="128"/>
      <c r="AEA221" s="128"/>
      <c r="AEB221" s="128"/>
      <c r="AEC221" s="128"/>
      <c r="AED221" s="128"/>
      <c r="AEE221" s="128"/>
      <c r="AEF221" s="128"/>
      <c r="AEG221" s="128"/>
      <c r="AEH221" s="128"/>
      <c r="AEI221" s="128"/>
      <c r="AEJ221" s="128"/>
      <c r="AEK221" s="128"/>
      <c r="AEL221" s="128"/>
      <c r="AEM221" s="128"/>
      <c r="AEN221" s="128"/>
      <c r="AEO221" s="128"/>
      <c r="AEP221" s="128"/>
      <c r="AEQ221" s="128"/>
      <c r="AER221" s="128"/>
      <c r="AES221" s="128"/>
      <c r="AET221" s="128"/>
      <c r="AEU221" s="128"/>
      <c r="AEV221" s="128"/>
      <c r="AEW221" s="128"/>
      <c r="AEX221" s="128"/>
      <c r="AEY221" s="128"/>
      <c r="AEZ221" s="128"/>
      <c r="AFA221" s="128"/>
      <c r="AFB221" s="128"/>
      <c r="AFC221" s="128"/>
      <c r="AFD221" s="128"/>
      <c r="AFE221" s="128"/>
      <c r="AFF221" s="128"/>
      <c r="AFG221" s="128"/>
      <c r="AFH221" s="128"/>
      <c r="AFI221" s="128"/>
      <c r="AFJ221" s="128"/>
      <c r="AFK221" s="128"/>
      <c r="AFL221" s="128"/>
      <c r="AFM221" s="128"/>
      <c r="AFN221" s="128"/>
      <c r="AFO221" s="128"/>
      <c r="AFP221" s="128"/>
      <c r="AFQ221" s="128"/>
      <c r="AFR221" s="128"/>
      <c r="AFS221" s="128"/>
      <c r="AFT221" s="128"/>
      <c r="AFU221" s="128"/>
      <c r="AFV221" s="128"/>
      <c r="AFW221" s="128"/>
      <c r="AFX221" s="128"/>
      <c r="AFY221" s="128"/>
      <c r="AFZ221" s="128"/>
      <c r="AGA221" s="128"/>
      <c r="AGB221" s="128"/>
      <c r="AGC221" s="128"/>
      <c r="AGD221" s="128"/>
      <c r="AGE221" s="128"/>
      <c r="AGF221" s="128"/>
      <c r="AGG221" s="128"/>
      <c r="AGH221" s="128"/>
      <c r="AGI221" s="128"/>
      <c r="AGJ221" s="128"/>
      <c r="AGK221" s="128"/>
      <c r="AGL221" s="128"/>
      <c r="AGM221" s="128"/>
      <c r="AGN221" s="128"/>
      <c r="AGO221" s="128"/>
      <c r="AGP221" s="128"/>
      <c r="AGQ221" s="128"/>
      <c r="AGR221" s="128"/>
      <c r="AGS221" s="128"/>
      <c r="AGT221" s="128"/>
      <c r="AGU221" s="128"/>
      <c r="AGV221" s="128"/>
      <c r="AGW221" s="128"/>
      <c r="AGX221" s="128"/>
      <c r="AGY221" s="128"/>
      <c r="AGZ221" s="128"/>
      <c r="AHA221" s="128"/>
      <c r="AHB221" s="128"/>
      <c r="AHC221" s="128"/>
      <c r="AHD221" s="128"/>
      <c r="AHE221" s="128"/>
      <c r="AHF221" s="128"/>
      <c r="AHG221" s="128"/>
      <c r="AHH221" s="128"/>
      <c r="AHI221" s="128"/>
      <c r="AHJ221" s="128"/>
      <c r="AHK221" s="128"/>
      <c r="AHL221" s="128"/>
      <c r="AHM221" s="128"/>
      <c r="AHN221" s="128"/>
      <c r="AHO221" s="128"/>
      <c r="AHP221" s="128"/>
      <c r="AHQ221" s="128"/>
      <c r="AHR221" s="128"/>
      <c r="AHS221" s="128"/>
      <c r="AHT221" s="128"/>
      <c r="AHU221" s="128"/>
      <c r="AHV221" s="128"/>
      <c r="AHW221" s="128"/>
      <c r="AHX221" s="128"/>
      <c r="AHY221" s="128"/>
      <c r="AHZ221" s="128"/>
      <c r="AIA221" s="128"/>
      <c r="AIB221" s="128"/>
      <c r="AIC221" s="128"/>
      <c r="AID221" s="128"/>
      <c r="AIE221" s="128"/>
      <c r="AIF221" s="128"/>
      <c r="AIG221" s="128"/>
      <c r="AIH221" s="128"/>
      <c r="AII221" s="128"/>
      <c r="AIJ221" s="128"/>
      <c r="AIK221" s="128"/>
      <c r="AIL221" s="128"/>
      <c r="AIM221" s="128"/>
      <c r="AIN221" s="128"/>
      <c r="AIO221" s="128"/>
      <c r="AIP221" s="128"/>
      <c r="AIQ221" s="128"/>
      <c r="AIR221" s="128"/>
      <c r="AIS221" s="128"/>
      <c r="AIT221" s="128"/>
      <c r="AIU221" s="128"/>
      <c r="AIV221" s="128"/>
      <c r="AIW221" s="128"/>
      <c r="AIX221" s="128"/>
      <c r="AIY221" s="128"/>
      <c r="AIZ221" s="128"/>
      <c r="AJA221" s="128"/>
      <c r="AJB221" s="128"/>
      <c r="AJC221" s="128"/>
      <c r="AJD221" s="128"/>
      <c r="AJE221" s="128"/>
      <c r="AJF221" s="128"/>
      <c r="AJG221" s="128"/>
      <c r="AJH221" s="128"/>
      <c r="AJI221" s="128"/>
      <c r="AJJ221" s="128"/>
      <c r="AJK221" s="128"/>
      <c r="AJL221" s="128"/>
      <c r="AJM221" s="128"/>
      <c r="AJN221" s="128"/>
      <c r="AJO221" s="128"/>
      <c r="AJP221" s="128"/>
      <c r="AJQ221" s="128"/>
      <c r="AJR221" s="128"/>
      <c r="AJS221" s="128"/>
      <c r="AJT221" s="128"/>
      <c r="AJU221" s="128"/>
      <c r="AJV221" s="128"/>
      <c r="AJW221" s="128"/>
      <c r="AJX221" s="128"/>
      <c r="AJY221" s="128"/>
      <c r="AJZ221" s="128"/>
      <c r="AKA221" s="128"/>
      <c r="AKB221" s="128"/>
      <c r="AKC221" s="128"/>
      <c r="AKD221" s="128"/>
      <c r="AKE221" s="128"/>
      <c r="AKF221" s="128"/>
      <c r="AKG221" s="128"/>
      <c r="AKH221" s="128"/>
      <c r="AKI221" s="128"/>
      <c r="AKJ221" s="128"/>
      <c r="AKK221" s="128"/>
      <c r="AKL221" s="128"/>
      <c r="AKM221" s="128"/>
      <c r="AKN221" s="128"/>
      <c r="AKO221" s="128"/>
      <c r="AKP221" s="128"/>
      <c r="AKQ221" s="128"/>
      <c r="AKR221" s="128"/>
      <c r="AKS221" s="128"/>
      <c r="AKT221" s="128"/>
      <c r="AKU221" s="128"/>
      <c r="AKV221" s="128"/>
      <c r="AKW221" s="128"/>
      <c r="AKX221" s="128"/>
      <c r="AKY221" s="128"/>
      <c r="AKZ221" s="128"/>
      <c r="ALA221" s="128"/>
      <c r="ALB221" s="128"/>
      <c r="ALC221" s="128"/>
      <c r="ALD221" s="128"/>
      <c r="ALE221" s="128"/>
      <c r="ALF221" s="128"/>
      <c r="ALG221" s="128"/>
      <c r="ALH221" s="128"/>
      <c r="ALI221" s="128"/>
      <c r="ALJ221" s="128"/>
      <c r="ALK221" s="128"/>
      <c r="ALL221" s="128"/>
      <c r="ALM221" s="128"/>
      <c r="ALN221" s="128"/>
      <c r="ALO221" s="128"/>
      <c r="ALP221" s="128"/>
      <c r="ALQ221" s="128"/>
      <c r="ALR221" s="128"/>
      <c r="ALS221" s="128"/>
      <c r="ALT221" s="128"/>
      <c r="ALU221" s="128"/>
      <c r="ALV221" s="128"/>
      <c r="ALW221" s="128"/>
      <c r="ALX221" s="128"/>
      <c r="ALY221" s="128"/>
      <c r="ALZ221" s="128"/>
      <c r="AMA221"/>
      <c r="AMB221"/>
      <c r="AMC221"/>
      <c r="AMD221"/>
    </row>
    <row r="222" spans="1:1018" s="96" customFormat="1" ht="12" customHeight="1">
      <c r="A222" s="129"/>
      <c r="B222" s="129"/>
      <c r="C222" s="129"/>
      <c r="D222" s="129"/>
      <c r="E222" s="129"/>
      <c r="F222" s="129"/>
      <c r="I222" s="225"/>
      <c r="K222" s="159"/>
      <c r="P222" s="173"/>
      <c r="T222" s="277"/>
      <c r="X222"/>
      <c r="Y222" s="179"/>
      <c r="AA222" s="159"/>
      <c r="AC222"/>
      <c r="AE222" s="128"/>
      <c r="AF222"/>
      <c r="AG222" s="128"/>
      <c r="AH222" s="128"/>
      <c r="AI222" s="128"/>
      <c r="AJ222" s="128"/>
      <c r="AK222" s="128"/>
      <c r="AL222" s="128"/>
      <c r="AM222" s="128"/>
      <c r="AN222" s="128"/>
      <c r="AO222" s="128"/>
      <c r="AP222" s="128"/>
      <c r="AQ222" s="128"/>
      <c r="AR222" s="128"/>
      <c r="AS222" s="128"/>
      <c r="AT222" s="128"/>
      <c r="AU222" s="128"/>
      <c r="AV222" s="128"/>
      <c r="AW222" s="128"/>
      <c r="AX222" s="128"/>
      <c r="AY222" s="128"/>
      <c r="AZ222" s="128"/>
      <c r="BA222" s="128"/>
      <c r="BB222" s="128"/>
      <c r="BC222" s="128"/>
      <c r="BD222" s="128"/>
      <c r="BE222" s="128"/>
      <c r="BF222" s="128"/>
      <c r="BG222" s="128"/>
      <c r="BH222" s="128"/>
      <c r="BI222" s="128"/>
      <c r="BJ222" s="128"/>
      <c r="BK222" s="128"/>
      <c r="BL222" s="128"/>
      <c r="BM222" s="128"/>
      <c r="BN222" s="128"/>
      <c r="BO222" s="128"/>
      <c r="BP222" s="128"/>
      <c r="BQ222" s="128"/>
      <c r="BR222" s="128"/>
      <c r="BS222" s="128"/>
      <c r="BT222" s="128"/>
      <c r="BU222" s="128"/>
      <c r="BV222" s="128"/>
      <c r="BW222" s="128"/>
      <c r="BX222" s="128"/>
      <c r="BY222" s="128"/>
      <c r="BZ222" s="128"/>
      <c r="CA222" s="128"/>
      <c r="CB222" s="128"/>
      <c r="CC222" s="128"/>
      <c r="CD222" s="128"/>
      <c r="CE222" s="128"/>
      <c r="CF222" s="128"/>
      <c r="CG222" s="128"/>
      <c r="CH222" s="128"/>
      <c r="CI222" s="128"/>
      <c r="CJ222" s="128"/>
      <c r="CK222" s="128"/>
      <c r="CL222" s="128"/>
      <c r="CM222" s="128"/>
      <c r="CN222" s="128"/>
      <c r="CO222" s="128"/>
      <c r="CP222" s="128"/>
      <c r="CQ222" s="128"/>
      <c r="CR222" s="128"/>
      <c r="CS222" s="128"/>
      <c r="CT222" s="128"/>
      <c r="CU222" s="128"/>
      <c r="CV222" s="128"/>
      <c r="CW222" s="128"/>
      <c r="CX222" s="128"/>
      <c r="CY222" s="128"/>
      <c r="CZ222" s="128"/>
      <c r="DA222" s="128"/>
      <c r="DB222" s="128"/>
      <c r="DC222" s="128"/>
      <c r="DD222" s="128"/>
      <c r="DE222" s="128"/>
      <c r="DF222" s="128"/>
      <c r="DG222" s="128"/>
      <c r="DH222" s="128"/>
      <c r="DI222" s="128"/>
      <c r="DJ222" s="128"/>
      <c r="DK222" s="128"/>
      <c r="DL222" s="128"/>
      <c r="DM222" s="128"/>
      <c r="DN222" s="128"/>
      <c r="DO222" s="128"/>
      <c r="DP222" s="128"/>
      <c r="DQ222" s="128"/>
      <c r="DR222" s="128"/>
      <c r="DS222" s="128"/>
      <c r="DT222" s="128"/>
      <c r="DU222" s="128"/>
      <c r="DV222" s="128"/>
      <c r="DW222" s="128"/>
      <c r="DX222" s="128"/>
      <c r="DY222" s="128"/>
      <c r="DZ222" s="128"/>
      <c r="EA222" s="128"/>
      <c r="EB222" s="128"/>
      <c r="EC222" s="128"/>
      <c r="ED222" s="128"/>
      <c r="EE222" s="128"/>
      <c r="EF222" s="128"/>
      <c r="EG222" s="128"/>
      <c r="EH222" s="128"/>
      <c r="EI222" s="128"/>
      <c r="EJ222" s="128"/>
      <c r="EK222" s="128"/>
      <c r="EL222" s="128"/>
      <c r="EM222" s="128"/>
      <c r="EN222" s="128"/>
      <c r="EO222" s="128"/>
      <c r="EP222" s="128"/>
      <c r="EQ222" s="128"/>
      <c r="ER222" s="128"/>
      <c r="ES222" s="128"/>
      <c r="ET222" s="128"/>
      <c r="EU222" s="128"/>
      <c r="EV222" s="128"/>
      <c r="EW222" s="128"/>
      <c r="EX222" s="128"/>
      <c r="EY222" s="128"/>
      <c r="EZ222" s="128"/>
      <c r="FA222" s="128"/>
      <c r="FB222" s="128"/>
      <c r="FC222" s="128"/>
      <c r="FD222" s="128"/>
      <c r="FE222" s="128"/>
      <c r="FF222" s="128"/>
      <c r="FG222" s="128"/>
      <c r="FH222" s="128"/>
      <c r="FI222" s="128"/>
      <c r="FJ222" s="128"/>
      <c r="FK222" s="128"/>
      <c r="FL222" s="128"/>
      <c r="FM222" s="128"/>
      <c r="FN222" s="128"/>
      <c r="FO222" s="128"/>
      <c r="FP222" s="128"/>
      <c r="FQ222" s="128"/>
      <c r="FR222" s="128"/>
      <c r="FS222" s="128"/>
      <c r="FT222" s="128"/>
      <c r="FU222" s="128"/>
      <c r="FV222" s="128"/>
      <c r="FW222" s="128"/>
      <c r="FX222" s="128"/>
      <c r="FY222" s="128"/>
      <c r="FZ222" s="128"/>
      <c r="GA222" s="128"/>
      <c r="GB222" s="128"/>
      <c r="GC222" s="128"/>
      <c r="GD222" s="128"/>
      <c r="GE222" s="128"/>
      <c r="GF222" s="128"/>
      <c r="GG222" s="128"/>
      <c r="GH222" s="128"/>
      <c r="GI222" s="128"/>
      <c r="GJ222" s="128"/>
      <c r="GK222" s="128"/>
      <c r="GL222" s="128"/>
      <c r="GM222" s="128"/>
      <c r="GN222" s="128"/>
      <c r="GO222" s="128"/>
      <c r="GP222" s="128"/>
      <c r="GQ222" s="128"/>
      <c r="GR222" s="128"/>
      <c r="GS222" s="128"/>
      <c r="GT222" s="128"/>
      <c r="GU222" s="128"/>
      <c r="GV222" s="128"/>
      <c r="GW222" s="128"/>
      <c r="GX222" s="128"/>
      <c r="GY222" s="128"/>
      <c r="GZ222" s="128"/>
      <c r="HA222" s="128"/>
      <c r="HB222" s="128"/>
      <c r="HC222" s="128"/>
      <c r="HD222" s="128"/>
      <c r="HE222" s="128"/>
      <c r="HF222" s="128"/>
      <c r="HG222" s="128"/>
      <c r="HH222" s="128"/>
      <c r="HI222" s="128"/>
      <c r="HJ222" s="128"/>
      <c r="HK222" s="128"/>
      <c r="HL222" s="128"/>
      <c r="HM222" s="128"/>
      <c r="HN222" s="128"/>
      <c r="HO222" s="128"/>
      <c r="HP222" s="128"/>
      <c r="HQ222" s="128"/>
      <c r="HR222" s="128"/>
      <c r="HS222" s="128"/>
      <c r="HT222" s="128"/>
      <c r="HU222" s="128"/>
      <c r="HV222" s="128"/>
      <c r="HW222" s="128"/>
      <c r="HX222" s="128"/>
      <c r="HY222" s="128"/>
      <c r="HZ222" s="128"/>
      <c r="IA222" s="128"/>
      <c r="IB222" s="128"/>
      <c r="IC222" s="128"/>
      <c r="ID222" s="128"/>
      <c r="IE222" s="128"/>
      <c r="IF222" s="128"/>
      <c r="IG222" s="128"/>
      <c r="IH222" s="128"/>
      <c r="II222" s="128"/>
      <c r="IJ222" s="128"/>
      <c r="IK222" s="128"/>
      <c r="IL222" s="128"/>
      <c r="IM222" s="128"/>
      <c r="IN222" s="128"/>
      <c r="IO222" s="128"/>
      <c r="IP222" s="128"/>
      <c r="IQ222" s="128"/>
      <c r="IR222" s="128"/>
      <c r="IS222" s="128"/>
      <c r="IT222" s="128"/>
      <c r="IU222" s="128"/>
      <c r="IV222" s="128"/>
      <c r="IW222" s="128"/>
      <c r="IX222" s="128"/>
      <c r="IY222" s="128"/>
      <c r="IZ222" s="128"/>
      <c r="JA222" s="128"/>
      <c r="JB222" s="128"/>
      <c r="JC222" s="128"/>
      <c r="JD222" s="128"/>
      <c r="JE222" s="128"/>
      <c r="JF222" s="128"/>
      <c r="JG222" s="128"/>
      <c r="JH222" s="128"/>
      <c r="JI222" s="128"/>
      <c r="JJ222" s="128"/>
      <c r="JK222" s="128"/>
      <c r="JL222" s="128"/>
      <c r="JM222" s="128"/>
      <c r="JN222" s="128"/>
      <c r="JO222" s="128"/>
      <c r="JP222" s="128"/>
      <c r="JQ222" s="128"/>
      <c r="JR222" s="128"/>
      <c r="JS222" s="128"/>
      <c r="JT222" s="128"/>
      <c r="JU222" s="128"/>
      <c r="JV222" s="128"/>
      <c r="JW222" s="128"/>
      <c r="JX222" s="128"/>
      <c r="JY222" s="128"/>
      <c r="JZ222" s="128"/>
      <c r="KA222" s="128"/>
      <c r="KB222" s="128"/>
      <c r="KC222" s="128"/>
      <c r="KD222" s="128"/>
      <c r="KE222" s="128"/>
      <c r="KF222" s="128"/>
      <c r="KG222" s="128"/>
      <c r="KH222" s="128"/>
      <c r="KI222" s="128"/>
      <c r="KJ222" s="128"/>
      <c r="KK222" s="128"/>
      <c r="KL222" s="128"/>
      <c r="KM222" s="128"/>
      <c r="KN222" s="128"/>
      <c r="KO222" s="128"/>
      <c r="KP222" s="128"/>
      <c r="KQ222" s="128"/>
      <c r="KR222" s="128"/>
      <c r="KS222" s="128"/>
      <c r="KT222" s="128"/>
      <c r="KU222" s="128"/>
      <c r="KV222" s="128"/>
      <c r="KW222" s="128"/>
      <c r="KX222" s="128"/>
      <c r="KY222" s="128"/>
      <c r="KZ222" s="128"/>
      <c r="LA222" s="128"/>
      <c r="LB222" s="128"/>
      <c r="LC222" s="128"/>
      <c r="LD222" s="128"/>
      <c r="LE222" s="128"/>
      <c r="LF222" s="128"/>
      <c r="LG222" s="128"/>
      <c r="LH222" s="128"/>
      <c r="LI222" s="128"/>
      <c r="LJ222" s="128"/>
      <c r="LK222" s="128"/>
      <c r="LL222" s="128"/>
      <c r="LM222" s="128"/>
      <c r="LN222" s="128"/>
      <c r="LO222" s="128"/>
      <c r="LP222" s="128"/>
      <c r="LQ222" s="128"/>
      <c r="LR222" s="128"/>
      <c r="LS222" s="128"/>
      <c r="LT222" s="128"/>
      <c r="LU222" s="128"/>
      <c r="LV222" s="128"/>
      <c r="LW222" s="128"/>
      <c r="LX222" s="128"/>
      <c r="LY222" s="128"/>
      <c r="LZ222" s="128"/>
      <c r="MA222" s="128"/>
      <c r="MB222" s="128"/>
      <c r="MC222" s="128"/>
      <c r="MD222" s="128"/>
      <c r="ME222" s="128"/>
      <c r="MF222" s="128"/>
      <c r="MG222" s="128"/>
      <c r="MH222" s="128"/>
      <c r="MI222" s="128"/>
      <c r="MJ222" s="128"/>
      <c r="MK222" s="128"/>
      <c r="ML222" s="128"/>
      <c r="MM222" s="128"/>
      <c r="MN222" s="128"/>
      <c r="MO222" s="128"/>
      <c r="MP222" s="128"/>
      <c r="MQ222" s="128"/>
      <c r="MR222" s="128"/>
      <c r="MS222" s="128"/>
      <c r="MT222" s="128"/>
      <c r="MU222" s="128"/>
      <c r="MV222" s="128"/>
      <c r="MW222" s="128"/>
      <c r="MX222" s="128"/>
      <c r="MY222" s="128"/>
      <c r="MZ222" s="128"/>
      <c r="NA222" s="128"/>
      <c r="NB222" s="128"/>
      <c r="NC222" s="128"/>
      <c r="ND222" s="128"/>
      <c r="NE222" s="128"/>
      <c r="NF222" s="128"/>
      <c r="NG222" s="128"/>
      <c r="NH222" s="128"/>
      <c r="NI222" s="128"/>
      <c r="NJ222" s="128"/>
      <c r="NK222" s="128"/>
      <c r="NL222" s="128"/>
      <c r="NM222" s="128"/>
      <c r="NN222" s="128"/>
      <c r="NO222" s="128"/>
      <c r="NP222" s="128"/>
      <c r="NQ222" s="128"/>
      <c r="NR222" s="128"/>
      <c r="NS222" s="128"/>
      <c r="NT222" s="128"/>
      <c r="NU222" s="128"/>
      <c r="NV222" s="128"/>
      <c r="NW222" s="128"/>
      <c r="NX222" s="128"/>
      <c r="NY222" s="128"/>
      <c r="NZ222" s="128"/>
      <c r="OA222" s="128"/>
      <c r="OB222" s="128"/>
      <c r="OC222" s="128"/>
      <c r="OD222" s="128"/>
      <c r="OE222" s="128"/>
      <c r="OF222" s="128"/>
      <c r="OG222" s="128"/>
      <c r="OH222" s="128"/>
      <c r="OI222" s="128"/>
      <c r="OJ222" s="128"/>
      <c r="OK222" s="128"/>
      <c r="OL222" s="128"/>
      <c r="OM222" s="128"/>
      <c r="ON222" s="128"/>
      <c r="OO222" s="128"/>
      <c r="OP222" s="128"/>
      <c r="OQ222" s="128"/>
      <c r="OR222" s="128"/>
      <c r="OS222" s="128"/>
      <c r="OT222" s="128"/>
      <c r="OU222" s="128"/>
      <c r="OV222" s="128"/>
      <c r="OW222" s="128"/>
      <c r="OX222" s="128"/>
      <c r="OY222" s="128"/>
      <c r="OZ222" s="128"/>
      <c r="PA222" s="128"/>
      <c r="PB222" s="128"/>
      <c r="PC222" s="128"/>
      <c r="PD222" s="128"/>
      <c r="PE222" s="128"/>
      <c r="PF222" s="128"/>
      <c r="PG222" s="128"/>
      <c r="PH222" s="128"/>
      <c r="PI222" s="128"/>
      <c r="PJ222" s="128"/>
      <c r="PK222" s="128"/>
      <c r="PL222" s="128"/>
      <c r="PM222" s="128"/>
      <c r="PN222" s="128"/>
      <c r="PO222" s="128"/>
      <c r="PP222" s="128"/>
      <c r="PQ222" s="128"/>
      <c r="PR222" s="128"/>
      <c r="PS222" s="128"/>
      <c r="PT222" s="128"/>
      <c r="PU222" s="128"/>
      <c r="PV222" s="128"/>
      <c r="PW222" s="128"/>
      <c r="PX222" s="128"/>
      <c r="PY222" s="128"/>
      <c r="PZ222" s="128"/>
      <c r="QA222" s="128"/>
      <c r="QB222" s="128"/>
      <c r="QC222" s="128"/>
      <c r="QD222" s="128"/>
      <c r="QE222" s="128"/>
      <c r="QF222" s="128"/>
      <c r="QG222" s="128"/>
      <c r="QH222" s="128"/>
      <c r="QI222" s="128"/>
      <c r="QJ222" s="128"/>
      <c r="QK222" s="128"/>
      <c r="QL222" s="128"/>
      <c r="QM222" s="128"/>
      <c r="QN222" s="128"/>
      <c r="QO222" s="128"/>
      <c r="QP222" s="128"/>
      <c r="QQ222" s="128"/>
      <c r="QR222" s="128"/>
      <c r="QS222" s="128"/>
      <c r="QT222" s="128"/>
      <c r="QU222" s="128"/>
      <c r="QV222" s="128"/>
      <c r="QW222" s="128"/>
      <c r="QX222" s="128"/>
      <c r="QY222" s="128"/>
      <c r="QZ222" s="128"/>
      <c r="RA222" s="128"/>
      <c r="RB222" s="128"/>
      <c r="RC222" s="128"/>
      <c r="RD222" s="128"/>
      <c r="RE222" s="128"/>
      <c r="RF222" s="128"/>
      <c r="RG222" s="128"/>
      <c r="RH222" s="128"/>
      <c r="RI222" s="128"/>
      <c r="RJ222" s="128"/>
      <c r="RK222" s="128"/>
      <c r="RL222" s="128"/>
      <c r="RM222" s="128"/>
      <c r="RN222" s="128"/>
      <c r="RO222" s="128"/>
      <c r="RP222" s="128"/>
      <c r="RQ222" s="128"/>
      <c r="RR222" s="128"/>
      <c r="RS222" s="128"/>
      <c r="RT222" s="128"/>
      <c r="RU222" s="128"/>
      <c r="RV222" s="128"/>
      <c r="RW222" s="128"/>
      <c r="RX222" s="128"/>
      <c r="RY222" s="128"/>
      <c r="RZ222" s="128"/>
      <c r="SA222" s="128"/>
      <c r="SB222" s="128"/>
      <c r="SC222" s="128"/>
      <c r="SD222" s="128"/>
      <c r="SE222" s="128"/>
      <c r="SF222" s="128"/>
      <c r="SG222" s="128"/>
      <c r="SH222" s="128"/>
      <c r="SI222" s="128"/>
      <c r="SJ222" s="128"/>
      <c r="SK222" s="128"/>
      <c r="SL222" s="128"/>
      <c r="SM222" s="128"/>
      <c r="SN222" s="128"/>
      <c r="SO222" s="128"/>
      <c r="SP222" s="128"/>
      <c r="SQ222" s="128"/>
      <c r="SR222" s="128"/>
      <c r="SS222" s="128"/>
      <c r="ST222" s="128"/>
      <c r="SU222" s="128"/>
      <c r="SV222" s="128"/>
      <c r="SW222" s="128"/>
      <c r="SX222" s="128"/>
      <c r="SY222" s="128"/>
      <c r="SZ222" s="128"/>
      <c r="TA222" s="128"/>
      <c r="TB222" s="128"/>
      <c r="TC222" s="128"/>
      <c r="TD222" s="128"/>
      <c r="TE222" s="128"/>
      <c r="TF222" s="128"/>
      <c r="TG222" s="128"/>
      <c r="TH222" s="128"/>
      <c r="TI222" s="128"/>
      <c r="TJ222" s="128"/>
      <c r="TK222" s="128"/>
      <c r="TL222" s="128"/>
      <c r="TM222" s="128"/>
      <c r="TN222" s="128"/>
      <c r="TO222" s="128"/>
      <c r="TP222" s="128"/>
      <c r="TQ222" s="128"/>
      <c r="TR222" s="128"/>
      <c r="TS222" s="128"/>
      <c r="TT222" s="128"/>
      <c r="TU222" s="128"/>
      <c r="TV222" s="128"/>
      <c r="TW222" s="128"/>
      <c r="TX222" s="128"/>
      <c r="TY222" s="128"/>
      <c r="TZ222" s="128"/>
      <c r="UA222" s="128"/>
      <c r="UB222" s="128"/>
      <c r="UC222" s="128"/>
      <c r="UD222" s="128"/>
      <c r="UE222" s="128"/>
      <c r="UF222" s="128"/>
      <c r="UG222" s="128"/>
      <c r="UH222" s="128"/>
      <c r="UI222" s="128"/>
      <c r="UJ222" s="128"/>
      <c r="UK222" s="128"/>
      <c r="UL222" s="128"/>
      <c r="UM222" s="128"/>
      <c r="UN222" s="128"/>
      <c r="UO222" s="128"/>
      <c r="UP222" s="128"/>
      <c r="UQ222" s="128"/>
      <c r="UR222" s="128"/>
      <c r="US222" s="128"/>
      <c r="UT222" s="128"/>
      <c r="UU222" s="128"/>
      <c r="UV222" s="128"/>
      <c r="UW222" s="128"/>
      <c r="UX222" s="128"/>
      <c r="UY222" s="128"/>
      <c r="UZ222" s="128"/>
      <c r="VA222" s="128"/>
      <c r="VB222" s="128"/>
      <c r="VC222" s="128"/>
      <c r="VD222" s="128"/>
      <c r="VE222" s="128"/>
      <c r="VF222" s="128"/>
      <c r="VG222" s="128"/>
      <c r="VH222" s="128"/>
      <c r="VI222" s="128"/>
      <c r="VJ222" s="128"/>
      <c r="VK222" s="128"/>
      <c r="VL222" s="128"/>
      <c r="VM222" s="128"/>
      <c r="VN222" s="128"/>
      <c r="VO222" s="128"/>
      <c r="VP222" s="128"/>
      <c r="VQ222" s="128"/>
      <c r="VR222" s="128"/>
      <c r="VS222" s="128"/>
      <c r="VT222" s="128"/>
      <c r="VU222" s="128"/>
      <c r="VV222" s="128"/>
      <c r="VW222" s="128"/>
      <c r="VX222" s="128"/>
      <c r="VY222" s="128"/>
      <c r="VZ222" s="128"/>
      <c r="WA222" s="128"/>
      <c r="WB222" s="128"/>
      <c r="WC222" s="128"/>
      <c r="WD222" s="128"/>
      <c r="WE222" s="128"/>
      <c r="WF222" s="128"/>
      <c r="WG222" s="128"/>
      <c r="WH222" s="128"/>
      <c r="WI222" s="128"/>
      <c r="WJ222" s="128"/>
      <c r="WK222" s="128"/>
      <c r="WL222" s="128"/>
      <c r="WM222" s="128"/>
      <c r="WN222" s="128"/>
      <c r="WO222" s="128"/>
      <c r="WP222" s="128"/>
      <c r="WQ222" s="128"/>
      <c r="WR222" s="128"/>
      <c r="WS222" s="128"/>
      <c r="WT222" s="128"/>
      <c r="WU222" s="128"/>
      <c r="WV222" s="128"/>
      <c r="WW222" s="128"/>
      <c r="WX222" s="128"/>
      <c r="WY222" s="128"/>
      <c r="WZ222" s="128"/>
      <c r="XA222" s="128"/>
      <c r="XB222" s="128"/>
      <c r="XC222" s="128"/>
      <c r="XD222" s="128"/>
      <c r="XE222" s="128"/>
      <c r="XF222" s="128"/>
      <c r="XG222" s="128"/>
      <c r="XH222" s="128"/>
      <c r="XI222" s="128"/>
      <c r="XJ222" s="128"/>
      <c r="XK222" s="128"/>
      <c r="XL222" s="128"/>
      <c r="XM222" s="128"/>
      <c r="XN222" s="128"/>
      <c r="XO222" s="128"/>
      <c r="XP222" s="128"/>
      <c r="XQ222" s="128"/>
      <c r="XR222" s="128"/>
      <c r="XS222" s="128"/>
      <c r="XT222" s="128"/>
      <c r="XU222" s="128"/>
      <c r="XV222" s="128"/>
      <c r="XW222" s="128"/>
      <c r="XX222" s="128"/>
      <c r="XY222" s="128"/>
      <c r="XZ222" s="128"/>
      <c r="YA222" s="128"/>
      <c r="YB222" s="128"/>
      <c r="YC222" s="128"/>
      <c r="YD222" s="128"/>
      <c r="YE222" s="128"/>
      <c r="YF222" s="128"/>
      <c r="YG222" s="128"/>
      <c r="YH222" s="128"/>
      <c r="YI222" s="128"/>
      <c r="YJ222" s="128"/>
      <c r="YK222" s="128"/>
      <c r="YL222" s="128"/>
      <c r="YM222" s="128"/>
      <c r="YN222" s="128"/>
      <c r="YO222" s="128"/>
      <c r="YP222" s="128"/>
      <c r="YQ222" s="128"/>
      <c r="YR222" s="128"/>
      <c r="YS222" s="128"/>
      <c r="YT222" s="128"/>
      <c r="YU222" s="128"/>
      <c r="YV222" s="128"/>
      <c r="YW222" s="128"/>
      <c r="YX222" s="128"/>
      <c r="YY222" s="128"/>
      <c r="YZ222" s="128"/>
      <c r="ZA222" s="128"/>
      <c r="ZB222" s="128"/>
      <c r="ZC222" s="128"/>
      <c r="ZD222" s="128"/>
      <c r="ZE222" s="128"/>
      <c r="ZF222" s="128"/>
      <c r="ZG222" s="128"/>
      <c r="ZH222" s="128"/>
      <c r="ZI222" s="128"/>
      <c r="ZJ222" s="128"/>
      <c r="ZK222" s="128"/>
      <c r="ZL222" s="128"/>
      <c r="ZM222" s="128"/>
      <c r="ZN222" s="128"/>
      <c r="ZO222" s="128"/>
      <c r="ZP222" s="128"/>
      <c r="ZQ222" s="128"/>
      <c r="ZR222" s="128"/>
      <c r="ZS222" s="128"/>
      <c r="ZT222" s="128"/>
      <c r="ZU222" s="128"/>
      <c r="ZV222" s="128"/>
      <c r="ZW222" s="128"/>
      <c r="ZX222" s="128"/>
      <c r="ZY222" s="128"/>
      <c r="ZZ222" s="128"/>
      <c r="AAA222" s="128"/>
      <c r="AAB222" s="128"/>
      <c r="AAC222" s="128"/>
      <c r="AAD222" s="128"/>
      <c r="AAE222" s="128"/>
      <c r="AAF222" s="128"/>
      <c r="AAG222" s="128"/>
      <c r="AAH222" s="128"/>
      <c r="AAI222" s="128"/>
      <c r="AAJ222" s="128"/>
      <c r="AAK222" s="128"/>
      <c r="AAL222" s="128"/>
      <c r="AAM222" s="128"/>
      <c r="AAN222" s="128"/>
      <c r="AAO222" s="128"/>
      <c r="AAP222" s="128"/>
      <c r="AAQ222" s="128"/>
      <c r="AAR222" s="128"/>
      <c r="AAS222" s="128"/>
      <c r="AAT222" s="128"/>
      <c r="AAU222" s="128"/>
      <c r="AAV222" s="128"/>
      <c r="AAW222" s="128"/>
      <c r="AAX222" s="128"/>
      <c r="AAY222" s="128"/>
      <c r="AAZ222" s="128"/>
      <c r="ABA222" s="128"/>
      <c r="ABB222" s="128"/>
      <c r="ABC222" s="128"/>
      <c r="ABD222" s="128"/>
      <c r="ABE222" s="128"/>
      <c r="ABF222" s="128"/>
      <c r="ABG222" s="128"/>
      <c r="ABH222" s="128"/>
      <c r="ABI222" s="128"/>
      <c r="ABJ222" s="128"/>
      <c r="ABK222" s="128"/>
      <c r="ABL222" s="128"/>
      <c r="ABM222" s="128"/>
      <c r="ABN222" s="128"/>
      <c r="ABO222" s="128"/>
      <c r="ABP222" s="128"/>
      <c r="ABQ222" s="128"/>
      <c r="ABR222" s="128"/>
      <c r="ABS222" s="128"/>
      <c r="ABT222" s="128"/>
      <c r="ABU222" s="128"/>
      <c r="ABV222" s="128"/>
      <c r="ABW222" s="128"/>
      <c r="ABX222" s="128"/>
      <c r="ABY222" s="128"/>
      <c r="ABZ222" s="128"/>
      <c r="ACA222" s="128"/>
      <c r="ACB222" s="128"/>
      <c r="ACC222" s="128"/>
      <c r="ACD222" s="128"/>
      <c r="ACE222" s="128"/>
      <c r="ACF222" s="128"/>
      <c r="ACG222" s="128"/>
      <c r="ACH222" s="128"/>
      <c r="ACI222" s="128"/>
      <c r="ACJ222" s="128"/>
      <c r="ACK222" s="128"/>
      <c r="ACL222" s="128"/>
      <c r="ACM222" s="128"/>
      <c r="ACN222" s="128"/>
      <c r="ACO222" s="128"/>
      <c r="ACP222" s="128"/>
      <c r="ACQ222" s="128"/>
      <c r="ACR222" s="128"/>
      <c r="ACS222" s="128"/>
      <c r="ACT222" s="128"/>
      <c r="ACU222" s="128"/>
      <c r="ACV222" s="128"/>
      <c r="ACW222" s="128"/>
      <c r="ACX222" s="128"/>
      <c r="ACY222" s="128"/>
      <c r="ACZ222" s="128"/>
      <c r="ADA222" s="128"/>
      <c r="ADB222" s="128"/>
      <c r="ADC222" s="128"/>
      <c r="ADD222" s="128"/>
      <c r="ADE222" s="128"/>
      <c r="ADF222" s="128"/>
      <c r="ADG222" s="128"/>
      <c r="ADH222" s="128"/>
      <c r="ADI222" s="128"/>
      <c r="ADJ222" s="128"/>
      <c r="ADK222" s="128"/>
      <c r="ADL222" s="128"/>
      <c r="ADM222" s="128"/>
      <c r="ADN222" s="128"/>
      <c r="ADO222" s="128"/>
      <c r="ADP222" s="128"/>
      <c r="ADQ222" s="128"/>
      <c r="ADR222" s="128"/>
      <c r="ADS222" s="128"/>
      <c r="ADT222" s="128"/>
      <c r="ADU222" s="128"/>
      <c r="ADV222" s="128"/>
      <c r="ADW222" s="128"/>
      <c r="ADX222" s="128"/>
      <c r="ADY222" s="128"/>
      <c r="ADZ222" s="128"/>
      <c r="AEA222" s="128"/>
      <c r="AEB222" s="128"/>
      <c r="AEC222" s="128"/>
      <c r="AED222" s="128"/>
      <c r="AEE222" s="128"/>
      <c r="AEF222" s="128"/>
      <c r="AEG222" s="128"/>
      <c r="AEH222" s="128"/>
      <c r="AEI222" s="128"/>
      <c r="AEJ222" s="128"/>
      <c r="AEK222" s="128"/>
      <c r="AEL222" s="128"/>
      <c r="AEM222" s="128"/>
      <c r="AEN222" s="128"/>
      <c r="AEO222" s="128"/>
      <c r="AEP222" s="128"/>
      <c r="AEQ222" s="128"/>
      <c r="AER222" s="128"/>
      <c r="AES222" s="128"/>
      <c r="AET222" s="128"/>
      <c r="AEU222" s="128"/>
      <c r="AEV222" s="128"/>
      <c r="AEW222" s="128"/>
      <c r="AEX222" s="128"/>
      <c r="AEY222" s="128"/>
      <c r="AEZ222" s="128"/>
      <c r="AFA222" s="128"/>
      <c r="AFB222" s="128"/>
      <c r="AFC222" s="128"/>
      <c r="AFD222" s="128"/>
      <c r="AFE222" s="128"/>
      <c r="AFF222" s="128"/>
      <c r="AFG222" s="128"/>
      <c r="AFH222" s="128"/>
      <c r="AFI222" s="128"/>
      <c r="AFJ222" s="128"/>
      <c r="AFK222" s="128"/>
      <c r="AFL222" s="128"/>
      <c r="AFM222" s="128"/>
      <c r="AFN222" s="128"/>
      <c r="AFO222" s="128"/>
      <c r="AFP222" s="128"/>
      <c r="AFQ222" s="128"/>
      <c r="AFR222" s="128"/>
      <c r="AFS222" s="128"/>
      <c r="AFT222" s="128"/>
      <c r="AFU222" s="128"/>
      <c r="AFV222" s="128"/>
      <c r="AFW222" s="128"/>
      <c r="AFX222" s="128"/>
      <c r="AFY222" s="128"/>
      <c r="AFZ222" s="128"/>
      <c r="AGA222" s="128"/>
      <c r="AGB222" s="128"/>
      <c r="AGC222" s="128"/>
      <c r="AGD222" s="128"/>
      <c r="AGE222" s="128"/>
      <c r="AGF222" s="128"/>
      <c r="AGG222" s="128"/>
      <c r="AGH222" s="128"/>
      <c r="AGI222" s="128"/>
      <c r="AGJ222" s="128"/>
      <c r="AGK222" s="128"/>
      <c r="AGL222" s="128"/>
      <c r="AGM222" s="128"/>
      <c r="AGN222" s="128"/>
      <c r="AGO222" s="128"/>
      <c r="AGP222" s="128"/>
      <c r="AGQ222" s="128"/>
      <c r="AGR222" s="128"/>
      <c r="AGS222" s="128"/>
      <c r="AGT222" s="128"/>
      <c r="AGU222" s="128"/>
      <c r="AGV222" s="128"/>
      <c r="AGW222" s="128"/>
      <c r="AGX222" s="128"/>
      <c r="AGY222" s="128"/>
      <c r="AGZ222" s="128"/>
      <c r="AHA222" s="128"/>
      <c r="AHB222" s="128"/>
      <c r="AHC222" s="128"/>
      <c r="AHD222" s="128"/>
      <c r="AHE222" s="128"/>
      <c r="AHF222" s="128"/>
      <c r="AHG222" s="128"/>
      <c r="AHH222" s="128"/>
      <c r="AHI222" s="128"/>
      <c r="AHJ222" s="128"/>
      <c r="AHK222" s="128"/>
      <c r="AHL222" s="128"/>
      <c r="AHM222" s="128"/>
      <c r="AHN222" s="128"/>
      <c r="AHO222" s="128"/>
      <c r="AHP222" s="128"/>
      <c r="AHQ222" s="128"/>
      <c r="AHR222" s="128"/>
      <c r="AHS222" s="128"/>
      <c r="AHT222" s="128"/>
      <c r="AHU222" s="128"/>
      <c r="AHV222" s="128"/>
      <c r="AHW222" s="128"/>
      <c r="AHX222" s="128"/>
      <c r="AHY222" s="128"/>
      <c r="AHZ222" s="128"/>
      <c r="AIA222" s="128"/>
      <c r="AIB222" s="128"/>
      <c r="AIC222" s="128"/>
      <c r="AID222" s="128"/>
      <c r="AIE222" s="128"/>
      <c r="AIF222" s="128"/>
      <c r="AIG222" s="128"/>
      <c r="AIH222" s="128"/>
      <c r="AII222" s="128"/>
      <c r="AIJ222" s="128"/>
      <c r="AIK222" s="128"/>
      <c r="AIL222" s="128"/>
      <c r="AIM222" s="128"/>
      <c r="AIN222" s="128"/>
      <c r="AIO222" s="128"/>
      <c r="AIP222" s="128"/>
      <c r="AIQ222" s="128"/>
      <c r="AIR222" s="128"/>
      <c r="AIS222" s="128"/>
      <c r="AIT222" s="128"/>
      <c r="AIU222" s="128"/>
      <c r="AIV222" s="128"/>
      <c r="AIW222" s="128"/>
      <c r="AIX222" s="128"/>
      <c r="AIY222" s="128"/>
      <c r="AIZ222" s="128"/>
      <c r="AJA222" s="128"/>
      <c r="AJB222" s="128"/>
      <c r="AJC222" s="128"/>
      <c r="AJD222" s="128"/>
      <c r="AJE222" s="128"/>
      <c r="AJF222" s="128"/>
      <c r="AJG222" s="128"/>
      <c r="AJH222" s="128"/>
      <c r="AJI222" s="128"/>
      <c r="AJJ222" s="128"/>
      <c r="AJK222" s="128"/>
      <c r="AJL222" s="128"/>
      <c r="AJM222" s="128"/>
      <c r="AJN222" s="128"/>
      <c r="AJO222" s="128"/>
      <c r="AJP222" s="128"/>
      <c r="AJQ222" s="128"/>
      <c r="AJR222" s="128"/>
      <c r="AJS222" s="128"/>
      <c r="AJT222" s="128"/>
      <c r="AJU222" s="128"/>
      <c r="AJV222" s="128"/>
      <c r="AJW222" s="128"/>
      <c r="AJX222" s="128"/>
      <c r="AJY222" s="128"/>
      <c r="AJZ222" s="128"/>
      <c r="AKA222" s="128"/>
      <c r="AKB222" s="128"/>
      <c r="AKC222" s="128"/>
      <c r="AKD222" s="128"/>
      <c r="AKE222" s="128"/>
      <c r="AKF222" s="128"/>
      <c r="AKG222" s="128"/>
      <c r="AKH222" s="128"/>
      <c r="AKI222" s="128"/>
      <c r="AKJ222" s="128"/>
      <c r="AKK222" s="128"/>
      <c r="AKL222" s="128"/>
      <c r="AKM222" s="128"/>
      <c r="AKN222" s="128"/>
      <c r="AKO222" s="128"/>
      <c r="AKP222" s="128"/>
      <c r="AKQ222" s="128"/>
      <c r="AKR222" s="128"/>
      <c r="AKS222" s="128"/>
      <c r="AKT222" s="128"/>
      <c r="AKU222" s="128"/>
      <c r="AKV222" s="128"/>
      <c r="AKW222" s="128"/>
      <c r="AKX222" s="128"/>
      <c r="AKY222" s="128"/>
      <c r="AKZ222" s="128"/>
      <c r="ALA222" s="128"/>
      <c r="ALB222" s="128"/>
      <c r="ALC222" s="128"/>
      <c r="ALD222" s="128"/>
      <c r="ALE222" s="128"/>
      <c r="ALF222" s="128"/>
      <c r="ALG222" s="128"/>
      <c r="ALH222" s="128"/>
      <c r="ALI222" s="128"/>
      <c r="ALJ222" s="128"/>
      <c r="ALK222" s="128"/>
      <c r="ALL222" s="128"/>
      <c r="ALM222" s="128"/>
      <c r="ALN222" s="128"/>
      <c r="ALO222" s="128"/>
      <c r="ALP222" s="128"/>
      <c r="ALQ222" s="128"/>
      <c r="ALR222" s="128"/>
      <c r="ALS222" s="128"/>
      <c r="ALT222" s="128"/>
      <c r="ALU222" s="128"/>
      <c r="ALV222" s="128"/>
      <c r="ALW222" s="128"/>
      <c r="ALX222" s="128"/>
      <c r="ALY222" s="128"/>
      <c r="ALZ222" s="128"/>
      <c r="AMA222"/>
      <c r="AMB222"/>
      <c r="AMC222"/>
      <c r="AMD222"/>
    </row>
    <row r="223" spans="1:1018" s="96" customFormat="1" ht="12" customHeight="1">
      <c r="A223" s="129"/>
      <c r="B223" s="129"/>
      <c r="C223" s="129"/>
      <c r="D223" s="129"/>
      <c r="E223" s="129"/>
      <c r="F223" s="129"/>
      <c r="I223" s="225"/>
      <c r="K223" s="159"/>
      <c r="P223" s="173"/>
      <c r="T223" s="277"/>
      <c r="X223"/>
      <c r="Y223" s="179"/>
      <c r="AA223" s="159"/>
      <c r="AC223"/>
      <c r="AE223" s="128"/>
      <c r="AF223"/>
      <c r="AG223" s="128"/>
      <c r="AH223" s="128"/>
      <c r="AI223" s="128"/>
      <c r="AJ223" s="128"/>
      <c r="AK223" s="128"/>
      <c r="AL223" s="128"/>
      <c r="AM223" s="128"/>
      <c r="AN223" s="128"/>
      <c r="AO223" s="128"/>
      <c r="AP223" s="128"/>
      <c r="AQ223" s="128"/>
      <c r="AR223" s="128"/>
      <c r="AS223" s="128"/>
      <c r="AT223" s="128"/>
      <c r="AU223" s="128"/>
      <c r="AV223" s="128"/>
      <c r="AW223" s="128"/>
      <c r="AX223" s="128"/>
      <c r="AY223" s="128"/>
      <c r="AZ223" s="128"/>
      <c r="BA223" s="128"/>
      <c r="BB223" s="128"/>
      <c r="BC223" s="128"/>
      <c r="BD223" s="128"/>
      <c r="BE223" s="128"/>
      <c r="BF223" s="128"/>
      <c r="BG223" s="128"/>
      <c r="BH223" s="128"/>
      <c r="BI223" s="128"/>
      <c r="BJ223" s="128"/>
      <c r="BK223" s="128"/>
      <c r="BL223" s="128"/>
      <c r="BM223" s="128"/>
      <c r="BN223" s="128"/>
      <c r="BO223" s="128"/>
      <c r="BP223" s="128"/>
      <c r="BQ223" s="128"/>
      <c r="BR223" s="128"/>
      <c r="BS223" s="128"/>
      <c r="BT223" s="128"/>
      <c r="BU223" s="128"/>
      <c r="BV223" s="128"/>
      <c r="BW223" s="128"/>
      <c r="BX223" s="128"/>
      <c r="BY223" s="128"/>
      <c r="BZ223" s="128"/>
      <c r="CA223" s="128"/>
      <c r="CB223" s="128"/>
      <c r="CC223" s="128"/>
      <c r="CD223" s="128"/>
      <c r="CE223" s="128"/>
      <c r="CF223" s="128"/>
      <c r="CG223" s="128"/>
      <c r="CH223" s="128"/>
      <c r="CI223" s="128"/>
      <c r="CJ223" s="128"/>
      <c r="CK223" s="128"/>
      <c r="CL223" s="128"/>
      <c r="CM223" s="128"/>
      <c r="CN223" s="128"/>
      <c r="CO223" s="128"/>
      <c r="CP223" s="128"/>
      <c r="CQ223" s="128"/>
      <c r="CR223" s="128"/>
      <c r="CS223" s="128"/>
      <c r="CT223" s="128"/>
      <c r="CU223" s="128"/>
      <c r="CV223" s="128"/>
      <c r="CW223" s="128"/>
      <c r="CX223" s="128"/>
      <c r="CY223" s="128"/>
      <c r="CZ223" s="128"/>
      <c r="DA223" s="128"/>
      <c r="DB223" s="128"/>
      <c r="DC223" s="128"/>
      <c r="DD223" s="128"/>
      <c r="DE223" s="128"/>
      <c r="DF223" s="128"/>
      <c r="DG223" s="128"/>
      <c r="DH223" s="128"/>
      <c r="DI223" s="128"/>
      <c r="DJ223" s="128"/>
      <c r="DK223" s="128"/>
      <c r="DL223" s="128"/>
      <c r="DM223" s="128"/>
      <c r="DN223" s="128"/>
      <c r="DO223" s="128"/>
      <c r="DP223" s="128"/>
      <c r="DQ223" s="128"/>
      <c r="DR223" s="128"/>
      <c r="DS223" s="128"/>
      <c r="DT223" s="128"/>
      <c r="DU223" s="128"/>
      <c r="DV223" s="128"/>
      <c r="DW223" s="128"/>
      <c r="DX223" s="128"/>
      <c r="DY223" s="128"/>
      <c r="DZ223" s="128"/>
      <c r="EA223" s="128"/>
      <c r="EB223" s="128"/>
      <c r="EC223" s="128"/>
      <c r="ED223" s="128"/>
      <c r="EE223" s="128"/>
      <c r="EF223" s="128"/>
      <c r="EG223" s="128"/>
      <c r="EH223" s="128"/>
      <c r="EI223" s="128"/>
      <c r="EJ223" s="128"/>
      <c r="EK223" s="128"/>
      <c r="EL223" s="128"/>
      <c r="EM223" s="128"/>
      <c r="EN223" s="128"/>
      <c r="EO223" s="128"/>
      <c r="EP223" s="128"/>
      <c r="EQ223" s="128"/>
      <c r="ER223" s="128"/>
      <c r="ES223" s="128"/>
      <c r="ET223" s="128"/>
      <c r="EU223" s="128"/>
      <c r="EV223" s="128"/>
      <c r="EW223" s="128"/>
      <c r="EX223" s="128"/>
      <c r="EY223" s="128"/>
      <c r="EZ223" s="128"/>
      <c r="FA223" s="128"/>
      <c r="FB223" s="128"/>
      <c r="FC223" s="128"/>
      <c r="FD223" s="128"/>
      <c r="FE223" s="128"/>
      <c r="FF223" s="128"/>
      <c r="FG223" s="128"/>
      <c r="FH223" s="128"/>
      <c r="FI223" s="128"/>
      <c r="FJ223" s="128"/>
      <c r="FK223" s="128"/>
      <c r="FL223" s="128"/>
      <c r="FM223" s="128"/>
      <c r="FN223" s="128"/>
      <c r="FO223" s="128"/>
      <c r="FP223" s="128"/>
      <c r="FQ223" s="128"/>
      <c r="FR223" s="128"/>
      <c r="FS223" s="128"/>
      <c r="FT223" s="128"/>
      <c r="FU223" s="128"/>
      <c r="FV223" s="128"/>
      <c r="FW223" s="128"/>
      <c r="FX223" s="128"/>
      <c r="FY223" s="128"/>
      <c r="FZ223" s="128"/>
      <c r="GA223" s="128"/>
      <c r="GB223" s="128"/>
      <c r="GC223" s="128"/>
      <c r="GD223" s="128"/>
      <c r="GE223" s="128"/>
      <c r="GF223" s="128"/>
      <c r="GG223" s="128"/>
      <c r="GH223" s="128"/>
      <c r="GI223" s="128"/>
      <c r="GJ223" s="128"/>
      <c r="GK223" s="128"/>
      <c r="GL223" s="128"/>
      <c r="GM223" s="128"/>
      <c r="GN223" s="128"/>
      <c r="GO223" s="128"/>
      <c r="GP223" s="128"/>
      <c r="GQ223" s="128"/>
      <c r="GR223" s="128"/>
      <c r="GS223" s="128"/>
      <c r="GT223" s="128"/>
      <c r="GU223" s="128"/>
      <c r="GV223" s="128"/>
      <c r="GW223" s="128"/>
      <c r="GX223" s="128"/>
      <c r="GY223" s="128"/>
      <c r="GZ223" s="128"/>
      <c r="HA223" s="128"/>
      <c r="HB223" s="128"/>
      <c r="HC223" s="128"/>
      <c r="HD223" s="128"/>
      <c r="HE223" s="128"/>
      <c r="HF223" s="128"/>
      <c r="HG223" s="128"/>
      <c r="HH223" s="128"/>
      <c r="HI223" s="128"/>
      <c r="HJ223" s="128"/>
      <c r="HK223" s="128"/>
      <c r="HL223" s="128"/>
      <c r="HM223" s="128"/>
      <c r="HN223" s="128"/>
      <c r="HO223" s="128"/>
      <c r="HP223" s="128"/>
      <c r="HQ223" s="128"/>
      <c r="HR223" s="128"/>
      <c r="HS223" s="128"/>
      <c r="HT223" s="128"/>
      <c r="HU223" s="128"/>
      <c r="HV223" s="128"/>
      <c r="HW223" s="128"/>
      <c r="HX223" s="128"/>
      <c r="HY223" s="128"/>
      <c r="HZ223" s="128"/>
      <c r="IA223" s="128"/>
      <c r="IB223" s="128"/>
      <c r="IC223" s="128"/>
      <c r="ID223" s="128"/>
      <c r="IE223" s="128"/>
      <c r="IF223" s="128"/>
      <c r="IG223" s="128"/>
      <c r="IH223" s="128"/>
      <c r="II223" s="128"/>
      <c r="IJ223" s="128"/>
      <c r="IK223" s="128"/>
      <c r="IL223" s="128"/>
      <c r="IM223" s="128"/>
      <c r="IN223" s="128"/>
      <c r="IO223" s="128"/>
      <c r="IP223" s="128"/>
      <c r="IQ223" s="128"/>
      <c r="IR223" s="128"/>
      <c r="IS223" s="128"/>
      <c r="IT223" s="128"/>
      <c r="IU223" s="128"/>
      <c r="IV223" s="128"/>
      <c r="IW223" s="128"/>
      <c r="IX223" s="128"/>
      <c r="IY223" s="128"/>
      <c r="IZ223" s="128"/>
      <c r="JA223" s="128"/>
      <c r="JB223" s="128"/>
      <c r="JC223" s="128"/>
      <c r="JD223" s="128"/>
      <c r="JE223" s="128"/>
      <c r="JF223" s="128"/>
      <c r="JG223" s="128"/>
      <c r="JH223" s="128"/>
      <c r="JI223" s="128"/>
      <c r="JJ223" s="128"/>
      <c r="JK223" s="128"/>
      <c r="JL223" s="128"/>
      <c r="JM223" s="128"/>
      <c r="JN223" s="128"/>
      <c r="JO223" s="128"/>
      <c r="JP223" s="128"/>
      <c r="JQ223" s="128"/>
      <c r="JR223" s="128"/>
      <c r="JS223" s="128"/>
      <c r="JT223" s="128"/>
      <c r="JU223" s="128"/>
      <c r="JV223" s="128"/>
      <c r="JW223" s="128"/>
      <c r="JX223" s="128"/>
      <c r="JY223" s="128"/>
      <c r="JZ223" s="128"/>
      <c r="KA223" s="128"/>
      <c r="KB223" s="128"/>
      <c r="KC223" s="128"/>
      <c r="KD223" s="128"/>
      <c r="KE223" s="128"/>
      <c r="KF223" s="128"/>
      <c r="KG223" s="128"/>
      <c r="KH223" s="128"/>
      <c r="KI223" s="128"/>
      <c r="KJ223" s="128"/>
      <c r="KK223" s="128"/>
      <c r="KL223" s="128"/>
      <c r="KM223" s="128"/>
      <c r="KN223" s="128"/>
      <c r="KO223" s="128"/>
      <c r="KP223" s="128"/>
      <c r="KQ223" s="128"/>
      <c r="KR223" s="128"/>
      <c r="KS223" s="128"/>
      <c r="KT223" s="128"/>
      <c r="KU223" s="128"/>
      <c r="KV223" s="128"/>
      <c r="KW223" s="128"/>
      <c r="KX223" s="128"/>
      <c r="KY223" s="128"/>
      <c r="KZ223" s="128"/>
      <c r="LA223" s="128"/>
      <c r="LB223" s="128"/>
      <c r="LC223" s="128"/>
      <c r="LD223" s="128"/>
      <c r="LE223" s="128"/>
      <c r="LF223" s="128"/>
      <c r="LG223" s="128"/>
      <c r="LH223" s="128"/>
      <c r="LI223" s="128"/>
      <c r="LJ223" s="128"/>
      <c r="LK223" s="128"/>
      <c r="LL223" s="128"/>
      <c r="LM223" s="128"/>
      <c r="LN223" s="128"/>
      <c r="LO223" s="128"/>
      <c r="LP223" s="128"/>
      <c r="LQ223" s="128"/>
      <c r="LR223" s="128"/>
      <c r="LS223" s="128"/>
      <c r="LT223" s="128"/>
      <c r="LU223" s="128"/>
      <c r="LV223" s="128"/>
      <c r="LW223" s="128"/>
      <c r="LX223" s="128"/>
      <c r="LY223" s="128"/>
      <c r="LZ223" s="128"/>
      <c r="MA223" s="128"/>
      <c r="MB223" s="128"/>
      <c r="MC223" s="128"/>
      <c r="MD223" s="128"/>
      <c r="ME223" s="128"/>
      <c r="MF223" s="128"/>
      <c r="MG223" s="128"/>
      <c r="MH223" s="128"/>
      <c r="MI223" s="128"/>
      <c r="MJ223" s="128"/>
      <c r="MK223" s="128"/>
      <c r="ML223" s="128"/>
      <c r="MM223" s="128"/>
      <c r="MN223" s="128"/>
      <c r="MO223" s="128"/>
      <c r="MP223" s="128"/>
      <c r="MQ223" s="128"/>
      <c r="MR223" s="128"/>
      <c r="MS223" s="128"/>
      <c r="MT223" s="128"/>
      <c r="MU223" s="128"/>
      <c r="MV223" s="128"/>
      <c r="MW223" s="128"/>
      <c r="MX223" s="128"/>
      <c r="MY223" s="128"/>
      <c r="MZ223" s="128"/>
      <c r="NA223" s="128"/>
      <c r="NB223" s="128"/>
      <c r="NC223" s="128"/>
      <c r="ND223" s="128"/>
      <c r="NE223" s="128"/>
      <c r="NF223" s="128"/>
      <c r="NG223" s="128"/>
      <c r="NH223" s="128"/>
      <c r="NI223" s="128"/>
      <c r="NJ223" s="128"/>
      <c r="NK223" s="128"/>
      <c r="NL223" s="128"/>
      <c r="NM223" s="128"/>
      <c r="NN223" s="128"/>
      <c r="NO223" s="128"/>
      <c r="NP223" s="128"/>
      <c r="NQ223" s="128"/>
      <c r="NR223" s="128"/>
      <c r="NS223" s="128"/>
      <c r="NT223" s="128"/>
      <c r="NU223" s="128"/>
      <c r="NV223" s="128"/>
      <c r="NW223" s="128"/>
      <c r="NX223" s="128"/>
      <c r="NY223" s="128"/>
      <c r="NZ223" s="128"/>
      <c r="OA223" s="128"/>
      <c r="OB223" s="128"/>
      <c r="OC223" s="128"/>
      <c r="OD223" s="128"/>
      <c r="OE223" s="128"/>
      <c r="OF223" s="128"/>
      <c r="OG223" s="128"/>
      <c r="OH223" s="128"/>
      <c r="OI223" s="128"/>
      <c r="OJ223" s="128"/>
      <c r="OK223" s="128"/>
      <c r="OL223" s="128"/>
      <c r="OM223" s="128"/>
      <c r="ON223" s="128"/>
      <c r="OO223" s="128"/>
      <c r="OP223" s="128"/>
      <c r="OQ223" s="128"/>
      <c r="OR223" s="128"/>
      <c r="OS223" s="128"/>
      <c r="OT223" s="128"/>
      <c r="OU223" s="128"/>
      <c r="OV223" s="128"/>
      <c r="OW223" s="128"/>
      <c r="OX223" s="128"/>
      <c r="OY223" s="128"/>
      <c r="OZ223" s="128"/>
      <c r="PA223" s="128"/>
      <c r="PB223" s="128"/>
      <c r="PC223" s="128"/>
      <c r="PD223" s="128"/>
      <c r="PE223" s="128"/>
      <c r="PF223" s="128"/>
      <c r="PG223" s="128"/>
      <c r="PH223" s="128"/>
      <c r="PI223" s="128"/>
      <c r="PJ223" s="128"/>
      <c r="PK223" s="128"/>
      <c r="PL223" s="128"/>
      <c r="PM223" s="128"/>
      <c r="PN223" s="128"/>
      <c r="PO223" s="128"/>
      <c r="PP223" s="128"/>
      <c r="PQ223" s="128"/>
      <c r="PR223" s="128"/>
      <c r="PS223" s="128"/>
      <c r="PT223" s="128"/>
      <c r="PU223" s="128"/>
      <c r="PV223" s="128"/>
      <c r="PW223" s="128"/>
      <c r="PX223" s="128"/>
      <c r="PY223" s="128"/>
      <c r="PZ223" s="128"/>
      <c r="QA223" s="128"/>
      <c r="QB223" s="128"/>
      <c r="QC223" s="128"/>
      <c r="QD223" s="128"/>
      <c r="QE223" s="128"/>
      <c r="QF223" s="128"/>
      <c r="QG223" s="128"/>
      <c r="QH223" s="128"/>
      <c r="QI223" s="128"/>
      <c r="QJ223" s="128"/>
      <c r="QK223" s="128"/>
      <c r="QL223" s="128"/>
      <c r="QM223" s="128"/>
      <c r="QN223" s="128"/>
      <c r="QO223" s="128"/>
      <c r="QP223" s="128"/>
      <c r="QQ223" s="128"/>
      <c r="QR223" s="128"/>
      <c r="QS223" s="128"/>
      <c r="QT223" s="128"/>
      <c r="QU223" s="128"/>
      <c r="QV223" s="128"/>
      <c r="QW223" s="128"/>
      <c r="QX223" s="128"/>
      <c r="QY223" s="128"/>
      <c r="QZ223" s="128"/>
      <c r="RA223" s="128"/>
      <c r="RB223" s="128"/>
      <c r="RC223" s="128"/>
      <c r="RD223" s="128"/>
      <c r="RE223" s="128"/>
      <c r="RF223" s="128"/>
      <c r="RG223" s="128"/>
      <c r="RH223" s="128"/>
      <c r="RI223" s="128"/>
      <c r="RJ223" s="128"/>
      <c r="RK223" s="128"/>
      <c r="RL223" s="128"/>
      <c r="RM223" s="128"/>
      <c r="RN223" s="128"/>
      <c r="RO223" s="128"/>
      <c r="RP223" s="128"/>
      <c r="RQ223" s="128"/>
      <c r="RR223" s="128"/>
      <c r="RS223" s="128"/>
      <c r="RT223" s="128"/>
      <c r="RU223" s="128"/>
      <c r="RV223" s="128"/>
      <c r="RW223" s="128"/>
      <c r="RX223" s="128"/>
      <c r="RY223" s="128"/>
      <c r="RZ223" s="128"/>
      <c r="SA223" s="128"/>
      <c r="SB223" s="128"/>
      <c r="SC223" s="128"/>
      <c r="SD223" s="128"/>
      <c r="SE223" s="128"/>
      <c r="SF223" s="128"/>
      <c r="SG223" s="128"/>
      <c r="SH223" s="128"/>
      <c r="SI223" s="128"/>
      <c r="SJ223" s="128"/>
      <c r="SK223" s="128"/>
      <c r="SL223" s="128"/>
      <c r="SM223" s="128"/>
      <c r="SN223" s="128"/>
      <c r="SO223" s="128"/>
      <c r="SP223" s="128"/>
      <c r="SQ223" s="128"/>
      <c r="SR223" s="128"/>
      <c r="SS223" s="128"/>
      <c r="ST223" s="128"/>
      <c r="SU223" s="128"/>
      <c r="SV223" s="128"/>
      <c r="SW223" s="128"/>
      <c r="SX223" s="128"/>
      <c r="SY223" s="128"/>
      <c r="SZ223" s="128"/>
      <c r="TA223" s="128"/>
      <c r="TB223" s="128"/>
      <c r="TC223" s="128"/>
      <c r="TD223" s="128"/>
      <c r="TE223" s="128"/>
      <c r="TF223" s="128"/>
      <c r="TG223" s="128"/>
      <c r="TH223" s="128"/>
      <c r="TI223" s="128"/>
      <c r="TJ223" s="128"/>
      <c r="TK223" s="128"/>
      <c r="TL223" s="128"/>
      <c r="TM223" s="128"/>
      <c r="TN223" s="128"/>
      <c r="TO223" s="128"/>
      <c r="TP223" s="128"/>
      <c r="TQ223" s="128"/>
      <c r="TR223" s="128"/>
      <c r="TS223" s="128"/>
      <c r="TT223" s="128"/>
      <c r="TU223" s="128"/>
      <c r="TV223" s="128"/>
      <c r="TW223" s="128"/>
      <c r="TX223" s="128"/>
      <c r="TY223" s="128"/>
      <c r="TZ223" s="128"/>
      <c r="UA223" s="128"/>
      <c r="UB223" s="128"/>
      <c r="UC223" s="128"/>
      <c r="UD223" s="128"/>
      <c r="UE223" s="128"/>
      <c r="UF223" s="128"/>
      <c r="UG223" s="128"/>
      <c r="UH223" s="128"/>
      <c r="UI223" s="128"/>
      <c r="UJ223" s="128"/>
      <c r="UK223" s="128"/>
      <c r="UL223" s="128"/>
      <c r="UM223" s="128"/>
      <c r="UN223" s="128"/>
      <c r="UO223" s="128"/>
      <c r="UP223" s="128"/>
      <c r="UQ223" s="128"/>
      <c r="UR223" s="128"/>
      <c r="US223" s="128"/>
      <c r="UT223" s="128"/>
      <c r="UU223" s="128"/>
      <c r="UV223" s="128"/>
      <c r="UW223" s="128"/>
      <c r="UX223" s="128"/>
      <c r="UY223" s="128"/>
      <c r="UZ223" s="128"/>
      <c r="VA223" s="128"/>
      <c r="VB223" s="128"/>
      <c r="VC223" s="128"/>
      <c r="VD223" s="128"/>
      <c r="VE223" s="128"/>
      <c r="VF223" s="128"/>
      <c r="VG223" s="128"/>
      <c r="VH223" s="128"/>
      <c r="VI223" s="128"/>
      <c r="VJ223" s="128"/>
      <c r="VK223" s="128"/>
      <c r="VL223" s="128"/>
      <c r="VM223" s="128"/>
      <c r="VN223" s="128"/>
      <c r="VO223" s="128"/>
      <c r="VP223" s="128"/>
      <c r="VQ223" s="128"/>
      <c r="VR223" s="128"/>
      <c r="VS223" s="128"/>
      <c r="VT223" s="128"/>
      <c r="VU223" s="128"/>
      <c r="VV223" s="128"/>
      <c r="VW223" s="128"/>
      <c r="VX223" s="128"/>
      <c r="VY223" s="128"/>
      <c r="VZ223" s="128"/>
      <c r="WA223" s="128"/>
      <c r="WB223" s="128"/>
      <c r="WC223" s="128"/>
      <c r="WD223" s="128"/>
      <c r="WE223" s="128"/>
      <c r="WF223" s="128"/>
      <c r="WG223" s="128"/>
      <c r="WH223" s="128"/>
      <c r="WI223" s="128"/>
      <c r="WJ223" s="128"/>
      <c r="WK223" s="128"/>
      <c r="WL223" s="128"/>
      <c r="WM223" s="128"/>
      <c r="WN223" s="128"/>
      <c r="WO223" s="128"/>
      <c r="WP223" s="128"/>
      <c r="WQ223" s="128"/>
      <c r="WR223" s="128"/>
      <c r="WS223" s="128"/>
      <c r="WT223" s="128"/>
      <c r="WU223" s="128"/>
      <c r="WV223" s="128"/>
      <c r="WW223" s="128"/>
      <c r="WX223" s="128"/>
      <c r="WY223" s="128"/>
      <c r="WZ223" s="128"/>
      <c r="XA223" s="128"/>
      <c r="XB223" s="128"/>
      <c r="XC223" s="128"/>
      <c r="XD223" s="128"/>
      <c r="XE223" s="128"/>
      <c r="XF223" s="128"/>
      <c r="XG223" s="128"/>
      <c r="XH223" s="128"/>
      <c r="XI223" s="128"/>
      <c r="XJ223" s="128"/>
      <c r="XK223" s="128"/>
      <c r="XL223" s="128"/>
      <c r="XM223" s="128"/>
      <c r="XN223" s="128"/>
      <c r="XO223" s="128"/>
      <c r="XP223" s="128"/>
      <c r="XQ223" s="128"/>
      <c r="XR223" s="128"/>
      <c r="XS223" s="128"/>
      <c r="XT223" s="128"/>
      <c r="XU223" s="128"/>
      <c r="XV223" s="128"/>
      <c r="XW223" s="128"/>
      <c r="XX223" s="128"/>
      <c r="XY223" s="128"/>
      <c r="XZ223" s="128"/>
      <c r="YA223" s="128"/>
      <c r="YB223" s="128"/>
      <c r="YC223" s="128"/>
      <c r="YD223" s="128"/>
      <c r="YE223" s="128"/>
      <c r="YF223" s="128"/>
      <c r="YG223" s="128"/>
      <c r="YH223" s="128"/>
      <c r="YI223" s="128"/>
      <c r="YJ223" s="128"/>
      <c r="YK223" s="128"/>
      <c r="YL223" s="128"/>
      <c r="YM223" s="128"/>
      <c r="YN223" s="128"/>
      <c r="YO223" s="128"/>
      <c r="YP223" s="128"/>
      <c r="YQ223" s="128"/>
      <c r="YR223" s="128"/>
      <c r="YS223" s="128"/>
      <c r="YT223" s="128"/>
      <c r="YU223" s="128"/>
      <c r="YV223" s="128"/>
      <c r="YW223" s="128"/>
      <c r="YX223" s="128"/>
      <c r="YY223" s="128"/>
      <c r="YZ223" s="128"/>
      <c r="ZA223" s="128"/>
      <c r="ZB223" s="128"/>
      <c r="ZC223" s="128"/>
      <c r="ZD223" s="128"/>
      <c r="ZE223" s="128"/>
      <c r="ZF223" s="128"/>
      <c r="ZG223" s="128"/>
      <c r="ZH223" s="128"/>
      <c r="ZI223" s="128"/>
      <c r="ZJ223" s="128"/>
      <c r="ZK223" s="128"/>
      <c r="ZL223" s="128"/>
      <c r="ZM223" s="128"/>
      <c r="ZN223" s="128"/>
      <c r="ZO223" s="128"/>
      <c r="ZP223" s="128"/>
      <c r="ZQ223" s="128"/>
      <c r="ZR223" s="128"/>
      <c r="ZS223" s="128"/>
      <c r="ZT223" s="128"/>
      <c r="ZU223" s="128"/>
      <c r="ZV223" s="128"/>
      <c r="ZW223" s="128"/>
      <c r="ZX223" s="128"/>
      <c r="ZY223" s="128"/>
      <c r="ZZ223" s="128"/>
      <c r="AAA223" s="128"/>
      <c r="AAB223" s="128"/>
      <c r="AAC223" s="128"/>
      <c r="AAD223" s="128"/>
      <c r="AAE223" s="128"/>
      <c r="AAF223" s="128"/>
      <c r="AAG223" s="128"/>
      <c r="AAH223" s="128"/>
      <c r="AAI223" s="128"/>
      <c r="AAJ223" s="128"/>
      <c r="AAK223" s="128"/>
      <c r="AAL223" s="128"/>
      <c r="AAM223" s="128"/>
      <c r="AAN223" s="128"/>
      <c r="AAO223" s="128"/>
      <c r="AAP223" s="128"/>
      <c r="AAQ223" s="128"/>
      <c r="AAR223" s="128"/>
      <c r="AAS223" s="128"/>
      <c r="AAT223" s="128"/>
      <c r="AAU223" s="128"/>
      <c r="AAV223" s="128"/>
      <c r="AAW223" s="128"/>
      <c r="AAX223" s="128"/>
      <c r="AAY223" s="128"/>
      <c r="AAZ223" s="128"/>
      <c r="ABA223" s="128"/>
      <c r="ABB223" s="128"/>
      <c r="ABC223" s="128"/>
      <c r="ABD223" s="128"/>
      <c r="ABE223" s="128"/>
      <c r="ABF223" s="128"/>
      <c r="ABG223" s="128"/>
      <c r="ABH223" s="128"/>
      <c r="ABI223" s="128"/>
      <c r="ABJ223" s="128"/>
      <c r="ABK223" s="128"/>
      <c r="ABL223" s="128"/>
      <c r="ABM223" s="128"/>
      <c r="ABN223" s="128"/>
      <c r="ABO223" s="128"/>
      <c r="ABP223" s="128"/>
      <c r="ABQ223" s="128"/>
      <c r="ABR223" s="128"/>
      <c r="ABS223" s="128"/>
      <c r="ABT223" s="128"/>
      <c r="ABU223" s="128"/>
      <c r="ABV223" s="128"/>
      <c r="ABW223" s="128"/>
      <c r="ABX223" s="128"/>
      <c r="ABY223" s="128"/>
      <c r="ABZ223" s="128"/>
      <c r="ACA223" s="128"/>
      <c r="ACB223" s="128"/>
      <c r="ACC223" s="128"/>
      <c r="ACD223" s="128"/>
      <c r="ACE223" s="128"/>
      <c r="ACF223" s="128"/>
      <c r="ACG223" s="128"/>
      <c r="ACH223" s="128"/>
      <c r="ACI223" s="128"/>
      <c r="ACJ223" s="128"/>
      <c r="ACK223" s="128"/>
      <c r="ACL223" s="128"/>
      <c r="ACM223" s="128"/>
      <c r="ACN223" s="128"/>
      <c r="ACO223" s="128"/>
      <c r="ACP223" s="128"/>
      <c r="ACQ223" s="128"/>
      <c r="ACR223" s="128"/>
      <c r="ACS223" s="128"/>
      <c r="ACT223" s="128"/>
      <c r="ACU223" s="128"/>
      <c r="ACV223" s="128"/>
      <c r="ACW223" s="128"/>
      <c r="ACX223" s="128"/>
      <c r="ACY223" s="128"/>
      <c r="ACZ223" s="128"/>
      <c r="ADA223" s="128"/>
      <c r="ADB223" s="128"/>
      <c r="ADC223" s="128"/>
      <c r="ADD223" s="128"/>
      <c r="ADE223" s="128"/>
      <c r="ADF223" s="128"/>
      <c r="ADG223" s="128"/>
      <c r="ADH223" s="128"/>
      <c r="ADI223" s="128"/>
      <c r="ADJ223" s="128"/>
      <c r="ADK223" s="128"/>
      <c r="ADL223" s="128"/>
      <c r="ADM223" s="128"/>
      <c r="ADN223" s="128"/>
      <c r="ADO223" s="128"/>
      <c r="ADP223" s="128"/>
      <c r="ADQ223" s="128"/>
      <c r="ADR223" s="128"/>
      <c r="ADS223" s="128"/>
      <c r="ADT223" s="128"/>
      <c r="ADU223" s="128"/>
      <c r="ADV223" s="128"/>
      <c r="ADW223" s="128"/>
      <c r="ADX223" s="128"/>
      <c r="ADY223" s="128"/>
      <c r="ADZ223" s="128"/>
      <c r="AEA223" s="128"/>
      <c r="AEB223" s="128"/>
      <c r="AEC223" s="128"/>
      <c r="AED223" s="128"/>
      <c r="AEE223" s="128"/>
      <c r="AEF223" s="128"/>
      <c r="AEG223" s="128"/>
      <c r="AEH223" s="128"/>
      <c r="AEI223" s="128"/>
      <c r="AEJ223" s="128"/>
      <c r="AEK223" s="128"/>
      <c r="AEL223" s="128"/>
      <c r="AEM223" s="128"/>
      <c r="AEN223" s="128"/>
      <c r="AEO223" s="128"/>
      <c r="AEP223" s="128"/>
      <c r="AEQ223" s="128"/>
      <c r="AER223" s="128"/>
      <c r="AES223" s="128"/>
      <c r="AET223" s="128"/>
      <c r="AEU223" s="128"/>
      <c r="AEV223" s="128"/>
      <c r="AEW223" s="128"/>
      <c r="AEX223" s="128"/>
      <c r="AEY223" s="128"/>
      <c r="AEZ223" s="128"/>
      <c r="AFA223" s="128"/>
      <c r="AFB223" s="128"/>
      <c r="AFC223" s="128"/>
      <c r="AFD223" s="128"/>
      <c r="AFE223" s="128"/>
      <c r="AFF223" s="128"/>
      <c r="AFG223" s="128"/>
      <c r="AFH223" s="128"/>
      <c r="AFI223" s="128"/>
      <c r="AFJ223" s="128"/>
      <c r="AFK223" s="128"/>
      <c r="AFL223" s="128"/>
      <c r="AFM223" s="128"/>
      <c r="AFN223" s="128"/>
      <c r="AFO223" s="128"/>
      <c r="AFP223" s="128"/>
      <c r="AFQ223" s="128"/>
      <c r="AFR223" s="128"/>
      <c r="AFS223" s="128"/>
      <c r="AFT223" s="128"/>
      <c r="AFU223" s="128"/>
      <c r="AFV223" s="128"/>
      <c r="AFW223" s="128"/>
      <c r="AFX223" s="128"/>
      <c r="AFY223" s="128"/>
      <c r="AFZ223" s="128"/>
      <c r="AGA223" s="128"/>
      <c r="AGB223" s="128"/>
      <c r="AGC223" s="128"/>
      <c r="AGD223" s="128"/>
      <c r="AGE223" s="128"/>
      <c r="AGF223" s="128"/>
      <c r="AGG223" s="128"/>
      <c r="AGH223" s="128"/>
      <c r="AGI223" s="128"/>
      <c r="AGJ223" s="128"/>
      <c r="AGK223" s="128"/>
      <c r="AGL223" s="128"/>
      <c r="AGM223" s="128"/>
      <c r="AGN223" s="128"/>
      <c r="AGO223" s="128"/>
      <c r="AGP223" s="128"/>
      <c r="AGQ223" s="128"/>
      <c r="AGR223" s="128"/>
      <c r="AGS223" s="128"/>
      <c r="AGT223" s="128"/>
      <c r="AGU223" s="128"/>
      <c r="AGV223" s="128"/>
      <c r="AGW223" s="128"/>
      <c r="AGX223" s="128"/>
      <c r="AGY223" s="128"/>
      <c r="AGZ223" s="128"/>
      <c r="AHA223" s="128"/>
      <c r="AHB223" s="128"/>
      <c r="AHC223" s="128"/>
      <c r="AHD223" s="128"/>
      <c r="AHE223" s="128"/>
      <c r="AHF223" s="128"/>
      <c r="AHG223" s="128"/>
      <c r="AHH223" s="128"/>
      <c r="AHI223" s="128"/>
      <c r="AHJ223" s="128"/>
      <c r="AHK223" s="128"/>
      <c r="AHL223" s="128"/>
      <c r="AHM223" s="128"/>
      <c r="AHN223" s="128"/>
      <c r="AHO223" s="128"/>
      <c r="AHP223" s="128"/>
      <c r="AHQ223" s="128"/>
      <c r="AHR223" s="128"/>
      <c r="AHS223" s="128"/>
      <c r="AHT223" s="128"/>
      <c r="AHU223" s="128"/>
      <c r="AHV223" s="128"/>
      <c r="AHW223" s="128"/>
      <c r="AHX223" s="128"/>
      <c r="AHY223" s="128"/>
      <c r="AHZ223" s="128"/>
      <c r="AIA223" s="128"/>
      <c r="AIB223" s="128"/>
      <c r="AIC223" s="128"/>
      <c r="AID223" s="128"/>
      <c r="AIE223" s="128"/>
      <c r="AIF223" s="128"/>
      <c r="AIG223" s="128"/>
      <c r="AIH223" s="128"/>
      <c r="AII223" s="128"/>
      <c r="AIJ223" s="128"/>
      <c r="AIK223" s="128"/>
      <c r="AIL223" s="128"/>
      <c r="AIM223" s="128"/>
      <c r="AIN223" s="128"/>
      <c r="AIO223" s="128"/>
      <c r="AIP223" s="128"/>
      <c r="AIQ223" s="128"/>
      <c r="AIR223" s="128"/>
      <c r="AIS223" s="128"/>
      <c r="AIT223" s="128"/>
      <c r="AIU223" s="128"/>
      <c r="AIV223" s="128"/>
      <c r="AIW223" s="128"/>
      <c r="AIX223" s="128"/>
      <c r="AIY223" s="128"/>
      <c r="AIZ223" s="128"/>
      <c r="AJA223" s="128"/>
      <c r="AJB223" s="128"/>
      <c r="AJC223" s="128"/>
      <c r="AJD223" s="128"/>
      <c r="AJE223" s="128"/>
      <c r="AJF223" s="128"/>
      <c r="AJG223" s="128"/>
      <c r="AJH223" s="128"/>
      <c r="AJI223" s="128"/>
      <c r="AJJ223" s="128"/>
      <c r="AJK223" s="128"/>
      <c r="AJL223" s="128"/>
      <c r="AJM223" s="128"/>
      <c r="AJN223" s="128"/>
      <c r="AJO223" s="128"/>
      <c r="AJP223" s="128"/>
      <c r="AJQ223" s="128"/>
      <c r="AJR223" s="128"/>
      <c r="AJS223" s="128"/>
      <c r="AJT223" s="128"/>
      <c r="AJU223" s="128"/>
      <c r="AJV223" s="128"/>
      <c r="AJW223" s="128"/>
      <c r="AJX223" s="128"/>
      <c r="AJY223" s="128"/>
      <c r="AJZ223" s="128"/>
      <c r="AKA223" s="128"/>
      <c r="AKB223" s="128"/>
      <c r="AKC223" s="128"/>
      <c r="AKD223" s="128"/>
      <c r="AKE223" s="128"/>
      <c r="AKF223" s="128"/>
      <c r="AKG223" s="128"/>
      <c r="AKH223" s="128"/>
      <c r="AKI223" s="128"/>
      <c r="AKJ223" s="128"/>
      <c r="AKK223" s="128"/>
      <c r="AKL223" s="128"/>
      <c r="AKM223" s="128"/>
      <c r="AKN223" s="128"/>
      <c r="AKO223" s="128"/>
      <c r="AKP223" s="128"/>
      <c r="AKQ223" s="128"/>
      <c r="AKR223" s="128"/>
      <c r="AKS223" s="128"/>
      <c r="AKT223" s="128"/>
      <c r="AKU223" s="128"/>
      <c r="AKV223" s="128"/>
      <c r="AKW223" s="128"/>
      <c r="AKX223" s="128"/>
      <c r="AKY223" s="128"/>
      <c r="AKZ223" s="128"/>
      <c r="ALA223" s="128"/>
      <c r="ALB223" s="128"/>
      <c r="ALC223" s="128"/>
      <c r="ALD223" s="128"/>
      <c r="ALE223" s="128"/>
      <c r="ALF223" s="128"/>
      <c r="ALG223" s="128"/>
      <c r="ALH223" s="128"/>
      <c r="ALI223" s="128"/>
      <c r="ALJ223" s="128"/>
      <c r="ALK223" s="128"/>
      <c r="ALL223" s="128"/>
      <c r="ALM223" s="128"/>
      <c r="ALN223" s="128"/>
      <c r="ALO223" s="128"/>
      <c r="ALP223" s="128"/>
      <c r="ALQ223" s="128"/>
      <c r="ALR223" s="128"/>
      <c r="ALS223" s="128"/>
      <c r="ALT223" s="128"/>
      <c r="ALU223" s="128"/>
      <c r="ALV223" s="128"/>
      <c r="ALW223" s="128"/>
      <c r="ALX223" s="128"/>
      <c r="ALY223" s="128"/>
      <c r="ALZ223" s="128"/>
      <c r="AMA223"/>
      <c r="AMB223"/>
      <c r="AMC223"/>
      <c r="AMD223"/>
    </row>
    <row r="224" spans="1:1018" s="96" customFormat="1" ht="12" customHeight="1">
      <c r="A224" s="129"/>
      <c r="B224" s="129"/>
      <c r="C224" s="129"/>
      <c r="D224" s="129"/>
      <c r="E224" s="129"/>
      <c r="F224" s="129"/>
      <c r="I224" s="225"/>
      <c r="K224" s="159"/>
      <c r="P224" s="173"/>
      <c r="T224" s="277"/>
      <c r="X224"/>
      <c r="Y224" s="179"/>
      <c r="AA224" s="159"/>
      <c r="AC224"/>
      <c r="AE224" s="128"/>
      <c r="AF224"/>
      <c r="AG224" s="128"/>
      <c r="AH224" s="128"/>
      <c r="AI224" s="128"/>
      <c r="AJ224" s="128"/>
      <c r="AK224" s="128"/>
      <c r="AL224" s="128"/>
      <c r="AM224" s="128"/>
      <c r="AN224" s="128"/>
      <c r="AO224" s="128"/>
      <c r="AP224" s="128"/>
      <c r="AQ224" s="128"/>
      <c r="AR224" s="128"/>
      <c r="AS224" s="128"/>
      <c r="AT224" s="128"/>
      <c r="AU224" s="128"/>
      <c r="AV224" s="128"/>
      <c r="AW224" s="128"/>
      <c r="AX224" s="128"/>
      <c r="AY224" s="128"/>
      <c r="AZ224" s="128"/>
      <c r="BA224" s="128"/>
      <c r="BB224" s="128"/>
      <c r="BC224" s="128"/>
      <c r="BD224" s="128"/>
      <c r="BE224" s="128"/>
      <c r="BF224" s="128"/>
      <c r="BG224" s="128"/>
      <c r="BH224" s="128"/>
      <c r="BI224" s="128"/>
      <c r="BJ224" s="128"/>
      <c r="BK224" s="128"/>
      <c r="BL224" s="128"/>
      <c r="BM224" s="128"/>
      <c r="BN224" s="128"/>
      <c r="BO224" s="128"/>
      <c r="BP224" s="128"/>
      <c r="BQ224" s="128"/>
      <c r="BR224" s="128"/>
      <c r="BS224" s="128"/>
      <c r="BT224" s="128"/>
      <c r="BU224" s="128"/>
      <c r="BV224" s="128"/>
      <c r="BW224" s="128"/>
      <c r="BX224" s="128"/>
      <c r="BY224" s="128"/>
      <c r="BZ224" s="128"/>
      <c r="CA224" s="128"/>
      <c r="CB224" s="128"/>
      <c r="CC224" s="128"/>
      <c r="CD224" s="128"/>
      <c r="CE224" s="128"/>
      <c r="CF224" s="128"/>
      <c r="CG224" s="128"/>
      <c r="CH224" s="128"/>
      <c r="CI224" s="128"/>
      <c r="CJ224" s="128"/>
      <c r="CK224" s="128"/>
      <c r="CL224" s="128"/>
      <c r="CM224" s="128"/>
      <c r="CN224" s="128"/>
      <c r="CO224" s="128"/>
      <c r="CP224" s="128"/>
      <c r="CQ224" s="128"/>
      <c r="CR224" s="128"/>
      <c r="CS224" s="128"/>
      <c r="CT224" s="128"/>
      <c r="CU224" s="128"/>
      <c r="CV224" s="128"/>
      <c r="CW224" s="128"/>
      <c r="CX224" s="128"/>
      <c r="CY224" s="128"/>
      <c r="CZ224" s="128"/>
      <c r="DA224" s="128"/>
      <c r="DB224" s="128"/>
      <c r="DC224" s="128"/>
      <c r="DD224" s="128"/>
      <c r="DE224" s="128"/>
      <c r="DF224" s="128"/>
      <c r="DG224" s="128"/>
      <c r="DH224" s="128"/>
      <c r="DI224" s="128"/>
      <c r="DJ224" s="128"/>
      <c r="DK224" s="128"/>
      <c r="DL224" s="128"/>
      <c r="DM224" s="128"/>
      <c r="DN224" s="128"/>
      <c r="DO224" s="128"/>
      <c r="DP224" s="128"/>
      <c r="DQ224" s="128"/>
      <c r="DR224" s="128"/>
      <c r="DS224" s="128"/>
      <c r="DT224" s="128"/>
      <c r="DU224" s="128"/>
      <c r="DV224" s="128"/>
      <c r="DW224" s="128"/>
      <c r="DX224" s="128"/>
      <c r="DY224" s="128"/>
      <c r="DZ224" s="128"/>
      <c r="EA224" s="128"/>
      <c r="EB224" s="128"/>
      <c r="EC224" s="128"/>
      <c r="ED224" s="128"/>
      <c r="EE224" s="128"/>
      <c r="EF224" s="128"/>
      <c r="EG224" s="128"/>
      <c r="EH224" s="128"/>
      <c r="EI224" s="128"/>
      <c r="EJ224" s="128"/>
      <c r="EK224" s="128"/>
      <c r="EL224" s="128"/>
      <c r="EM224" s="128"/>
      <c r="EN224" s="128"/>
      <c r="EO224" s="128"/>
      <c r="EP224" s="128"/>
      <c r="EQ224" s="128"/>
      <c r="ER224" s="128"/>
      <c r="ES224" s="128"/>
      <c r="ET224" s="128"/>
      <c r="EU224" s="128"/>
      <c r="EV224" s="128"/>
      <c r="EW224" s="128"/>
      <c r="EX224" s="128"/>
      <c r="EY224" s="128"/>
      <c r="EZ224" s="128"/>
      <c r="FA224" s="128"/>
      <c r="FB224" s="128"/>
      <c r="FC224" s="128"/>
      <c r="FD224" s="128"/>
      <c r="FE224" s="128"/>
      <c r="FF224" s="128"/>
      <c r="FG224" s="128"/>
      <c r="FH224" s="128"/>
      <c r="FI224" s="128"/>
      <c r="FJ224" s="128"/>
      <c r="FK224" s="128"/>
      <c r="FL224" s="128"/>
      <c r="FM224" s="128"/>
      <c r="FN224" s="128"/>
      <c r="FO224" s="128"/>
      <c r="FP224" s="128"/>
      <c r="FQ224" s="128"/>
      <c r="FR224" s="128"/>
      <c r="FS224" s="128"/>
      <c r="FT224" s="128"/>
      <c r="FU224" s="128"/>
      <c r="FV224" s="128"/>
      <c r="FW224" s="128"/>
      <c r="FX224" s="128"/>
      <c r="FY224" s="128"/>
      <c r="FZ224" s="128"/>
      <c r="GA224" s="128"/>
      <c r="GB224" s="128"/>
      <c r="GC224" s="128"/>
      <c r="GD224" s="128"/>
      <c r="GE224" s="128"/>
      <c r="GF224" s="128"/>
      <c r="GG224" s="128"/>
      <c r="GH224" s="128"/>
      <c r="GI224" s="128"/>
      <c r="GJ224" s="128"/>
      <c r="GK224" s="128"/>
      <c r="GL224" s="128"/>
      <c r="GM224" s="128"/>
      <c r="GN224" s="128"/>
      <c r="GO224" s="128"/>
      <c r="GP224" s="128"/>
      <c r="GQ224" s="128"/>
      <c r="GR224" s="128"/>
      <c r="GS224" s="128"/>
      <c r="GT224" s="128"/>
      <c r="GU224" s="128"/>
      <c r="GV224" s="128"/>
      <c r="GW224" s="128"/>
      <c r="GX224" s="128"/>
      <c r="GY224" s="128"/>
      <c r="GZ224" s="128"/>
      <c r="HA224" s="128"/>
      <c r="HB224" s="128"/>
      <c r="HC224" s="128"/>
      <c r="HD224" s="128"/>
      <c r="HE224" s="128"/>
      <c r="HF224" s="128"/>
      <c r="HG224" s="128"/>
      <c r="HH224" s="128"/>
      <c r="HI224" s="128"/>
      <c r="HJ224" s="128"/>
      <c r="HK224" s="128"/>
      <c r="HL224" s="128"/>
      <c r="HM224" s="128"/>
      <c r="HN224" s="128"/>
      <c r="HO224" s="128"/>
      <c r="HP224" s="128"/>
      <c r="HQ224" s="128"/>
      <c r="HR224" s="128"/>
      <c r="HS224" s="128"/>
      <c r="HT224" s="128"/>
      <c r="HU224" s="128"/>
      <c r="HV224" s="128"/>
      <c r="HW224" s="128"/>
      <c r="HX224" s="128"/>
      <c r="HY224" s="128"/>
      <c r="HZ224" s="128"/>
      <c r="IA224" s="128"/>
      <c r="IB224" s="128"/>
      <c r="IC224" s="128"/>
      <c r="ID224" s="128"/>
      <c r="IE224" s="128"/>
      <c r="IF224" s="128"/>
      <c r="IG224" s="128"/>
      <c r="IH224" s="128"/>
      <c r="II224" s="128"/>
      <c r="IJ224" s="128"/>
      <c r="IK224" s="128"/>
      <c r="IL224" s="128"/>
      <c r="IM224" s="128"/>
      <c r="IN224" s="128"/>
      <c r="IO224" s="128"/>
      <c r="IP224" s="128"/>
      <c r="IQ224" s="128"/>
      <c r="IR224" s="128"/>
      <c r="IS224" s="128"/>
      <c r="IT224" s="128"/>
      <c r="IU224" s="128"/>
      <c r="IV224" s="128"/>
      <c r="IW224" s="128"/>
      <c r="IX224" s="128"/>
      <c r="IY224" s="128"/>
      <c r="IZ224" s="128"/>
      <c r="JA224" s="128"/>
      <c r="JB224" s="128"/>
      <c r="JC224" s="128"/>
      <c r="JD224" s="128"/>
      <c r="JE224" s="128"/>
      <c r="JF224" s="128"/>
      <c r="JG224" s="128"/>
      <c r="JH224" s="128"/>
      <c r="JI224" s="128"/>
      <c r="JJ224" s="128"/>
      <c r="JK224" s="128"/>
      <c r="JL224" s="128"/>
      <c r="JM224" s="128"/>
      <c r="JN224" s="128"/>
      <c r="JO224" s="128"/>
      <c r="JP224" s="128"/>
      <c r="JQ224" s="128"/>
      <c r="JR224" s="128"/>
      <c r="JS224" s="128"/>
      <c r="JT224" s="128"/>
      <c r="JU224" s="128"/>
      <c r="JV224" s="128"/>
      <c r="JW224" s="128"/>
      <c r="JX224" s="128"/>
      <c r="JY224" s="128"/>
      <c r="JZ224" s="128"/>
      <c r="KA224" s="128"/>
      <c r="KB224" s="128"/>
      <c r="KC224" s="128"/>
      <c r="KD224" s="128"/>
      <c r="KE224" s="128"/>
      <c r="KF224" s="128"/>
      <c r="KG224" s="128"/>
      <c r="KH224" s="128"/>
      <c r="KI224" s="128"/>
      <c r="KJ224" s="128"/>
      <c r="KK224" s="128"/>
      <c r="KL224" s="128"/>
      <c r="KM224" s="128"/>
      <c r="KN224" s="128"/>
      <c r="KO224" s="128"/>
      <c r="KP224" s="128"/>
      <c r="KQ224" s="128"/>
      <c r="KR224" s="128"/>
      <c r="KS224" s="128"/>
      <c r="KT224" s="128"/>
      <c r="KU224" s="128"/>
      <c r="KV224" s="128"/>
      <c r="KW224" s="128"/>
      <c r="KX224" s="128"/>
      <c r="KY224" s="128"/>
      <c r="KZ224" s="128"/>
      <c r="LA224" s="128"/>
      <c r="LB224" s="128"/>
      <c r="LC224" s="128"/>
      <c r="LD224" s="128"/>
      <c r="LE224" s="128"/>
      <c r="LF224" s="128"/>
      <c r="LG224" s="128"/>
      <c r="LH224" s="128"/>
      <c r="LI224" s="128"/>
      <c r="LJ224" s="128"/>
      <c r="LK224" s="128"/>
      <c r="LL224" s="128"/>
      <c r="LM224" s="128"/>
      <c r="LN224" s="128"/>
      <c r="LO224" s="128"/>
      <c r="LP224" s="128"/>
      <c r="LQ224" s="128"/>
      <c r="LR224" s="128"/>
      <c r="LS224" s="128"/>
      <c r="LT224" s="128"/>
      <c r="LU224" s="128"/>
      <c r="LV224" s="128"/>
      <c r="LW224" s="128"/>
      <c r="LX224" s="128"/>
      <c r="LY224" s="128"/>
      <c r="LZ224" s="128"/>
      <c r="MA224" s="128"/>
      <c r="MB224" s="128"/>
      <c r="MC224" s="128"/>
      <c r="MD224" s="128"/>
      <c r="ME224" s="128"/>
      <c r="MF224" s="128"/>
      <c r="MG224" s="128"/>
      <c r="MH224" s="128"/>
      <c r="MI224" s="128"/>
      <c r="MJ224" s="128"/>
      <c r="MK224" s="128"/>
      <c r="ML224" s="128"/>
      <c r="MM224" s="128"/>
      <c r="MN224" s="128"/>
      <c r="MO224" s="128"/>
      <c r="MP224" s="128"/>
      <c r="MQ224" s="128"/>
      <c r="MR224" s="128"/>
      <c r="MS224" s="128"/>
      <c r="MT224" s="128"/>
      <c r="MU224" s="128"/>
      <c r="MV224" s="128"/>
      <c r="MW224" s="128"/>
      <c r="MX224" s="128"/>
      <c r="MY224" s="128"/>
      <c r="MZ224" s="128"/>
      <c r="NA224" s="128"/>
      <c r="NB224" s="128"/>
      <c r="NC224" s="128"/>
      <c r="ND224" s="128"/>
      <c r="NE224" s="128"/>
      <c r="NF224" s="128"/>
      <c r="NG224" s="128"/>
      <c r="NH224" s="128"/>
      <c r="NI224" s="128"/>
      <c r="NJ224" s="128"/>
      <c r="NK224" s="128"/>
      <c r="NL224" s="128"/>
      <c r="NM224" s="128"/>
      <c r="NN224" s="128"/>
      <c r="NO224" s="128"/>
      <c r="NP224" s="128"/>
      <c r="NQ224" s="128"/>
      <c r="NR224" s="128"/>
      <c r="NS224" s="128"/>
      <c r="NT224" s="128"/>
      <c r="NU224" s="128"/>
      <c r="NV224" s="128"/>
      <c r="NW224" s="128"/>
      <c r="NX224" s="128"/>
      <c r="NY224" s="128"/>
      <c r="NZ224" s="128"/>
      <c r="OA224" s="128"/>
      <c r="OB224" s="128"/>
      <c r="OC224" s="128"/>
      <c r="OD224" s="128"/>
      <c r="OE224" s="128"/>
      <c r="OF224" s="128"/>
      <c r="OG224" s="128"/>
      <c r="OH224" s="128"/>
      <c r="OI224" s="128"/>
      <c r="OJ224" s="128"/>
      <c r="OK224" s="128"/>
      <c r="OL224" s="128"/>
      <c r="OM224" s="128"/>
      <c r="ON224" s="128"/>
      <c r="OO224" s="128"/>
      <c r="OP224" s="128"/>
      <c r="OQ224" s="128"/>
      <c r="OR224" s="128"/>
      <c r="OS224" s="128"/>
      <c r="OT224" s="128"/>
      <c r="OU224" s="128"/>
      <c r="OV224" s="128"/>
      <c r="OW224" s="128"/>
      <c r="OX224" s="128"/>
      <c r="OY224" s="128"/>
      <c r="OZ224" s="128"/>
      <c r="PA224" s="128"/>
      <c r="PB224" s="128"/>
      <c r="PC224" s="128"/>
      <c r="PD224" s="128"/>
      <c r="PE224" s="128"/>
      <c r="PF224" s="128"/>
      <c r="PG224" s="128"/>
      <c r="PH224" s="128"/>
      <c r="PI224" s="128"/>
      <c r="PJ224" s="128"/>
      <c r="PK224" s="128"/>
      <c r="PL224" s="128"/>
      <c r="PM224" s="128"/>
      <c r="PN224" s="128"/>
      <c r="PO224" s="128"/>
      <c r="PP224" s="128"/>
      <c r="PQ224" s="128"/>
      <c r="PR224" s="128"/>
      <c r="PS224" s="128"/>
      <c r="PT224" s="128"/>
      <c r="PU224" s="128"/>
      <c r="PV224" s="128"/>
      <c r="PW224" s="128"/>
      <c r="PX224" s="128"/>
      <c r="PY224" s="128"/>
      <c r="PZ224" s="128"/>
      <c r="QA224" s="128"/>
      <c r="QB224" s="128"/>
      <c r="QC224" s="128"/>
      <c r="QD224" s="128"/>
      <c r="QE224" s="128"/>
      <c r="QF224" s="128"/>
      <c r="QG224" s="128"/>
      <c r="QH224" s="128"/>
      <c r="QI224" s="128"/>
      <c r="QJ224" s="128"/>
      <c r="QK224" s="128"/>
      <c r="QL224" s="128"/>
      <c r="QM224" s="128"/>
      <c r="QN224" s="128"/>
      <c r="QO224" s="128"/>
      <c r="QP224" s="128"/>
      <c r="QQ224" s="128"/>
      <c r="QR224" s="128"/>
      <c r="QS224" s="128"/>
      <c r="QT224" s="128"/>
      <c r="QU224" s="128"/>
      <c r="QV224" s="128"/>
      <c r="QW224" s="128"/>
      <c r="QX224" s="128"/>
      <c r="QY224" s="128"/>
      <c r="QZ224" s="128"/>
      <c r="RA224" s="128"/>
      <c r="RB224" s="128"/>
      <c r="RC224" s="128"/>
      <c r="RD224" s="128"/>
      <c r="RE224" s="128"/>
      <c r="RF224" s="128"/>
      <c r="RG224" s="128"/>
      <c r="RH224" s="128"/>
      <c r="RI224" s="128"/>
      <c r="RJ224" s="128"/>
      <c r="RK224" s="128"/>
      <c r="RL224" s="128"/>
      <c r="RM224" s="128"/>
      <c r="RN224" s="128"/>
      <c r="RO224" s="128"/>
      <c r="RP224" s="128"/>
      <c r="RQ224" s="128"/>
      <c r="RR224" s="128"/>
      <c r="RS224" s="128"/>
      <c r="RT224" s="128"/>
      <c r="RU224" s="128"/>
      <c r="RV224" s="128"/>
      <c r="RW224" s="128"/>
      <c r="RX224" s="128"/>
      <c r="RY224" s="128"/>
      <c r="RZ224" s="128"/>
      <c r="SA224" s="128"/>
      <c r="SB224" s="128"/>
      <c r="SC224" s="128"/>
      <c r="SD224" s="128"/>
      <c r="SE224" s="128"/>
      <c r="SF224" s="128"/>
      <c r="SG224" s="128"/>
      <c r="SH224" s="128"/>
      <c r="SI224" s="128"/>
      <c r="SJ224" s="128"/>
      <c r="SK224" s="128"/>
      <c r="SL224" s="128"/>
      <c r="SM224" s="128"/>
      <c r="SN224" s="128"/>
      <c r="SO224" s="128"/>
      <c r="SP224" s="128"/>
      <c r="SQ224" s="128"/>
      <c r="SR224" s="128"/>
      <c r="SS224" s="128"/>
      <c r="ST224" s="128"/>
      <c r="SU224" s="128"/>
      <c r="SV224" s="128"/>
      <c r="SW224" s="128"/>
      <c r="SX224" s="128"/>
      <c r="SY224" s="128"/>
      <c r="SZ224" s="128"/>
      <c r="TA224" s="128"/>
      <c r="TB224" s="128"/>
      <c r="TC224" s="128"/>
      <c r="TD224" s="128"/>
      <c r="TE224" s="128"/>
      <c r="TF224" s="128"/>
      <c r="TG224" s="128"/>
      <c r="TH224" s="128"/>
      <c r="TI224" s="128"/>
      <c r="TJ224" s="128"/>
      <c r="TK224" s="128"/>
      <c r="TL224" s="128"/>
      <c r="TM224" s="128"/>
      <c r="TN224" s="128"/>
      <c r="TO224" s="128"/>
      <c r="TP224" s="128"/>
      <c r="TQ224" s="128"/>
      <c r="TR224" s="128"/>
      <c r="TS224" s="128"/>
      <c r="TT224" s="128"/>
      <c r="TU224" s="128"/>
      <c r="TV224" s="128"/>
      <c r="TW224" s="128"/>
      <c r="TX224" s="128"/>
      <c r="TY224" s="128"/>
      <c r="TZ224" s="128"/>
      <c r="UA224" s="128"/>
      <c r="UB224" s="128"/>
      <c r="UC224" s="128"/>
      <c r="UD224" s="128"/>
      <c r="UE224" s="128"/>
      <c r="UF224" s="128"/>
      <c r="UG224" s="128"/>
      <c r="UH224" s="128"/>
      <c r="UI224" s="128"/>
      <c r="UJ224" s="128"/>
      <c r="UK224" s="128"/>
      <c r="UL224" s="128"/>
      <c r="UM224" s="128"/>
      <c r="UN224" s="128"/>
      <c r="UO224" s="128"/>
      <c r="UP224" s="128"/>
      <c r="UQ224" s="128"/>
      <c r="UR224" s="128"/>
      <c r="US224" s="128"/>
      <c r="UT224" s="128"/>
      <c r="UU224" s="128"/>
      <c r="UV224" s="128"/>
      <c r="UW224" s="128"/>
      <c r="UX224" s="128"/>
      <c r="UY224" s="128"/>
      <c r="UZ224" s="128"/>
      <c r="VA224" s="128"/>
      <c r="VB224" s="128"/>
      <c r="VC224" s="128"/>
      <c r="VD224" s="128"/>
      <c r="VE224" s="128"/>
      <c r="VF224" s="128"/>
      <c r="VG224" s="128"/>
      <c r="VH224" s="128"/>
      <c r="VI224" s="128"/>
      <c r="VJ224" s="128"/>
      <c r="VK224" s="128"/>
      <c r="VL224" s="128"/>
      <c r="VM224" s="128"/>
      <c r="VN224" s="128"/>
      <c r="VO224" s="128"/>
      <c r="VP224" s="128"/>
      <c r="VQ224" s="128"/>
      <c r="VR224" s="128"/>
      <c r="VS224" s="128"/>
      <c r="VT224" s="128"/>
      <c r="VU224" s="128"/>
      <c r="VV224" s="128"/>
      <c r="VW224" s="128"/>
      <c r="VX224" s="128"/>
      <c r="VY224" s="128"/>
      <c r="VZ224" s="128"/>
      <c r="WA224" s="128"/>
      <c r="WB224" s="128"/>
      <c r="WC224" s="128"/>
      <c r="WD224" s="128"/>
      <c r="WE224" s="128"/>
      <c r="WF224" s="128"/>
      <c r="WG224" s="128"/>
      <c r="WH224" s="128"/>
      <c r="WI224" s="128"/>
      <c r="WJ224" s="128"/>
      <c r="WK224" s="128"/>
      <c r="WL224" s="128"/>
      <c r="WM224" s="128"/>
      <c r="WN224" s="128"/>
      <c r="WO224" s="128"/>
      <c r="WP224" s="128"/>
      <c r="WQ224" s="128"/>
      <c r="WR224" s="128"/>
      <c r="WS224" s="128"/>
      <c r="WT224" s="128"/>
      <c r="WU224" s="128"/>
      <c r="WV224" s="128"/>
      <c r="WW224" s="128"/>
      <c r="WX224" s="128"/>
      <c r="WY224" s="128"/>
      <c r="WZ224" s="128"/>
      <c r="XA224" s="128"/>
      <c r="XB224" s="128"/>
      <c r="XC224" s="128"/>
      <c r="XD224" s="128"/>
      <c r="XE224" s="128"/>
      <c r="XF224" s="128"/>
      <c r="XG224" s="128"/>
      <c r="XH224" s="128"/>
      <c r="XI224" s="128"/>
      <c r="XJ224" s="128"/>
      <c r="XK224" s="128"/>
      <c r="XL224" s="128"/>
      <c r="XM224" s="128"/>
      <c r="XN224" s="128"/>
      <c r="XO224" s="128"/>
      <c r="XP224" s="128"/>
      <c r="XQ224" s="128"/>
      <c r="XR224" s="128"/>
      <c r="XS224" s="128"/>
      <c r="XT224" s="128"/>
      <c r="XU224" s="128"/>
      <c r="XV224" s="128"/>
      <c r="XW224" s="128"/>
      <c r="XX224" s="128"/>
      <c r="XY224" s="128"/>
      <c r="XZ224" s="128"/>
      <c r="YA224" s="128"/>
      <c r="YB224" s="128"/>
      <c r="YC224" s="128"/>
      <c r="YD224" s="128"/>
      <c r="YE224" s="128"/>
      <c r="YF224" s="128"/>
      <c r="YG224" s="128"/>
      <c r="YH224" s="128"/>
      <c r="YI224" s="128"/>
      <c r="YJ224" s="128"/>
      <c r="YK224" s="128"/>
      <c r="YL224" s="128"/>
      <c r="YM224" s="128"/>
      <c r="YN224" s="128"/>
      <c r="YO224" s="128"/>
      <c r="YP224" s="128"/>
      <c r="YQ224" s="128"/>
      <c r="YR224" s="128"/>
      <c r="YS224" s="128"/>
      <c r="YT224" s="128"/>
      <c r="YU224" s="128"/>
      <c r="YV224" s="128"/>
      <c r="YW224" s="128"/>
      <c r="YX224" s="128"/>
      <c r="YY224" s="128"/>
      <c r="YZ224" s="128"/>
      <c r="ZA224" s="128"/>
      <c r="ZB224" s="128"/>
      <c r="ZC224" s="128"/>
      <c r="ZD224" s="128"/>
      <c r="ZE224" s="128"/>
      <c r="ZF224" s="128"/>
      <c r="ZG224" s="128"/>
      <c r="ZH224" s="128"/>
      <c r="ZI224" s="128"/>
      <c r="ZJ224" s="128"/>
      <c r="ZK224" s="128"/>
      <c r="ZL224" s="128"/>
      <c r="ZM224" s="128"/>
      <c r="ZN224" s="128"/>
      <c r="ZO224" s="128"/>
      <c r="ZP224" s="128"/>
      <c r="ZQ224" s="128"/>
      <c r="ZR224" s="128"/>
      <c r="ZS224" s="128"/>
      <c r="ZT224" s="128"/>
      <c r="ZU224" s="128"/>
      <c r="ZV224" s="128"/>
      <c r="ZW224" s="128"/>
      <c r="ZX224" s="128"/>
      <c r="ZY224" s="128"/>
      <c r="ZZ224" s="128"/>
      <c r="AAA224" s="128"/>
      <c r="AAB224" s="128"/>
      <c r="AAC224" s="128"/>
      <c r="AAD224" s="128"/>
      <c r="AAE224" s="128"/>
      <c r="AAF224" s="128"/>
      <c r="AAG224" s="128"/>
      <c r="AAH224" s="128"/>
      <c r="AAI224" s="128"/>
      <c r="AAJ224" s="128"/>
      <c r="AAK224" s="128"/>
      <c r="AAL224" s="128"/>
      <c r="AAM224" s="128"/>
      <c r="AAN224" s="128"/>
      <c r="AAO224" s="128"/>
      <c r="AAP224" s="128"/>
      <c r="AAQ224" s="128"/>
      <c r="AAR224" s="128"/>
      <c r="AAS224" s="128"/>
      <c r="AAT224" s="128"/>
      <c r="AAU224" s="128"/>
      <c r="AAV224" s="128"/>
      <c r="AAW224" s="128"/>
      <c r="AAX224" s="128"/>
      <c r="AAY224" s="128"/>
      <c r="AAZ224" s="128"/>
      <c r="ABA224" s="128"/>
      <c r="ABB224" s="128"/>
      <c r="ABC224" s="128"/>
      <c r="ABD224" s="128"/>
      <c r="ABE224" s="128"/>
      <c r="ABF224" s="128"/>
      <c r="ABG224" s="128"/>
      <c r="ABH224" s="128"/>
      <c r="ABI224" s="128"/>
      <c r="ABJ224" s="128"/>
      <c r="ABK224" s="128"/>
      <c r="ABL224" s="128"/>
      <c r="ABM224" s="128"/>
      <c r="ABN224" s="128"/>
      <c r="ABO224" s="128"/>
      <c r="ABP224" s="128"/>
      <c r="ABQ224" s="128"/>
      <c r="ABR224" s="128"/>
      <c r="ABS224" s="128"/>
      <c r="ABT224" s="128"/>
      <c r="ABU224" s="128"/>
      <c r="ABV224" s="128"/>
      <c r="ABW224" s="128"/>
      <c r="ABX224" s="128"/>
      <c r="ABY224" s="128"/>
      <c r="ABZ224" s="128"/>
      <c r="ACA224" s="128"/>
      <c r="ACB224" s="128"/>
      <c r="ACC224" s="128"/>
      <c r="ACD224" s="128"/>
      <c r="ACE224" s="128"/>
      <c r="ACF224" s="128"/>
      <c r="ACG224" s="128"/>
      <c r="ACH224" s="128"/>
      <c r="ACI224" s="128"/>
      <c r="ACJ224" s="128"/>
      <c r="ACK224" s="128"/>
      <c r="ACL224" s="128"/>
      <c r="ACM224" s="128"/>
      <c r="ACN224" s="128"/>
      <c r="ACO224" s="128"/>
      <c r="ACP224" s="128"/>
      <c r="ACQ224" s="128"/>
      <c r="ACR224" s="128"/>
      <c r="ACS224" s="128"/>
      <c r="ACT224" s="128"/>
      <c r="ACU224" s="128"/>
      <c r="ACV224" s="128"/>
      <c r="ACW224" s="128"/>
      <c r="ACX224" s="128"/>
      <c r="ACY224" s="128"/>
      <c r="ACZ224" s="128"/>
      <c r="ADA224" s="128"/>
      <c r="ADB224" s="128"/>
      <c r="ADC224" s="128"/>
      <c r="ADD224" s="128"/>
      <c r="ADE224" s="128"/>
      <c r="ADF224" s="128"/>
      <c r="ADG224" s="128"/>
      <c r="ADH224" s="128"/>
      <c r="ADI224" s="128"/>
      <c r="ADJ224" s="128"/>
      <c r="ADK224" s="128"/>
      <c r="ADL224" s="128"/>
      <c r="ADM224" s="128"/>
      <c r="ADN224" s="128"/>
      <c r="ADO224" s="128"/>
      <c r="ADP224" s="128"/>
      <c r="ADQ224" s="128"/>
      <c r="ADR224" s="128"/>
      <c r="ADS224" s="128"/>
      <c r="ADT224" s="128"/>
      <c r="ADU224" s="128"/>
      <c r="ADV224" s="128"/>
      <c r="ADW224" s="128"/>
      <c r="ADX224" s="128"/>
      <c r="ADY224" s="128"/>
      <c r="ADZ224" s="128"/>
      <c r="AEA224" s="128"/>
      <c r="AEB224" s="128"/>
      <c r="AEC224" s="128"/>
      <c r="AED224" s="128"/>
      <c r="AEE224" s="128"/>
      <c r="AEF224" s="128"/>
      <c r="AEG224" s="128"/>
      <c r="AEH224" s="128"/>
      <c r="AEI224" s="128"/>
      <c r="AEJ224" s="128"/>
      <c r="AEK224" s="128"/>
      <c r="AEL224" s="128"/>
      <c r="AEM224" s="128"/>
      <c r="AEN224" s="128"/>
      <c r="AEO224" s="128"/>
      <c r="AEP224" s="128"/>
      <c r="AEQ224" s="128"/>
      <c r="AER224" s="128"/>
      <c r="AES224" s="128"/>
      <c r="AET224" s="128"/>
      <c r="AEU224" s="128"/>
      <c r="AEV224" s="128"/>
      <c r="AEW224" s="128"/>
      <c r="AEX224" s="128"/>
      <c r="AEY224" s="128"/>
      <c r="AEZ224" s="128"/>
      <c r="AFA224" s="128"/>
      <c r="AFB224" s="128"/>
      <c r="AFC224" s="128"/>
      <c r="AFD224" s="128"/>
      <c r="AFE224" s="128"/>
      <c r="AFF224" s="128"/>
      <c r="AFG224" s="128"/>
      <c r="AFH224" s="128"/>
      <c r="AFI224" s="128"/>
      <c r="AFJ224" s="128"/>
      <c r="AFK224" s="128"/>
      <c r="AFL224" s="128"/>
      <c r="AFM224" s="128"/>
      <c r="AFN224" s="128"/>
      <c r="AFO224" s="128"/>
      <c r="AFP224" s="128"/>
      <c r="AFQ224" s="128"/>
      <c r="AFR224" s="128"/>
      <c r="AFS224" s="128"/>
      <c r="AFT224" s="128"/>
      <c r="AFU224" s="128"/>
      <c r="AFV224" s="128"/>
      <c r="AFW224" s="128"/>
      <c r="AFX224" s="128"/>
      <c r="AFY224" s="128"/>
      <c r="AFZ224" s="128"/>
      <c r="AGA224" s="128"/>
      <c r="AGB224" s="128"/>
      <c r="AGC224" s="128"/>
      <c r="AGD224" s="128"/>
      <c r="AGE224" s="128"/>
      <c r="AGF224" s="128"/>
      <c r="AGG224" s="128"/>
      <c r="AGH224" s="128"/>
      <c r="AGI224" s="128"/>
      <c r="AGJ224" s="128"/>
      <c r="AGK224" s="128"/>
      <c r="AGL224" s="128"/>
      <c r="AGM224" s="128"/>
      <c r="AGN224" s="128"/>
      <c r="AGO224" s="128"/>
      <c r="AGP224" s="128"/>
      <c r="AGQ224" s="128"/>
      <c r="AGR224" s="128"/>
      <c r="AGS224" s="128"/>
      <c r="AGT224" s="128"/>
      <c r="AGU224" s="128"/>
      <c r="AGV224" s="128"/>
      <c r="AGW224" s="128"/>
      <c r="AGX224" s="128"/>
      <c r="AGY224" s="128"/>
      <c r="AGZ224" s="128"/>
      <c r="AHA224" s="128"/>
      <c r="AHB224" s="128"/>
      <c r="AHC224" s="128"/>
      <c r="AHD224" s="128"/>
      <c r="AHE224" s="128"/>
      <c r="AHF224" s="128"/>
      <c r="AHG224" s="128"/>
      <c r="AHH224" s="128"/>
      <c r="AHI224" s="128"/>
      <c r="AHJ224" s="128"/>
      <c r="AHK224" s="128"/>
      <c r="AHL224" s="128"/>
      <c r="AHM224" s="128"/>
      <c r="AHN224" s="128"/>
      <c r="AHO224" s="128"/>
      <c r="AHP224" s="128"/>
      <c r="AHQ224" s="128"/>
      <c r="AHR224" s="128"/>
      <c r="AHS224" s="128"/>
      <c r="AHT224" s="128"/>
      <c r="AHU224" s="128"/>
      <c r="AHV224" s="128"/>
      <c r="AHW224" s="128"/>
      <c r="AHX224" s="128"/>
      <c r="AHY224" s="128"/>
      <c r="AHZ224" s="128"/>
      <c r="AIA224" s="128"/>
      <c r="AIB224" s="128"/>
      <c r="AIC224" s="128"/>
      <c r="AID224" s="128"/>
      <c r="AIE224" s="128"/>
      <c r="AIF224" s="128"/>
      <c r="AIG224" s="128"/>
      <c r="AIH224" s="128"/>
      <c r="AII224" s="128"/>
      <c r="AIJ224" s="128"/>
      <c r="AIK224" s="128"/>
      <c r="AIL224" s="128"/>
      <c r="AIM224" s="128"/>
      <c r="AIN224" s="128"/>
      <c r="AIO224" s="128"/>
      <c r="AIP224" s="128"/>
      <c r="AIQ224" s="128"/>
      <c r="AIR224" s="128"/>
      <c r="AIS224" s="128"/>
      <c r="AIT224" s="128"/>
      <c r="AIU224" s="128"/>
      <c r="AIV224" s="128"/>
      <c r="AIW224" s="128"/>
      <c r="AIX224" s="128"/>
      <c r="AIY224" s="128"/>
      <c r="AIZ224" s="128"/>
      <c r="AJA224" s="128"/>
      <c r="AJB224" s="128"/>
      <c r="AJC224" s="128"/>
      <c r="AJD224" s="128"/>
      <c r="AJE224" s="128"/>
      <c r="AJF224" s="128"/>
      <c r="AJG224" s="128"/>
      <c r="AJH224" s="128"/>
      <c r="AJI224" s="128"/>
      <c r="AJJ224" s="128"/>
      <c r="AJK224" s="128"/>
      <c r="AJL224" s="128"/>
      <c r="AJM224" s="128"/>
      <c r="AJN224" s="128"/>
      <c r="AJO224" s="128"/>
      <c r="AJP224" s="128"/>
      <c r="AJQ224" s="128"/>
      <c r="AJR224" s="128"/>
      <c r="AJS224" s="128"/>
      <c r="AJT224" s="128"/>
      <c r="AJU224" s="128"/>
      <c r="AJV224" s="128"/>
      <c r="AJW224" s="128"/>
      <c r="AJX224" s="128"/>
      <c r="AJY224" s="128"/>
      <c r="AJZ224" s="128"/>
      <c r="AKA224" s="128"/>
      <c r="AKB224" s="128"/>
      <c r="AKC224" s="128"/>
      <c r="AKD224" s="128"/>
      <c r="AKE224" s="128"/>
      <c r="AKF224" s="128"/>
      <c r="AKG224" s="128"/>
      <c r="AKH224" s="128"/>
      <c r="AKI224" s="128"/>
      <c r="AKJ224" s="128"/>
      <c r="AKK224" s="128"/>
      <c r="AKL224" s="128"/>
      <c r="AKM224" s="128"/>
      <c r="AKN224" s="128"/>
      <c r="AKO224" s="128"/>
      <c r="AKP224" s="128"/>
      <c r="AKQ224" s="128"/>
      <c r="AKR224" s="128"/>
      <c r="AKS224" s="128"/>
      <c r="AKT224" s="128"/>
      <c r="AKU224" s="128"/>
      <c r="AKV224" s="128"/>
      <c r="AKW224" s="128"/>
      <c r="AKX224" s="128"/>
      <c r="AKY224" s="128"/>
      <c r="AKZ224" s="128"/>
      <c r="ALA224" s="128"/>
      <c r="ALB224" s="128"/>
      <c r="ALC224" s="128"/>
      <c r="ALD224" s="128"/>
      <c r="ALE224" s="128"/>
      <c r="ALF224" s="128"/>
      <c r="ALG224" s="128"/>
      <c r="ALH224" s="128"/>
      <c r="ALI224" s="128"/>
      <c r="ALJ224" s="128"/>
      <c r="ALK224" s="128"/>
      <c r="ALL224" s="128"/>
      <c r="ALM224" s="128"/>
      <c r="ALN224" s="128"/>
      <c r="ALO224" s="128"/>
      <c r="ALP224" s="128"/>
      <c r="ALQ224" s="128"/>
      <c r="ALR224" s="128"/>
      <c r="ALS224" s="128"/>
      <c r="ALT224" s="128"/>
      <c r="ALU224" s="128"/>
      <c r="ALV224" s="128"/>
      <c r="ALW224" s="128"/>
      <c r="ALX224" s="128"/>
      <c r="ALY224" s="128"/>
      <c r="ALZ224" s="128"/>
      <c r="AMA224"/>
      <c r="AMB224"/>
      <c r="AMC224"/>
      <c r="AMD224"/>
    </row>
    <row r="225" spans="1:1018" s="96" customFormat="1" ht="12" customHeight="1">
      <c r="A225" s="129"/>
      <c r="B225" s="129"/>
      <c r="C225" s="129"/>
      <c r="D225" s="129"/>
      <c r="E225" s="129"/>
      <c r="F225" s="129"/>
      <c r="I225" s="225"/>
      <c r="K225" s="159"/>
      <c r="P225" s="173"/>
      <c r="T225" s="277"/>
      <c r="X225"/>
      <c r="Y225" s="179"/>
      <c r="AA225" s="159"/>
      <c r="AC225"/>
      <c r="AE225" s="128"/>
      <c r="AF225"/>
      <c r="AG225" s="128"/>
      <c r="AH225" s="128"/>
      <c r="AI225" s="128"/>
      <c r="AJ225" s="128"/>
      <c r="AK225" s="128"/>
      <c r="AL225" s="128"/>
      <c r="AM225" s="128"/>
      <c r="AN225" s="128"/>
      <c r="AO225" s="128"/>
      <c r="AP225" s="128"/>
      <c r="AQ225" s="128"/>
      <c r="AR225" s="128"/>
      <c r="AS225" s="128"/>
      <c r="AT225" s="128"/>
      <c r="AU225" s="128"/>
      <c r="AV225" s="128"/>
      <c r="AW225" s="128"/>
      <c r="AX225" s="128"/>
      <c r="AY225" s="128"/>
      <c r="AZ225" s="128"/>
      <c r="BA225" s="128"/>
      <c r="BB225" s="128"/>
      <c r="BC225" s="128"/>
      <c r="BD225" s="128"/>
      <c r="BE225" s="128"/>
      <c r="BF225" s="128"/>
      <c r="BG225" s="128"/>
      <c r="BH225" s="128"/>
      <c r="BI225" s="128"/>
      <c r="BJ225" s="128"/>
      <c r="BK225" s="128"/>
      <c r="BL225" s="128"/>
      <c r="BM225" s="128"/>
      <c r="BN225" s="128"/>
      <c r="BO225" s="128"/>
      <c r="BP225" s="128"/>
      <c r="BQ225" s="128"/>
      <c r="BR225" s="128"/>
      <c r="BS225" s="128"/>
      <c r="BT225" s="128"/>
      <c r="BU225" s="128"/>
      <c r="BV225" s="128"/>
      <c r="BW225" s="128"/>
      <c r="BX225" s="128"/>
      <c r="BY225" s="128"/>
      <c r="BZ225" s="128"/>
      <c r="CA225" s="128"/>
      <c r="CB225" s="128"/>
      <c r="CC225" s="128"/>
      <c r="CD225" s="128"/>
      <c r="CE225" s="128"/>
      <c r="CF225" s="128"/>
      <c r="CG225" s="128"/>
      <c r="CH225" s="128"/>
      <c r="CI225" s="128"/>
      <c r="CJ225" s="128"/>
      <c r="CK225" s="128"/>
      <c r="CL225" s="128"/>
      <c r="CM225" s="128"/>
      <c r="CN225" s="128"/>
      <c r="CO225" s="128"/>
      <c r="CP225" s="128"/>
      <c r="CQ225" s="128"/>
      <c r="CR225" s="128"/>
      <c r="CS225" s="128"/>
      <c r="CT225" s="128"/>
      <c r="CU225" s="128"/>
      <c r="CV225" s="128"/>
      <c r="CW225" s="128"/>
      <c r="CX225" s="128"/>
      <c r="CY225" s="128"/>
      <c r="CZ225" s="128"/>
      <c r="DA225" s="128"/>
      <c r="DB225" s="128"/>
      <c r="DC225" s="128"/>
      <c r="DD225" s="128"/>
      <c r="DE225" s="128"/>
      <c r="DF225" s="128"/>
      <c r="DG225" s="128"/>
      <c r="DH225" s="128"/>
      <c r="DI225" s="128"/>
      <c r="DJ225" s="128"/>
      <c r="DK225" s="128"/>
      <c r="DL225" s="128"/>
      <c r="DM225" s="128"/>
      <c r="DN225" s="128"/>
      <c r="DO225" s="128"/>
      <c r="DP225" s="128"/>
      <c r="DQ225" s="128"/>
      <c r="DR225" s="128"/>
      <c r="DS225" s="128"/>
      <c r="DT225" s="128"/>
      <c r="DU225" s="128"/>
      <c r="DV225" s="128"/>
      <c r="DW225" s="128"/>
      <c r="DX225" s="128"/>
      <c r="DY225" s="128"/>
      <c r="DZ225" s="128"/>
      <c r="EA225" s="128"/>
      <c r="EB225" s="128"/>
      <c r="EC225" s="128"/>
      <c r="ED225" s="128"/>
      <c r="EE225" s="128"/>
      <c r="EF225" s="128"/>
      <c r="EG225" s="128"/>
      <c r="EH225" s="128"/>
      <c r="EI225" s="128"/>
      <c r="EJ225" s="128"/>
      <c r="EK225" s="128"/>
      <c r="EL225" s="128"/>
      <c r="EM225" s="128"/>
      <c r="EN225" s="128"/>
      <c r="EO225" s="128"/>
      <c r="EP225" s="128"/>
      <c r="EQ225" s="128"/>
      <c r="ER225" s="128"/>
      <c r="ES225" s="128"/>
      <c r="ET225" s="128"/>
      <c r="EU225" s="128"/>
      <c r="EV225" s="128"/>
      <c r="EW225" s="128"/>
      <c r="EX225" s="128"/>
      <c r="EY225" s="128"/>
      <c r="EZ225" s="128"/>
      <c r="FA225" s="128"/>
      <c r="FB225" s="128"/>
      <c r="FC225" s="128"/>
      <c r="FD225" s="128"/>
      <c r="FE225" s="128"/>
      <c r="FF225" s="128"/>
      <c r="FG225" s="128"/>
      <c r="FH225" s="128"/>
      <c r="FI225" s="128"/>
      <c r="FJ225" s="128"/>
      <c r="FK225" s="128"/>
      <c r="FL225" s="128"/>
      <c r="FM225" s="128"/>
      <c r="FN225" s="128"/>
      <c r="FO225" s="128"/>
      <c r="FP225" s="128"/>
      <c r="FQ225" s="128"/>
      <c r="FR225" s="128"/>
      <c r="FS225" s="128"/>
      <c r="FT225" s="128"/>
      <c r="FU225" s="128"/>
      <c r="FV225" s="128"/>
      <c r="FW225" s="128"/>
      <c r="FX225" s="128"/>
      <c r="FY225" s="128"/>
      <c r="FZ225" s="128"/>
      <c r="GA225" s="128"/>
      <c r="GB225" s="128"/>
      <c r="GC225" s="128"/>
      <c r="GD225" s="128"/>
      <c r="GE225" s="128"/>
      <c r="GF225" s="128"/>
      <c r="GG225" s="128"/>
      <c r="GH225" s="128"/>
      <c r="GI225" s="128"/>
      <c r="GJ225" s="128"/>
      <c r="GK225" s="128"/>
      <c r="GL225" s="128"/>
      <c r="GM225" s="128"/>
      <c r="GN225" s="128"/>
      <c r="GO225" s="128"/>
      <c r="GP225" s="128"/>
      <c r="GQ225" s="128"/>
      <c r="GR225" s="128"/>
      <c r="GS225" s="128"/>
      <c r="GT225" s="128"/>
      <c r="GU225" s="128"/>
      <c r="GV225" s="128"/>
      <c r="GW225" s="128"/>
      <c r="GX225" s="128"/>
      <c r="GY225" s="128"/>
      <c r="GZ225" s="128"/>
      <c r="HA225" s="128"/>
      <c r="HB225" s="128"/>
      <c r="HC225" s="128"/>
      <c r="HD225" s="128"/>
      <c r="HE225" s="128"/>
      <c r="HF225" s="128"/>
      <c r="HG225" s="128"/>
      <c r="HH225" s="128"/>
      <c r="HI225" s="128"/>
      <c r="HJ225" s="128"/>
      <c r="HK225" s="128"/>
      <c r="HL225" s="128"/>
      <c r="HM225" s="128"/>
      <c r="HN225" s="128"/>
      <c r="HO225" s="128"/>
      <c r="HP225" s="128"/>
      <c r="HQ225" s="128"/>
      <c r="HR225" s="128"/>
      <c r="HS225" s="128"/>
      <c r="HT225" s="128"/>
      <c r="HU225" s="128"/>
      <c r="HV225" s="128"/>
      <c r="HW225" s="128"/>
      <c r="HX225" s="128"/>
      <c r="HY225" s="128"/>
      <c r="HZ225" s="128"/>
      <c r="IA225" s="128"/>
      <c r="IB225" s="128"/>
      <c r="IC225" s="128"/>
      <c r="ID225" s="128"/>
      <c r="IE225" s="128"/>
      <c r="IF225" s="128"/>
      <c r="IG225" s="128"/>
      <c r="IH225" s="128"/>
      <c r="II225" s="128"/>
      <c r="IJ225" s="128"/>
      <c r="IK225" s="128"/>
      <c r="IL225" s="128"/>
      <c r="IM225" s="128"/>
      <c r="IN225" s="128"/>
      <c r="IO225" s="128"/>
      <c r="IP225" s="128"/>
      <c r="IQ225" s="128"/>
      <c r="IR225" s="128"/>
      <c r="IS225" s="128"/>
      <c r="IT225" s="128"/>
      <c r="IU225" s="128"/>
      <c r="IV225" s="128"/>
      <c r="IW225" s="128"/>
      <c r="IX225" s="128"/>
      <c r="IY225" s="128"/>
      <c r="IZ225" s="128"/>
      <c r="JA225" s="128"/>
      <c r="JB225" s="128"/>
      <c r="JC225" s="128"/>
      <c r="JD225" s="128"/>
      <c r="JE225" s="128"/>
      <c r="JF225" s="128"/>
      <c r="JG225" s="128"/>
      <c r="JH225" s="128"/>
      <c r="JI225" s="128"/>
      <c r="JJ225" s="128"/>
      <c r="JK225" s="128"/>
      <c r="JL225" s="128"/>
      <c r="JM225" s="128"/>
      <c r="JN225" s="128"/>
      <c r="JO225" s="128"/>
      <c r="JP225" s="128"/>
      <c r="JQ225" s="128"/>
      <c r="JR225" s="128"/>
      <c r="JS225" s="128"/>
      <c r="JT225" s="128"/>
      <c r="JU225" s="128"/>
      <c r="JV225" s="128"/>
      <c r="JW225" s="128"/>
      <c r="JX225" s="128"/>
      <c r="JY225" s="128"/>
      <c r="JZ225" s="128"/>
      <c r="KA225" s="128"/>
      <c r="KB225" s="128"/>
      <c r="KC225" s="128"/>
      <c r="KD225" s="128"/>
      <c r="KE225" s="128"/>
      <c r="KF225" s="128"/>
      <c r="KG225" s="128"/>
      <c r="KH225" s="128"/>
      <c r="KI225" s="128"/>
      <c r="KJ225" s="128"/>
      <c r="KK225" s="128"/>
      <c r="KL225" s="128"/>
      <c r="KM225" s="128"/>
      <c r="KN225" s="128"/>
      <c r="KO225" s="128"/>
      <c r="KP225" s="128"/>
      <c r="KQ225" s="128"/>
      <c r="KR225" s="128"/>
      <c r="KS225" s="128"/>
      <c r="KT225" s="128"/>
      <c r="KU225" s="128"/>
      <c r="KV225" s="128"/>
      <c r="KW225" s="128"/>
      <c r="KX225" s="128"/>
      <c r="KY225" s="128"/>
      <c r="KZ225" s="128"/>
      <c r="LA225" s="128"/>
      <c r="LB225" s="128"/>
      <c r="LC225" s="128"/>
      <c r="LD225" s="128"/>
      <c r="LE225" s="128"/>
      <c r="LF225" s="128"/>
      <c r="LG225" s="128"/>
      <c r="LH225" s="128"/>
      <c r="LI225" s="128"/>
      <c r="LJ225" s="128"/>
      <c r="LK225" s="128"/>
      <c r="LL225" s="128"/>
      <c r="LM225" s="128"/>
      <c r="LN225" s="128"/>
      <c r="LO225" s="128"/>
      <c r="LP225" s="128"/>
      <c r="LQ225" s="128"/>
      <c r="LR225" s="128"/>
      <c r="LS225" s="128"/>
      <c r="LT225" s="128"/>
      <c r="LU225" s="128"/>
      <c r="LV225" s="128"/>
      <c r="LW225" s="128"/>
      <c r="LX225" s="128"/>
      <c r="LY225" s="128"/>
      <c r="LZ225" s="128"/>
      <c r="MA225" s="128"/>
      <c r="MB225" s="128"/>
      <c r="MC225" s="128"/>
      <c r="MD225" s="128"/>
      <c r="ME225" s="128"/>
      <c r="MF225" s="128"/>
      <c r="MG225" s="128"/>
      <c r="MH225" s="128"/>
      <c r="MI225" s="128"/>
      <c r="MJ225" s="128"/>
      <c r="MK225" s="128"/>
      <c r="ML225" s="128"/>
      <c r="MM225" s="128"/>
      <c r="MN225" s="128"/>
      <c r="MO225" s="128"/>
      <c r="MP225" s="128"/>
      <c r="MQ225" s="128"/>
      <c r="MR225" s="128"/>
      <c r="MS225" s="128"/>
      <c r="MT225" s="128"/>
      <c r="MU225" s="128"/>
      <c r="MV225" s="128"/>
      <c r="MW225" s="128"/>
      <c r="MX225" s="128"/>
      <c r="MY225" s="128"/>
      <c r="MZ225" s="128"/>
      <c r="NA225" s="128"/>
      <c r="NB225" s="128"/>
      <c r="NC225" s="128"/>
      <c r="ND225" s="128"/>
      <c r="NE225" s="128"/>
      <c r="NF225" s="128"/>
      <c r="NG225" s="128"/>
      <c r="NH225" s="128"/>
      <c r="NI225" s="128"/>
      <c r="NJ225" s="128"/>
      <c r="NK225" s="128"/>
      <c r="NL225" s="128"/>
      <c r="NM225" s="128"/>
      <c r="NN225" s="128"/>
      <c r="NO225" s="128"/>
      <c r="NP225" s="128"/>
      <c r="NQ225" s="128"/>
      <c r="NR225" s="128"/>
      <c r="NS225" s="128"/>
      <c r="NT225" s="128"/>
      <c r="NU225" s="128"/>
      <c r="NV225" s="128"/>
      <c r="NW225" s="128"/>
      <c r="NX225" s="128"/>
      <c r="NY225" s="128"/>
      <c r="NZ225" s="128"/>
      <c r="OA225" s="128"/>
      <c r="OB225" s="128"/>
      <c r="OC225" s="128"/>
      <c r="OD225" s="128"/>
      <c r="OE225" s="128"/>
      <c r="OF225" s="128"/>
      <c r="OG225" s="128"/>
      <c r="OH225" s="128"/>
      <c r="OI225" s="128"/>
      <c r="OJ225" s="128"/>
      <c r="OK225" s="128"/>
      <c r="OL225" s="128"/>
      <c r="OM225" s="128"/>
      <c r="ON225" s="128"/>
      <c r="OO225" s="128"/>
      <c r="OP225" s="128"/>
      <c r="OQ225" s="128"/>
      <c r="OR225" s="128"/>
      <c r="OS225" s="128"/>
      <c r="OT225" s="128"/>
      <c r="OU225" s="128"/>
      <c r="OV225" s="128"/>
      <c r="OW225" s="128"/>
      <c r="OX225" s="128"/>
      <c r="OY225" s="128"/>
      <c r="OZ225" s="128"/>
      <c r="PA225" s="128"/>
      <c r="PB225" s="128"/>
      <c r="PC225" s="128"/>
      <c r="PD225" s="128"/>
      <c r="PE225" s="128"/>
      <c r="PF225" s="128"/>
      <c r="PG225" s="128"/>
      <c r="PH225" s="128"/>
      <c r="PI225" s="128"/>
      <c r="PJ225" s="128"/>
      <c r="PK225" s="128"/>
      <c r="PL225" s="128"/>
      <c r="PM225" s="128"/>
      <c r="PN225" s="128"/>
      <c r="PO225" s="128"/>
      <c r="PP225" s="128"/>
      <c r="PQ225" s="128"/>
      <c r="PR225" s="128"/>
      <c r="PS225" s="128"/>
      <c r="PT225" s="128"/>
      <c r="PU225" s="128"/>
      <c r="PV225" s="128"/>
      <c r="PW225" s="128"/>
      <c r="PX225" s="128"/>
      <c r="PY225" s="128"/>
      <c r="PZ225" s="128"/>
      <c r="QA225" s="128"/>
      <c r="QB225" s="128"/>
      <c r="QC225" s="128"/>
      <c r="QD225" s="128"/>
      <c r="QE225" s="128"/>
      <c r="QF225" s="128"/>
      <c r="QG225" s="128"/>
      <c r="QH225" s="128"/>
      <c r="QI225" s="128"/>
      <c r="QJ225" s="128"/>
      <c r="QK225" s="128"/>
      <c r="QL225" s="128"/>
      <c r="QM225" s="128"/>
      <c r="QN225" s="128"/>
      <c r="QO225" s="128"/>
      <c r="QP225" s="128"/>
      <c r="QQ225" s="128"/>
      <c r="QR225" s="128"/>
      <c r="QS225" s="128"/>
      <c r="QT225" s="128"/>
      <c r="QU225" s="128"/>
      <c r="QV225" s="128"/>
      <c r="QW225" s="128"/>
      <c r="QX225" s="128"/>
      <c r="QY225" s="128"/>
      <c r="QZ225" s="128"/>
      <c r="RA225" s="128"/>
      <c r="RB225" s="128"/>
      <c r="RC225" s="128"/>
      <c r="RD225" s="128"/>
      <c r="RE225" s="128"/>
      <c r="RF225" s="128"/>
      <c r="RG225" s="128"/>
      <c r="RH225" s="128"/>
      <c r="RI225" s="128"/>
      <c r="RJ225" s="128"/>
      <c r="RK225" s="128"/>
      <c r="RL225" s="128"/>
      <c r="RM225" s="128"/>
      <c r="RN225" s="128"/>
      <c r="RO225" s="128"/>
      <c r="RP225" s="128"/>
      <c r="RQ225" s="128"/>
      <c r="RR225" s="128"/>
      <c r="RS225" s="128"/>
      <c r="RT225" s="128"/>
      <c r="RU225" s="128"/>
      <c r="RV225" s="128"/>
      <c r="RW225" s="128"/>
      <c r="RX225" s="128"/>
      <c r="RY225" s="128"/>
      <c r="RZ225" s="128"/>
      <c r="SA225" s="128"/>
      <c r="SB225" s="128"/>
      <c r="SC225" s="128"/>
      <c r="SD225" s="128"/>
      <c r="SE225" s="128"/>
      <c r="SF225" s="128"/>
      <c r="SG225" s="128"/>
      <c r="SH225" s="128"/>
      <c r="SI225" s="128"/>
      <c r="SJ225" s="128"/>
      <c r="SK225" s="128"/>
      <c r="SL225" s="128"/>
      <c r="SM225" s="128"/>
      <c r="SN225" s="128"/>
      <c r="SO225" s="128"/>
      <c r="SP225" s="128"/>
      <c r="SQ225" s="128"/>
      <c r="SR225" s="128"/>
      <c r="SS225" s="128"/>
      <c r="ST225" s="128"/>
      <c r="SU225" s="128"/>
      <c r="SV225" s="128"/>
      <c r="SW225" s="128"/>
      <c r="SX225" s="128"/>
      <c r="SY225" s="128"/>
      <c r="SZ225" s="128"/>
      <c r="TA225" s="128"/>
      <c r="TB225" s="128"/>
      <c r="TC225" s="128"/>
      <c r="TD225" s="128"/>
      <c r="TE225" s="128"/>
      <c r="TF225" s="128"/>
      <c r="TG225" s="128"/>
      <c r="TH225" s="128"/>
      <c r="TI225" s="128"/>
      <c r="TJ225" s="128"/>
      <c r="TK225" s="128"/>
      <c r="TL225" s="128"/>
      <c r="TM225" s="128"/>
      <c r="TN225" s="128"/>
      <c r="TO225" s="128"/>
      <c r="TP225" s="128"/>
      <c r="TQ225" s="128"/>
      <c r="TR225" s="128"/>
      <c r="TS225" s="128"/>
      <c r="TT225" s="128"/>
      <c r="TU225" s="128"/>
      <c r="TV225" s="128"/>
      <c r="TW225" s="128"/>
      <c r="TX225" s="128"/>
      <c r="TY225" s="128"/>
      <c r="TZ225" s="128"/>
      <c r="UA225" s="128"/>
      <c r="UB225" s="128"/>
      <c r="UC225" s="128"/>
      <c r="UD225" s="128"/>
      <c r="UE225" s="128"/>
      <c r="UF225" s="128"/>
      <c r="UG225" s="128"/>
      <c r="UH225" s="128"/>
      <c r="UI225" s="128"/>
      <c r="UJ225" s="128"/>
      <c r="UK225" s="128"/>
      <c r="UL225" s="128"/>
      <c r="UM225" s="128"/>
      <c r="UN225" s="128"/>
      <c r="UO225" s="128"/>
      <c r="UP225" s="128"/>
      <c r="UQ225" s="128"/>
      <c r="UR225" s="128"/>
      <c r="US225" s="128"/>
      <c r="UT225" s="128"/>
      <c r="UU225" s="128"/>
      <c r="UV225" s="128"/>
      <c r="UW225" s="128"/>
      <c r="UX225" s="128"/>
      <c r="UY225" s="128"/>
      <c r="UZ225" s="128"/>
      <c r="VA225" s="128"/>
      <c r="VB225" s="128"/>
      <c r="VC225" s="128"/>
      <c r="VD225" s="128"/>
      <c r="VE225" s="128"/>
      <c r="VF225" s="128"/>
      <c r="VG225" s="128"/>
      <c r="VH225" s="128"/>
      <c r="VI225" s="128"/>
      <c r="VJ225" s="128"/>
      <c r="VK225" s="128"/>
      <c r="VL225" s="128"/>
      <c r="VM225" s="128"/>
      <c r="VN225" s="128"/>
      <c r="VO225" s="128"/>
      <c r="VP225" s="128"/>
      <c r="VQ225" s="128"/>
      <c r="VR225" s="128"/>
      <c r="VS225" s="128"/>
      <c r="VT225" s="128"/>
      <c r="VU225" s="128"/>
      <c r="VV225" s="128"/>
      <c r="VW225" s="128"/>
      <c r="VX225" s="128"/>
      <c r="VY225" s="128"/>
      <c r="VZ225" s="128"/>
      <c r="WA225" s="128"/>
      <c r="WB225" s="128"/>
      <c r="WC225" s="128"/>
      <c r="WD225" s="128"/>
      <c r="WE225" s="128"/>
      <c r="WF225" s="128"/>
      <c r="WG225" s="128"/>
      <c r="WH225" s="128"/>
      <c r="WI225" s="128"/>
      <c r="WJ225" s="128"/>
      <c r="WK225" s="128"/>
      <c r="WL225" s="128"/>
      <c r="WM225" s="128"/>
      <c r="WN225" s="128"/>
      <c r="WO225" s="128"/>
      <c r="WP225" s="128"/>
      <c r="WQ225" s="128"/>
      <c r="WR225" s="128"/>
      <c r="WS225" s="128"/>
      <c r="WT225" s="128"/>
      <c r="WU225" s="128"/>
      <c r="WV225" s="128"/>
      <c r="WW225" s="128"/>
      <c r="WX225" s="128"/>
      <c r="WY225" s="128"/>
      <c r="WZ225" s="128"/>
      <c r="XA225" s="128"/>
      <c r="XB225" s="128"/>
      <c r="XC225" s="128"/>
      <c r="XD225" s="128"/>
      <c r="XE225" s="128"/>
      <c r="XF225" s="128"/>
      <c r="XG225" s="128"/>
      <c r="XH225" s="128"/>
      <c r="XI225" s="128"/>
      <c r="XJ225" s="128"/>
      <c r="XK225" s="128"/>
      <c r="XL225" s="128"/>
      <c r="XM225" s="128"/>
      <c r="XN225" s="128"/>
      <c r="XO225" s="128"/>
      <c r="XP225" s="128"/>
      <c r="XQ225" s="128"/>
      <c r="XR225" s="128"/>
      <c r="XS225" s="128"/>
      <c r="XT225" s="128"/>
      <c r="XU225" s="128"/>
      <c r="XV225" s="128"/>
      <c r="XW225" s="128"/>
      <c r="XX225" s="128"/>
      <c r="XY225" s="128"/>
      <c r="XZ225" s="128"/>
      <c r="YA225" s="128"/>
      <c r="YB225" s="128"/>
      <c r="YC225" s="128"/>
      <c r="YD225" s="128"/>
      <c r="YE225" s="128"/>
      <c r="YF225" s="128"/>
      <c r="YG225" s="128"/>
      <c r="YH225" s="128"/>
      <c r="YI225" s="128"/>
      <c r="YJ225" s="128"/>
      <c r="YK225" s="128"/>
      <c r="YL225" s="128"/>
      <c r="YM225" s="128"/>
      <c r="YN225" s="128"/>
      <c r="YO225" s="128"/>
      <c r="YP225" s="128"/>
      <c r="YQ225" s="128"/>
      <c r="YR225" s="128"/>
      <c r="YS225" s="128"/>
      <c r="YT225" s="128"/>
      <c r="YU225" s="128"/>
      <c r="YV225" s="128"/>
      <c r="YW225" s="128"/>
      <c r="YX225" s="128"/>
      <c r="YY225" s="128"/>
      <c r="YZ225" s="128"/>
      <c r="ZA225" s="128"/>
      <c r="ZB225" s="128"/>
      <c r="ZC225" s="128"/>
      <c r="ZD225" s="128"/>
      <c r="ZE225" s="128"/>
      <c r="ZF225" s="128"/>
      <c r="ZG225" s="128"/>
      <c r="ZH225" s="128"/>
      <c r="ZI225" s="128"/>
      <c r="ZJ225" s="128"/>
      <c r="ZK225" s="128"/>
      <c r="ZL225" s="128"/>
      <c r="ZM225" s="128"/>
      <c r="ZN225" s="128"/>
      <c r="ZO225" s="128"/>
      <c r="ZP225" s="128"/>
      <c r="ZQ225" s="128"/>
      <c r="ZR225" s="128"/>
      <c r="ZS225" s="128"/>
      <c r="ZT225" s="128"/>
      <c r="ZU225" s="128"/>
      <c r="ZV225" s="128"/>
      <c r="ZW225" s="128"/>
      <c r="ZX225" s="128"/>
      <c r="ZY225" s="128"/>
      <c r="ZZ225" s="128"/>
      <c r="AAA225" s="128"/>
      <c r="AAB225" s="128"/>
      <c r="AAC225" s="128"/>
      <c r="AAD225" s="128"/>
      <c r="AAE225" s="128"/>
      <c r="AAF225" s="128"/>
      <c r="AAG225" s="128"/>
      <c r="AAH225" s="128"/>
      <c r="AAI225" s="128"/>
      <c r="AAJ225" s="128"/>
      <c r="AAK225" s="128"/>
      <c r="AAL225" s="128"/>
      <c r="AAM225" s="128"/>
      <c r="AAN225" s="128"/>
      <c r="AAO225" s="128"/>
      <c r="AAP225" s="128"/>
      <c r="AAQ225" s="128"/>
      <c r="AAR225" s="128"/>
      <c r="AAS225" s="128"/>
      <c r="AAT225" s="128"/>
      <c r="AAU225" s="128"/>
      <c r="AAV225" s="128"/>
      <c r="AAW225" s="128"/>
      <c r="AAX225" s="128"/>
      <c r="AAY225" s="128"/>
      <c r="AAZ225" s="128"/>
      <c r="ABA225" s="128"/>
      <c r="ABB225" s="128"/>
      <c r="ABC225" s="128"/>
      <c r="ABD225" s="128"/>
      <c r="ABE225" s="128"/>
      <c r="ABF225" s="128"/>
      <c r="ABG225" s="128"/>
      <c r="ABH225" s="128"/>
      <c r="ABI225" s="128"/>
      <c r="ABJ225" s="128"/>
      <c r="ABK225" s="128"/>
      <c r="ABL225" s="128"/>
      <c r="ABM225" s="128"/>
      <c r="ABN225" s="128"/>
      <c r="ABO225" s="128"/>
      <c r="ABP225" s="128"/>
      <c r="ABQ225" s="128"/>
      <c r="ABR225" s="128"/>
      <c r="ABS225" s="128"/>
      <c r="ABT225" s="128"/>
      <c r="ABU225" s="128"/>
      <c r="ABV225" s="128"/>
      <c r="ABW225" s="128"/>
      <c r="ABX225" s="128"/>
      <c r="ABY225" s="128"/>
      <c r="ABZ225" s="128"/>
      <c r="ACA225" s="128"/>
      <c r="ACB225" s="128"/>
      <c r="ACC225" s="128"/>
      <c r="ACD225" s="128"/>
      <c r="ACE225" s="128"/>
      <c r="ACF225" s="128"/>
      <c r="ACG225" s="128"/>
      <c r="ACH225" s="128"/>
      <c r="ACI225" s="128"/>
      <c r="ACJ225" s="128"/>
      <c r="ACK225" s="128"/>
      <c r="ACL225" s="128"/>
      <c r="ACM225" s="128"/>
      <c r="ACN225" s="128"/>
      <c r="ACO225" s="128"/>
      <c r="ACP225" s="128"/>
      <c r="ACQ225" s="128"/>
      <c r="ACR225" s="128"/>
      <c r="ACS225" s="128"/>
      <c r="ACT225" s="128"/>
      <c r="ACU225" s="128"/>
      <c r="ACV225" s="128"/>
      <c r="ACW225" s="128"/>
      <c r="ACX225" s="128"/>
      <c r="ACY225" s="128"/>
      <c r="ACZ225" s="128"/>
      <c r="ADA225" s="128"/>
      <c r="ADB225" s="128"/>
      <c r="ADC225" s="128"/>
      <c r="ADD225" s="128"/>
      <c r="ADE225" s="128"/>
      <c r="ADF225" s="128"/>
      <c r="ADG225" s="128"/>
      <c r="ADH225" s="128"/>
      <c r="ADI225" s="128"/>
      <c r="ADJ225" s="128"/>
      <c r="ADK225" s="128"/>
      <c r="ADL225" s="128"/>
      <c r="ADM225" s="128"/>
      <c r="ADN225" s="128"/>
      <c r="ADO225" s="128"/>
      <c r="ADP225" s="128"/>
      <c r="ADQ225" s="128"/>
      <c r="ADR225" s="128"/>
      <c r="ADS225" s="128"/>
      <c r="ADT225" s="128"/>
      <c r="ADU225" s="128"/>
      <c r="ADV225" s="128"/>
      <c r="ADW225" s="128"/>
      <c r="ADX225" s="128"/>
      <c r="ADY225" s="128"/>
      <c r="ADZ225" s="128"/>
      <c r="AEA225" s="128"/>
      <c r="AEB225" s="128"/>
      <c r="AEC225" s="128"/>
      <c r="AED225" s="128"/>
      <c r="AEE225" s="128"/>
      <c r="AEF225" s="128"/>
      <c r="AEG225" s="128"/>
      <c r="AEH225" s="128"/>
      <c r="AEI225" s="128"/>
      <c r="AEJ225" s="128"/>
      <c r="AEK225" s="128"/>
      <c r="AEL225" s="128"/>
      <c r="AEM225" s="128"/>
      <c r="AEN225" s="128"/>
      <c r="AEO225" s="128"/>
      <c r="AEP225" s="128"/>
      <c r="AEQ225" s="128"/>
      <c r="AER225" s="128"/>
      <c r="AES225" s="128"/>
      <c r="AET225" s="128"/>
      <c r="AEU225" s="128"/>
      <c r="AEV225" s="128"/>
      <c r="AEW225" s="128"/>
      <c r="AEX225" s="128"/>
      <c r="AEY225" s="128"/>
      <c r="AEZ225" s="128"/>
      <c r="AFA225" s="128"/>
      <c r="AFB225" s="128"/>
      <c r="AFC225" s="128"/>
      <c r="AFD225" s="128"/>
      <c r="AFE225" s="128"/>
      <c r="AFF225" s="128"/>
      <c r="AFG225" s="128"/>
      <c r="AFH225" s="128"/>
      <c r="AFI225" s="128"/>
      <c r="AFJ225" s="128"/>
      <c r="AFK225" s="128"/>
      <c r="AFL225" s="128"/>
      <c r="AFM225" s="128"/>
      <c r="AFN225" s="128"/>
      <c r="AFO225" s="128"/>
      <c r="AFP225" s="128"/>
      <c r="AFQ225" s="128"/>
      <c r="AFR225" s="128"/>
      <c r="AFS225" s="128"/>
      <c r="AFT225" s="128"/>
      <c r="AFU225" s="128"/>
      <c r="AFV225" s="128"/>
      <c r="AFW225" s="128"/>
      <c r="AFX225" s="128"/>
      <c r="AFY225" s="128"/>
      <c r="AFZ225" s="128"/>
      <c r="AGA225" s="128"/>
      <c r="AGB225" s="128"/>
      <c r="AGC225" s="128"/>
      <c r="AGD225" s="128"/>
      <c r="AGE225" s="128"/>
      <c r="AGF225" s="128"/>
      <c r="AGG225" s="128"/>
      <c r="AGH225" s="128"/>
      <c r="AGI225" s="128"/>
      <c r="AGJ225" s="128"/>
      <c r="AGK225" s="128"/>
      <c r="AGL225" s="128"/>
      <c r="AGM225" s="128"/>
      <c r="AGN225" s="128"/>
      <c r="AGO225" s="128"/>
      <c r="AGP225" s="128"/>
      <c r="AGQ225" s="128"/>
      <c r="AGR225" s="128"/>
      <c r="AGS225" s="128"/>
      <c r="AGT225" s="128"/>
      <c r="AGU225" s="128"/>
      <c r="AGV225" s="128"/>
      <c r="AGW225" s="128"/>
      <c r="AGX225" s="128"/>
      <c r="AGY225" s="128"/>
      <c r="AGZ225" s="128"/>
      <c r="AHA225" s="128"/>
      <c r="AHB225" s="128"/>
      <c r="AHC225" s="128"/>
      <c r="AHD225" s="128"/>
      <c r="AHE225" s="128"/>
      <c r="AHF225" s="128"/>
      <c r="AHG225" s="128"/>
      <c r="AHH225" s="128"/>
      <c r="AHI225" s="128"/>
      <c r="AHJ225" s="128"/>
      <c r="AHK225" s="128"/>
      <c r="AHL225" s="128"/>
      <c r="AHM225" s="128"/>
      <c r="AHN225" s="128"/>
      <c r="AHO225" s="128"/>
      <c r="AHP225" s="128"/>
      <c r="AHQ225" s="128"/>
      <c r="AHR225" s="128"/>
      <c r="AHS225" s="128"/>
      <c r="AHT225" s="128"/>
      <c r="AHU225" s="128"/>
      <c r="AHV225" s="128"/>
      <c r="AHW225" s="128"/>
      <c r="AHX225" s="128"/>
      <c r="AHY225" s="128"/>
      <c r="AHZ225" s="128"/>
      <c r="AIA225" s="128"/>
      <c r="AIB225" s="128"/>
      <c r="AIC225" s="128"/>
      <c r="AID225" s="128"/>
      <c r="AIE225" s="128"/>
      <c r="AIF225" s="128"/>
      <c r="AIG225" s="128"/>
      <c r="AIH225" s="128"/>
      <c r="AII225" s="128"/>
      <c r="AIJ225" s="128"/>
      <c r="AIK225" s="128"/>
      <c r="AIL225" s="128"/>
      <c r="AIM225" s="128"/>
      <c r="AIN225" s="128"/>
      <c r="AIO225" s="128"/>
      <c r="AIP225" s="128"/>
      <c r="AIQ225" s="128"/>
      <c r="AIR225" s="128"/>
      <c r="AIS225" s="128"/>
      <c r="AIT225" s="128"/>
      <c r="AIU225" s="128"/>
      <c r="AIV225" s="128"/>
      <c r="AIW225" s="128"/>
      <c r="AIX225" s="128"/>
      <c r="AIY225" s="128"/>
      <c r="AIZ225" s="128"/>
      <c r="AJA225" s="128"/>
      <c r="AJB225" s="128"/>
      <c r="AJC225" s="128"/>
      <c r="AJD225" s="128"/>
      <c r="AJE225" s="128"/>
      <c r="AJF225" s="128"/>
      <c r="AJG225" s="128"/>
      <c r="AJH225" s="128"/>
      <c r="AJI225" s="128"/>
      <c r="AJJ225" s="128"/>
      <c r="AJK225" s="128"/>
      <c r="AJL225" s="128"/>
      <c r="AJM225" s="128"/>
      <c r="AJN225" s="128"/>
      <c r="AJO225" s="128"/>
      <c r="AJP225" s="128"/>
      <c r="AJQ225" s="128"/>
      <c r="AJR225" s="128"/>
      <c r="AJS225" s="128"/>
      <c r="AJT225" s="128"/>
      <c r="AJU225" s="128"/>
      <c r="AJV225" s="128"/>
      <c r="AJW225" s="128"/>
      <c r="AJX225" s="128"/>
      <c r="AJY225" s="128"/>
      <c r="AJZ225" s="128"/>
      <c r="AKA225" s="128"/>
      <c r="AKB225" s="128"/>
      <c r="AKC225" s="128"/>
      <c r="AKD225" s="128"/>
      <c r="AKE225" s="128"/>
      <c r="AKF225" s="128"/>
      <c r="AKG225" s="128"/>
      <c r="AKH225" s="128"/>
      <c r="AKI225" s="128"/>
      <c r="AKJ225" s="128"/>
      <c r="AKK225" s="128"/>
      <c r="AKL225" s="128"/>
      <c r="AKM225" s="128"/>
      <c r="AKN225" s="128"/>
      <c r="AKO225" s="128"/>
      <c r="AKP225" s="128"/>
      <c r="AKQ225" s="128"/>
      <c r="AKR225" s="128"/>
      <c r="AKS225" s="128"/>
      <c r="AKT225" s="128"/>
      <c r="AKU225" s="128"/>
      <c r="AKV225" s="128"/>
      <c r="AKW225" s="128"/>
      <c r="AKX225" s="128"/>
      <c r="AKY225" s="128"/>
      <c r="AKZ225" s="128"/>
      <c r="ALA225" s="128"/>
      <c r="ALB225" s="128"/>
      <c r="ALC225" s="128"/>
      <c r="ALD225" s="128"/>
      <c r="ALE225" s="128"/>
      <c r="ALF225" s="128"/>
      <c r="ALG225" s="128"/>
      <c r="ALH225" s="128"/>
      <c r="ALI225" s="128"/>
      <c r="ALJ225" s="128"/>
      <c r="ALK225" s="128"/>
      <c r="ALL225" s="128"/>
      <c r="ALM225" s="128"/>
      <c r="ALN225" s="128"/>
      <c r="ALO225" s="128"/>
      <c r="ALP225" s="128"/>
      <c r="ALQ225" s="128"/>
      <c r="ALR225" s="128"/>
      <c r="ALS225" s="128"/>
      <c r="ALT225" s="128"/>
      <c r="ALU225" s="128"/>
      <c r="ALV225" s="128"/>
      <c r="ALW225" s="128"/>
      <c r="ALX225" s="128"/>
      <c r="ALY225" s="128"/>
      <c r="ALZ225" s="128"/>
      <c r="AMA225"/>
      <c r="AMB225"/>
      <c r="AMC225"/>
      <c r="AMD225"/>
    </row>
    <row r="226" spans="1:1018" ht="12" customHeight="1">
      <c r="A226" s="129"/>
      <c r="B226" s="129"/>
      <c r="C226" s="129"/>
      <c r="D226" s="129"/>
      <c r="E226" s="129"/>
      <c r="F226" s="129"/>
    </row>
    <row r="227" spans="1:1018" ht="12" customHeight="1">
      <c r="A227" s="129"/>
      <c r="B227" s="129"/>
      <c r="C227" s="129"/>
      <c r="D227" s="129"/>
      <c r="E227" s="129"/>
      <c r="F227" s="129"/>
    </row>
    <row r="228" spans="1:1018" ht="12" customHeight="1">
      <c r="A228" s="129"/>
      <c r="B228" s="129"/>
      <c r="C228" s="129"/>
      <c r="D228" s="129"/>
      <c r="E228" s="129"/>
      <c r="F228" s="129"/>
    </row>
    <row r="229" spans="1:1018" s="117" customFormat="1" ht="12" customHeight="1">
      <c r="A229" s="129"/>
      <c r="B229" s="129"/>
      <c r="C229" s="129"/>
      <c r="D229" s="129"/>
      <c r="E229" s="129"/>
      <c r="F229" s="129"/>
      <c r="G229" s="96"/>
      <c r="H229" s="96"/>
      <c r="I229" s="225"/>
      <c r="J229" s="96"/>
      <c r="K229" s="159"/>
      <c r="L229" s="96"/>
      <c r="M229" s="96"/>
      <c r="N229" s="96"/>
      <c r="O229" s="96"/>
      <c r="P229" s="173"/>
      <c r="Q229" s="96"/>
      <c r="R229" s="96"/>
      <c r="S229" s="96"/>
      <c r="T229" s="277"/>
      <c r="U229" s="96"/>
      <c r="V229" s="96"/>
      <c r="W229" s="96"/>
      <c r="X229"/>
      <c r="Y229" s="179"/>
      <c r="Z229" s="96"/>
      <c r="AA229" s="161"/>
      <c r="AB229" s="96"/>
      <c r="AD229" s="96"/>
      <c r="AMB229"/>
    </row>
    <row r="230" spans="1:1018" s="117" customFormat="1" ht="12" customHeight="1">
      <c r="A230" s="130"/>
      <c r="B230" s="130"/>
      <c r="C230" s="130"/>
      <c r="D230" s="130"/>
      <c r="E230" s="130"/>
      <c r="F230" s="130"/>
      <c r="G230" s="96"/>
      <c r="H230" s="96"/>
      <c r="I230" s="225"/>
      <c r="J230" s="96"/>
      <c r="K230" s="159"/>
      <c r="L230" s="96"/>
      <c r="M230" s="96"/>
      <c r="N230" s="96"/>
      <c r="O230" s="96"/>
      <c r="P230" s="173"/>
      <c r="Q230" s="96"/>
      <c r="R230" s="96"/>
      <c r="S230" s="96"/>
      <c r="T230" s="277"/>
      <c r="U230" s="96"/>
      <c r="V230" s="96"/>
      <c r="W230" s="96"/>
      <c r="X230"/>
      <c r="Y230" s="179"/>
      <c r="Z230" s="96"/>
      <c r="AA230" s="161"/>
      <c r="AB230" s="96"/>
      <c r="AD230" s="96"/>
      <c r="AMB230"/>
    </row>
    <row r="231" spans="1:1018" s="117" customFormat="1" ht="12" customHeight="1">
      <c r="A231" s="123"/>
      <c r="B231" s="123"/>
      <c r="C231" s="123"/>
      <c r="D231" s="123"/>
      <c r="E231" s="123"/>
      <c r="F231" s="123"/>
      <c r="G231" s="112"/>
      <c r="H231" s="112"/>
      <c r="I231" s="276"/>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8" s="117" customFormat="1" ht="12" customHeight="1">
      <c r="A232" s="123"/>
      <c r="B232" s="123"/>
      <c r="C232" s="123"/>
      <c r="D232" s="123"/>
      <c r="E232" s="123"/>
      <c r="F232" s="123"/>
      <c r="G232" s="112"/>
      <c r="H232" s="112"/>
      <c r="I232" s="276"/>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8" s="117" customFormat="1" ht="12" customHeight="1">
      <c r="A233" s="123"/>
      <c r="B233" s="123"/>
      <c r="C233" s="123"/>
      <c r="D233" s="123"/>
      <c r="E233" s="123"/>
      <c r="F233" s="123"/>
      <c r="G233" s="112"/>
      <c r="H233" s="112"/>
      <c r="I233" s="276"/>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8" s="117" customFormat="1" ht="12" customHeight="1">
      <c r="A234" s="123"/>
      <c r="B234" s="123"/>
      <c r="C234" s="123"/>
      <c r="D234" s="123"/>
      <c r="E234" s="123"/>
      <c r="F234" s="123"/>
      <c r="G234" s="112"/>
      <c r="H234" s="112"/>
      <c r="I234" s="276"/>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8" s="117" customFormat="1" ht="12" customHeight="1">
      <c r="A235" s="123"/>
      <c r="B235" s="123"/>
      <c r="C235" s="123"/>
      <c r="D235" s="123"/>
      <c r="E235" s="123"/>
      <c r="F235" s="123"/>
      <c r="G235" s="112"/>
      <c r="H235" s="112"/>
      <c r="I235" s="276"/>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8" ht="12" customHeight="1">
      <c r="A236" s="123"/>
      <c r="B236" s="123"/>
      <c r="C236" s="123"/>
      <c r="D236" s="123"/>
      <c r="E236" s="123"/>
      <c r="F236" s="123"/>
      <c r="G236" s="112"/>
      <c r="H236" s="112"/>
      <c r="I236" s="276"/>
      <c r="J236" s="112"/>
      <c r="K236" s="161"/>
      <c r="L236" s="112"/>
      <c r="M236" s="112"/>
      <c r="N236" s="112"/>
      <c r="O236" s="112"/>
      <c r="P236" s="190"/>
      <c r="Q236" s="112"/>
      <c r="R236" s="112"/>
      <c r="S236" s="112"/>
      <c r="T236" s="125"/>
      <c r="U236" s="112"/>
      <c r="V236" s="112"/>
      <c r="W236" s="112"/>
      <c r="Y236" s="180"/>
      <c r="Z236" s="112"/>
      <c r="AB236" s="112"/>
      <c r="AD236" s="112"/>
    </row>
    <row r="237" spans="1:1018" ht="12" customHeight="1">
      <c r="A237" s="123"/>
      <c r="B237" s="123"/>
      <c r="C237" s="123"/>
      <c r="D237" s="123"/>
      <c r="E237" s="123"/>
      <c r="F237" s="123"/>
      <c r="G237" s="112"/>
      <c r="H237" s="112"/>
      <c r="I237" s="276"/>
      <c r="J237" s="112"/>
      <c r="K237" s="161"/>
      <c r="L237" s="112"/>
      <c r="M237" s="112"/>
      <c r="N237" s="112"/>
      <c r="O237" s="112"/>
      <c r="P237" s="190"/>
      <c r="Q237" s="112"/>
      <c r="R237" s="112"/>
      <c r="S237" s="112"/>
      <c r="T237" s="125"/>
      <c r="U237" s="112"/>
      <c r="V237" s="112"/>
      <c r="W237" s="112"/>
      <c r="Y237" s="180"/>
      <c r="Z237" s="112"/>
      <c r="AB237" s="112"/>
      <c r="AD237" s="112"/>
    </row>
    <row r="238" spans="1:1018" ht="12" customHeight="1">
      <c r="A238" s="130"/>
      <c r="B238" s="130"/>
      <c r="C238" s="130"/>
      <c r="D238" s="130"/>
      <c r="E238" s="130"/>
      <c r="F238" s="130"/>
    </row>
    <row r="239" spans="1:1018" ht="12" customHeight="1">
      <c r="A239" s="130"/>
      <c r="B239" s="130"/>
      <c r="C239" s="130"/>
      <c r="D239" s="130"/>
      <c r="E239" s="130"/>
      <c r="F239" s="130"/>
    </row>
    <row r="240" spans="1:1018" ht="12" customHeight="1">
      <c r="A240" s="130"/>
      <c r="B240" s="130"/>
      <c r="C240" s="130"/>
      <c r="D240" s="130"/>
      <c r="E240" s="130"/>
      <c r="F240" s="130"/>
    </row>
    <row r="241" spans="1:1018" ht="12" customHeight="1">
      <c r="A241" s="136"/>
      <c r="B241" s="136"/>
      <c r="C241" s="136"/>
      <c r="D241" s="136"/>
      <c r="E241" s="136"/>
      <c r="F241" s="136"/>
    </row>
    <row r="242" spans="1:1018" s="96" customFormat="1" ht="12" customHeight="1">
      <c r="A242" s="136"/>
      <c r="B242" s="136"/>
      <c r="C242" s="136"/>
      <c r="D242" s="136"/>
      <c r="E242" s="136"/>
      <c r="F242" s="136"/>
      <c r="I242" s="225"/>
      <c r="K242" s="159"/>
      <c r="P242" s="173"/>
      <c r="T242" s="277"/>
      <c r="X242"/>
      <c r="Y242" s="179"/>
      <c r="AA242" s="159"/>
      <c r="AC242"/>
      <c r="AE242" s="128"/>
      <c r="AF242"/>
      <c r="AG242" s="128"/>
      <c r="AH242" s="128"/>
      <c r="AI242" s="128"/>
      <c r="AJ242" s="128"/>
      <c r="AK242" s="128"/>
      <c r="AL242" s="128"/>
      <c r="AM242" s="128"/>
      <c r="AN242" s="128"/>
      <c r="AO242" s="128"/>
      <c r="AP242" s="128"/>
      <c r="AQ242" s="128"/>
      <c r="AR242" s="128"/>
      <c r="AS242" s="128"/>
      <c r="AT242" s="128"/>
      <c r="AU242" s="128"/>
      <c r="AV242" s="128"/>
      <c r="AW242" s="128"/>
      <c r="AX242" s="128"/>
      <c r="AY242" s="128"/>
      <c r="AZ242" s="128"/>
      <c r="BA242" s="128"/>
      <c r="BB242" s="128"/>
      <c r="BC242" s="128"/>
      <c r="BD242" s="128"/>
      <c r="BE242" s="128"/>
      <c r="BF242" s="128"/>
      <c r="BG242" s="128"/>
      <c r="BH242" s="128"/>
      <c r="BI242" s="128"/>
      <c r="BJ242" s="128"/>
      <c r="BK242" s="128"/>
      <c r="BL242" s="128"/>
      <c r="BM242" s="128"/>
      <c r="BN242" s="128"/>
      <c r="BO242" s="128"/>
      <c r="BP242" s="128"/>
      <c r="BQ242" s="128"/>
      <c r="BR242" s="128"/>
      <c r="BS242" s="128"/>
      <c r="BT242" s="128"/>
      <c r="BU242" s="128"/>
      <c r="BV242" s="128"/>
      <c r="BW242" s="128"/>
      <c r="BX242" s="128"/>
      <c r="BY242" s="128"/>
      <c r="BZ242" s="128"/>
      <c r="CA242" s="128"/>
      <c r="CB242" s="128"/>
      <c r="CC242" s="128"/>
      <c r="CD242" s="128"/>
      <c r="CE242" s="128"/>
      <c r="CF242" s="128"/>
      <c r="CG242" s="128"/>
      <c r="CH242" s="128"/>
      <c r="CI242" s="128"/>
      <c r="CJ242" s="128"/>
      <c r="CK242" s="128"/>
      <c r="CL242" s="128"/>
      <c r="CM242" s="128"/>
      <c r="CN242" s="128"/>
      <c r="CO242" s="128"/>
      <c r="CP242" s="128"/>
      <c r="CQ242" s="128"/>
      <c r="CR242" s="128"/>
      <c r="CS242" s="128"/>
      <c r="CT242" s="128"/>
      <c r="CU242" s="128"/>
      <c r="CV242" s="128"/>
      <c r="CW242" s="128"/>
      <c r="CX242" s="128"/>
      <c r="CY242" s="128"/>
      <c r="CZ242" s="128"/>
      <c r="DA242" s="128"/>
      <c r="DB242" s="128"/>
      <c r="DC242" s="128"/>
      <c r="DD242" s="128"/>
      <c r="DE242" s="128"/>
      <c r="DF242" s="128"/>
      <c r="DG242" s="128"/>
      <c r="DH242" s="128"/>
      <c r="DI242" s="128"/>
      <c r="DJ242" s="128"/>
      <c r="DK242" s="128"/>
      <c r="DL242" s="128"/>
      <c r="DM242" s="128"/>
      <c r="DN242" s="128"/>
      <c r="DO242" s="128"/>
      <c r="DP242" s="128"/>
      <c r="DQ242" s="128"/>
      <c r="DR242" s="128"/>
      <c r="DS242" s="128"/>
      <c r="DT242" s="128"/>
      <c r="DU242" s="128"/>
      <c r="DV242" s="128"/>
      <c r="DW242" s="128"/>
      <c r="DX242" s="128"/>
      <c r="DY242" s="128"/>
      <c r="DZ242" s="128"/>
      <c r="EA242" s="128"/>
      <c r="EB242" s="128"/>
      <c r="EC242" s="128"/>
      <c r="ED242" s="128"/>
      <c r="EE242" s="128"/>
      <c r="EF242" s="128"/>
      <c r="EG242" s="128"/>
      <c r="EH242" s="128"/>
      <c r="EI242" s="128"/>
      <c r="EJ242" s="128"/>
      <c r="EK242" s="128"/>
      <c r="EL242" s="128"/>
      <c r="EM242" s="128"/>
      <c r="EN242" s="128"/>
      <c r="EO242" s="128"/>
      <c r="EP242" s="128"/>
      <c r="EQ242" s="128"/>
      <c r="ER242" s="128"/>
      <c r="ES242" s="128"/>
      <c r="ET242" s="128"/>
      <c r="EU242" s="128"/>
      <c r="EV242" s="128"/>
      <c r="EW242" s="128"/>
      <c r="EX242" s="128"/>
      <c r="EY242" s="128"/>
      <c r="EZ242" s="128"/>
      <c r="FA242" s="128"/>
      <c r="FB242" s="128"/>
      <c r="FC242" s="128"/>
      <c r="FD242" s="128"/>
      <c r="FE242" s="128"/>
      <c r="FF242" s="128"/>
      <c r="FG242" s="128"/>
      <c r="FH242" s="128"/>
      <c r="FI242" s="128"/>
      <c r="FJ242" s="128"/>
      <c r="FK242" s="128"/>
      <c r="FL242" s="128"/>
      <c r="FM242" s="128"/>
      <c r="FN242" s="128"/>
      <c r="FO242" s="128"/>
      <c r="FP242" s="128"/>
      <c r="FQ242" s="128"/>
      <c r="FR242" s="128"/>
      <c r="FS242" s="128"/>
      <c r="FT242" s="128"/>
      <c r="FU242" s="128"/>
      <c r="FV242" s="128"/>
      <c r="FW242" s="128"/>
      <c r="FX242" s="128"/>
      <c r="FY242" s="128"/>
      <c r="FZ242" s="128"/>
      <c r="GA242" s="128"/>
      <c r="GB242" s="128"/>
      <c r="GC242" s="128"/>
      <c r="GD242" s="128"/>
      <c r="GE242" s="128"/>
      <c r="GF242" s="128"/>
      <c r="GG242" s="128"/>
      <c r="GH242" s="128"/>
      <c r="GI242" s="128"/>
      <c r="GJ242" s="128"/>
      <c r="GK242" s="128"/>
      <c r="GL242" s="128"/>
      <c r="GM242" s="128"/>
      <c r="GN242" s="128"/>
      <c r="GO242" s="128"/>
      <c r="GP242" s="128"/>
      <c r="GQ242" s="128"/>
      <c r="GR242" s="128"/>
      <c r="GS242" s="128"/>
      <c r="GT242" s="128"/>
      <c r="GU242" s="128"/>
      <c r="GV242" s="128"/>
      <c r="GW242" s="128"/>
      <c r="GX242" s="128"/>
      <c r="GY242" s="128"/>
      <c r="GZ242" s="128"/>
      <c r="HA242" s="128"/>
      <c r="HB242" s="128"/>
      <c r="HC242" s="128"/>
      <c r="HD242" s="128"/>
      <c r="HE242" s="128"/>
      <c r="HF242" s="128"/>
      <c r="HG242" s="128"/>
      <c r="HH242" s="128"/>
      <c r="HI242" s="128"/>
      <c r="HJ242" s="128"/>
      <c r="HK242" s="128"/>
      <c r="HL242" s="128"/>
      <c r="HM242" s="128"/>
      <c r="HN242" s="128"/>
      <c r="HO242" s="128"/>
      <c r="HP242" s="128"/>
      <c r="HQ242" s="128"/>
      <c r="HR242" s="128"/>
      <c r="HS242" s="128"/>
      <c r="HT242" s="128"/>
      <c r="HU242" s="128"/>
      <c r="HV242" s="128"/>
      <c r="HW242" s="128"/>
      <c r="HX242" s="128"/>
      <c r="HY242" s="128"/>
      <c r="HZ242" s="128"/>
      <c r="IA242" s="128"/>
      <c r="IB242" s="128"/>
      <c r="IC242" s="128"/>
      <c r="ID242" s="128"/>
      <c r="IE242" s="128"/>
      <c r="IF242" s="128"/>
      <c r="IG242" s="128"/>
      <c r="IH242" s="128"/>
      <c r="II242" s="128"/>
      <c r="IJ242" s="128"/>
      <c r="IK242" s="128"/>
      <c r="IL242" s="128"/>
      <c r="IM242" s="128"/>
      <c r="IN242" s="128"/>
      <c r="IO242" s="128"/>
      <c r="IP242" s="128"/>
      <c r="IQ242" s="128"/>
      <c r="IR242" s="128"/>
      <c r="IS242" s="128"/>
      <c r="IT242" s="128"/>
      <c r="IU242" s="128"/>
      <c r="IV242" s="128"/>
      <c r="IW242" s="128"/>
      <c r="IX242" s="128"/>
      <c r="IY242" s="128"/>
      <c r="IZ242" s="128"/>
      <c r="JA242" s="128"/>
      <c r="JB242" s="128"/>
      <c r="JC242" s="128"/>
      <c r="JD242" s="128"/>
      <c r="JE242" s="128"/>
      <c r="JF242" s="128"/>
      <c r="JG242" s="128"/>
      <c r="JH242" s="128"/>
      <c r="JI242" s="128"/>
      <c r="JJ242" s="128"/>
      <c r="JK242" s="128"/>
      <c r="JL242" s="128"/>
      <c r="JM242" s="128"/>
      <c r="JN242" s="128"/>
      <c r="JO242" s="128"/>
      <c r="JP242" s="128"/>
      <c r="JQ242" s="128"/>
      <c r="JR242" s="128"/>
      <c r="JS242" s="128"/>
      <c r="JT242" s="128"/>
      <c r="JU242" s="128"/>
      <c r="JV242" s="128"/>
      <c r="JW242" s="128"/>
      <c r="JX242" s="128"/>
      <c r="JY242" s="128"/>
      <c r="JZ242" s="128"/>
      <c r="KA242" s="128"/>
      <c r="KB242" s="128"/>
      <c r="KC242" s="128"/>
      <c r="KD242" s="128"/>
      <c r="KE242" s="128"/>
      <c r="KF242" s="128"/>
      <c r="KG242" s="128"/>
      <c r="KH242" s="128"/>
      <c r="KI242" s="128"/>
      <c r="KJ242" s="128"/>
      <c r="KK242" s="128"/>
      <c r="KL242" s="128"/>
      <c r="KM242" s="128"/>
      <c r="KN242" s="128"/>
      <c r="KO242" s="128"/>
      <c r="KP242" s="128"/>
      <c r="KQ242" s="128"/>
      <c r="KR242" s="128"/>
      <c r="KS242" s="128"/>
      <c r="KT242" s="128"/>
      <c r="KU242" s="128"/>
      <c r="KV242" s="128"/>
      <c r="KW242" s="128"/>
      <c r="KX242" s="128"/>
      <c r="KY242" s="128"/>
      <c r="KZ242" s="128"/>
      <c r="LA242" s="128"/>
      <c r="LB242" s="128"/>
      <c r="LC242" s="128"/>
      <c r="LD242" s="128"/>
      <c r="LE242" s="128"/>
      <c r="LF242" s="128"/>
      <c r="LG242" s="128"/>
      <c r="LH242" s="128"/>
      <c r="LI242" s="128"/>
      <c r="LJ242" s="128"/>
      <c r="LK242" s="128"/>
      <c r="LL242" s="128"/>
      <c r="LM242" s="128"/>
      <c r="LN242" s="128"/>
      <c r="LO242" s="128"/>
      <c r="LP242" s="128"/>
      <c r="LQ242" s="128"/>
      <c r="LR242" s="128"/>
      <c r="LS242" s="128"/>
      <c r="LT242" s="128"/>
      <c r="LU242" s="128"/>
      <c r="LV242" s="128"/>
      <c r="LW242" s="128"/>
      <c r="LX242" s="128"/>
      <c r="LY242" s="128"/>
      <c r="LZ242" s="128"/>
      <c r="MA242" s="128"/>
      <c r="MB242" s="128"/>
      <c r="MC242" s="128"/>
      <c r="MD242" s="128"/>
      <c r="ME242" s="128"/>
      <c r="MF242" s="128"/>
      <c r="MG242" s="128"/>
      <c r="MH242" s="128"/>
      <c r="MI242" s="128"/>
      <c r="MJ242" s="128"/>
      <c r="MK242" s="128"/>
      <c r="ML242" s="128"/>
      <c r="MM242" s="128"/>
      <c r="MN242" s="128"/>
      <c r="MO242" s="128"/>
      <c r="MP242" s="128"/>
      <c r="MQ242" s="128"/>
      <c r="MR242" s="128"/>
      <c r="MS242" s="128"/>
      <c r="MT242" s="128"/>
      <c r="MU242" s="128"/>
      <c r="MV242" s="128"/>
      <c r="MW242" s="128"/>
      <c r="MX242" s="128"/>
      <c r="MY242" s="128"/>
      <c r="MZ242" s="128"/>
      <c r="NA242" s="128"/>
      <c r="NB242" s="128"/>
      <c r="NC242" s="128"/>
      <c r="ND242" s="128"/>
      <c r="NE242" s="128"/>
      <c r="NF242" s="128"/>
      <c r="NG242" s="128"/>
      <c r="NH242" s="128"/>
      <c r="NI242" s="128"/>
      <c r="NJ242" s="128"/>
      <c r="NK242" s="128"/>
      <c r="NL242" s="128"/>
      <c r="NM242" s="128"/>
      <c r="NN242" s="128"/>
      <c r="NO242" s="128"/>
      <c r="NP242" s="128"/>
      <c r="NQ242" s="128"/>
      <c r="NR242" s="128"/>
      <c r="NS242" s="128"/>
      <c r="NT242" s="128"/>
      <c r="NU242" s="128"/>
      <c r="NV242" s="128"/>
      <c r="NW242" s="128"/>
      <c r="NX242" s="128"/>
      <c r="NY242" s="128"/>
      <c r="NZ242" s="128"/>
      <c r="OA242" s="128"/>
      <c r="OB242" s="128"/>
      <c r="OC242" s="128"/>
      <c r="OD242" s="128"/>
      <c r="OE242" s="128"/>
      <c r="OF242" s="128"/>
      <c r="OG242" s="128"/>
      <c r="OH242" s="128"/>
      <c r="OI242" s="128"/>
      <c r="OJ242" s="128"/>
      <c r="OK242" s="128"/>
      <c r="OL242" s="128"/>
      <c r="OM242" s="128"/>
      <c r="ON242" s="128"/>
      <c r="OO242" s="128"/>
      <c r="OP242" s="128"/>
      <c r="OQ242" s="128"/>
      <c r="OR242" s="128"/>
      <c r="OS242" s="128"/>
      <c r="OT242" s="128"/>
      <c r="OU242" s="128"/>
      <c r="OV242" s="128"/>
      <c r="OW242" s="128"/>
      <c r="OX242" s="128"/>
      <c r="OY242" s="128"/>
      <c r="OZ242" s="128"/>
      <c r="PA242" s="128"/>
      <c r="PB242" s="128"/>
      <c r="PC242" s="128"/>
      <c r="PD242" s="128"/>
      <c r="PE242" s="128"/>
      <c r="PF242" s="128"/>
      <c r="PG242" s="128"/>
      <c r="PH242" s="128"/>
      <c r="PI242" s="128"/>
      <c r="PJ242" s="128"/>
      <c r="PK242" s="128"/>
      <c r="PL242" s="128"/>
      <c r="PM242" s="128"/>
      <c r="PN242" s="128"/>
      <c r="PO242" s="128"/>
      <c r="PP242" s="128"/>
      <c r="PQ242" s="128"/>
      <c r="PR242" s="128"/>
      <c r="PS242" s="128"/>
      <c r="PT242" s="128"/>
      <c r="PU242" s="128"/>
      <c r="PV242" s="128"/>
      <c r="PW242" s="128"/>
      <c r="PX242" s="128"/>
      <c r="PY242" s="128"/>
      <c r="PZ242" s="128"/>
      <c r="QA242" s="128"/>
      <c r="QB242" s="128"/>
      <c r="QC242" s="128"/>
      <c r="QD242" s="128"/>
      <c r="QE242" s="128"/>
      <c r="QF242" s="128"/>
      <c r="QG242" s="128"/>
      <c r="QH242" s="128"/>
      <c r="QI242" s="128"/>
      <c r="QJ242" s="128"/>
      <c r="QK242" s="128"/>
      <c r="QL242" s="128"/>
      <c r="QM242" s="128"/>
      <c r="QN242" s="128"/>
      <c r="QO242" s="128"/>
      <c r="QP242" s="128"/>
      <c r="QQ242" s="128"/>
      <c r="QR242" s="128"/>
      <c r="QS242" s="128"/>
      <c r="QT242" s="128"/>
      <c r="QU242" s="128"/>
      <c r="QV242" s="128"/>
      <c r="QW242" s="128"/>
      <c r="QX242" s="128"/>
      <c r="QY242" s="128"/>
      <c r="QZ242" s="128"/>
      <c r="RA242" s="128"/>
      <c r="RB242" s="128"/>
      <c r="RC242" s="128"/>
      <c r="RD242" s="128"/>
      <c r="RE242" s="128"/>
      <c r="RF242" s="128"/>
      <c r="RG242" s="128"/>
      <c r="RH242" s="128"/>
      <c r="RI242" s="128"/>
      <c r="RJ242" s="128"/>
      <c r="RK242" s="128"/>
      <c r="RL242" s="128"/>
      <c r="RM242" s="128"/>
      <c r="RN242" s="128"/>
      <c r="RO242" s="128"/>
      <c r="RP242" s="128"/>
      <c r="RQ242" s="128"/>
      <c r="RR242" s="128"/>
      <c r="RS242" s="128"/>
      <c r="RT242" s="128"/>
      <c r="RU242" s="128"/>
      <c r="RV242" s="128"/>
      <c r="RW242" s="128"/>
      <c r="RX242" s="128"/>
      <c r="RY242" s="128"/>
      <c r="RZ242" s="128"/>
      <c r="SA242" s="128"/>
      <c r="SB242" s="128"/>
      <c r="SC242" s="128"/>
      <c r="SD242" s="128"/>
      <c r="SE242" s="128"/>
      <c r="SF242" s="128"/>
      <c r="SG242" s="128"/>
      <c r="SH242" s="128"/>
      <c r="SI242" s="128"/>
      <c r="SJ242" s="128"/>
      <c r="SK242" s="128"/>
      <c r="SL242" s="128"/>
      <c r="SM242" s="128"/>
      <c r="SN242" s="128"/>
      <c r="SO242" s="128"/>
      <c r="SP242" s="128"/>
      <c r="SQ242" s="128"/>
      <c r="SR242" s="128"/>
      <c r="SS242" s="128"/>
      <c r="ST242" s="128"/>
      <c r="SU242" s="128"/>
      <c r="SV242" s="128"/>
      <c r="SW242" s="128"/>
      <c r="SX242" s="128"/>
      <c r="SY242" s="128"/>
      <c r="SZ242" s="128"/>
      <c r="TA242" s="128"/>
      <c r="TB242" s="128"/>
      <c r="TC242" s="128"/>
      <c r="TD242" s="128"/>
      <c r="TE242" s="128"/>
      <c r="TF242" s="128"/>
      <c r="TG242" s="128"/>
      <c r="TH242" s="128"/>
      <c r="TI242" s="128"/>
      <c r="TJ242" s="128"/>
      <c r="TK242" s="128"/>
      <c r="TL242" s="128"/>
      <c r="TM242" s="128"/>
      <c r="TN242" s="128"/>
      <c r="TO242" s="128"/>
      <c r="TP242" s="128"/>
      <c r="TQ242" s="128"/>
      <c r="TR242" s="128"/>
      <c r="TS242" s="128"/>
      <c r="TT242" s="128"/>
      <c r="TU242" s="128"/>
      <c r="TV242" s="128"/>
      <c r="TW242" s="128"/>
      <c r="TX242" s="128"/>
      <c r="TY242" s="128"/>
      <c r="TZ242" s="128"/>
      <c r="UA242" s="128"/>
      <c r="UB242" s="128"/>
      <c r="UC242" s="128"/>
      <c r="UD242" s="128"/>
      <c r="UE242" s="128"/>
      <c r="UF242" s="128"/>
      <c r="UG242" s="128"/>
      <c r="UH242" s="128"/>
      <c r="UI242" s="128"/>
      <c r="UJ242" s="128"/>
      <c r="UK242" s="128"/>
      <c r="UL242" s="128"/>
      <c r="UM242" s="128"/>
      <c r="UN242" s="128"/>
      <c r="UO242" s="128"/>
      <c r="UP242" s="128"/>
      <c r="UQ242" s="128"/>
      <c r="UR242" s="128"/>
      <c r="US242" s="128"/>
      <c r="UT242" s="128"/>
      <c r="UU242" s="128"/>
      <c r="UV242" s="128"/>
      <c r="UW242" s="128"/>
      <c r="UX242" s="128"/>
      <c r="UY242" s="128"/>
      <c r="UZ242" s="128"/>
      <c r="VA242" s="128"/>
      <c r="VB242" s="128"/>
      <c r="VC242" s="128"/>
      <c r="VD242" s="128"/>
      <c r="VE242" s="128"/>
      <c r="VF242" s="128"/>
      <c r="VG242" s="128"/>
      <c r="VH242" s="128"/>
      <c r="VI242" s="128"/>
      <c r="VJ242" s="128"/>
      <c r="VK242" s="128"/>
      <c r="VL242" s="128"/>
      <c r="VM242" s="128"/>
      <c r="VN242" s="128"/>
      <c r="VO242" s="128"/>
      <c r="VP242" s="128"/>
      <c r="VQ242" s="128"/>
      <c r="VR242" s="128"/>
      <c r="VS242" s="128"/>
      <c r="VT242" s="128"/>
      <c r="VU242" s="128"/>
      <c r="VV242" s="128"/>
      <c r="VW242" s="128"/>
      <c r="VX242" s="128"/>
      <c r="VY242" s="128"/>
      <c r="VZ242" s="128"/>
      <c r="WA242" s="128"/>
      <c r="WB242" s="128"/>
      <c r="WC242" s="128"/>
      <c r="WD242" s="128"/>
      <c r="WE242" s="128"/>
      <c r="WF242" s="128"/>
      <c r="WG242" s="128"/>
      <c r="WH242" s="128"/>
      <c r="WI242" s="128"/>
      <c r="WJ242" s="128"/>
      <c r="WK242" s="128"/>
      <c r="WL242" s="128"/>
      <c r="WM242" s="128"/>
      <c r="WN242" s="128"/>
      <c r="WO242" s="128"/>
      <c r="WP242" s="128"/>
      <c r="WQ242" s="128"/>
      <c r="WR242" s="128"/>
      <c r="WS242" s="128"/>
      <c r="WT242" s="128"/>
      <c r="WU242" s="128"/>
      <c r="WV242" s="128"/>
      <c r="WW242" s="128"/>
      <c r="WX242" s="128"/>
      <c r="WY242" s="128"/>
      <c r="WZ242" s="128"/>
      <c r="XA242" s="128"/>
      <c r="XB242" s="128"/>
      <c r="XC242" s="128"/>
      <c r="XD242" s="128"/>
      <c r="XE242" s="128"/>
      <c r="XF242" s="128"/>
      <c r="XG242" s="128"/>
      <c r="XH242" s="128"/>
      <c r="XI242" s="128"/>
      <c r="XJ242" s="128"/>
      <c r="XK242" s="128"/>
      <c r="XL242" s="128"/>
      <c r="XM242" s="128"/>
      <c r="XN242" s="128"/>
      <c r="XO242" s="128"/>
      <c r="XP242" s="128"/>
      <c r="XQ242" s="128"/>
      <c r="XR242" s="128"/>
      <c r="XS242" s="128"/>
      <c r="XT242" s="128"/>
      <c r="XU242" s="128"/>
      <c r="XV242" s="128"/>
      <c r="XW242" s="128"/>
      <c r="XX242" s="128"/>
      <c r="XY242" s="128"/>
      <c r="XZ242" s="128"/>
      <c r="YA242" s="128"/>
      <c r="YB242" s="128"/>
      <c r="YC242" s="128"/>
      <c r="YD242" s="128"/>
      <c r="YE242" s="128"/>
      <c r="YF242" s="128"/>
      <c r="YG242" s="128"/>
      <c r="YH242" s="128"/>
      <c r="YI242" s="128"/>
      <c r="YJ242" s="128"/>
      <c r="YK242" s="128"/>
      <c r="YL242" s="128"/>
      <c r="YM242" s="128"/>
      <c r="YN242" s="128"/>
      <c r="YO242" s="128"/>
      <c r="YP242" s="128"/>
      <c r="YQ242" s="128"/>
      <c r="YR242" s="128"/>
      <c r="YS242" s="128"/>
      <c r="YT242" s="128"/>
      <c r="YU242" s="128"/>
      <c r="YV242" s="128"/>
      <c r="YW242" s="128"/>
      <c r="YX242" s="128"/>
      <c r="YY242" s="128"/>
      <c r="YZ242" s="128"/>
      <c r="ZA242" s="128"/>
      <c r="ZB242" s="128"/>
      <c r="ZC242" s="128"/>
      <c r="ZD242" s="128"/>
      <c r="ZE242" s="128"/>
      <c r="ZF242" s="128"/>
      <c r="ZG242" s="128"/>
      <c r="ZH242" s="128"/>
      <c r="ZI242" s="128"/>
      <c r="ZJ242" s="128"/>
      <c r="ZK242" s="128"/>
      <c r="ZL242" s="128"/>
      <c r="ZM242" s="128"/>
      <c r="ZN242" s="128"/>
      <c r="ZO242" s="128"/>
      <c r="ZP242" s="128"/>
      <c r="ZQ242" s="128"/>
      <c r="ZR242" s="128"/>
      <c r="ZS242" s="128"/>
      <c r="ZT242" s="128"/>
      <c r="ZU242" s="128"/>
      <c r="ZV242" s="128"/>
      <c r="ZW242" s="128"/>
      <c r="ZX242" s="128"/>
      <c r="ZY242" s="128"/>
      <c r="ZZ242" s="128"/>
      <c r="AAA242" s="128"/>
      <c r="AAB242" s="128"/>
      <c r="AAC242" s="128"/>
      <c r="AAD242" s="128"/>
      <c r="AAE242" s="128"/>
      <c r="AAF242" s="128"/>
      <c r="AAG242" s="128"/>
      <c r="AAH242" s="128"/>
      <c r="AAI242" s="128"/>
      <c r="AAJ242" s="128"/>
      <c r="AAK242" s="128"/>
      <c r="AAL242" s="128"/>
      <c r="AAM242" s="128"/>
      <c r="AAN242" s="128"/>
      <c r="AAO242" s="128"/>
      <c r="AAP242" s="128"/>
      <c r="AAQ242" s="128"/>
      <c r="AAR242" s="128"/>
      <c r="AAS242" s="128"/>
      <c r="AAT242" s="128"/>
      <c r="AAU242" s="128"/>
      <c r="AAV242" s="128"/>
      <c r="AAW242" s="128"/>
      <c r="AAX242" s="128"/>
      <c r="AAY242" s="128"/>
      <c r="AAZ242" s="128"/>
      <c r="ABA242" s="128"/>
      <c r="ABB242" s="128"/>
      <c r="ABC242" s="128"/>
      <c r="ABD242" s="128"/>
      <c r="ABE242" s="128"/>
      <c r="ABF242" s="128"/>
      <c r="ABG242" s="128"/>
      <c r="ABH242" s="128"/>
      <c r="ABI242" s="128"/>
      <c r="ABJ242" s="128"/>
      <c r="ABK242" s="128"/>
      <c r="ABL242" s="128"/>
      <c r="ABM242" s="128"/>
      <c r="ABN242" s="128"/>
      <c r="ABO242" s="128"/>
      <c r="ABP242" s="128"/>
      <c r="ABQ242" s="128"/>
      <c r="ABR242" s="128"/>
      <c r="ABS242" s="128"/>
      <c r="ABT242" s="128"/>
      <c r="ABU242" s="128"/>
      <c r="ABV242" s="128"/>
      <c r="ABW242" s="128"/>
      <c r="ABX242" s="128"/>
      <c r="ABY242" s="128"/>
      <c r="ABZ242" s="128"/>
      <c r="ACA242" s="128"/>
      <c r="ACB242" s="128"/>
      <c r="ACC242" s="128"/>
      <c r="ACD242" s="128"/>
      <c r="ACE242" s="128"/>
      <c r="ACF242" s="128"/>
      <c r="ACG242" s="128"/>
      <c r="ACH242" s="128"/>
      <c r="ACI242" s="128"/>
      <c r="ACJ242" s="128"/>
      <c r="ACK242" s="128"/>
      <c r="ACL242" s="128"/>
      <c r="ACM242" s="128"/>
      <c r="ACN242" s="128"/>
      <c r="ACO242" s="128"/>
      <c r="ACP242" s="128"/>
      <c r="ACQ242" s="128"/>
      <c r="ACR242" s="128"/>
      <c r="ACS242" s="128"/>
      <c r="ACT242" s="128"/>
      <c r="ACU242" s="128"/>
      <c r="ACV242" s="128"/>
      <c r="ACW242" s="128"/>
      <c r="ACX242" s="128"/>
      <c r="ACY242" s="128"/>
      <c r="ACZ242" s="128"/>
      <c r="ADA242" s="128"/>
      <c r="ADB242" s="128"/>
      <c r="ADC242" s="128"/>
      <c r="ADD242" s="128"/>
      <c r="ADE242" s="128"/>
      <c r="ADF242" s="128"/>
      <c r="ADG242" s="128"/>
      <c r="ADH242" s="128"/>
      <c r="ADI242" s="128"/>
      <c r="ADJ242" s="128"/>
      <c r="ADK242" s="128"/>
      <c r="ADL242" s="128"/>
      <c r="ADM242" s="128"/>
      <c r="ADN242" s="128"/>
      <c r="ADO242" s="128"/>
      <c r="ADP242" s="128"/>
      <c r="ADQ242" s="128"/>
      <c r="ADR242" s="128"/>
      <c r="ADS242" s="128"/>
      <c r="ADT242" s="128"/>
      <c r="ADU242" s="128"/>
      <c r="ADV242" s="128"/>
      <c r="ADW242" s="128"/>
      <c r="ADX242" s="128"/>
      <c r="ADY242" s="128"/>
      <c r="ADZ242" s="128"/>
      <c r="AEA242" s="128"/>
      <c r="AEB242" s="128"/>
      <c r="AEC242" s="128"/>
      <c r="AED242" s="128"/>
      <c r="AEE242" s="128"/>
      <c r="AEF242" s="128"/>
      <c r="AEG242" s="128"/>
      <c r="AEH242" s="128"/>
      <c r="AEI242" s="128"/>
      <c r="AEJ242" s="128"/>
      <c r="AEK242" s="128"/>
      <c r="AEL242" s="128"/>
      <c r="AEM242" s="128"/>
      <c r="AEN242" s="128"/>
      <c r="AEO242" s="128"/>
      <c r="AEP242" s="128"/>
      <c r="AEQ242" s="128"/>
      <c r="AER242" s="128"/>
      <c r="AES242" s="128"/>
      <c r="AET242" s="128"/>
      <c r="AEU242" s="128"/>
      <c r="AEV242" s="128"/>
      <c r="AEW242" s="128"/>
      <c r="AEX242" s="128"/>
      <c r="AEY242" s="128"/>
      <c r="AEZ242" s="128"/>
      <c r="AFA242" s="128"/>
      <c r="AFB242" s="128"/>
      <c r="AFC242" s="128"/>
      <c r="AFD242" s="128"/>
      <c r="AFE242" s="128"/>
      <c r="AFF242" s="128"/>
      <c r="AFG242" s="128"/>
      <c r="AFH242" s="128"/>
      <c r="AFI242" s="128"/>
      <c r="AFJ242" s="128"/>
      <c r="AFK242" s="128"/>
      <c r="AFL242" s="128"/>
      <c r="AFM242" s="128"/>
      <c r="AFN242" s="128"/>
      <c r="AFO242" s="128"/>
      <c r="AFP242" s="128"/>
      <c r="AFQ242" s="128"/>
      <c r="AFR242" s="128"/>
      <c r="AFS242" s="128"/>
      <c r="AFT242" s="128"/>
      <c r="AFU242" s="128"/>
      <c r="AFV242" s="128"/>
      <c r="AFW242" s="128"/>
      <c r="AFX242" s="128"/>
      <c r="AFY242" s="128"/>
      <c r="AFZ242" s="128"/>
      <c r="AGA242" s="128"/>
      <c r="AGB242" s="128"/>
      <c r="AGC242" s="128"/>
      <c r="AGD242" s="128"/>
      <c r="AGE242" s="128"/>
      <c r="AGF242" s="128"/>
      <c r="AGG242" s="128"/>
      <c r="AGH242" s="128"/>
      <c r="AGI242" s="128"/>
      <c r="AGJ242" s="128"/>
      <c r="AGK242" s="128"/>
      <c r="AGL242" s="128"/>
      <c r="AGM242" s="128"/>
      <c r="AGN242" s="128"/>
      <c r="AGO242" s="128"/>
      <c r="AGP242" s="128"/>
      <c r="AGQ242" s="128"/>
      <c r="AGR242" s="128"/>
      <c r="AGS242" s="128"/>
      <c r="AGT242" s="128"/>
      <c r="AGU242" s="128"/>
      <c r="AGV242" s="128"/>
      <c r="AGW242" s="128"/>
      <c r="AGX242" s="128"/>
      <c r="AGY242" s="128"/>
      <c r="AGZ242" s="128"/>
      <c r="AHA242" s="128"/>
      <c r="AHB242" s="128"/>
      <c r="AHC242" s="128"/>
      <c r="AHD242" s="128"/>
      <c r="AHE242" s="128"/>
      <c r="AHF242" s="128"/>
      <c r="AHG242" s="128"/>
      <c r="AHH242" s="128"/>
      <c r="AHI242" s="128"/>
      <c r="AHJ242" s="128"/>
      <c r="AHK242" s="128"/>
      <c r="AHL242" s="128"/>
      <c r="AHM242" s="128"/>
      <c r="AHN242" s="128"/>
      <c r="AHO242" s="128"/>
      <c r="AHP242" s="128"/>
      <c r="AHQ242" s="128"/>
      <c r="AHR242" s="128"/>
      <c r="AHS242" s="128"/>
      <c r="AHT242" s="128"/>
      <c r="AHU242" s="128"/>
      <c r="AHV242" s="128"/>
      <c r="AHW242" s="128"/>
      <c r="AHX242" s="128"/>
      <c r="AHY242" s="128"/>
      <c r="AHZ242" s="128"/>
      <c r="AIA242" s="128"/>
      <c r="AIB242" s="128"/>
      <c r="AIC242" s="128"/>
      <c r="AID242" s="128"/>
      <c r="AIE242" s="128"/>
      <c r="AIF242" s="128"/>
      <c r="AIG242" s="128"/>
      <c r="AIH242" s="128"/>
      <c r="AII242" s="128"/>
      <c r="AIJ242" s="128"/>
      <c r="AIK242" s="128"/>
      <c r="AIL242" s="128"/>
      <c r="AIM242" s="128"/>
      <c r="AIN242" s="128"/>
      <c r="AIO242" s="128"/>
      <c r="AIP242" s="128"/>
      <c r="AIQ242" s="128"/>
      <c r="AIR242" s="128"/>
      <c r="AIS242" s="128"/>
      <c r="AIT242" s="128"/>
      <c r="AIU242" s="128"/>
      <c r="AIV242" s="128"/>
      <c r="AIW242" s="128"/>
      <c r="AIX242" s="128"/>
      <c r="AIY242" s="128"/>
      <c r="AIZ242" s="128"/>
      <c r="AJA242" s="128"/>
      <c r="AJB242" s="128"/>
      <c r="AJC242" s="128"/>
      <c r="AJD242" s="128"/>
      <c r="AJE242" s="128"/>
      <c r="AJF242" s="128"/>
      <c r="AJG242" s="128"/>
      <c r="AJH242" s="128"/>
      <c r="AJI242" s="128"/>
      <c r="AJJ242" s="128"/>
      <c r="AJK242" s="128"/>
      <c r="AJL242" s="128"/>
      <c r="AJM242" s="128"/>
      <c r="AJN242" s="128"/>
      <c r="AJO242" s="128"/>
      <c r="AJP242" s="128"/>
      <c r="AJQ242" s="128"/>
      <c r="AJR242" s="128"/>
      <c r="AJS242" s="128"/>
      <c r="AJT242" s="128"/>
      <c r="AJU242" s="128"/>
      <c r="AJV242" s="128"/>
      <c r="AJW242" s="128"/>
      <c r="AJX242" s="128"/>
      <c r="AJY242" s="128"/>
      <c r="AJZ242" s="128"/>
      <c r="AKA242" s="128"/>
      <c r="AKB242" s="128"/>
      <c r="AKC242" s="128"/>
      <c r="AKD242" s="128"/>
      <c r="AKE242" s="128"/>
      <c r="AKF242" s="128"/>
      <c r="AKG242" s="128"/>
      <c r="AKH242" s="128"/>
      <c r="AKI242" s="128"/>
      <c r="AKJ242" s="128"/>
      <c r="AKK242" s="128"/>
      <c r="AKL242" s="128"/>
      <c r="AKM242" s="128"/>
      <c r="AKN242" s="128"/>
      <c r="AKO242" s="128"/>
      <c r="AKP242" s="128"/>
      <c r="AKQ242" s="128"/>
      <c r="AKR242" s="128"/>
      <c r="AKS242" s="128"/>
      <c r="AKT242" s="128"/>
      <c r="AKU242" s="128"/>
      <c r="AKV242" s="128"/>
      <c r="AKW242" s="128"/>
      <c r="AKX242" s="128"/>
      <c r="AKY242" s="128"/>
      <c r="AKZ242" s="128"/>
      <c r="ALA242" s="128"/>
      <c r="ALB242" s="128"/>
      <c r="ALC242" s="128"/>
      <c r="ALD242" s="128"/>
      <c r="ALE242" s="128"/>
      <c r="ALF242" s="128"/>
      <c r="ALG242" s="128"/>
      <c r="ALH242" s="128"/>
      <c r="ALI242" s="128"/>
      <c r="ALJ242" s="128"/>
      <c r="ALK242" s="128"/>
      <c r="ALL242" s="128"/>
      <c r="ALM242" s="128"/>
      <c r="ALN242" s="128"/>
      <c r="ALO242" s="128"/>
      <c r="ALP242" s="128"/>
      <c r="ALQ242" s="128"/>
      <c r="ALR242" s="128"/>
      <c r="ALS242" s="128"/>
      <c r="ALT242" s="128"/>
      <c r="ALU242" s="128"/>
      <c r="ALV242" s="128"/>
      <c r="ALW242" s="128"/>
      <c r="ALX242" s="128"/>
      <c r="ALY242" s="128"/>
      <c r="ALZ242" s="128"/>
      <c r="AMA242"/>
      <c r="AMB242"/>
      <c r="AMC242"/>
      <c r="AMD242"/>
    </row>
  </sheetData>
  <mergeCells count="5">
    <mergeCell ref="H1:J2"/>
    <mergeCell ref="O1:P1"/>
    <mergeCell ref="L7:O7"/>
    <mergeCell ref="AC7:AD7"/>
    <mergeCell ref="V9:W10"/>
  </mergeCells>
  <conditionalFormatting sqref="A13:A165 B32:G41 B42:B43 D42:D43 F42:G43 B105:G128 E129:G132 B129:C139 F133:G134 E135:G139 D154:G154 B155:G165 A166:G166 D167:G167 B167:C172 A167:A191 D168:D172 F168:G172 B173:G191 B44:G90 B92:G103">
    <cfRule type="expression" dxfId="1031" priority="266">
      <formula>$AC13=1</formula>
    </cfRule>
  </conditionalFormatting>
  <conditionalFormatting sqref="A193:F194 A214:F1054">
    <cfRule type="expression" dxfId="1030" priority="260">
      <formula>AND($AD193=1,$AB193=1)</formula>
    </cfRule>
    <cfRule type="expression" dxfId="1029" priority="262">
      <formula>$AB193=1</formula>
    </cfRule>
    <cfRule type="expression" dxfId="1028" priority="261">
      <formula>$AD193=1</formula>
    </cfRule>
    <cfRule type="expression" dxfId="1027" priority="259">
      <formula>OR($AD193="X",$AB193="X")</formula>
    </cfRule>
  </conditionalFormatting>
  <conditionalFormatting sqref="A12:G12">
    <cfRule type="expression" dxfId="1026" priority="51">
      <formula>$AC12=1</formula>
    </cfRule>
    <cfRule type="expression" dxfId="1025" priority="52">
      <formula>AND(NOT(ISBLANK($W12)),ISBLANK($AC12),ISBLANK($AD12))</formula>
    </cfRule>
    <cfRule type="expression" dxfId="1024" priority="49">
      <formula>AND($AD12=1,$AC12=1)</formula>
    </cfRule>
    <cfRule type="expression" dxfId="1023" priority="48">
      <formula>OR($AD12="X",$AC12="X")</formula>
    </cfRule>
    <cfRule type="expression" dxfId="1022" priority="50">
      <formula>$AD12=1</formula>
    </cfRule>
  </conditionalFormatting>
  <conditionalFormatting sqref="A13:G24 B25:G30 A25:A165 B31:C31 E31:G31 B32:G40 D41:D43 B42:B43 F42:G43 E128:G132 B129:C139 F133:G134 E135:G139 D154:G154 B155:G165 A166:G166 D167:G167 B167:C172 A167:A191 D168:D172 F168:G172 B173:G191">
    <cfRule type="expression" dxfId="1021" priority="265">
      <formula>$AD13=1</formula>
    </cfRule>
  </conditionalFormatting>
  <conditionalFormatting sqref="A13:G30 A31:C31 A32:G40 D41:G41 A41:C43 D42:D43 F42:G43 B44:G132 A44:A165 B133:D134 F133:G134 B135:G139 B141:G165 A166:G166 D167:G167 B167:C172 A167:A191 D168:D172 F168:G172 B173:G191 E31:G31">
    <cfRule type="expression" dxfId="1020" priority="267">
      <formula>AND(NOT(ISBLANK($W13)),ISBLANK($AC13),ISBLANK($AD13))</formula>
    </cfRule>
  </conditionalFormatting>
  <conditionalFormatting sqref="B42:B43 E128:G132 B129:C139 F133:G134 E135:G139 B155:G165 B173:G191 A13:G24 B25:G30 B31:C31 E31:G31 D41:D43 B32:G40 D167:G167 D168:D172 A25:A165 F42:G43 D154:G154 A166:G166 B167:C172 A167:A191 F168:G172">
    <cfRule type="expression" dxfId="1019" priority="264">
      <formula>AND($AD13=1,$AC13=1)</formula>
    </cfRule>
  </conditionalFormatting>
  <conditionalFormatting sqref="B121:B124">
    <cfRule type="expression" dxfId="1018" priority="246">
      <formula>AND($R121="X",#REF!&lt;&gt;"")</formula>
    </cfRule>
  </conditionalFormatting>
  <conditionalFormatting sqref="B165 B167:B172">
    <cfRule type="expression" dxfId="1017" priority="279">
      <formula>AND($R165="X",#REF!&lt;&gt;"")</formula>
    </cfRule>
  </conditionalFormatting>
  <conditionalFormatting sqref="B140:C154 B155:G165 B173:G191 A166:G166 B32:G40 E140:G153 D167:G167 D41:D43 D154:G154 A13:A165 B41:C41 F42:G43 B167:C172 A167:A191 F168:G172">
    <cfRule type="expression" dxfId="1016" priority="176">
      <formula>OR($AD13="X",$AC13="X")</formula>
    </cfRule>
  </conditionalFormatting>
  <conditionalFormatting sqref="B41:D41 D129:D138 E139">
    <cfRule type="expression" dxfId="1015" priority="241">
      <formula>$AD41=1</formula>
    </cfRule>
  </conditionalFormatting>
  <conditionalFormatting sqref="B13:G30 B31:C31 D129:D138 E139 E31:G31">
    <cfRule type="expression" dxfId="1014" priority="239">
      <formula>OR($AD13="X",$AC13="X")</formula>
    </cfRule>
  </conditionalFormatting>
  <conditionalFormatting sqref="B44:G128 E129:G132 E135:G139 F133:G134 B129:C139 B42:B43">
    <cfRule type="expression" dxfId="1013" priority="263">
      <formula>OR($AD42="X",$AC42="X")</formula>
    </cfRule>
  </conditionalFormatting>
  <conditionalFormatting sqref="B44:G128">
    <cfRule type="expression" dxfId="1012" priority="245">
      <formula>$AD44=1</formula>
    </cfRule>
    <cfRule type="expression" dxfId="1011" priority="244">
      <formula>AND($AD44=1,$AC44=1)</formula>
    </cfRule>
  </conditionalFormatting>
  <conditionalFormatting sqref="B140:G140">
    <cfRule type="expression" dxfId="1010" priority="182">
      <formula>AND(NOT(ISBLANK($W140)),ISBLANK($AC140),ISBLANK($AD140))</formula>
    </cfRule>
  </conditionalFormatting>
  <conditionalFormatting sqref="C12">
    <cfRule type="expression" dxfId="1009" priority="47">
      <formula>AND($R12="X",$B12&lt;&gt;"")</formula>
    </cfRule>
  </conditionalFormatting>
  <conditionalFormatting sqref="C19">
    <cfRule type="expression" dxfId="1008" priority="1166">
      <formula>AND($R19="X",OR($B19&lt;&gt;"",#REF!&lt;&gt;""))</formula>
    </cfRule>
  </conditionalFormatting>
  <conditionalFormatting sqref="C41 D41:D43">
    <cfRule type="expression" dxfId="1007" priority="284">
      <formula>AND($R41="X",OR($B41&lt;&gt;"",#REF!&lt;&gt;""))</formula>
    </cfRule>
  </conditionalFormatting>
  <conditionalFormatting sqref="C42:C43">
    <cfRule type="expression" dxfId="1006" priority="67">
      <formula>AND($R42="X",OR(#REF!&lt;&gt;"",$B42&lt;&gt;""))</formula>
    </cfRule>
    <cfRule type="expression" dxfId="1005" priority="68">
      <formula>OR($AD42="X",$AC42="X")</formula>
    </cfRule>
    <cfRule type="expression" dxfId="1004" priority="69">
      <formula>AND($AD42=1,$AC42=1)</formula>
    </cfRule>
    <cfRule type="expression" dxfId="1003" priority="70">
      <formula>$AD42=1</formula>
    </cfRule>
    <cfRule type="expression" dxfId="1002" priority="71">
      <formula>$AC42=1</formula>
    </cfRule>
  </conditionalFormatting>
  <conditionalFormatting sqref="C45">
    <cfRule type="expression" dxfId="1001" priority="24">
      <formula>AND($R45="X",OR($B45&lt;&gt;"",$C45&lt;&gt;""))</formula>
    </cfRule>
  </conditionalFormatting>
  <conditionalFormatting sqref="C52:C53">
    <cfRule type="expression" dxfId="1000" priority="23">
      <formula>AND($R52="X",OR($B52&lt;&gt;"",$C52&lt;&gt;""))</formula>
    </cfRule>
  </conditionalFormatting>
  <conditionalFormatting sqref="C68">
    <cfRule type="expression" dxfId="999" priority="1">
      <formula>AND($R68="X",OR($B68&lt;&gt;"",$C68&lt;&gt;"",$D68&lt;&gt;"",$E68&lt;&gt;""))</formula>
    </cfRule>
    <cfRule type="expression" dxfId="998" priority="2">
      <formula>AND($R68="X",OR($B68&lt;&gt;"",$C68&lt;&gt;""))</formula>
    </cfRule>
  </conditionalFormatting>
  <conditionalFormatting sqref="C68:C70">
    <cfRule type="expression" dxfId="997" priority="20">
      <formula>AND($R68="X",OR($B68&lt;&gt;"",$C68&lt;&gt;"",$D68&lt;&gt;""))</formula>
    </cfRule>
  </conditionalFormatting>
  <conditionalFormatting sqref="C140">
    <cfRule type="expression" dxfId="996" priority="165">
      <formula>AND($AD140=1,$AC140=1)</formula>
    </cfRule>
    <cfRule type="expression" dxfId="995" priority="166">
      <formula>$AD140=1</formula>
    </cfRule>
    <cfRule type="expression" dxfId="994" priority="167">
      <formula>$AC140=1</formula>
    </cfRule>
    <cfRule type="expression" dxfId="993" priority="164">
      <formula>OR($AD140="X",$AC140="X")</formula>
    </cfRule>
  </conditionalFormatting>
  <conditionalFormatting sqref="C152:C153">
    <cfRule type="expression" dxfId="992" priority="17">
      <formula>$AD152=1</formula>
    </cfRule>
    <cfRule type="expression" dxfId="991" priority="18">
      <formula>$AC152=1</formula>
    </cfRule>
    <cfRule type="expression" dxfId="990" priority="16">
      <formula>AND($AD152=1,$AC152=1)</formula>
    </cfRule>
    <cfRule type="expression" dxfId="989" priority="14">
      <formula>AND($R152="X",OR($B152&lt;&gt;"",$C152&lt;&gt;"",$D152&lt;&gt;""))</formula>
    </cfRule>
    <cfRule type="expression" dxfId="988" priority="15">
      <formula>OR($AD152="X",$AC152="X")</formula>
    </cfRule>
  </conditionalFormatting>
  <conditionalFormatting sqref="C154 C165:G165">
    <cfRule type="expression" dxfId="987" priority="109">
      <formula>AND($R154="X",OR($B154&lt;&gt;"",$C154&lt;&gt;""))</formula>
    </cfRule>
  </conditionalFormatting>
  <conditionalFormatting sqref="C154">
    <cfRule type="expression" dxfId="986" priority="11">
      <formula>$AD154=1</formula>
    </cfRule>
    <cfRule type="expression" dxfId="985" priority="10">
      <formula>AND($AD154=1,$AC154=1)</formula>
    </cfRule>
    <cfRule type="expression" dxfId="984" priority="12">
      <formula>OR($AD154="X",$AC154="X")</formula>
    </cfRule>
    <cfRule type="expression" dxfId="983" priority="13">
      <formula>$AC154=1</formula>
    </cfRule>
  </conditionalFormatting>
  <conditionalFormatting sqref="C157:C159">
    <cfRule type="expression" dxfId="982" priority="19">
      <formula>AND($R157="X",OR($B157&lt;&gt;"",$C157&lt;&gt;""))</formula>
    </cfRule>
  </conditionalFormatting>
  <conditionalFormatting sqref="C166">
    <cfRule type="expression" dxfId="981" priority="105">
      <formula>AND($R166="X",$B166&lt;&gt;"")</formula>
    </cfRule>
    <cfRule type="expression" dxfId="980" priority="104">
      <formula>$AD166=1</formula>
    </cfRule>
    <cfRule type="expression" dxfId="979" priority="103">
      <formula>AND($AD166=1,$AC166=1)</formula>
    </cfRule>
    <cfRule type="expression" dxfId="978" priority="102">
      <formula>OR($AD166="X",$AC166="X")</formula>
    </cfRule>
  </conditionalFormatting>
  <conditionalFormatting sqref="C167:C172">
    <cfRule type="expression" dxfId="977" priority="280">
      <formula>AND($R167="X",OR(#REF!&lt;&gt;"",$B167&lt;&gt;""))</formula>
    </cfRule>
  </conditionalFormatting>
  <conditionalFormatting sqref="C168">
    <cfRule type="expression" dxfId="976" priority="154">
      <formula>OR($AD168="X",$AC168="X")</formula>
    </cfRule>
  </conditionalFormatting>
  <conditionalFormatting sqref="C173:C174 D139:E139 C140:D153 C154:C164 C13:C40 C184:C191 C44:C120 C125:C139 D131:D138">
    <cfRule type="expression" dxfId="975" priority="235">
      <formula>AND($R13="X",$B13&lt;&gt;"")</formula>
    </cfRule>
  </conditionalFormatting>
  <conditionalFormatting sqref="C174">
    <cfRule type="expression" dxfId="974" priority="226">
      <formula>AND($AD174=1,$AC174=1)</formula>
    </cfRule>
    <cfRule type="expression" dxfId="973" priority="225">
      <formula>OR($AD174="X",$AC174="X")</formula>
    </cfRule>
    <cfRule type="expression" dxfId="972" priority="227">
      <formula>$AD174=1</formula>
    </cfRule>
  </conditionalFormatting>
  <conditionalFormatting sqref="C175:C183">
    <cfRule type="expression" dxfId="971" priority="273">
      <formula>AND($R175="X",OR($B175&lt;&gt;"",#REF!&lt;&gt;""))</formula>
    </cfRule>
  </conditionalFormatting>
  <conditionalFormatting sqref="C179">
    <cfRule type="expression" dxfId="970" priority="54">
      <formula>AND($AD179=1,$AC179=1)</formula>
    </cfRule>
    <cfRule type="expression" dxfId="969" priority="55">
      <formula>$AD179=1</formula>
    </cfRule>
    <cfRule type="expression" dxfId="968" priority="53">
      <formula>OR($AD179="X",$AC179="X")</formula>
    </cfRule>
    <cfRule type="expression" dxfId="967" priority="56">
      <formula>AND($R179="X",$B179&lt;&gt;"")</formula>
    </cfRule>
  </conditionalFormatting>
  <conditionalFormatting sqref="C122:D124">
    <cfRule type="expression" dxfId="966" priority="247">
      <formula>AND($R122="X",OR(#REF!&lt;&gt;"",$B122&lt;&gt;""))</formula>
    </cfRule>
  </conditionalFormatting>
  <conditionalFormatting sqref="C160:D160">
    <cfRule type="expression" dxfId="965" priority="268">
      <formula>AND($R160="X",OR($B160&lt;&gt;"",#REF!&lt;&gt;""))</formula>
    </cfRule>
  </conditionalFormatting>
  <conditionalFormatting sqref="C121:G121">
    <cfRule type="expression" dxfId="964" priority="243">
      <formula>AND($R121="X",$B121&lt;&gt;"")</formula>
    </cfRule>
  </conditionalFormatting>
  <conditionalFormatting sqref="D12:D18">
    <cfRule type="expression" dxfId="963" priority="43">
      <formula>AND($R12="X",OR($B12&lt;&gt;"",$C12&lt;&gt;""))</formula>
    </cfRule>
  </conditionalFormatting>
  <conditionalFormatting sqref="D20:D40">
    <cfRule type="expression" dxfId="962" priority="25">
      <formula>AND($R20="X",OR($B20&lt;&gt;"",$C20&lt;&gt;""))</formula>
    </cfRule>
  </conditionalFormatting>
  <conditionalFormatting sqref="D30:D31">
    <cfRule type="expression" dxfId="961" priority="26">
      <formula>AND($R30="X",$B30&lt;&gt;"")</formula>
    </cfRule>
  </conditionalFormatting>
  <conditionalFormatting sqref="D31">
    <cfRule type="expression" dxfId="960" priority="27">
      <formula>OR($AD31="X",$AC31="X")</formula>
    </cfRule>
    <cfRule type="expression" dxfId="959" priority="30">
      <formula>$AC31=1</formula>
    </cfRule>
    <cfRule type="expression" dxfId="958" priority="31">
      <formula>AND(NOT(ISBLANK($W31)),ISBLANK($AC31),ISBLANK($AD31))</formula>
    </cfRule>
    <cfRule type="expression" dxfId="957" priority="29">
      <formula>$AD31=1</formula>
    </cfRule>
    <cfRule type="expression" dxfId="956" priority="28">
      <formula>AND($AD31=1,$AC31=1)</formula>
    </cfRule>
  </conditionalFormatting>
  <conditionalFormatting sqref="D41">
    <cfRule type="expression" dxfId="955" priority="290">
      <formula>AND($AD41=1,$AC41=1)</formula>
    </cfRule>
    <cfRule type="expression" dxfId="954" priority="286">
      <formula>AND($R41="X",OR($B41&lt;&gt;"",#REF!&lt;&gt;"",$C41&lt;&gt;"",$D41&lt;&gt;""))</formula>
    </cfRule>
    <cfRule type="expression" dxfId="953" priority="288">
      <formula>$AC41=1</formula>
    </cfRule>
    <cfRule type="expression" dxfId="952" priority="291">
      <formula>$AD41=1</formula>
    </cfRule>
    <cfRule type="expression" dxfId="951" priority="285">
      <formula>AND($R41="X",OR($B41&lt;&gt;"",#REF!&lt;&gt;"",$C41&lt;&gt;""))</formula>
    </cfRule>
    <cfRule type="expression" dxfId="950" priority="289">
      <formula>AND($R41="X",OR($B41&lt;&gt;"",#REF!&lt;&gt;"",$C41&lt;&gt;""))</formula>
    </cfRule>
    <cfRule type="expression" dxfId="949" priority="287">
      <formula>AND($R41="X",OR($B41&lt;&gt;"",#REF!&lt;&gt;"",$D41&lt;&gt;"",#REF!&lt;&gt;""))</formula>
    </cfRule>
    <cfRule type="expression" dxfId="948" priority="293">
      <formula>AND($R41="X",OR($B41&lt;&gt;"",#REF!&lt;&gt;""))</formula>
    </cfRule>
    <cfRule type="expression" dxfId="947" priority="292">
      <formula>AND($R41="X",$B41&lt;&gt;"")</formula>
    </cfRule>
  </conditionalFormatting>
  <conditionalFormatting sqref="D68:D70">
    <cfRule type="expression" dxfId="946" priority="21">
      <formula>AND($R68="X",OR($B68&lt;&gt;"",$C68&lt;&gt;"",$D68&lt;&gt;"",$E68&lt;&gt;""))</formula>
    </cfRule>
  </conditionalFormatting>
  <conditionalFormatting sqref="D122 D184:D191">
    <cfRule type="expression" dxfId="945" priority="155">
      <formula>AND($R122="X",OR($B122&lt;&gt;"",$C122&lt;&gt;""))</formula>
    </cfRule>
  </conditionalFormatting>
  <conditionalFormatting sqref="D125:D128 E127:G127 D173:D174 D161:D164 C184">
    <cfRule type="expression" dxfId="944" priority="253">
      <formula>AND($R125="X",OR($B125&lt;&gt;"",$C125&lt;&gt;""))</formula>
    </cfRule>
  </conditionalFormatting>
  <conditionalFormatting sqref="D129:D130">
    <cfRule type="expression" dxfId="943" priority="232">
      <formula>AND($R129="X",OR(#REF!&lt;&gt;"",$B129&lt;&gt;""))</formula>
    </cfRule>
  </conditionalFormatting>
  <conditionalFormatting sqref="D129:D138 E139 B41:D41">
    <cfRule type="expression" dxfId="942" priority="240">
      <formula>AND($AD41=1,$AC41=1)</formula>
    </cfRule>
  </conditionalFormatting>
  <conditionalFormatting sqref="D129:D153 E139 B13:G30 B31:C31 E31:G31">
    <cfRule type="expression" dxfId="941" priority="242">
      <formula>$AC13=1</formula>
    </cfRule>
  </conditionalFormatting>
  <conditionalFormatting sqref="D139:D153">
    <cfRule type="expression" dxfId="940" priority="217">
      <formula>OR($AD139="X",$AC139="X")</formula>
    </cfRule>
    <cfRule type="expression" dxfId="939" priority="218">
      <formula>AND($AD139=1,$AC139=1)</formula>
    </cfRule>
    <cfRule type="expression" dxfId="938" priority="219">
      <formula>$AD139=1</formula>
    </cfRule>
  </conditionalFormatting>
  <conditionalFormatting sqref="D140">
    <cfRule type="expression" dxfId="937" priority="162">
      <formula>$AD140=1</formula>
    </cfRule>
    <cfRule type="expression" dxfId="936" priority="161">
      <formula>AND($AD140=1,$AC140=1)</formula>
    </cfRule>
    <cfRule type="expression" dxfId="935" priority="163">
      <formula>$AC140=1</formula>
    </cfRule>
    <cfRule type="expression" dxfId="934" priority="160">
      <formula>AND($R140="X",OR($B140&lt;&gt;"",$C140&lt;&gt;"",$D140&lt;&gt;""))</formula>
    </cfRule>
    <cfRule type="expression" dxfId="933" priority="159">
      <formula>OR($AD140="X",$AC140="X")</formula>
    </cfRule>
  </conditionalFormatting>
  <conditionalFormatting sqref="D155:D159 E128:E130 D44:D120">
    <cfRule type="expression" dxfId="932" priority="233">
      <formula>AND($R44="X",OR($B44&lt;&gt;"",$C44&lt;&gt;""))</formula>
    </cfRule>
  </conditionalFormatting>
  <conditionalFormatting sqref="D164">
    <cfRule type="expression" dxfId="931" priority="209">
      <formula>AND($R164="X",OR($B164&lt;&gt;"",$C164&lt;&gt;"",$D164&lt;&gt;"",$E164&lt;&gt;""))</formula>
    </cfRule>
    <cfRule type="expression" dxfId="930" priority="208">
      <formula>$AC164=1</formula>
    </cfRule>
    <cfRule type="expression" dxfId="929" priority="94">
      <formula>AND($R164="X",OR($B164&lt;&gt;"",$C164&lt;&gt;""))</formula>
    </cfRule>
    <cfRule type="expression" dxfId="928" priority="207">
      <formula>AND($R164="X",OR($B164&lt;&gt;"",$C164&lt;&gt;"",$D164&lt;&gt;""))</formula>
    </cfRule>
    <cfRule type="expression" dxfId="927" priority="206">
      <formula>$AD164=1</formula>
    </cfRule>
    <cfRule type="expression" dxfId="926" priority="204">
      <formula>AND($R164="X",OR($B164&lt;&gt;"",$C164&lt;&gt;"",$D164&lt;&gt;"",$E164&lt;&gt;""))</formula>
    </cfRule>
    <cfRule type="expression" dxfId="925" priority="210">
      <formula>AND($AD164=1,$AC164=1)</formula>
    </cfRule>
    <cfRule type="expression" dxfId="924" priority="211">
      <formula>$AD164=1</formula>
    </cfRule>
    <cfRule type="expression" dxfId="923" priority="203">
      <formula>$AC164=1</formula>
    </cfRule>
    <cfRule type="expression" dxfId="922" priority="212">
      <formula>AND($R164="X",OR($B164&lt;&gt;"",$C164&lt;&gt;"",$D164&lt;&gt;""))</formula>
    </cfRule>
    <cfRule type="expression" dxfId="921" priority="205">
      <formula>AND($AD164=1,$AC164=1)</formula>
    </cfRule>
  </conditionalFormatting>
  <conditionalFormatting sqref="D166">
    <cfRule type="expression" dxfId="920" priority="87">
      <formula>AND($R166="X",OR($B166&lt;&gt;"",$C166&lt;&gt;"",$D166&lt;&gt;""))</formula>
    </cfRule>
    <cfRule type="expression" dxfId="919" priority="86">
      <formula>$AD166=1</formula>
    </cfRule>
    <cfRule type="expression" dxfId="918" priority="85">
      <formula>AND($AD166=1,$AC166=1)</formula>
    </cfRule>
    <cfRule type="expression" dxfId="917" priority="106">
      <formula>AND($R166="X",OR($B166&lt;&gt;"",$C166&lt;&gt;""))</formula>
    </cfRule>
    <cfRule type="expression" dxfId="916" priority="84">
      <formula>AND($R166="X",OR($B166&lt;&gt;"",$C166&lt;&gt;"",$D166&lt;&gt;"",$E166&lt;&gt;""))</formula>
    </cfRule>
    <cfRule type="expression" dxfId="915" priority="83">
      <formula>$AC166=1</formula>
    </cfRule>
    <cfRule type="expression" dxfId="914" priority="82">
      <formula>AND($R166="X",OR($B166&lt;&gt;"",$C166&lt;&gt;""))</formula>
    </cfRule>
    <cfRule type="expression" dxfId="913" priority="101">
      <formula>$AD166=1</formula>
    </cfRule>
    <cfRule type="expression" dxfId="912" priority="88">
      <formula>$AC166=1</formula>
    </cfRule>
    <cfRule type="expression" dxfId="911" priority="89">
      <formula>AND($R166="X",OR($B166&lt;&gt;"",$C166&lt;&gt;"",$D166&lt;&gt;"",$E166&lt;&gt;""))</formula>
    </cfRule>
    <cfRule type="expression" dxfId="910" priority="90">
      <formula>AND($AD166=1,$AC166=1)</formula>
    </cfRule>
    <cfRule type="expression" dxfId="909" priority="100">
      <formula>AND($AD166=1,$AC166=1)</formula>
    </cfRule>
    <cfRule type="expression" dxfId="908" priority="91">
      <formula>$AD166=1</formula>
    </cfRule>
    <cfRule type="expression" dxfId="907" priority="98">
      <formula>AND($R166="X",$B166&lt;&gt;"")</formula>
    </cfRule>
    <cfRule type="expression" dxfId="906" priority="92">
      <formula>AND($R166="X",OR($B166&lt;&gt;"",$C166&lt;&gt;"",$D166&lt;&gt;""))</formula>
    </cfRule>
    <cfRule type="expression" dxfId="905" priority="93">
      <formula>AND($R166="X",OR($B166&lt;&gt;"",$C166&lt;&gt;""))</formula>
    </cfRule>
    <cfRule type="expression" dxfId="904" priority="95">
      <formula>OR($AD166="X",$AC166="X")</formula>
    </cfRule>
  </conditionalFormatting>
  <conditionalFormatting sqref="D166:D172">
    <cfRule type="expression" dxfId="903" priority="99">
      <formula>OR($AD166="X",$AC166="X")</formula>
    </cfRule>
  </conditionalFormatting>
  <conditionalFormatting sqref="D167:D168">
    <cfRule type="expression" dxfId="902" priority="230">
      <formula>$AC167=1</formula>
    </cfRule>
    <cfRule type="expression" dxfId="901" priority="228">
      <formula>AND($AD167=1,$AC167=1)</formula>
    </cfRule>
    <cfRule type="expression" dxfId="900" priority="229">
      <formula>$AD167=1</formula>
    </cfRule>
    <cfRule type="expression" dxfId="899" priority="231">
      <formula>AND($R167="X",#REF!&lt;&gt;"")</formula>
    </cfRule>
  </conditionalFormatting>
  <conditionalFormatting sqref="D167:D172">
    <cfRule type="expression" dxfId="898" priority="281">
      <formula>AND($R167="X",OR(#REF!&lt;&gt;"",$B167&lt;&gt;"",$C167&lt;&gt;""))</formula>
    </cfRule>
  </conditionalFormatting>
  <conditionalFormatting sqref="D174">
    <cfRule type="expression" dxfId="897" priority="224">
      <formula>$AD174=1</formula>
    </cfRule>
    <cfRule type="expression" dxfId="896" priority="222">
      <formula>OR($AD174="X",$AC174="X")</formula>
    </cfRule>
    <cfRule type="expression" dxfId="895" priority="221">
      <formula>AND($R174="X",$B174&lt;&gt;"")</formula>
    </cfRule>
    <cfRule type="expression" dxfId="894" priority="223">
      <formula>AND($AD174=1,$AC174=1)</formula>
    </cfRule>
  </conditionalFormatting>
  <conditionalFormatting sqref="D175:D183">
    <cfRule type="expression" dxfId="893" priority="274">
      <formula>AND($R175="X",OR($B175&lt;&gt;"",#REF!&lt;&gt;"",$C175&lt;&gt;""))</formula>
    </cfRule>
  </conditionalFormatting>
  <conditionalFormatting sqref="D19:E19">
    <cfRule type="expression" dxfId="892" priority="1170">
      <formula>AND($R19="X",OR($B19&lt;&gt;"",#REF!&lt;&gt;"",$C19&lt;&gt;""))</formula>
    </cfRule>
  </conditionalFormatting>
  <conditionalFormatting sqref="D127:E127">
    <cfRule type="expression" dxfId="891" priority="132">
      <formula>$AC127=1</formula>
    </cfRule>
    <cfRule type="expression" dxfId="890" priority="131">
      <formula>AND($R127="X",OR($B127&lt;&gt;"",$C127&lt;&gt;"",$E127&lt;&gt;"",#REF!&lt;&gt;""))</formula>
    </cfRule>
    <cfRule type="expression" dxfId="889" priority="130">
      <formula>AND($R127="X",OR($B127&lt;&gt;"",$C127&lt;&gt;"",$D127&lt;&gt;"",$E127&lt;&gt;""))</formula>
    </cfRule>
    <cfRule type="expression" dxfId="888" priority="133">
      <formula>AND($R127="X",OR($B127&lt;&gt;"",$C127&lt;&gt;"",$D127&lt;&gt;""))</formula>
    </cfRule>
    <cfRule type="expression" dxfId="887" priority="134">
      <formula>AND($AD127=1,$AC127=1)</formula>
    </cfRule>
    <cfRule type="expression" dxfId="886" priority="135">
      <formula>$AD127=1</formula>
    </cfRule>
  </conditionalFormatting>
  <conditionalFormatting sqref="D41:G41">
    <cfRule type="expression" dxfId="885" priority="60">
      <formula>OR($AD41="X",$AC41="X")</formula>
    </cfRule>
    <cfRule type="expression" dxfId="884" priority="59">
      <formula>$AD41=1</formula>
    </cfRule>
    <cfRule type="expression" dxfId="883" priority="58">
      <formula>AND($AD41=1,$AC41=1)</formula>
    </cfRule>
    <cfRule type="expression" dxfId="882" priority="57">
      <formula>AND($R41="X",OR($B41&lt;&gt;"",$C41&lt;&gt;"",$D41&lt;&gt;"",$E41&lt;&gt;"",$F41&lt;&gt;""))</formula>
    </cfRule>
  </conditionalFormatting>
  <conditionalFormatting sqref="D125:G125">
    <cfRule type="expression" dxfId="881" priority="145">
      <formula>AND($R125="X",$B125&lt;&gt;"")</formula>
    </cfRule>
  </conditionalFormatting>
  <conditionalFormatting sqref="D127:G127">
    <cfRule type="expression" dxfId="880" priority="144">
      <formula>AND($R127="X",$B127&lt;&gt;"")</formula>
    </cfRule>
  </conditionalFormatting>
  <conditionalFormatting sqref="D154:G154">
    <cfRule type="expression" dxfId="879" priority="3">
      <formula>AND($R154="X",OR($B154&lt;&gt;"",$C154&lt;&gt;"",$D154&lt;&gt;"",$E154&lt;&gt;""))</formula>
    </cfRule>
  </conditionalFormatting>
  <conditionalFormatting sqref="D166:G166">
    <cfRule type="expression" dxfId="878" priority="97">
      <formula>AND($R166="X",OR($B166&lt;&gt;"",$C166&lt;&gt;""))</formula>
    </cfRule>
  </conditionalFormatting>
  <conditionalFormatting sqref="E12:E18">
    <cfRule type="expression" dxfId="877" priority="40">
      <formula>AND($R12="X",OR($B12&lt;&gt;"",$C12&lt;&gt;"",$D12&lt;&gt;""))</formula>
    </cfRule>
  </conditionalFormatting>
  <conditionalFormatting sqref="E20:E40 E140:E153">
    <cfRule type="expression" dxfId="876" priority="72">
      <formula>AND($R20="X",OR($B20&lt;&gt;"",$C20&lt;&gt;"",$D20&lt;&gt;""))</formula>
    </cfRule>
  </conditionalFormatting>
  <conditionalFormatting sqref="E42:E43">
    <cfRule type="expression" dxfId="875" priority="65">
      <formula>AND(NOT(ISBLANK($W42)),ISBLANK($AC42),ISBLANK($AD42))</formula>
    </cfRule>
    <cfRule type="expression" dxfId="874" priority="64">
      <formula>$AC42=1</formula>
    </cfRule>
    <cfRule type="expression" dxfId="873" priority="61">
      <formula>OR($AD42="X",$AC42="X")</formula>
    </cfRule>
    <cfRule type="expression" dxfId="872" priority="62">
      <formula>AND($AD42=1,$AC42=1)</formula>
    </cfRule>
    <cfRule type="expression" dxfId="871" priority="63">
      <formula>$AD42=1</formula>
    </cfRule>
    <cfRule type="expression" dxfId="870" priority="66">
      <formula>AND($R42="X",OR($B42&lt;&gt;"",#REF!&lt;&gt;"",$D42&lt;&gt;"",#REF!&lt;&gt;""))</formula>
    </cfRule>
  </conditionalFormatting>
  <conditionalFormatting sqref="E68:E70">
    <cfRule type="expression" dxfId="869" priority="22">
      <formula>AND($R68="X",OR($B68&lt;&gt;"",$C68&lt;&gt;"",$D68&lt;&gt;"",$E68&lt;&gt;"",$F68&lt;&gt;""))</formula>
    </cfRule>
  </conditionalFormatting>
  <conditionalFormatting sqref="E89">
    <cfRule type="expression" dxfId="868" priority="191">
      <formula>AND($R89="X",OR($B89&lt;&gt;"",$C89&lt;&gt;"",$D89&lt;&gt;"",$E89&lt;&gt;""))</formula>
    </cfRule>
    <cfRule type="expression" dxfId="867" priority="194">
      <formula>AND($R89="X",OR($B89&lt;&gt;"",$C89&lt;&gt;"",$E89&lt;&gt;"",#REF!&lt;&gt;""))</formula>
    </cfRule>
    <cfRule type="expression" dxfId="866" priority="193">
      <formula>$AD89=1</formula>
    </cfRule>
    <cfRule type="expression" dxfId="865" priority="192">
      <formula>AND($AD89=1,$AC89=1)</formula>
    </cfRule>
  </conditionalFormatting>
  <conditionalFormatting sqref="E92">
    <cfRule type="expression" dxfId="864" priority="189">
      <formula>AND($R92="X",OR($B92&lt;&gt;"",$C92&lt;&gt;"",$E92&lt;&gt;"",#REF!&lt;&gt;""))</formula>
    </cfRule>
    <cfRule type="expression" dxfId="863" priority="190">
      <formula>$AC92=1</formula>
    </cfRule>
    <cfRule type="expression" dxfId="862" priority="187">
      <formula>$AD92=1</formula>
    </cfRule>
    <cfRule type="expression" dxfId="861" priority="186">
      <formula>AND($AD92=1,$AC92=1)</formula>
    </cfRule>
    <cfRule type="expression" dxfId="860" priority="188">
      <formula>$AC92=1</formula>
    </cfRule>
    <cfRule type="expression" dxfId="859" priority="185">
      <formula>AND($R92="X",OR($B92&lt;&gt;"",$C92&lt;&gt;"",$D92&lt;&gt;"",$E92&lt;&gt;""))</formula>
    </cfRule>
  </conditionalFormatting>
  <conditionalFormatting sqref="E111">
    <cfRule type="expression" dxfId="858" priority="199">
      <formula>AND($R111="X",OR($B111&lt;&gt;"",$C111&lt;&gt;"",$E111&lt;&gt;"",#REF!&lt;&gt;""))</formula>
    </cfRule>
    <cfRule type="expression" dxfId="857" priority="198">
      <formula>$AC111=1</formula>
    </cfRule>
    <cfRule type="expression" dxfId="856" priority="196">
      <formula>AND($AD111=1,$AC111=1)</formula>
    </cfRule>
    <cfRule type="expression" dxfId="855" priority="195">
      <formula>AND($R111="X",OR($B111&lt;&gt;"",$C111&lt;&gt;"",$D111&lt;&gt;"",$E111&lt;&gt;""))</formula>
    </cfRule>
    <cfRule type="expression" dxfId="854" priority="197">
      <formula>$AD111=1</formula>
    </cfRule>
  </conditionalFormatting>
  <conditionalFormatting sqref="E122 E155:E159 E161:E164 E173 E184:E191">
    <cfRule type="expression" dxfId="853" priority="156">
      <formula>AND($R122="X",OR($B122&lt;&gt;"",$C122&lt;&gt;"",$D122&lt;&gt;""))</formula>
    </cfRule>
  </conditionalFormatting>
  <conditionalFormatting sqref="E122:E124">
    <cfRule type="expression" dxfId="852" priority="248">
      <formula>AND($R122="X",OR(#REF!&lt;&gt;"",$B122&lt;&gt;"",$C122&lt;&gt;""))</formula>
    </cfRule>
  </conditionalFormatting>
  <conditionalFormatting sqref="E125:E128">
    <cfRule type="expression" dxfId="851" priority="254">
      <formula>AND($R125="X",OR($B125&lt;&gt;"",$C125&lt;&gt;"",$D125&lt;&gt;""))</formula>
    </cfRule>
  </conditionalFormatting>
  <conditionalFormatting sqref="E126">
    <cfRule type="expression" dxfId="850" priority="137">
      <formula>AND($R126="X",OR($B126&lt;&gt;"",$C126&lt;&gt;"",$E126&lt;&gt;"",#REF!&lt;&gt;""))</formula>
    </cfRule>
    <cfRule type="expression" dxfId="849" priority="139">
      <formula>AND($R126="X",OR($B126&lt;&gt;"",$C126&lt;&gt;"",$D126&lt;&gt;""))</formula>
    </cfRule>
    <cfRule type="expression" dxfId="848" priority="136">
      <formula>AND($R126="X",OR($B126&lt;&gt;"",$C126&lt;&gt;"",$D126&lt;&gt;"",$E126&lt;&gt;""))</formula>
    </cfRule>
    <cfRule type="expression" dxfId="847" priority="138">
      <formula>$AC126=1</formula>
    </cfRule>
  </conditionalFormatting>
  <conditionalFormatting sqref="E131">
    <cfRule type="expression" dxfId="846" priority="201">
      <formula>AND($R131="X",OR($B131&lt;&gt;"",$C131&lt;&gt;"",$E131&lt;&gt;"",#REF!&lt;&gt;""))</formula>
    </cfRule>
    <cfRule type="expression" dxfId="845" priority="200">
      <formula>AND($R131="X",OR($B131&lt;&gt;"",$C131&lt;&gt;"",$D131&lt;&gt;"",$E131&lt;&gt;""))</formula>
    </cfRule>
    <cfRule type="expression" dxfId="844" priority="202">
      <formula>$AC131=1</formula>
    </cfRule>
  </conditionalFormatting>
  <conditionalFormatting sqref="E131:E132 E44:E120 F133:F134 E135:E138">
    <cfRule type="expression" dxfId="843" priority="236">
      <formula>AND($R44="X",OR($B44&lt;&gt;"",$C44&lt;&gt;"",$D44&lt;&gt;""))</formula>
    </cfRule>
  </conditionalFormatting>
  <conditionalFormatting sqref="E133:E134">
    <cfRule type="expression" dxfId="842" priority="152">
      <formula>$AC133=1</formula>
    </cfRule>
    <cfRule type="expression" dxfId="841" priority="153">
      <formula>AND(NOT(ISBLANK($W133)),ISBLANK($AC133),ISBLANK($AD133))</formula>
    </cfRule>
    <cfRule type="expression" dxfId="840" priority="151">
      <formula>OR($AD133="X",$AC133="X")</formula>
    </cfRule>
    <cfRule type="expression" dxfId="839" priority="150">
      <formula>$AD133=1</formula>
    </cfRule>
    <cfRule type="expression" dxfId="838" priority="148">
      <formula>AND($R133="X",$B133&lt;&gt;"")</formula>
    </cfRule>
    <cfRule type="expression" dxfId="837" priority="149">
      <formula>AND($AD133=1,$AC133=1)</formula>
    </cfRule>
  </conditionalFormatting>
  <conditionalFormatting sqref="E160">
    <cfRule type="expression" dxfId="836" priority="269">
      <formula>AND($R160="X",OR($B160&lt;&gt;"",#REF!&lt;&gt;"",$D160&lt;&gt;""))</formula>
    </cfRule>
  </conditionalFormatting>
  <conditionalFormatting sqref="E163">
    <cfRule type="expression" dxfId="835" priority="216">
      <formula>$AD163=1</formula>
    </cfRule>
    <cfRule type="expression" dxfId="834" priority="213">
      <formula>$AC163=1</formula>
    </cfRule>
    <cfRule type="expression" dxfId="833" priority="214">
      <formula>AND($R163="X",OR($B163&lt;&gt;"",$C163&lt;&gt;"",$D163&lt;&gt;"",$E163&lt;&gt;""))</formula>
    </cfRule>
    <cfRule type="expression" dxfId="832" priority="215">
      <formula>AND($AD163=1,$AC163=1)</formula>
    </cfRule>
  </conditionalFormatting>
  <conditionalFormatting sqref="E166">
    <cfRule type="expression" dxfId="831" priority="96">
      <formula>AND($R166="X",OR($B166&lt;&gt;"",$C166&lt;&gt;"",$D166&lt;&gt;""))</formula>
    </cfRule>
  </conditionalFormatting>
  <conditionalFormatting sqref="E168:E172">
    <cfRule type="expression" dxfId="830" priority="78">
      <formula>$AD168=1</formula>
    </cfRule>
    <cfRule type="expression" dxfId="829" priority="77">
      <formula>AND($AD168=1,$AC168=1)</formula>
    </cfRule>
    <cfRule type="expression" dxfId="828" priority="80">
      <formula>AND(NOT(ISBLANK($W168)),ISBLANK($AC168),ISBLANK($AD168))</formula>
    </cfRule>
    <cfRule type="expression" dxfId="827" priority="81">
      <formula>AND($R168="X",OR(#REF!&lt;&gt;"",$B168&lt;&gt;"",$C168&lt;&gt;"",$D168&lt;&gt;""))</formula>
    </cfRule>
    <cfRule type="expression" dxfId="826" priority="76">
      <formula>OR($AD168="X",$AC168="X")</formula>
    </cfRule>
    <cfRule type="expression" dxfId="825" priority="79">
      <formula>$AC168=1</formula>
    </cfRule>
  </conditionalFormatting>
  <conditionalFormatting sqref="E175:E183">
    <cfRule type="expression" dxfId="824" priority="146">
      <formula>AND($R175="X",OR($B175&lt;&gt;"",#REF!&lt;&gt;"",$C175&lt;&gt;"",$D175&lt;&gt;""))</formula>
    </cfRule>
  </conditionalFormatting>
  <conditionalFormatting sqref="E166:F166">
    <cfRule type="expression" dxfId="823" priority="107">
      <formula>AND($R166="X",OR($B166&lt;&gt;"",$C166&lt;&gt;"",$D166&lt;&gt;"",#REF!&lt;&gt;""))</formula>
    </cfRule>
  </conditionalFormatting>
  <conditionalFormatting sqref="E174:F174">
    <cfRule type="expression" dxfId="822" priority="277">
      <formula>AND($R174="X",OR($B174&lt;&gt;"",$C174&lt;&gt;"",$D174&lt;&gt;"",#REF!&lt;&gt;""))</formula>
    </cfRule>
  </conditionalFormatting>
  <conditionalFormatting sqref="E126:G126">
    <cfRule type="expression" dxfId="821" priority="143">
      <formula>$AD126=1</formula>
    </cfRule>
    <cfRule type="expression" dxfId="820" priority="142">
      <formula>AND($AD126=1,$AC126=1)</formula>
    </cfRule>
  </conditionalFormatting>
  <conditionalFormatting sqref="E128:G128">
    <cfRule type="expression" dxfId="819" priority="121">
      <formula>AND($R128="X",OR($B128&lt;&gt;"",$C128&lt;&gt;""))</formula>
    </cfRule>
    <cfRule type="expression" dxfId="818" priority="117">
      <formula>AND($R128="X",OR($B128&lt;&gt;"",$C128&lt;&gt;"",$D128&lt;&gt;""))</formula>
    </cfRule>
    <cfRule type="expression" dxfId="817" priority="114">
      <formula>AND($R128="X",OR($B128&lt;&gt;"",$C128&lt;&gt;"",$D128&lt;&gt;"",$E128&lt;&gt;""))</formula>
    </cfRule>
    <cfRule type="expression" dxfId="816" priority="120">
      <formula>AND($R128="X",$B128&lt;&gt;"")</formula>
    </cfRule>
    <cfRule type="expression" dxfId="815" priority="119">
      <formula>$AD128=1</formula>
    </cfRule>
    <cfRule type="expression" dxfId="814" priority="115">
      <formula>AND($R128="X",OR($B128&lt;&gt;"",$C128&lt;&gt;"",$E128&lt;&gt;"",#REF!&lt;&gt;""))</formula>
    </cfRule>
    <cfRule type="expression" dxfId="813" priority="116">
      <formula>$AC128=1</formula>
    </cfRule>
    <cfRule type="expression" dxfId="812" priority="118">
      <formula>AND($AD128=1,$AC128=1)</formula>
    </cfRule>
  </conditionalFormatting>
  <conditionalFormatting sqref="E140:G153 B140:C154">
    <cfRule type="expression" dxfId="811" priority="180">
      <formula>$AD140=1</formula>
    </cfRule>
    <cfRule type="expression" dxfId="810" priority="181">
      <formula>$AC140=1</formula>
    </cfRule>
    <cfRule type="expression" dxfId="809" priority="179">
      <formula>AND($AD140=1,$AC140=1)</formula>
    </cfRule>
  </conditionalFormatting>
  <conditionalFormatting sqref="F1:F2">
    <cfRule type="dataBar" priority="257">
      <dataBar>
        <cfvo type="num" val="0"/>
        <cfvo type="num" val="1"/>
        <color rgb="FF63C384"/>
      </dataBar>
      <extLst>
        <ext xmlns:x14="http://schemas.microsoft.com/office/spreadsheetml/2009/9/main" uri="{B025F937-C7B1-47D3-B67F-A62EFF666E3E}">
          <x14:id>{F081F026-47F3-4879-BC15-366CA48AF43C}</x14:id>
        </ext>
      </extLst>
    </cfRule>
  </conditionalFormatting>
  <conditionalFormatting sqref="F12:F18">
    <cfRule type="expression" dxfId="808" priority="41">
      <formula>AND($R12="X",OR($B12&lt;&gt;"",$C12&lt;&gt;"",$D12&lt;&gt;"",$E12&lt;&gt;""))</formula>
    </cfRule>
  </conditionalFormatting>
  <conditionalFormatting sqref="F19">
    <cfRule type="expression" dxfId="807" priority="1172">
      <formula>AND($R19="X",OR($B19&lt;&gt;"",#REF!&lt;&gt;"",$C19&lt;&gt;"",$E19&lt;&gt;""))</formula>
    </cfRule>
  </conditionalFormatting>
  <conditionalFormatting sqref="F20:F40 F131:F153 F155:F159 E183 G183">
    <cfRule type="expression" dxfId="806" priority="73">
      <formula>AND($R20="X",OR($B20&lt;&gt;"",$C20&lt;&gt;"",$D20&lt;&gt;"",$E20&lt;&gt;""))</formula>
    </cfRule>
  </conditionalFormatting>
  <conditionalFormatting sqref="F42:F43">
    <cfRule type="expression" dxfId="805" priority="294">
      <formula>AND($R42="X",OR($B42&lt;&gt;"",#REF!&lt;&gt;"",$D42&lt;&gt;"",#REF!&lt;&gt;""))</formula>
    </cfRule>
  </conditionalFormatting>
  <conditionalFormatting sqref="F44:F120">
    <cfRule type="expression" dxfId="804" priority="237">
      <formula>AND($R44="X",OR($B44&lt;&gt;"",$C44&lt;&gt;"",$D44&lt;&gt;"",$E44&lt;&gt;""))</formula>
    </cfRule>
  </conditionalFormatting>
  <conditionalFormatting sqref="F122 F161:F164 F173 F184:F191">
    <cfRule type="expression" dxfId="803" priority="157">
      <formula>AND($R122="X",OR($B122&lt;&gt;"",$C122&lt;&gt;"",$D122&lt;&gt;"",$E122&lt;&gt;""))</formula>
    </cfRule>
  </conditionalFormatting>
  <conditionalFormatting sqref="F122:F124">
    <cfRule type="expression" dxfId="802" priority="249">
      <formula>AND($R122="X",OR(#REF!&lt;&gt;"",$B122&lt;&gt;"",$C122&lt;&gt;"",$E122&lt;&gt;""))</formula>
    </cfRule>
  </conditionalFormatting>
  <conditionalFormatting sqref="F125:F128">
    <cfRule type="expression" dxfId="801" priority="255">
      <formula>AND($R125="X",OR($B125&lt;&gt;"",$C125&lt;&gt;"",$D125&lt;&gt;"",$E125&lt;&gt;""))</formula>
    </cfRule>
  </conditionalFormatting>
  <conditionalFormatting sqref="F126">
    <cfRule type="expression" dxfId="800" priority="140">
      <formula>AND($R126="X",OR($B126&lt;&gt;"",$C126&lt;&gt;"",$D126&lt;&gt;"",$E126&lt;&gt;""))</formula>
    </cfRule>
  </conditionalFormatting>
  <conditionalFormatting sqref="F127 G161:G164 G173">
    <cfRule type="expression" dxfId="799" priority="122">
      <formula>AND($R127="X",OR($B127&lt;&gt;"",$C127&lt;&gt;"",$D127&lt;&gt;"",$E127&lt;&gt;"",$F127&lt;&gt;""))</formula>
    </cfRule>
  </conditionalFormatting>
  <conditionalFormatting sqref="F128:F130 F139:G139">
    <cfRule type="expression" dxfId="798" priority="251">
      <formula>AND($R128="X",OR($B128&lt;&gt;"",$C128&lt;&gt;"",$E128&lt;&gt;"",#REF!&lt;&gt;""))</formula>
    </cfRule>
  </conditionalFormatting>
  <conditionalFormatting sqref="F138">
    <cfRule type="expression" dxfId="797" priority="184">
      <formula>AND($R138="X",OR($B138&lt;&gt;"",$C138&lt;&gt;"",$E138&lt;&gt;"",#REF!&lt;&gt;""))</formula>
    </cfRule>
  </conditionalFormatting>
  <conditionalFormatting sqref="F160">
    <cfRule type="expression" dxfId="796" priority="270">
      <formula>AND($R160="X",OR($B160&lt;&gt;"",#REF!&lt;&gt;"",$D160&lt;&gt;"",$E160&lt;&gt;""))</formula>
    </cfRule>
  </conditionalFormatting>
  <conditionalFormatting sqref="F168:F172">
    <cfRule type="expression" dxfId="795" priority="282">
      <formula>AND($R168="X",OR(#REF!&lt;&gt;"",$B168&lt;&gt;"",$C168&lt;&gt;"",$D168&lt;&gt;""))</formula>
    </cfRule>
  </conditionalFormatting>
  <conditionalFormatting sqref="F175:F183">
    <cfRule type="expression" dxfId="794" priority="275">
      <formula>AND($R175="X",OR($B175&lt;&gt;"",#REF!&lt;&gt;"",$C175&lt;&gt;"",$D175&lt;&gt;""))</formula>
    </cfRule>
    <cfRule type="expression" dxfId="793" priority="147">
      <formula>AND($R175="X",OR($B175&lt;&gt;"",#REF!&lt;&gt;"",$C175&lt;&gt;"",$D175&lt;&gt;"",$F175&lt;&gt;""))</formula>
    </cfRule>
  </conditionalFormatting>
  <conditionalFormatting sqref="F183">
    <cfRule type="expression" dxfId="792" priority="74">
      <formula>AND($R183="X",OR($B183&lt;&gt;"",$C183&lt;&gt;"",$D183&lt;&gt;"",$E183&lt;&gt;"",$F183&lt;&gt;""))</formula>
    </cfRule>
  </conditionalFormatting>
  <conditionalFormatting sqref="F127:G127">
    <cfRule type="expression" dxfId="791" priority="127">
      <formula>AND($AD127=1,$AC127=1)</formula>
    </cfRule>
    <cfRule type="expression" dxfId="790" priority="124">
      <formula>AND($R127="X",OR($B127&lt;&gt;"",$C127&lt;&gt;"",$E127&lt;&gt;"",#REF!&lt;&gt;""))</formula>
    </cfRule>
    <cfRule type="expression" dxfId="789" priority="129">
      <formula>AND($R127="X",OR($B127&lt;&gt;"",$C127&lt;&gt;"",$D127&lt;&gt;""))</formula>
    </cfRule>
    <cfRule type="expression" dxfId="788" priority="126">
      <formula>AND($R127="X",OR($B127&lt;&gt;"",$C127&lt;&gt;"",$D127&lt;&gt;""))</formula>
    </cfRule>
    <cfRule type="expression" dxfId="787" priority="128">
      <formula>$AD127=1</formula>
    </cfRule>
    <cfRule type="expression" dxfId="786" priority="125">
      <formula>$AC127=1</formula>
    </cfRule>
    <cfRule type="expression" dxfId="785" priority="123">
      <formula>AND($R127="X",OR($B127&lt;&gt;"",$C127&lt;&gt;"",$D127&lt;&gt;"",$E127&lt;&gt;""))</formula>
    </cfRule>
  </conditionalFormatting>
  <conditionalFormatting sqref="F128:G128">
    <cfRule type="expression" dxfId="784" priority="112">
      <formula>AND($R128="X",OR($B128&lt;&gt;"",$C128&lt;&gt;""))</formula>
    </cfRule>
    <cfRule type="expression" dxfId="783" priority="113">
      <formula>AND($R128="X",OR($B128&lt;&gt;"",$C128&lt;&gt;"",$D128&lt;&gt;""))</formula>
    </cfRule>
  </conditionalFormatting>
  <conditionalFormatting sqref="F166:G166">
    <cfRule type="expression" dxfId="782" priority="108">
      <formula>AND($R166="X",OR($B166&lt;&gt;"",$C166&lt;&gt;"",$D166&lt;&gt;"",#REF!&lt;&gt;"",$F166&lt;&gt;""))</formula>
    </cfRule>
  </conditionalFormatting>
  <conditionalFormatting sqref="F174:G174">
    <cfRule type="expression" dxfId="781" priority="278">
      <formula>AND($R174="X",OR($B174&lt;&gt;"",$C174&lt;&gt;"",$D174&lt;&gt;"",#REF!&lt;&gt;"",$F174&lt;&gt;""))</formula>
    </cfRule>
  </conditionalFormatting>
  <conditionalFormatting sqref="G12:G18">
    <cfRule type="expression" dxfId="780" priority="42">
      <formula>AND($R12="X",OR($B12&lt;&gt;"",$C12&lt;&gt;"",$D12&lt;&gt;"",$E12&lt;&gt;"",$F12&lt;&gt;""))</formula>
    </cfRule>
  </conditionalFormatting>
  <conditionalFormatting sqref="G19">
    <cfRule type="expression" dxfId="779" priority="1168">
      <formula>AND($R19="X",OR($B19&lt;&gt;"",#REF!&lt;&gt;"",$C19&lt;&gt;"",$E19&lt;&gt;"",$F19&lt;&gt;""))</formula>
    </cfRule>
  </conditionalFormatting>
  <conditionalFormatting sqref="G20:G40 G140:G153 G155:G159 D167:G167">
    <cfRule type="expression" dxfId="778" priority="75">
      <formula>AND($R20="X",OR($B20&lt;&gt;"",$C20&lt;&gt;"",$D20&lt;&gt;"",$E20&lt;&gt;"",$F20&lt;&gt;""))</formula>
    </cfRule>
  </conditionalFormatting>
  <conditionalFormatting sqref="G42:G43">
    <cfRule type="expression" dxfId="777" priority="295">
      <formula>AND($R42="X",OR($B42&lt;&gt;"",#REF!&lt;&gt;"",$D42&lt;&gt;"",#REF!&lt;&gt;"",$F42&lt;&gt;""))</formula>
    </cfRule>
  </conditionalFormatting>
  <conditionalFormatting sqref="G122">
    <cfRule type="expression" dxfId="776" priority="158">
      <formula>AND($R122="X",OR($B122&lt;&gt;"",$C122&lt;&gt;"",$D122&lt;&gt;"",$E122&lt;&gt;"",$F122&lt;&gt;""))</formula>
    </cfRule>
  </conditionalFormatting>
  <conditionalFormatting sqref="G122:G124">
    <cfRule type="expression" dxfId="775" priority="250">
      <formula>AND($R122="X",OR(#REF!&lt;&gt;"",$B122&lt;&gt;"",$C122&lt;&gt;"",$E122&lt;&gt;"",$F122&lt;&gt;""))</formula>
    </cfRule>
  </conditionalFormatting>
  <conditionalFormatting sqref="G125:G128">
    <cfRule type="expression" dxfId="774" priority="256">
      <formula>AND($R125="X",OR($B125&lt;&gt;"",$C125&lt;&gt;"",$D125&lt;&gt;"",$E125&lt;&gt;"",$F125&lt;&gt;""))</formula>
    </cfRule>
  </conditionalFormatting>
  <conditionalFormatting sqref="G126">
    <cfRule type="expression" dxfId="773" priority="141">
      <formula>AND($R126="X",OR($B126&lt;&gt;"",$C126&lt;&gt;"",$D126&lt;&gt;"",$E126&lt;&gt;"",$F126&lt;&gt;""))</formula>
    </cfRule>
  </conditionalFormatting>
  <conditionalFormatting sqref="G128">
    <cfRule type="expression" dxfId="772" priority="111">
      <formula>AND($R128="X",OR($B128&lt;&gt;"",$C128&lt;&gt;"",$D128&lt;&gt;"",$E128&lt;&gt;""))</formula>
    </cfRule>
    <cfRule type="expression" dxfId="771" priority="110">
      <formula>AND($R128="X",OR($B128&lt;&gt;"",$C128&lt;&gt;"",$E128&lt;&gt;"",#REF!&lt;&gt;""))</formula>
    </cfRule>
  </conditionalFormatting>
  <conditionalFormatting sqref="G128:G130">
    <cfRule type="expression" dxfId="770" priority="252">
      <formula>AND($R128="X",OR($B128&lt;&gt;"",$C128&lt;&gt;"",$E128&lt;&gt;"",#REF!&lt;&gt;"",$F128&lt;&gt;""))</formula>
    </cfRule>
  </conditionalFormatting>
  <conditionalFormatting sqref="G139">
    <cfRule type="expression" dxfId="769" priority="220">
      <formula>AND($R139="X",OR($B139&lt;&gt;"",$C139&lt;&gt;"",$D139&lt;&gt;"",$E139&lt;&gt;""))</formula>
    </cfRule>
    <cfRule type="expression" dxfId="768" priority="272">
      <formula>AND($R139="X",OR($B139&lt;&gt;"",$C139&lt;&gt;"",$E139&lt;&gt;"",#REF!&lt;&gt;"",$F139&lt;&gt;""))</formula>
    </cfRule>
  </conditionalFormatting>
  <conditionalFormatting sqref="G160">
    <cfRule type="expression" dxfId="767" priority="271">
      <formula>AND($R160="X",OR($B160&lt;&gt;"",#REF!&lt;&gt;"",$D160&lt;&gt;"",$E160&lt;&gt;"",$F160&lt;&gt;""))</formula>
    </cfRule>
  </conditionalFormatting>
  <conditionalFormatting sqref="G168:G172">
    <cfRule type="expression" dxfId="766" priority="283">
      <formula>AND($R168="X",OR(#REF!&lt;&gt;"",$B168&lt;&gt;"",$C168&lt;&gt;"",$D168&lt;&gt;"",$F168&lt;&gt;""))</formula>
    </cfRule>
  </conditionalFormatting>
  <conditionalFormatting sqref="G175:G183">
    <cfRule type="expression" dxfId="765" priority="276">
      <formula>AND($R175="X",OR($B175&lt;&gt;"",#REF!&lt;&gt;"",$C175&lt;&gt;"",$D175&lt;&gt;"",$F175&lt;&gt;""))</formula>
    </cfRule>
  </conditionalFormatting>
  <conditionalFormatting sqref="G184:G191 G44:G120 G131:G138">
    <cfRule type="expression" dxfId="764" priority="238">
      <formula>AND($R44="X",OR($B44&lt;&gt;"",$C44&lt;&gt;"",$D44&lt;&gt;"",$E44&lt;&gt;"",$F44&lt;&gt;""))</formula>
    </cfRule>
  </conditionalFormatting>
  <conditionalFormatting sqref="H193:H194 H214:H1054">
    <cfRule type="expression" dxfId="763" priority="258">
      <formula>$Q193="X"</formula>
    </cfRule>
  </conditionalFormatting>
  <conditionalFormatting sqref="I14:I29 I31:I191">
    <cfRule type="expression" dxfId="762" priority="234">
      <formula>$R14="X"</formula>
    </cfRule>
  </conditionalFormatting>
  <conditionalFormatting sqref="Q12:Q191">
    <cfRule type="cellIs" dxfId="761" priority="45" operator="equal">
      <formula>"0..n"</formula>
    </cfRule>
    <cfRule type="cellIs" dxfId="760" priority="46" operator="equal">
      <formula>"0..1"</formula>
    </cfRule>
    <cfRule type="cellIs" dxfId="759" priority="44" operator="equal">
      <formula>"1..1"</formula>
    </cfRule>
  </conditionalFormatting>
  <hyperlinks>
    <hyperlink ref="I117" r:id="rId1" xr:uid="{59799421-C339-49C4-AD04-2503884400D0}"/>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81F026-47F3-4879-BC15-366CA48AF43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AF666AF8-AA85-4B60-BF31-EEDDFF389D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80199A3-B817-4C63-A6AD-6E2BB0AB8780}">
  <ds:schemaRefs>
    <ds:schemaRef ds:uri="http://schemas.microsoft.com/DataMashup"/>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4.xml><?xml version="1.0" encoding="utf-8"?>
<ds:datastoreItem xmlns:ds="http://schemas.openxmlformats.org/officeDocument/2006/customXml" ds:itemID="{AB0337C0-7C30-4DE4-B94C-0687DC3BE604}">
  <ds:schemaRefs>
    <ds:schemaRef ds:uri="http://purl.org/dc/terms/"/>
    <ds:schemaRef ds:uri="http://schemas.microsoft.com/office/infopath/2007/PartnerControls"/>
    <ds:schemaRef ds:uri="http://schemas.microsoft.com/office/2006/metadata/properties"/>
    <ds:schemaRef ds:uri="http://www.w3.org/XML/1998/namespace"/>
    <ds:schemaRef ds:uri="http://schemas.microsoft.com/office/2006/documentManagement/types"/>
    <ds:schemaRef ds:uri="http://purl.org/dc/elements/1.1/"/>
    <ds:schemaRef ds:uri="http://schemas.openxmlformats.org/package/2006/metadata/core-properties"/>
    <ds:schemaRef ds:uri="http://purl.org/dc/dcmitype/"/>
    <ds:schemaRef ds:uri="1720d4e8-2b1e-4bd1-aad5-1b4debf9b56d"/>
    <ds:schemaRef ds:uri="f6ca01e7-bd19-41f1-999c-e032ef5104c3"/>
    <ds:schemaRef ds:uri="http://schemas.microsoft.com/sharepoint/v3"/>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28</vt:i4>
      </vt:variant>
      <vt:variant>
        <vt:lpstr>Named Ranges</vt:lpstr>
      </vt:variant>
      <vt:variant>
        <vt:i4>1</vt:i4>
      </vt:variant>
    </vt:vector>
  </HeadingPairs>
  <TitlesOfParts>
    <vt:vector size="29" baseType="lpstr">
      <vt:lpstr>Données_attributaires</vt:lpstr>
      <vt:lpstr>Processus_CISU</vt:lpstr>
      <vt:lpstr>Type_de_message</vt:lpstr>
      <vt:lpstr>Distribution</vt:lpstr>
      <vt:lpstr>Sommaire</vt:lpstr>
      <vt:lpstr>Mode d'emploi</vt:lpstr>
      <vt:lpstr>RC-DE</vt:lpstr>
      <vt:lpstr>RC-COM</vt:lpstr>
      <vt:lpstr>Modèle ExosRRAMU</vt:lpstr>
      <vt:lpstr>RC-EDA</vt:lpstr>
      <vt:lpstr>EMSI</vt:lpstr>
      <vt:lpstr>RS-RI</vt:lpstr>
      <vt:lpstr>RS-DR</vt:lpstr>
      <vt:lpstr>RS-RR</vt:lpstr>
      <vt:lpstr>RS-BPV</vt:lpstr>
      <vt:lpstr>RS-BPV-WIP</vt:lpstr>
      <vt:lpstr>RC-DEC</vt:lpstr>
      <vt:lpstr>RS-SR</vt:lpstr>
      <vt:lpstr>MAINT</vt:lpstr>
      <vt:lpstr>GEO-POS</vt:lpstr>
      <vt:lpstr>GEO-REQ</vt:lpstr>
      <vt:lpstr>GEO-RES</vt:lpstr>
      <vt:lpstr>RS-ERROR</vt:lpstr>
      <vt:lpstr>RS-INFO</vt:lpstr>
      <vt:lpstr>RC-REF</vt:lpstr>
      <vt:lpstr>customContent</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2024-06-27T10:09:19Z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