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9.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0.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4.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5.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1857" documentId="13_ncr:1_{25E1360D-3F9F-4661-933F-5159F3386708}" xr6:coauthVersionLast="47" xr6:coauthVersionMax="47" xr10:uidLastSave="{8E4C9EF4-F626-473B-8B30-6607FE97F349}"/>
  <bookViews>
    <workbookView xWindow="28680" yWindow="-120" windowWidth="29040" windowHeight="15720" tabRatio="848" firstSheet="9" activeTab="19"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Modèle ExosRRAMU" sheetId="71" r:id="rId9"/>
    <sheet name="RC-EDA" sheetId="33" r:id="rId10"/>
    <sheet name="EMSI" sheetId="53" r:id="rId11"/>
    <sheet name="RS-RIG" sheetId="73" r:id="rId12"/>
    <sheet name="RS-DDR" sheetId="74" r:id="rId13"/>
    <sheet name="RS-RDR" sheetId="75" r:id="rId14"/>
    <sheet name="RS-BPV" sheetId="66" r:id="rId15"/>
    <sheet name="RS-BPV-WIP" sheetId="68" r:id="rId16"/>
    <sheet name="RC-DEC" sheetId="69" r:id="rId17"/>
    <sheet name="RS-SIT" sheetId="70" r:id="rId18"/>
    <sheet name="MAINT" sheetId="65" r:id="rId19"/>
    <sheet name="GEO-POS" sheetId="56" r:id="rId20"/>
    <sheet name="GEO-REQ" sheetId="58" r:id="rId21"/>
    <sheet name="GEO-RES" sheetId="59" r:id="rId22"/>
    <sheet name="RS-ERROR" sheetId="60" r:id="rId23"/>
    <sheet name="RS-INFO" sheetId="61" r:id="rId24"/>
    <sheet name="RC-REF" sheetId="62" r:id="rId25"/>
    <sheet name="customContent" sheetId="63" r:id="rId26"/>
    <sheet name="Conditional format rules" sheetId="29" r:id="rId27"/>
    <sheet name="Documents_sources" sheetId="18" state="hidden" r:id="rId28"/>
  </sheets>
  <definedNames>
    <definedName name="_xlnm._FilterDatabase" localSheetId="10" hidden="1">EMSI!$A$8:$AH$117</definedName>
    <definedName name="_xlnm._FilterDatabase" localSheetId="12" hidden="1">'RS-DDR'!$A$8:$N$64</definedName>
    <definedName name="_xlnm._FilterDatabase" localSheetId="13" hidden="1">'RS-RDR'!$A$8:$N$42</definedName>
    <definedName name="_xlnm._FilterDatabase" localSheetId="11" hidden="1">'RS-RIG'!$A$8:$N$92</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24" i="56" l="1"/>
  <c r="A199" i="33"/>
  <c r="C199" i="33"/>
  <c r="D199" i="33"/>
  <c r="E199" i="33"/>
  <c r="F199" i="33"/>
  <c r="G199" i="33"/>
  <c r="H199" i="33"/>
  <c r="I199" i="33"/>
  <c r="J199" i="33"/>
  <c r="K199" i="33"/>
  <c r="L199" i="33"/>
  <c r="M199" i="33"/>
  <c r="N199" i="33"/>
  <c r="O199" i="33"/>
  <c r="P199" i="33"/>
  <c r="R199" i="33"/>
  <c r="S199" i="33"/>
  <c r="Z199" i="33"/>
  <c r="AA199" i="33"/>
  <c r="AC199" i="33"/>
  <c r="A16" i="33" l="1"/>
  <c r="A176" i="33"/>
  <c r="A177" i="33"/>
  <c r="A175" i="33"/>
  <c r="A55" i="66"/>
  <c r="A10" i="66"/>
  <c r="A11" i="66"/>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6" i="66"/>
  <c r="A57" i="66"/>
  <c r="A58" i="66"/>
  <c r="A59" i="66"/>
  <c r="A60" i="66"/>
  <c r="A61" i="66"/>
  <c r="A62" i="66"/>
  <c r="A63" i="66"/>
  <c r="A64" i="66"/>
  <c r="A65" i="66"/>
  <c r="A66" i="66"/>
  <c r="A67" i="66"/>
  <c r="A68" i="66"/>
  <c r="A69" i="66"/>
  <c r="A70"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63" i="74"/>
  <c r="A64" i="74"/>
  <c r="A18" i="74"/>
  <c r="A17" i="74"/>
  <c r="A93" i="73"/>
  <c r="A10" i="33"/>
  <c r="A11" i="33"/>
  <c r="A12" i="33"/>
  <c r="A13" i="33"/>
  <c r="A14" i="33"/>
  <c r="A15"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28" i="33"/>
  <c r="A129" i="33"/>
  <c r="A130" i="33"/>
  <c r="A131" i="33"/>
  <c r="A132" i="33"/>
  <c r="A133" i="33"/>
  <c r="A134" i="33"/>
  <c r="A135" i="33"/>
  <c r="A136" i="33"/>
  <c r="A137" i="33"/>
  <c r="A138" i="33"/>
  <c r="A139" i="33"/>
  <c r="A140" i="33"/>
  <c r="A141" i="33"/>
  <c r="A142" i="33"/>
  <c r="A143" i="33"/>
  <c r="A144" i="33"/>
  <c r="A145" i="33"/>
  <c r="A146" i="33"/>
  <c r="A147" i="33"/>
  <c r="A148" i="33"/>
  <c r="A149" i="33"/>
  <c r="A150" i="33"/>
  <c r="A151" i="33"/>
  <c r="A152" i="33"/>
  <c r="A153" i="33"/>
  <c r="A154" i="33"/>
  <c r="A155" i="33"/>
  <c r="A156" i="33"/>
  <c r="A157" i="33"/>
  <c r="A158" i="33"/>
  <c r="A159" i="33"/>
  <c r="A160" i="33"/>
  <c r="A161" i="33"/>
  <c r="A162" i="33"/>
  <c r="A163" i="33"/>
  <c r="A164" i="33"/>
  <c r="A165" i="33"/>
  <c r="A166" i="33"/>
  <c r="A167" i="33"/>
  <c r="A168" i="33"/>
  <c r="A169" i="33"/>
  <c r="A170" i="33"/>
  <c r="A171" i="33"/>
  <c r="A172" i="33"/>
  <c r="A173" i="33"/>
  <c r="A174" i="33"/>
  <c r="A178" i="33"/>
  <c r="A179" i="33"/>
  <c r="A180" i="33"/>
  <c r="A181" i="33"/>
  <c r="A182" i="33"/>
  <c r="A183" i="33"/>
  <c r="A184" i="33"/>
  <c r="A185" i="33"/>
  <c r="A186" i="33"/>
  <c r="A187" i="33"/>
  <c r="A188" i="33"/>
  <c r="A189" i="33"/>
  <c r="A190" i="33"/>
  <c r="A191" i="33"/>
  <c r="A192" i="33"/>
  <c r="A193" i="33"/>
  <c r="A194" i="33"/>
  <c r="A195" i="33"/>
  <c r="A196" i="33"/>
  <c r="A197" i="33"/>
  <c r="A198" i="33"/>
  <c r="AD199" i="33"/>
  <c r="AE199" i="33"/>
  <c r="B15" i="60"/>
  <c r="C15" i="60"/>
  <c r="D15" i="60"/>
  <c r="E15" i="60"/>
  <c r="F15" i="60"/>
  <c r="G15" i="60"/>
  <c r="H15" i="60"/>
  <c r="I15" i="60"/>
  <c r="J15" i="60"/>
  <c r="K15" i="60"/>
  <c r="L15" i="60"/>
  <c r="M15" i="60"/>
  <c r="N15" i="60"/>
  <c r="O15" i="60"/>
  <c r="P15" i="60"/>
  <c r="Q15" i="60"/>
  <c r="R15" i="60"/>
  <c r="S15" i="60"/>
  <c r="T15" i="60"/>
  <c r="U15" i="60"/>
  <c r="V15" i="60"/>
  <c r="W15" i="60"/>
  <c r="A15" i="60"/>
  <c r="X43" i="75"/>
  <c r="W43" i="75"/>
  <c r="U43" i="75"/>
  <c r="T43" i="75"/>
  <c r="N43" i="75"/>
  <c r="M43" i="75"/>
  <c r="K43" i="75"/>
  <c r="I43" i="75"/>
  <c r="H43" i="75"/>
  <c r="G43" i="75"/>
  <c r="F43" i="75"/>
  <c r="E43" i="75"/>
  <c r="D43" i="75"/>
  <c r="C43" i="75"/>
  <c r="A43" i="75"/>
  <c r="X65" i="74"/>
  <c r="W65" i="74"/>
  <c r="U65" i="74"/>
  <c r="T65" i="74"/>
  <c r="N65" i="74"/>
  <c r="M65" i="74"/>
  <c r="K65" i="74"/>
  <c r="I65" i="74"/>
  <c r="H65" i="74"/>
  <c r="G65" i="74"/>
  <c r="F65" i="74"/>
  <c r="E65" i="74"/>
  <c r="D65" i="74"/>
  <c r="C65" i="74"/>
  <c r="X93" i="73"/>
  <c r="W93" i="73"/>
  <c r="U93" i="73"/>
  <c r="T93" i="73"/>
  <c r="N93" i="73"/>
  <c r="M93" i="73"/>
  <c r="K93" i="73"/>
  <c r="I93" i="73"/>
  <c r="H93" i="73"/>
  <c r="G93" i="73"/>
  <c r="F93" i="73"/>
  <c r="E93" i="73"/>
  <c r="D93" i="73"/>
  <c r="C93" i="73"/>
  <c r="AD192" i="71"/>
  <c r="F1" i="71" s="1"/>
  <c r="AC192" i="71"/>
  <c r="F2" i="71" s="1"/>
  <c r="AB192" i="71"/>
  <c r="Z192" i="71"/>
  <c r="Y192" i="71"/>
  <c r="S192" i="71"/>
  <c r="R192" i="71"/>
  <c r="P192" i="71"/>
  <c r="O192" i="71"/>
  <c r="N192" i="71"/>
  <c r="M192" i="71"/>
  <c r="L192" i="71"/>
  <c r="K192" i="71"/>
  <c r="J192" i="71"/>
  <c r="I192" i="71"/>
  <c r="H192" i="71"/>
  <c r="G192" i="71"/>
  <c r="F192" i="71"/>
  <c r="E192" i="71"/>
  <c r="D192" i="71"/>
  <c r="C192" i="71"/>
  <c r="A192" i="71"/>
  <c r="A15" i="70"/>
  <c r="C15" i="70"/>
  <c r="D15" i="70"/>
  <c r="E15" i="70"/>
  <c r="F15" i="70"/>
  <c r="G15" i="70"/>
  <c r="H15" i="70"/>
  <c r="I15" i="70"/>
  <c r="J15" i="70"/>
  <c r="K15" i="70"/>
  <c r="L15" i="70"/>
  <c r="M15" i="70"/>
  <c r="N15" i="70"/>
  <c r="O15" i="70"/>
  <c r="P15" i="70"/>
  <c r="R15" i="70"/>
  <c r="S15" i="70"/>
  <c r="Y15" i="70"/>
  <c r="Z15" i="70"/>
  <c r="AB15" i="70"/>
  <c r="C71" i="66"/>
  <c r="D71" i="66"/>
  <c r="E71" i="66"/>
  <c r="F71" i="66"/>
  <c r="G71" i="66"/>
  <c r="H71" i="66"/>
  <c r="I71" i="66"/>
  <c r="J71" i="66"/>
  <c r="K71" i="66"/>
  <c r="L71" i="66"/>
  <c r="M71" i="66"/>
  <c r="N71" i="66"/>
  <c r="O71" i="66"/>
  <c r="P71" i="66"/>
  <c r="R71" i="66"/>
  <c r="S71" i="66"/>
  <c r="AA71" i="66"/>
  <c r="AB71" i="66"/>
  <c r="AD71" i="66"/>
  <c r="AD15" i="70"/>
  <c r="AC15" i="70"/>
  <c r="AF65" i="69"/>
  <c r="AE65" i="69"/>
  <c r="AD65" i="69"/>
  <c r="AB65" i="69"/>
  <c r="AA65" i="69"/>
  <c r="U65" i="69"/>
  <c r="T65" i="69"/>
  <c r="R65" i="69"/>
  <c r="Q65" i="69"/>
  <c r="P65" i="69"/>
  <c r="O65" i="69"/>
  <c r="N65" i="69"/>
  <c r="M65" i="69"/>
  <c r="L65" i="69"/>
  <c r="K65" i="69"/>
  <c r="J65" i="69"/>
  <c r="G65" i="69"/>
  <c r="F65" i="69"/>
  <c r="E65" i="69"/>
  <c r="D65" i="69"/>
  <c r="C65" i="69"/>
  <c r="A65" i="69"/>
  <c r="A71" i="66" l="1"/>
  <c r="A65" i="74"/>
  <c r="AD93" i="68"/>
  <c r="AC93" i="68"/>
  <c r="AB93" i="68"/>
  <c r="Z93" i="68"/>
  <c r="Y93" i="68"/>
  <c r="S93" i="68"/>
  <c r="R93" i="68"/>
  <c r="P93" i="68"/>
  <c r="O93" i="68"/>
  <c r="N93" i="68"/>
  <c r="M93" i="68"/>
  <c r="L93" i="68"/>
  <c r="K93" i="68"/>
  <c r="J93" i="68"/>
  <c r="I93" i="68"/>
  <c r="H93" i="68"/>
  <c r="G93" i="68"/>
  <c r="F93" i="68"/>
  <c r="E93" i="68"/>
  <c r="D93" i="68"/>
  <c r="C93" i="68"/>
  <c r="A93" i="68"/>
  <c r="AF71" i="66"/>
  <c r="AE71" i="66"/>
  <c r="AD19" i="65"/>
  <c r="F1" i="65" s="1"/>
  <c r="AC19" i="65"/>
  <c r="F2" i="65" s="1"/>
  <c r="AB19" i="65"/>
  <c r="Z19" i="65"/>
  <c r="Y19" i="65"/>
  <c r="S19" i="65"/>
  <c r="R19" i="65"/>
  <c r="P19" i="65"/>
  <c r="O19" i="65"/>
  <c r="N19" i="65"/>
  <c r="M19" i="65"/>
  <c r="L19" i="65"/>
  <c r="K19" i="65"/>
  <c r="J19" i="65"/>
  <c r="I19" i="65"/>
  <c r="H19" i="65"/>
  <c r="G19" i="65"/>
  <c r="F19" i="65"/>
  <c r="E19" i="65"/>
  <c r="D19" i="65"/>
  <c r="C19" i="65"/>
  <c r="A19" i="65"/>
  <c r="A20" i="59"/>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68" l="1"/>
  <c r="F1" i="68"/>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tc={0CE8A59F-6C67-4E3A-891B-3EA2B5782CF2}</author>
    <author>tc={AFBC43DC-22DD-45A7-94DB-0652D4386677}</author>
    <author>tc={E217C0E1-E310-4516-9319-75E49215DCA3}</author>
    <author>tc={CA9F7116-A69A-49A4-A9FD-112B11A9100E}</author>
    <author>tc={91C7B266-0E0A-4462-A600-2FC08026D2AA}</author>
    <author>tc={B49C2831-535E-4572-A161-4566AA17433A}</author>
  </authors>
  <commentList>
    <comment ref="C17" authorId="0" shapeId="0" xr:uid="{0CE8A59F-6C67-4E3A-891B-3EA2B5782C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Type déduit par rapport à la localisation de l'intervention vs de la destination (ex. Si hospitalier alors sorite SMUR secondaire), et pour les TIH : idem plus niveau de médicalisation (=paramédical)</t>
      </text>
    </comment>
    <comment ref="D24" authorId="1" shapeId="0" xr:uid="{AFBC43DC-22DD-45A7-94DB-0652D43866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 libellé/code prendre ? 
Réponse :
    Exemple : si accident routier entre un piéton et camion de marchandise, quel est le code à retenir ? AVPAR ? AVPARCAM ? AVPARPIE ? 
Réponse :
    Ou est-ce à préciser dans le commentaire ?</t>
      </text>
    </comment>
    <comment ref="C29" authorId="2" shapeId="0" xr:uid="{E217C0E1-E310-4516-9319-75E49215DCA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59" authorId="3"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62" authorId="4"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D68" authorId="5"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tc={479F015F-54AC-4C4B-A571-D82C1DB25F24}</author>
    <author>tc={92153410-EF29-497F-9B93-DE4E82BE1500}</author>
  </authors>
  <commentList>
    <comment ref="J1" authorId="0" shapeId="0" xr:uid="{479F015F-54AC-4C4B-A571-D82C1DB25F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tc={9C816C17-63F7-4443-898B-193E759904F6}</author>
    <author>tc={4570E3BC-C741-489A-A78A-421EBE0A2EB1}</author>
    <author>tc={450D2339-A705-4808-865A-DE47F86A9ED0}</author>
    <author>tc={7AA19D51-1D33-4B9B-BE52-A2E51A3B53B1}</author>
    <author>tc={542F91E3-E69C-4326-B2BD-75A564CC87B0}</author>
    <author>tc={427501DC-94D6-40AC-AB53-69343E8D716D}</author>
    <author>tc={2F3C1B5F-AE01-4255-B450-2BAE36EE9967}</author>
    <author>tc={E589D130-0254-4A06-B0D4-786737C54D9C}</author>
    <author>tc={35F4687D-6275-4358-8182-C47F7638BBD5}</author>
    <author>tc={A4803FCF-E02E-4083-84FC-92B40E7A9D5D}</author>
    <author>tc={6D45BC39-07B8-4875-A22D-5F8881A6780E}</author>
    <author>tc={D4248A5B-AD83-4934-B056-EAEDD6CF723A}</author>
    <author>tc={DBE9B7AD-3774-41D9-9ECE-8156E962B9EF}</author>
  </authors>
  <commentList>
    <comment ref="C1" authorId="0" shapeId="0" xr:uid="{9C816C17-63F7-4443-898B-193E759904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priorité de régulation médicale dans le modèle actuel</t>
      </text>
    </comment>
    <comment ref="H1" authorId="1" shapeId="0" xr:uid="{4570E3BC-C741-489A-A78A-421EBE0A2E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11" authorId="2" shapeId="0" xr:uid="{450D2339-A705-4808-865A-DE47F86A9ED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12" authorId="3" shapeId="0" xr:uid="{7AA19D51-1D33-4B9B-BE52-A2E51A3B53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12" authorId="4" shapeId="0" xr:uid="{542F91E3-E69C-4326-B2BD-75A564CC87B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C18" authorId="5" shapeId="0" xr:uid="{427501DC-94D6-40AC-AB53-69343E8D71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Main courante des ARM =&gt; liste</t>
      </text>
    </comment>
    <comment ref="C19" authorId="6" shapeId="0" xr:uid="{2F3C1B5F-AE01-4255-B450-2BAE36EE99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priorité de régulation médicale dans le modèle actuel</t>
      </text>
    </comment>
    <comment ref="C36" authorId="7" shapeId="0" xr:uid="{E589D130-0254-4A06-B0D4-786737C54D9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ce n'est pas retrouvable dans Initial alert, via le centre de l'agent ? </t>
      </text>
    </comment>
    <comment ref="D46" authorId="8" shapeId="0" xr:uid="{35F4687D-6275-4358-8182-C47F7638BB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gère pas les PK comme ça !
Réponse :
    Sujet sur l’autoroute… comment on passe cette localisation (pas d’adresse)</t>
      </text>
    </comment>
    <comment ref="C88" authorId="9" shapeId="0" xr:uid="{A4803FCF-E02E-4083-84FC-92B40E7A9D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a une liste de numéros avec en champs libre pour le type + un “numéro principal”</t>
      </text>
    </comment>
    <comment ref="B165" authorId="10" shapeId="0" xr:uid="{6D45BC39-07B8-4875-A22D-5F8881A678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Hors du périmètre Appel Limitrophe
Réponse :
    A voir… Car ça permet de mettre dans le même cas d’embrayer sur la demande d’engagement de vecteur du SMAU d’en face
Réponse :
    Liste de textes libres déjà pour le moment</t>
      </text>
    </comment>
    <comment ref="B173" authorId="11" shapeId="0" xr:uid="{D4248A5B-AD83-4934-B056-EAEDD6CF72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rediscuter !!! Mais au de la de la création</t>
      </text>
    </comment>
    <comment ref="C176" authorId="12" shapeId="0" xr:uid="{DBE9B7AD-3774-41D9-9ECE-8156E962B9E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Pompiers ont 2 missions : aller au chevet + faire transport.
Mais donc pas adapté…</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tc={FD20BE71-51BC-9248-B846-4B00F2A489D1}</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tc={FF1AF53E-AE58-E849-A74B-33EB38D418D2}</author>
    <author>tc={85B1EF9F-47F0-CE46-887A-E909D7720A3B}</author>
    <author>tc={3B2E0936-494B-B445-A636-D7FDBB9167D5}</author>
    <author>tc={925BDB3E-FDC8-4AE9-BBEA-7ACEF4FDDB2C}</author>
    <author>tc={8AEC1623-DDE1-47FA-B84D-C6A42BA263BB}</author>
    <author>tc={0CFF5582-9153-4C81-BF2B-0E3E475CB201}</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tc={7BED2FAB-053B-044B-A4B2-EA939D9441D5}</author>
    <author>tc={F6DBF483-4352-48F3-A605-280A47B8FAE1}</author>
    <author>tc={9EEEA36D-4CCB-4E28-A80B-46F1DF7D5A2C}</author>
    <author>tc={81700F22-8DFB-6A4A-BE92-3A0EE1C56D87}</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tc={0E967918-B0FF-874A-A786-2C84A1372A97}</author>
    <author>tc={9C971BC8-B630-4062-8B21-00AD945C0670}</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tc={7364402D-5058-2242-A016-E8B1E4183D63}</author>
    <author>tc={07B5D5D0-B502-47B6-A891-DAEF39BCC4D8}</author>
    <author>tc={8BCB09BF-A48C-8242-B3C8-18F71F97C7AD}</author>
    <author>tc={F7E40DD6-D14F-4AC4-95ED-C43838656AE4}</author>
    <author>tc={3A4DE914-B324-41EC-B1CE-789615C59923}</author>
    <author>tc={A9F8EF48-108A-4EAB-A6C9-DAA6E6A1C56C}</author>
    <author>tc={BACFA223-4DEE-A546-BEB9-1FAFD40935A9}</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tc={3D102970-2CAE-5747-9D73-A1FBE73590AC}</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tc={35BA8B78-AE32-4EC9-9879-40019918450A}</author>
    <author>tc={04411F78-544D-4A29-9486-C852BE16B4A1}</author>
    <author>tc={6729E6ED-B0CD-41F4-BDE9-63A71C3B0080}</author>
    <author>tc={D0DA69C0-CE9E-4870-BE12-1DC6165B5C02}</author>
    <author>tc={964987F5-BD33-4AED-972B-3B2857629C23}</author>
    <author>tc={56A2AD22-1E72-4495-AF2F-6EFF0E07EC59}</author>
    <author>tc={C8748D8D-BB3A-4C14-BADE-D16F62306724}</author>
    <author>tc={3E4494E4-4D0B-482E-8C44-6CA902FCAA01}</author>
    <author>tc={12397E16-0DD2-4B81-8BEC-31510D881B5D}</author>
    <author>tc={EC03513B-C463-ED45-B66B-DD6C50DF2248}</author>
    <author>tc={56075946-9C3F-8345-89AE-75C567E0E491}</author>
    <author>tc={D6BBFD18-B7C3-44E9-AAAF-C0520A0384D3}</author>
    <author>tc={3792C7C2-9F65-4E58-AF0D-9CB49954D7C2}</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U8" authorId="2" shapeId="0" xr:uid="{FD20BE71-51BC-9248-B846-4B00F2A489D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3"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4"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5"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6"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7" authorId="7"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8" authorId="8"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20" authorId="9"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21" authorId="10"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2" authorId="11"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2" authorId="12"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3" authorId="13"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3" authorId="14"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4" authorId="15"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6" authorId="16"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6" authorId="17"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7" authorId="18"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7" authorId="19"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7" authorId="20"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9" authorId="21"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Réponse :
    Implémenter la nomenclature CISU/SI SAMU prévue ?</t>
      </text>
    </comment>
    <comment ref="X29" authorId="22" shapeId="0" xr:uid="{FF1AF53E-AE58-E849-A74B-33EB38D418D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Vu l’ENUM je ne pense pas que ça corresponde à ce que veut le métier donc je pense qu’il faut mieux l’enlever !
Réponse :
    On l'avait bien précisé à Philippe et Bruno que ça ne serait pas des chiffres 4, 5, mais ils trouvaient le champ intéressant quand même</t>
      </text>
    </comment>
    <comment ref="C34" authorId="23"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4" authorId="24"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5" authorId="25"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5" authorId="26"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U37" authorId="27" shapeId="0" xr:uid="{0CFF5582-9153-4C81-BF2B-0E3E475CB2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compléter cette liste ?</t>
      </text>
    </comment>
    <comment ref="D46" authorId="28"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50" authorId="29"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9" authorId="30"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62" authorId="31"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70" authorId="32"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71" authorId="33"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71" authorId="34"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71" authorId="35"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72" authorId="36"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73" authorId="37"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C76" authorId="38" shapeId="0" xr:uid="{7BED2FAB-053B-044B-A4B2-EA939D9441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enlever car géré dans le code INSEE -&gt; le spécifier dans la description de la balise du code INSEE
Réponse :
    Etranger : 99 + code pays https://medecine.univ-lorraine.fr/sites/medecine.univ-lorraine.fr/files/users/DU_DIU/03_codes_pays.pdf</t>
      </text>
    </comment>
    <comment ref="H76" authorId="39"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X76" authorId="40" shapeId="0" xr:uid="{9EEEA36D-4CCB-4E28-A80B-46F1DF7D5A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RS-EDA-SMUR n'a pas le champ Pays comme il peut être déterminé via le code INSEE plus haut
Réponse :
    Ca serait plutôt à répercuter partout que faire des exceptions !
Réponse :
    Je le mets</t>
      </text>
    </comment>
    <comment ref="X77" authorId="41" shapeId="0" xr:uid="{81700F22-8DFB-6A4A-BE92-3A0EE1C56D8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nécessaire ???!!!
Réponse :
    Si c'est un oubli je pense</t>
      </text>
    </comment>
    <comment ref="B78" authorId="42"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8" authorId="43"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9" authorId="44"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9" authorId="45"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80" authorId="46"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82" authorId="47"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82" authorId="48"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X82" authorId="49" shapeId="0" xr:uid="{0E967918-B0FF-874A-A786-2C84A1372A9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je pense que ça vaut le coup en 15-SMUR ! Par contre, je ne pense pas que ça doive être présent en 15-18 !
Réponse :
    En 15-18 c'est le commentaire de l'alerte initiale (il est presque indispensable), je ne sais plus pourquoi Philippe et Bruno n'ont pas conservé ces champs, je peux les ajouter</t>
      </text>
    </comment>
    <comment ref="D84" authorId="50" shapeId="0" xr:uid="{9C971BC8-B630-4062-8B21-00AD945C06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Permet de passer les informations spécifiques à l' ARM sur le dossier </t>
      </text>
    </comment>
    <comment ref="H86" authorId="51"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8" authorId="52"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90" authorId="53"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90" authorId="54"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91" authorId="55"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92" authorId="56" shapeId="0" xr:uid="{EC4CA26B-FA56-44B7-9485-D7650DC1B37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fichier Nomenclatures EDA, 
onglet Type de requérant
Nom de la nomenclature : TYPAPPLT
Nomenclatures EDA.xlsx </t>
      </text>
    </comment>
    <comment ref="U93" authorId="57"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94" authorId="58"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94" authorId="59"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94" authorId="60"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95" authorId="61"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8" authorId="62"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8" authorId="63"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C99" authorId="64"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9" authorId="65"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9" authorId="66"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Q100" authorId="67" shapeId="0" xr:uid="{CC5C1D76-D97F-4BE5-B966-DD495B85204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Retour de Philippe : peut-on le passer en optionnel, ce qui n'oblige pas les SAMU à répéter la qualification à chaque fois ?</t>
      </text>
    </comment>
    <comment ref="D102" authorId="68"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102" authorId="69"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4" authorId="70"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4" authorId="71"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4" authorId="72" shapeId="0" xr:uid="{17677DF8-67EB-4AE7-861C-BE96B97E6CB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
Réponse :
    Pas trouvée https://github.com/ansforge/SAMU-Hub-Modeles/tree/auto/model_tracker/nomenclature_parser/out/latest/csv </t>
      </text>
    </comment>
    <comment ref="H105" authorId="73"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X107" authorId="74" shapeId="0" xr:uid="{7364402D-5058-2242-A016-E8B1E4183D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peut-être plutôt le mettre partout pour le moment !
Réponse :
    OK</t>
      </text>
    </comment>
    <comment ref="T108" authorId="75"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8" authorId="76"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13" authorId="77"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4" authorId="78"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5" authorId="79"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X115" authorId="80" shapeId="0" xr:uid="{BACFA223-4DEE-A546-BEB9-1FAFD40935A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 ne le passer en 15-SMUR ? Ca peut permettre de savoir quel médecin régulateur a traité le dossier donc pratique lors du bilan/demande</t>
      </text>
    </comment>
    <comment ref="B119" authorId="81"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9" authorId="82"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23" authorId="83"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
Réponse :
    C’est quoi DOSSARD et PLACE ?</t>
      </text>
    </comment>
    <comment ref="H125" authorId="84"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5" authorId="85"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5" authorId="86"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
Réponse :
    Je n’ai pas compris
Réponse :
    c'est le même type que contact, on a bien les même valeurs EMSI que dans le type contact. Il n'y a rien ç faire, c'était une note en séance avec Philippe.</t>
      </text>
    </comment>
    <comment ref="U131" authorId="87"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33" authorId="88"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33" authorId="89"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8" authorId="90"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9" authorId="91"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9" authorId="92"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
Réponse :
    Donc 15 chiffres ? Si oui: “REGEX: \d{15}”</t>
      </text>
    </comment>
    <comment ref="E140" authorId="93"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40" authorId="94"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
Réponse :
    Ce sont que les 7 valeurs du PDF ? Si oui, directement une ENUM non ?</t>
      </text>
    </comment>
    <comment ref="D141" authorId="95"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V142" authorId="96" shapeId="0" xr:uid="{D6A4834D-81B9-1044-9BF4-F87F74ACF5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Donc on passe pas les nom / prénom des victimes en 15-NexSIS ?</t>
      </text>
    </comment>
    <comment ref="X143" authorId="97" shapeId="0" xr:uid="{3D102970-2CAE-5747-9D73-A1FBE73590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le prénom ??</t>
      </text>
    </comment>
    <comment ref="U146" authorId="98"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7" authorId="99"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7" authorId="100"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
Réponse :
    Juste 5 chiffres ou lettres non ? Si oui, “REGEX: \w{5}”</t>
      </text>
    </comment>
    <comment ref="C149" authorId="101"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9" authorId="102"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51" authorId="103"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53" authorId="104"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4" authorId="105"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6" authorId="106"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
Réponse :
    A confirmer mais j’ai l’impression que c’est XXXX.X =&gt; “REGEX: \w{4}(\.\w)?”</t>
      </text>
    </comment>
    <comment ref="Q157" authorId="107"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7" authorId="108"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8" authorId="109"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8" authorId="110"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62" authorId="111"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71" authorId="112" shapeId="0" xr:uid="{6542F462-2A54-48A5-9A62-7E7CFBDF2B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U174" authorId="113"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84" authorId="114" shapeId="0" xr:uid="{35BA8B78-AE32-4EC9-9879-4001991845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84" authorId="115"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K186" authorId="116" shapeId="0" xr:uid="{6729E6ED-B0CD-41F4-BDE9-63A71C3B0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D187" authorId="117" shapeId="0" xr:uid="{D0DA69C0-CE9E-4870-BE12-1DC6165B5C0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U187" authorId="118" shapeId="0" xr:uid="{964987F5-BD33-4AED-972B-3B2857629C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correspondante</t>
      </text>
    </comment>
    <comment ref="D188" authorId="119" shapeId="0" xr:uid="{56A2AD22-1E72-4495-AF2F-6EFF0E07EC5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
Réponse :
    Mettre un objet identique à l'adresse de localisation. Pour pouvoir amener les personnes à n'importe quel endroit (y compris à domicile).
+ ajouter un champ FINESS ?</t>
      </text>
    </comment>
    <comment ref="E189" authorId="120" shapeId="0" xr:uid="{C8748D8D-BB3A-4C14-BADE-D16F623067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C191" authorId="121"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91" authorId="122"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W191" authorId="123" shapeId="0" xr:uid="{EC03513B-C463-ED45-B66B-DD6C50DF22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A enlever non ?
Réponse :
    non : si le LRM gère plusieurs appel, on peut le laisser. De toute façon j'enlève plus rien, on verra à la prochaine publication.
On ne sait pas comment on gère les mises à jour, tant que ce sujet n'est pas réglé je laisse. 
</t>
      </text>
    </comment>
    <comment ref="Q193" authorId="124" shapeId="0" xr:uid="{56075946-9C3F-8345-89AE-75C567E0E4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0..3</t>
      </text>
    </comment>
    <comment ref="A198" authorId="125"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98" authorId="126" shapeId="0" xr:uid="{3792C7C2-9F65-4E58-AF0D-9CB49954D7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Différent en inter-force : contient des infos sur l'affaire de type 'la voiture est retourné', 'forcené sur les lieux'. C'est donc différent des info purement patient/victime.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tc={01361339-10D3-48AC-A489-2044EDD6D1C5}</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C102" authorId="2"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3"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tc={4FC34D19-52DE-449A-AEA2-BE9696950733}</author>
    <author>tc={5C2C82CE-4819-4786-825F-A15C43C07BD1}</author>
    <author>tc={2B8BB9CF-F24E-4529-8CF6-DE80AE8CF1AA}</author>
    <author>tc={953CCFA9-18F1-49C4-ABCE-A8F9A60BE853}</author>
    <author>tc={22BD1288-E0C6-964D-8449-E80317449401}</author>
    <author>tc={E2DB24A4-1E97-4CF6-8E77-B121328CAC25}</author>
    <author>tc={EDD2F26A-0557-4900-A890-3DE1CD3F9206}</author>
    <author>tc={38F37FE5-9E0C-47D5-BA06-4AF938962624}</author>
    <author>tc={38D22A15-7BA4-4C71-9C64-E58F628C4E93}</author>
  </authors>
  <commentList>
    <comment ref="H1" authorId="0" shapeId="0" xr:uid="{4FC34D19-52DE-449A-AEA2-BE969695073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5C2C82CE-4819-4786-825F-A15C43C07B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2B8BB9CF-F24E-4529-8CF6-DE80AE8CF1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953CCFA9-18F1-49C4-ABCE-A8F9A60BE85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B12" authorId="4" shapeId="0" xr:uid="{22BD1288-E0C6-964D-8449-E803174494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P42" authorId="5" shapeId="0" xr:uid="{E2DB24A4-1E97-4CF6-8E77-B121328CAC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N48" authorId="6" shapeId="0" xr:uid="{EDD2F26A-0557-4900-A890-3DE1CD3F92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P51" authorId="7" shapeId="0" xr:uid="{38F37FE5-9E0C-47D5-BA06-4AF9389626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compléter cette liste ?</t>
      </text>
    </comment>
    <comment ref="L76" authorId="8" shapeId="0" xr:uid="{38D22A15-7BA4-4C71-9C64-E58F628C4E9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tc={2A3E4B9B-5881-4B0A-8BC9-E70E8861F387}</author>
    <author>tc={0CF11431-BA27-4A08-A908-C5E8B2A17D25}</author>
    <author>tc={B34685CE-7E85-4538-A295-D11534BA03B8}</author>
    <author>tc={635B7789-0EF6-4625-9FAB-44AB86872C98}</author>
    <author>tc={4DA601C9-6AF5-499E-857A-82256D1E8538}</author>
  </authors>
  <commentList>
    <comment ref="B8" authorId="0" shapeId="0" xr:uid="{2A3E4B9B-5881-4B0A-8BC9-E70E8861F38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1" shapeId="0" xr:uid="{0CF11431-BA27-4A08-A908-C5E8B2A17D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N20" authorId="2" shapeId="0" xr:uid="{B34685CE-7E85-4538-A295-D11534BA03B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P23" authorId="3" shapeId="0" xr:uid="{635B7789-0EF6-4625-9FAB-44AB86872C9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compléter cette liste ?</t>
      </text>
    </comment>
    <comment ref="L48" authorId="4" shapeId="0" xr:uid="{4DA601C9-6AF5-499E-857A-82256D1E853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tc={6FE43FAC-640B-4B23-AE30-C5EC003889C6}</author>
    <author>tc={F655AB1D-01D7-439F-A55F-44DB596DD0AC}</author>
    <author>tc={E48E6C14-8065-49AA-9716-94F0B7E75F37}</author>
    <author>tc={DF2AA6CA-FC70-4347-B614-9ADC9E1E6905}</author>
  </authors>
  <commentList>
    <comment ref="H1" authorId="0" shapeId="0" xr:uid="{6FE43FAC-640B-4B23-AE30-C5EC003889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F655AB1D-01D7-439F-A55F-44DB596DD0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E48E6C14-8065-49AA-9716-94F0B7E75F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P40" authorId="3" shapeId="0" xr:uid="{DF2AA6CA-FC70-4347-B614-9ADC9E1E690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List>
</comments>
</file>

<file path=xl/sharedStrings.xml><?xml version="1.0" encoding="utf-8"?>
<sst xmlns="http://schemas.openxmlformats.org/spreadsheetml/2006/main" count="10785" uniqueCount="2684">
  <si>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</si>
  <si>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</si>
  <si>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</si>
  <si>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</si>
  <si>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</si>
  <si>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</si>
  <si>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</si>
  <si>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</si>
  <si>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</si>
  <si>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</si>
  <si>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</si>
  <si>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</si>
  <si>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</si>
  <si>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</si>
  <si>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</si>
  <si>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</si>
  <si>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</si>
  <si>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</si>
  <si>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</si>
  <si>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</si>
  <si>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</si>
  <si>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</si>
  <si>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</si>
  <si>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</si>
  <si>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</si>
  <si>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</si>
  <si>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</si>
  <si>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</si>
  <si>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</si>
  <si>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</si>
  <si>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</si>
  <si>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</si>
  <si>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</si>
  <si>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</si>
  <si>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</si>
  <si>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</si>
  <si>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</si>
  <si>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</si>
  <si>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</si>
  <si>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</si>
  <si>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</si>
  <si>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</si>
  <si>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</si>
  <si>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</si>
  <si>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</si>
  <si>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</si>
  <si>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</si>
  <si>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</si>
  <si>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</si>
  <si>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</si>
  <si>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</si>
  <si>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</si>
  <si>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</si>
  <si>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</si>
  <si>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</si>
  <si>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</si>
  <si>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</si>
  <si>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</si>
  <si>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</si>
  <si>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</si>
  <si>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</si>
  <si>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</si>
  <si>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</si>
  <si>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</si>
  <si>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</si>
  <si>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</si>
  <si>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</si>
  <si>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</si>
  <si>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</si>
  <si>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</si>
  <si>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</si>
  <si>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</si>
  <si>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</si>
  <si>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</si>
  <si>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</si>
  <si>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</si>
  <si>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</si>
  <si>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</si>
  <si>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</si>
  <si>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</si>
  <si>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</si>
  <si>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</si>
  <si>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</si>
  <si>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</si>
  <si>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</si>
  <si>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</si>
  <si>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</si>
  <si>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</si>
  <si>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</si>
  <si>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</si>
  <si>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</si>
  <si>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</si>
  <si>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</si>
  <si>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</si>
  <si>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</si>
  <si>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</si>
  <si>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</si>
  <si>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</si>
  <si>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</si>
  <si>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</si>
  <si>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</si>
  <si>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</si>
  <si>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</si>
  <si>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</si>
  <si>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</si>
  <si>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</si>
  <si>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</si>
  <si>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</si>
  <si>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</si>
  <si>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</si>
  <si>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</si>
  <si>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</si>
  <si>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</si>
  <si>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</si>
  <si>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</si>
  <si>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</si>
  <si>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</si>
  <si>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</si>
  <si>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</si>
  <si>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</si>
  <si>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</si>
  <si>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</si>
  <si>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</si>
  <si>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</si>
  <si>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</si>
  <si>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</si>
  <si>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</si>
  <si>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</si>
  <si>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</si>
  <si>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</si>
  <si>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</si>
  <si>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</si>
  <si>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</si>
  <si>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</si>
  <si>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</si>
  <si>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</si>
  <si>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</si>
  <si>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</si>
  <si>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</si>
  <si>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</si>
  <si>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</si>
  <si>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</si>
  <si>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</si>
  <si>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</si>
  <si>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</si>
  <si>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</si>
  <si>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</si>
  <si>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</si>
  <si>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</si>
  <si>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</si>
  <si>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</si>
  <si>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</si>
  <si>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</si>
  <si>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</si>
  <si>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</si>
  <si>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</si>
  <si>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</si>
  <si>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</si>
  <si>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</si>
  <si>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</si>
  <si>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</si>
  <si>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</si>
  <si>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</si>
  <si>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</si>
  <si>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</si>
  <si>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</si>
  <si>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</si>
  <si>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</si>
  <si>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</si>
  <si>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</si>
  <si>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</si>
  <si>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</si>
  <si>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</si>
  <si>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</si>
  <si>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</si>
  <si>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</si>
  <si>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</si>
  <si>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</si>
  <si>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</si>
  <si>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</si>
  <si>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</si>
  <si>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</si>
  <si>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</si>
  <si>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</si>
  <si>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</si>
  <si>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</si>
  <si>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</si>
  <si>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</si>
  <si>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</si>
  <si>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</si>
  <si>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</si>
  <si>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</si>
  <si>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</si>
  <si>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</si>
  <si>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</si>
  <si>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</si>
  <si>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</si>
  <si>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</si>
  <si>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</si>
  <si>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</si>
  <si>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</si>
  <si>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</si>
  <si>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</si>
  <si>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</si>
  <si>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</si>
  <si>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</si>
  <si>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</si>
  <si>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</si>
  <si>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</si>
  <si>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</si>
  <si>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</si>
  <si>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</si>
  <si>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</si>
  <si>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</si>
  <si>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</si>
  <si>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</si>
  <si>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</si>
  <si>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</si>
  <si>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</si>
  <si>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</si>
  <si>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</si>
  <si>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</si>
  <si>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</si>
  <si>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</si>
  <si>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</si>
  <si>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</si>
  <si>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</si>
  <si>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</si>
  <si>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</si>
  <si>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</si>
  <si>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</si>
  <si>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</si>
  <si>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</si>
  <si>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</si>
  <si>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</si>
  <si>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</si>
  <si>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</si>
  <si>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</si>
  <si>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</si>
  <si>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</si>
  <si>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</si>
  <si>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</si>
  <si>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</si>
  <si>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</si>
  <si>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</si>
  <si>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</si>
  <si>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</si>
  <si>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</si>
  <si>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</si>
  <si>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</si>
  <si>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</si>
  <si>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</si>
  <si>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</si>
  <si>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</si>
  <si>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</si>
  <si>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</si>
  <si>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</si>
  <si>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</si>
  <si>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</si>
  <si>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</si>
  <si>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</si>
  <si>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</si>
  <si>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</si>
  <si>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</si>
  <si>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</si>
  <si>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</si>
  <si>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</si>
  <si>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</si>
  <si>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</si>
  <si>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</si>
  <si>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</si>
  <si>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</si>
  <si>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</si>
  <si>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</si>
  <si>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</si>
  <si>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</si>
  <si>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</si>
  <si>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</si>
  <si>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</si>
  <si>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</si>
  <si>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</si>
  <si>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</si>
  <si>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</si>
  <si>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</si>
  <si>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</si>
  <si>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</si>
  <si>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</si>
  <si>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</si>
  <si>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</si>
  <si>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</si>
  <si>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</si>
  <si>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</si>
  <si>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</si>
  <si>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</si>
  <si>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</si>
  <si>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</si>
  <si>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</si>
  <si>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</si>
  <si>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</si>
  <si>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</si>
  <si>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</si>
  <si>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</si>
  <si>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</si>
  <si>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</si>
  <si>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</si>
  <si>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</si>
  <si>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</si>
  <si>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</si>
  <si>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</si>
  <si>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</si>
  <si>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</si>
  <si>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</si>
  <si>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</si>
  <si>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</si>
  <si>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</si>
  <si>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</si>
  <si>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</si>
  <si>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</si>
  <si>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</si>
  <si>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</si>
  <si>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</si>
  <si>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</si>
  <si>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</si>
  <si>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</si>
  <si>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</si>
  <si>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</si>
  <si>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</si>
  <si>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</si>
  <si>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</si>
  <si>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</si>
  <si>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</si>
  <si>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</si>
  <si>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</si>
  <si>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</si>
  <si>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</si>
  <si>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</si>
  <si>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</si>
  <si>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</si>
  <si>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</si>
  <si>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</si>
  <si>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</si>
  <si>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</si>
  <si>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</si>
  <si>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</si>
  <si>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</si>
  <si>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</si>
  <si>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</si>
  <si>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</si>
  <si>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</si>
  <si>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</si>
  <si>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</si>
  <si>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</si>
  <si>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</si>
  <si>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</si>
  <si>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</si>
  <si>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</si>
  <si>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</si>
  <si>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</si>
  <si>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</si>
  <si>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</si>
  <si>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</si>
  <si>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</si>
  <si>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</si>
  <si>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</si>
  <si>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</si>
  <si>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</si>
  <si>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</si>
  <si>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</si>
  <si>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</si>
  <si>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</si>
  <si>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</si>
  <si>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</si>
  <si>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</si>
  <si>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</si>
  <si>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</si>
  <si>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</si>
  <si>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</si>
  <si>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</si>
  <si>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</si>
  <si>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</si>
  <si>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</si>
  <si>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</si>
  <si>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</si>
  <si>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</si>
  <si>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</si>
  <si>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</si>
  <si>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</si>
  <si>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</si>
  <si>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</si>
  <si>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</si>
  <si>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</si>
  <si>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</si>
  <si>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</si>
  <si>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</si>
  <si>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</si>
  <si>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</si>
  <si>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</si>
  <si>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</si>
  <si>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</si>
  <si>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</si>
  <si>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</si>
  <si>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</si>
  <si>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</si>
  <si>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</si>
  <si>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</si>
  <si>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</si>
  <si>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</si>
  <si>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</si>
  <si>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</si>
  <si>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</si>
  <si>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</si>
  <si>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</si>
  <si>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</si>
  <si>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</si>
  <si>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</si>
  <si>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</si>
  <si>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</si>
  <si>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</si>
  <si>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</si>
  <si>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</si>
  <si>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</si>
  <si>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</si>
  <si>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</si>
  <si>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</si>
  <si>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</si>
  <si>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</si>
  <si>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</si>
  <si>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</si>
  <si>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</si>
  <si>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</si>
  <si>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</si>
  <si>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</si>
  <si>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</si>
  <si>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</si>
  <si>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</si>
  <si>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</si>
  <si>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</si>
  <si>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</si>
  <si>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</si>
  <si>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</si>
  <si>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</si>
  <si>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</si>
  <si>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</si>
  <si>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</si>
  <si>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</si>
  <si>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</si>
  <si>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</si>
  <si>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</si>
  <si>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</si>
  <si>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</si>
  <si>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</si>
  <si>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</si>
  <si>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</si>
  <si>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</si>
  <si>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</si>
  <si>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</si>
  <si>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</si>
  <si>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</si>
  <si>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</si>
  <si>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</si>
  <si>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</si>
  <si>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</si>
  <si>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</si>
  <si>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</si>
  <si>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</si>
  <si>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</si>
  <si>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</si>
  <si>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</si>
  <si>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</si>
  <si>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</si>
  <si>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</si>
  <si>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</si>
  <si>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</si>
  <si>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</si>
  <si>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</si>
  <si>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</si>
  <si>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</si>
  <si>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</si>
  <si>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</si>
  <si>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</si>
  <si>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</si>
  <si>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</si>
  <si>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</si>
  <si>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</si>
  <si>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</si>
  <si>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</si>
  <si>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</si>
  <si>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</si>
  <si>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</si>
  <si>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</si>
  <si>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</si>
  <si>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</si>
  <si>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</si>
  <si>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</si>
  <si>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</si>
  <si>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</si>
  <si>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</si>
  <si>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</si>
  <si>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</si>
  <si>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</si>
  <si>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</si>
  <si>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</si>
  <si>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</si>
  <si>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</si>
  <si>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</si>
  <si>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</si>
  <si>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</si>
  <si>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</si>
  <si>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</si>
  <si>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</si>
  <si>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</si>
  <si>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</si>
  <si>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</si>
  <si>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</si>
  <si>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</si>
  <si>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</si>
  <si>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</si>
  <si>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</si>
  <si>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</si>
  <si>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</si>
  <si>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</si>
  <si>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</si>
  <si>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</si>
  <si>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</si>
  <si>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</si>
  <si>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</si>
  <si>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</si>
  <si>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</si>
  <si>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</si>
  <si>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</si>
  <si>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</si>
  <si>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</si>
  <si>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</si>
  <si>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</si>
  <si>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</si>
  <si>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</si>
  <si>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</si>
  <si>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</si>
  <si>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</si>
  <si>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</si>
  <si>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</si>
  <si>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</si>
  <si>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</si>
  <si>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</si>
  <si>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</si>
  <si>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</si>
  <si>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</si>
  <si>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</si>
  <si>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</si>
  <si>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</si>
  <si>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</si>
  <si>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</si>
  <si>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</si>
  <si>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</si>
  <si>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</si>
  <si>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</si>
  <si>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</si>
  <si>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</si>
  <si>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</si>
  <si>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</si>
  <si>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</si>
  <si>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</si>
  <si>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</si>
  <si>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</si>
  <si>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</si>
  <si>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</si>
  <si>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</si>
  <si>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</si>
  <si>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</si>
  <si>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</si>
  <si>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</si>
  <si>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</si>
  <si>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</si>
  <si>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</si>
  <si>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</si>
  <si>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</si>
  <si>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</si>
  <si>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</si>
  <si>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</si>
  <si>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</si>
  <si>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</si>
  <si>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</si>
  <si>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</si>
  <si>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</si>
  <si>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</si>
  <si>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</si>
  <si>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</si>
  <si>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</si>
  <si>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</si>
  <si>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</si>
  <si>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</si>
  <si>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</si>
  <si>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</si>
  <si>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</si>
  <si>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</si>
  <si>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</si>
  <si>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</si>
  <si>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</si>
  <si>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</si>
  <si>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</si>
  <si>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</si>
  <si>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</si>
  <si>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</si>
  <si>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</si>
  <si>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</si>
  <si>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</si>
  <si>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</si>
  <si>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</si>
  <si>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</si>
  <si>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</si>
  <si>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</si>
  <si>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</si>
  <si>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</si>
  <si>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</si>
  <si>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</si>
  <si>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</si>
  <si>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</si>
  <si>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</si>
  <si>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</si>
  <si>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</si>
  <si>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</si>
  <si>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</si>
  <si>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</si>
  <si>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</si>
  <si>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</si>
  <si>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</si>
  <si>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</si>
  <si>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</si>
  <si>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</si>
  <si>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</si>
  <si>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</si>
  <si>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</si>
  <si>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</si>
  <si>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</si>
  <si>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</si>
  <si>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</si>
  <si>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</si>
  <si>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</si>
  <si>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</si>
  <si>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</si>
  <si>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</si>
  <si>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</si>
  <si>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</si>
  <si>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</si>
  <si>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</si>
  <si>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</si>
  <si>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</si>
  <si>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</si>
  <si>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</si>
  <si>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</si>
  <si>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</si>
  <si>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</si>
  <si>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</si>
  <si>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</si>
  <si>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</si>
  <si>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</si>
  <si>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</si>
  <si>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</si>
  <si>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</si>
  <si>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</si>
  <si>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</si>
  <si>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</si>
  <si>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</si>
  <si>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</si>
  <si>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</si>
  <si>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</si>
  <si>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</si>
  <si>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</si>
  <si>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</si>
  <si>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</si>
  <si>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</si>
  <si>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</si>
  <si>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</si>
  <si>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</si>
  <si>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</si>
  <si>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</si>
  <si>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</si>
  <si>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</si>
  <si>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</si>
  <si>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</si>
  <si>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</si>
  <si>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</si>
  <si>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</si>
  <si>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</si>
  <si>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</si>
  <si>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</si>
  <si>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</si>
  <si>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</si>
  <si>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</si>
  <si>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</si>
  <si>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</si>
  <si>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</si>
  <si>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</si>
  <si>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</si>
  <si>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</si>
  <si>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</si>
  <si>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</si>
  <si>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</si>
  <si>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</si>
  <si>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</si>
  <si>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</si>
  <si>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</si>
  <si>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</si>
  <si>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</si>
  <si>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</si>
  <si>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</si>
  <si>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</si>
  <si>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</si>
  <si>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</si>
  <si>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</si>
  <si>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</si>
  <si>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</si>
  <si>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</si>
  <si>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</si>
  <si>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</si>
  <si>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</si>
  <si>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</si>
  <si>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</si>
  <si>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</si>
  <si>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</si>
  <si>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</si>
  <si>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</si>
  <si>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</si>
  <si>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</si>
  <si>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</si>
  <si>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</si>
  <si>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</si>
  <si>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</si>
  <si>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</si>
  <si>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</si>
  <si>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</si>
  <si>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</si>
  <si>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</si>
  <si>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</si>
  <si>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</si>
  <si>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</si>
  <si>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</si>
  <si>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</si>
  <si>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</si>
  <si>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</si>
  <si>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</si>
  <si>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</si>
  <si>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</si>
  <si>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</si>
  <si>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</si>
  <si>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</si>
  <si>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</si>
  <si>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</si>
  <si>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</si>
  <si>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</si>
  <si>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</si>
  <si>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</si>
  <si>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</si>
  <si>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</si>
  <si>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</si>
  <si>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</si>
  <si>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</si>
  <si>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</si>
  <si>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</si>
  <si>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</si>
  <si>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</si>
  <si>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</si>
  <si>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</si>
  <si>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</si>
  <si>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</si>
  <si>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</si>
  <si>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</si>
  <si>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</si>
  <si>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</si>
  <si>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</si>
  <si>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</si>
  <si>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</si>
  <si>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</si>
  <si>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</si>
  <si>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</si>
  <si>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</si>
  <si>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</si>
  <si>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</si>
  <si>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</si>
  <si>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</si>
  <si>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</si>
  <si>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</si>
  <si>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</si>
  <si>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</si>
  <si>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</si>
  <si>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</si>
  <si>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</si>
  <si>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</si>
  <si>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</si>
  <si>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</si>
  <si>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</si>
  <si>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</si>
  <si>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</si>
  <si>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</si>
  <si>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</si>
  <si>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</si>
  <si>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</si>
  <si>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</si>
  <si>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</si>
  <si>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</si>
  <si>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</si>
  <si>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</si>
  <si>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</si>
  <si>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</si>
  <si>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</si>
  <si>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</si>
  <si>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</si>
  <si>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</si>
  <si>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</si>
  <si>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</si>
  <si>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</si>
  <si>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</si>
  <si>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</si>
  <si>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</si>
  <si>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</si>
  <si>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</si>
  <si>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</si>
  <si>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</si>
  <si>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</si>
  <si>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</si>
  <si>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</si>
  <si>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</si>
  <si>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</si>
  <si>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</si>
  <si>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</si>
  <si>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</si>
  <si>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</si>
  <si>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</si>
  <si>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</si>
  <si>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</si>
  <si>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</si>
  <si>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</si>
  <si>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</si>
  <si>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</si>
  <si>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</si>
  <si>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</si>
  <si>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</si>
  <si>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</si>
  <si>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</si>
  <si>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</si>
  <si>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</si>
  <si>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</si>
  <si>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</si>
  <si>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</si>
  <si>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</si>
  <si>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</si>
  <si>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</si>
  <si>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</si>
  <si>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</si>
  <si>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</si>
  <si>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</si>
  <si>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</si>
  <si>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</si>
  <si>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</si>
  <si>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</si>
  <si>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</si>
  <si>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</si>
  <si>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</si>
  <si>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</si>
  <si>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</si>
  <si>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</si>
  <si>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</si>
  <si>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</si>
  <si>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</si>
  <si>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</si>
  <si>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</si>
  <si>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</si>
  <si>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</si>
  <si>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</si>
  <si>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</si>
  <si>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</si>
  <si>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</si>
  <si>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</si>
  <si>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</si>
  <si>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</si>
  <si>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</si>
  <si>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</si>
  <si>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</si>
  <si>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</si>
  <si>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</si>
  <si>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</si>
  <si>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</si>
  <si>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</si>
  <si>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</si>
  <si>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</si>
  <si>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</si>
  <si>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</si>
  <si>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</si>
  <si>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</si>
  <si>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</si>
  <si>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</si>
  <si>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</si>
  <si>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</si>
  <si>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</si>
  <si>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</si>
  <si>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</si>
  <si>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</si>
  <si>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</si>
  <si>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</si>
  <si>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</si>
  <si>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</si>
  <si>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</si>
  <si>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</si>
  <si>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</si>
  <si>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</si>
  <si>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</si>
  <si>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</si>
  <si>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</si>
  <si>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</si>
  <si>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</si>
  <si>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</si>
  <si>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</si>
  <si>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</si>
  <si>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</si>
  <si>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</si>
  <si>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</si>
  <si>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</si>
  <si>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</si>
  <si>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</si>
  <si>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</si>
  <si>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</si>
  <si>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</si>
  <si>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</si>
  <si>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</si>
  <si>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</si>
  <si>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</si>
  <si>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</si>
  <si>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</si>
  <si>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</si>
  <si>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</si>
  <si>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</si>
  <si>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</si>
  <si>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</si>
  <si>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</si>
  <si>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</si>
  <si>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</si>
  <si>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</si>
  <si>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</si>
  <si>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</si>
  <si>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</si>
  <si>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</si>
  <si>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</si>
  <si>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Nouveau</t>
  </si>
  <si>
    <t>Déplacé</t>
  </si>
  <si>
    <t>Renommé</t>
  </si>
  <si>
    <t xml:space="preserve">Message : </t>
  </si>
  <si>
    <t>ID dossier partagé</t>
  </si>
  <si>
    <t>Objet du message (raison de l’envoi) : nomenclature à prévoir (demande de régulation, demande effecteur, statut, message information, etc.)</t>
  </si>
  <si>
    <t>Exos/RRAMU</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</si>
  <si>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</si>
  <si>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</si>
  <si>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</si>
  <si>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</si>
  <si>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</si>
  <si>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</si>
  <si>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</si>
  <si>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</si>
  <si>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</si>
  <si>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</si>
  <si>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</si>
  <si>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Filière</t>
  </si>
  <si>
    <t>Sert à indiquer à quelle filière du CRRA le dossier doit être adressé/affiché</t>
  </si>
  <si>
    <t>AMU</t>
  </si>
  <si>
    <t>perimeter</t>
  </si>
  <si>
    <t>ENUM: AMU, SMP, NEONAT, SNP</t>
  </si>
  <si>
    <t>nomenclature à prévoir  (AMU, SMP , NEONAT ; SNP..)</t>
  </si>
  <si>
    <t>Type de dossier</t>
  </si>
  <si>
    <t>Indiquer s'il s'agit d'un dossier dit primaire (première intervention urgente) ou secondaire (par exemple TIH)</t>
  </si>
  <si>
    <t>Primaire</t>
  </si>
  <si>
    <t>type</t>
  </si>
  <si>
    <t>ENUM: Primaire, Secondaire</t>
  </si>
  <si>
    <t>Qualification</t>
  </si>
  <si>
    <t>Permet de qualifier l'affaire en générale. La qualification est issue d'une interprétation métier des alertes reçues.</t>
  </si>
  <si>
    <t>alertCode</t>
  </si>
  <si>
    <t>qualification</t>
  </si>
  <si>
    <t>Observations  ARM</t>
  </si>
  <si>
    <t xml:space="preserve">Passe l'ensemble des observations générales ARM du dossier en texte libre </t>
  </si>
  <si>
    <t>Prévoir beaucoup de caractères (long) pour le format</t>
  </si>
  <si>
    <t xml:space="preserve">Priorisation ARM </t>
  </si>
  <si>
    <t>Décrit la priorité de régulation médicale du dossier : P0, P1, P2, P3</t>
  </si>
  <si>
    <t>P1</t>
  </si>
  <si>
    <t>priority</t>
  </si>
  <si>
    <t>onglet Priorité de régulation médicale</t>
  </si>
  <si>
    <t>nomenclature guide de regul (sfmu sudf)</t>
  </si>
  <si>
    <t>Nature de fait</t>
  </si>
  <si>
    <t># Voir whatsHappen (type nomenclature)</t>
  </si>
  <si>
    <t>Décrit le type de lieu (TL). Référentiel : nomenclature CISU</t>
  </si>
  <si>
    <t>whatsHappen</t>
  </si>
  <si>
    <t>CI</t>
  </si>
  <si>
    <t>Type de lieu d'intervention</t>
  </si>
  <si>
    <t>nomenclature</t>
  </si>
  <si>
    <t>nomenclature CISU</t>
  </si>
  <si>
    <t>Type de lieu</t>
  </si>
  <si>
    <t>Décrit la nature de fait de l'alerte (NF) à partir de la nomenclature CISU.
Le champs freetext sert à passer les informations de gestion des évènements (main courante sans les informations médicales privilégiées).</t>
  </si>
  <si>
    <t>locationKind</t>
  </si>
  <si>
    <t>CE/CK</t>
  </si>
  <si>
    <t>raison de l'appel</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</si>
  <si>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</si>
  <si>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</si>
  <si>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</si>
  <si>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</si>
  <si>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</si>
  <si>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</si>
  <si>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</si>
  <si>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Commentaire libre permettant de passer des informations complémentaires associées à la nomenclature</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</si>
  <si>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</si>
  <si>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</si>
  <si>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</si>
  <si>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</si>
  <si>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</si>
  <si>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</si>
  <si>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</si>
  <si>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</si>
  <si>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</si>
  <si>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</si>
  <si>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</si>
  <si>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</si>
  <si>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</si>
  <si>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D/DR/DRM si cycle SI-SAMU implémenté</t>
  </si>
  <si>
    <t>DR</t>
  </si>
  <si>
    <t>ENUM: D, DR, DRM 
NOMENC_TYPEDOS</t>
  </si>
  <si>
    <t>ok enum, pas de code</t>
  </si>
  <si>
    <t>Attribution du dossier</t>
  </si>
  <si>
    <t>Décrit le type de professionnel médical à qui le dossier est attribué : Médecin généraliste, médecin urgentiste etc.</t>
  </si>
  <si>
    <t>MU</t>
  </si>
  <si>
    <t>attribution</t>
  </si>
  <si>
    <t>onglet Attribution du dossier.</t>
  </si>
  <si>
    <t>nomenclature à retravailler</t>
  </si>
  <si>
    <t>Priorité de régulation médicale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</si>
  <si>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</si>
  <si>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</si>
  <si>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</si>
  <si>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</si>
  <si>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</si>
  <si>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</si>
  <si>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</si>
  <si>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</si>
  <si>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</si>
  <si>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</si>
  <si>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</si>
  <si>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</si>
  <si>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</si>
  <si>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</si>
  <si>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</si>
  <si>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</si>
  <si>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</si>
  <si>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</si>
  <si>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Origine de l'appel</t>
  </si>
  <si>
    <t>15,18,17,112,116</t>
  </si>
  <si>
    <t>ENUM: 15, 17, 18, 112, 116117</t>
  </si>
  <si>
    <t>Adresse</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</si>
  <si>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</si>
  <si>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</si>
  <si>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</si>
  <si>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</si>
  <si>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</si>
  <si>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</si>
  <si>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</si>
  <si>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</si>
  <si>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</si>
  <si>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</si>
  <si>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</si>
  <si>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</si>
  <si>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Etablissement, forêt de Fontainebleau, lac du Der (plutôt à destination des systèmes).</t>
  </si>
  <si>
    <t>Lycée Pierre de Coubertin</t>
  </si>
  <si>
    <t>LE/L4</t>
  </si>
  <si>
    <t>Nom de l'établissement répertorié/point d'intérêt</t>
  </si>
  <si>
    <t>Identifiant(s) du lieu</t>
  </si>
  <si>
    <t>Permet d'identifier une structure commerciale ou un établissement</t>
  </si>
  <si>
    <t>externalLocationId</t>
  </si>
  <si>
    <t>Source  /  type d'identifiant</t>
  </si>
  <si>
    <t>Type de l'identifiant fourni</t>
  </si>
  <si>
    <t>FINESS géographique, FINESS administratif, SIREN, SIRET, APE, NAF</t>
  </si>
  <si>
    <t>ENUM: FINESS administratif, FINESS géographique, SIREN, SIRET, APE/NAF</t>
  </si>
  <si>
    <t>énumération partielle pour le moment, nomenclature à créer</t>
  </si>
  <si>
    <t>nomenclature à créer</t>
  </si>
  <si>
    <t>Identifiant</t>
  </si>
  <si>
    <t>L'identifiant en lui-même</t>
  </si>
  <si>
    <t>920000650 </t>
  </si>
  <si>
    <t>value</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</si>
  <si>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</si>
  <si>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</si>
  <si>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</si>
  <si>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</si>
  <si>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</si>
  <si>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</si>
  <si>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</si>
  <si>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</si>
  <si>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</si>
  <si>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</si>
  <si>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</si>
  <si>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</si>
  <si>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</si>
  <si>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</si>
  <si>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</si>
  <si>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</si>
  <si>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</si>
  <si>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</si>
  <si>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</si>
  <si>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</si>
  <si>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</si>
  <si>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</si>
  <si>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</si>
  <si>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</si>
  <si>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</si>
  <si>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</si>
  <si>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</si>
  <si>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</si>
  <si>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</si>
  <si>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</si>
  <si>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</si>
  <si>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</si>
  <si>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</si>
  <si>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</si>
  <si>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</si>
  <si>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</si>
  <si>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</si>
  <si>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</si>
  <si>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</si>
  <si>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</si>
  <si>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</si>
  <si>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</si>
  <si>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</si>
  <si>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</si>
  <si>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</si>
  <si>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</si>
  <si>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</si>
  <si>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</si>
  <si>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</si>
  <si>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</si>
  <si>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</si>
  <si>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</si>
  <si>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</si>
  <si>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</si>
  <si>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</si>
  <si>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</si>
  <si>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</si>
  <si>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</si>
  <si>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</si>
  <si>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</si>
  <si>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</si>
  <si>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</si>
  <si>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</si>
  <si>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</si>
  <si>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</si>
  <si>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</si>
  <si>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</si>
  <si>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</si>
  <si>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</si>
  <si>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</si>
  <si>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</si>
  <si>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</si>
  <si>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</si>
  <si>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</si>
  <si>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</si>
  <si>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</si>
  <si>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</si>
  <si>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</si>
  <si>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</si>
  <si>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</si>
  <si>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</si>
  <si>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</si>
  <si>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</si>
  <si>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</si>
  <si>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</si>
  <si>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</si>
  <si>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</si>
  <si>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</si>
  <si>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</si>
  <si>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</si>
  <si>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</si>
  <si>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</si>
  <si>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</si>
  <si>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</si>
  <si>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</si>
  <si>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</si>
  <si>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</si>
  <si>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</si>
  <si>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</si>
  <si>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</si>
  <si>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</si>
  <si>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</si>
  <si>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</si>
  <si>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</si>
  <si>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</si>
  <si>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</si>
  <si>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</si>
  <si>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</si>
  <si>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</si>
  <si>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</si>
  <si>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</si>
  <si>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</si>
  <si>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</si>
  <si>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</si>
  <si>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</si>
  <si>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</si>
  <si>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</si>
  <si>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</si>
  <si>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</si>
  <si>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</si>
  <si>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</si>
  <si>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</si>
  <si>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</si>
  <si>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</si>
  <si>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</si>
  <si>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</si>
  <si>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</si>
  <si>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</si>
  <si>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</si>
  <si>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</si>
  <si>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</si>
  <si>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</si>
  <si>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</si>
  <si>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</si>
  <si>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</si>
  <si>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</si>
  <si>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</si>
  <si>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</si>
  <si>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</si>
  <si>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</si>
  <si>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</si>
  <si>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</si>
  <si>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</si>
  <si>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</si>
  <si>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</si>
  <si>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</si>
  <si>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</si>
  <si>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</si>
  <si>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</si>
  <si>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</si>
  <si>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</si>
  <si>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</si>
  <si>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</si>
  <si>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</si>
  <si>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</si>
  <si>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</si>
  <si>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</si>
  <si>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</si>
  <si>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</si>
  <si>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</si>
  <si>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</si>
  <si>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</si>
  <si>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</si>
  <si>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</si>
  <si>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</si>
  <si>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</si>
  <si>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</si>
  <si>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</si>
  <si>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</si>
  <si>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</si>
  <si>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</si>
  <si>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</si>
  <si>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</si>
  <si>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</si>
  <si>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</si>
  <si>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Appelant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</si>
  <si>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</si>
  <si>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</si>
  <si>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</si>
  <si>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</si>
  <si>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</si>
  <si>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</si>
  <si>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</si>
  <si>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</si>
  <si>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</si>
  <si>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</si>
  <si>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</si>
  <si>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</si>
  <si>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</si>
  <si>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</si>
  <si>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</si>
  <si>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</si>
  <si>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</si>
  <si>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</si>
  <si>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</si>
  <si>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</si>
  <si>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</si>
  <si>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</si>
  <si>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</si>
  <si>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</si>
  <si>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</si>
  <si>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</si>
  <si>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</si>
  <si>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</si>
  <si>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</si>
  <si>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d'appelant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</si>
  <si>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</si>
  <si>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</si>
  <si>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</si>
  <si>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</si>
  <si>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</si>
  <si>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</si>
  <si>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</si>
  <si>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</si>
  <si>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</si>
  <si>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</si>
  <si>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</si>
  <si>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</si>
  <si>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</si>
  <si>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</si>
  <si>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</si>
  <si>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</si>
  <si>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</si>
  <si>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</si>
  <si>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</si>
  <si>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</si>
  <si>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</si>
  <si>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</si>
  <si>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</si>
  <si>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</si>
  <si>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</si>
  <si>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</si>
  <si>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</si>
  <si>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</si>
  <si>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</si>
  <si>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</si>
  <si>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</si>
  <si>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</si>
  <si>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</si>
  <si>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</si>
  <si>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</si>
  <si>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</si>
  <si>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</si>
  <si>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</si>
  <si>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</si>
  <si>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</si>
  <si>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</si>
  <si>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</si>
  <si>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</si>
  <si>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</si>
  <si>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</si>
  <si>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</si>
  <si>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</si>
  <si>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</si>
  <si>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</si>
  <si>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</si>
  <si>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</si>
  <si>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</si>
  <si>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</si>
  <si>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</si>
  <si>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</si>
  <si>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</si>
  <si>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</si>
  <si>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</si>
  <si>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</si>
  <si>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</si>
  <si>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</si>
  <si>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</si>
  <si>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</si>
  <si>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</si>
  <si>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</si>
  <si>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</si>
  <si>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</si>
  <si>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</si>
  <si>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</si>
  <si>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</si>
  <si>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</si>
  <si>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</si>
  <si>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</si>
  <si>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</si>
  <si>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</si>
  <si>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</si>
  <si>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</si>
  <si>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</si>
  <si>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</si>
  <si>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</si>
  <si>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</si>
  <si>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</si>
  <si>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</si>
  <si>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</si>
  <si>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</si>
  <si>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</si>
  <si>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</si>
  <si>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</si>
  <si>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</si>
  <si>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</si>
  <si>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</si>
  <si>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</si>
  <si>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</si>
  <si>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</si>
  <si>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</si>
  <si>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</si>
  <si>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</si>
  <si>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</si>
  <si>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</si>
  <si>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</si>
  <si>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</si>
  <si>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</si>
  <si>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</si>
  <si>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</si>
  <si>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</si>
  <si>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</si>
  <si>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</si>
  <si>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</si>
  <si>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</si>
  <si>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</si>
  <si>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</si>
  <si>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</si>
  <si>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</si>
  <si>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</si>
  <si>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</si>
  <si>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</si>
  <si>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</si>
  <si>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</si>
  <si>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</si>
  <si>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</si>
  <si>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</si>
  <si>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</si>
  <si>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</si>
  <si>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</si>
  <si>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</si>
  <si>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</si>
  <si>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NIR, SINUS, SI-VIC, …</t>
  </si>
  <si>
    <t>ENUM: NIR, SINUS, SI-VIC, DOSSARD, PLACE</t>
  </si>
  <si>
    <t>Type et valeur des URI utilisées par le patient concerné</t>
  </si>
  <si>
    <t>remettre la nomenclature EMSI complète (cf objet dans 15-18)</t>
  </si>
  <si>
    <t>2 balises : type contact et no</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</si>
  <si>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</si>
  <si>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</si>
  <si>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</si>
  <si>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</si>
  <si>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</si>
  <si>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</si>
  <si>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</si>
  <si>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</si>
  <si>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Identifiant RPPS</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</si>
  <si>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</si>
  <si>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</si>
  <si>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</si>
  <si>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</si>
  <si>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</si>
  <si>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</si>
  <si>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</si>
  <si>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</si>
  <si>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</si>
  <si>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</si>
  <si>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</si>
  <si>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</si>
  <si>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</si>
  <si>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</si>
  <si>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</si>
  <si>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</si>
  <si>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</si>
  <si>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</si>
  <si>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</si>
  <si>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</si>
  <si>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</si>
  <si>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</si>
  <si>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</si>
  <si>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</si>
  <si>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</si>
  <si>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</si>
  <si>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</si>
  <si>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</si>
  <si>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</si>
  <si>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</si>
  <si>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</si>
  <si>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</si>
  <si>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</si>
  <si>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</si>
  <si>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</si>
  <si>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</si>
  <si>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</si>
  <si>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</si>
  <si>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</si>
  <si>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</si>
  <si>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</si>
  <si>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</si>
  <si>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</si>
  <si>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</si>
  <si>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</si>
  <si>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</si>
  <si>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</si>
  <si>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</si>
  <si>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</si>
  <si>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</si>
  <si>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</si>
  <si>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</si>
  <si>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Date de naissance</t>
  </si>
  <si>
    <t>Date de naissance du patient</t>
  </si>
  <si>
    <t>birthDate</t>
  </si>
  <si>
    <t>date</t>
  </si>
  <si>
    <t xml:space="preserve">Sexe </t>
  </si>
  <si>
    <t>Sexe du patient</t>
  </si>
  <si>
    <t>sex</t>
  </si>
  <si>
    <t>onglet sexe</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</si>
  <si>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</si>
  <si>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</si>
  <si>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</si>
  <si>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</si>
  <si>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</si>
  <si>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</si>
  <si>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</si>
  <si>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</si>
  <si>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</si>
  <si>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</si>
  <si>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</si>
  <si>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</si>
  <si>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</si>
  <si>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</si>
  <si>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</si>
  <si>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Au format Durée de la norme ISO 8601 (https://fr.wikipedia.org/wiki/ISO_8601#Dur%C3%A9e) en n'utilisant qu'une seule unité de durée (années, mois, semaines ou jours)</t>
  </si>
  <si>
    <t>P6Y</t>
  </si>
  <si>
    <t>age</t>
  </si>
  <si>
    <t>REGEX: P[0-9]{1,3}[YMWDH]</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</si>
  <si>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</si>
  <si>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</si>
  <si>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</si>
  <si>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</si>
  <si>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</si>
  <si>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</si>
  <si>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</si>
  <si>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</si>
  <si>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</si>
  <si>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</si>
  <si>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</si>
  <si>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</si>
  <si>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</si>
  <si>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</si>
  <si>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</si>
  <si>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</si>
  <si>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Observations médicales</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</si>
  <si>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</si>
  <si>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</si>
  <si>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</si>
  <si>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</si>
  <si>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</si>
  <si>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</si>
  <si>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</si>
  <si>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</si>
  <si>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</si>
  <si>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</si>
  <si>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</si>
  <si>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</si>
  <si>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</si>
  <si>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</si>
  <si>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</si>
  <si>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</si>
  <si>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</si>
  <si>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</si>
  <si>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</si>
  <si>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</si>
  <si>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</si>
  <si>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</si>
  <si>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</si>
  <si>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</si>
  <si>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</si>
  <si>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</si>
  <si>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</si>
  <si>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</si>
  <si>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</si>
  <si>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</si>
  <si>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</si>
  <si>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</si>
  <si>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</si>
  <si>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Type d'orientation</t>
  </si>
  <si>
    <t>Décision(s) d'orientation prise par le médecin régulateur : 
- A transporter
- Laisser sur place</t>
  </si>
  <si>
    <t>laissé sur place, décédé, ou transporté</t>
  </si>
  <si>
    <t>orientation</t>
  </si>
  <si>
    <t>nomenclature SI SAMU NOMENC_TYPE_DEC_ORiENT</t>
  </si>
  <si>
    <t>a suppr ?</t>
  </si>
  <si>
    <t>Type de ressource/moyen</t>
  </si>
  <si>
    <t>Type de transport à engager pour la prise en charge du patient</t>
  </si>
  <si>
    <t xml:space="preserve">SMUR </t>
  </si>
  <si>
    <t>transportation</t>
  </si>
  <si>
    <t xml:space="preserve">a revalider : où mets-t-on "par ses propres moyens" ? </t>
  </si>
  <si>
    <t xml:space="preserve">nécessite plusieurs champs (organisme, base de ratachement, type vecteur, ordre vecteur, id vecteur) </t>
  </si>
  <si>
    <t>ID vecteur partagé</t>
  </si>
  <si>
    <t>Identifiant du véhicule terrestre / aérien / maritime de transport principal (= celui dans lequel se trouve le patient), permettant d'associer la décision à un véhicule spécifique + au patient.</t>
  </si>
  <si>
    <t>transportationID</t>
  </si>
  <si>
    <t>a revoir pour l'ID</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</si>
  <si>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</si>
  <si>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</si>
  <si>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</si>
  <si>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</si>
  <si>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</si>
  <si>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</si>
  <si>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</si>
  <si>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</si>
  <si>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</si>
  <si>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</si>
  <si>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</si>
  <si>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</si>
  <si>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 Voir type location</t>
  </si>
  <si>
    <t>destinationLocation</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</si>
  <si>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</si>
  <si>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</si>
  <si>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</si>
  <si>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</si>
  <si>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</si>
  <si>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</si>
  <si>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</si>
  <si>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</si>
  <si>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</si>
  <si>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</si>
  <si>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</si>
  <si>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</si>
  <si>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</si>
  <si>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</si>
  <si>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</si>
  <si>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</si>
  <si>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</si>
  <si>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</si>
  <si>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</si>
  <si>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</si>
  <si>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</si>
  <si>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</si>
  <si>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</si>
  <si>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</si>
  <si>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RC-EDA:15-18:createCase RS-EDA:15-15:createCaseHealth</t>
  </si>
  <si>
    <t>15-SMUR</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</si>
  <si>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</si>
  <si>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</si>
  <si>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</si>
  <si>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</si>
  <si>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ENUM: AMU, SNP, NEONAT</t>
  </si>
  <si>
    <t>Type d'intervention</t>
  </si>
  <si>
    <t>interventionType</t>
  </si>
  <si>
    <t>Qualification de l'affaire/dossier</t>
  </si>
  <si>
    <t>Permet de qualifier l'affaire/dossier en général. 
15-18 : La qualification est issue d'une interprétation métier des alertes reçues.</t>
  </si>
  <si>
    <t>codeAndLabel</t>
  </si>
  <si>
    <t>NOMENCLATURE: CISU-Code_Nature_de_fait</t>
  </si>
  <si>
    <t># Voir whatsHappen (type codeAndLabel)</t>
  </si>
  <si>
    <t>NOMENCLATURE: CISU-Code_Type_de_lieu</t>
  </si>
  <si>
    <t>NOMENCLATURE: CISU-Code_Risque-Menace-Sensibilité</t>
  </si>
  <si>
    <t>NOMENCLATURE: CISU-Code_Motif_patient-victime</t>
  </si>
  <si>
    <t>ENUM: D, DR, DRM</t>
  </si>
  <si>
    <t>NOMENCLATURE: SI-SAMU-DEVENIRD</t>
  </si>
  <si>
    <t>NOMENCLATURE: SI-SAMU-PRIORITE</t>
  </si>
  <si>
    <t>Localisation de l'affaire/dossier</t>
  </si>
  <si>
    <t>Permet de décrire le lieu d'intervention.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</si>
  <si>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</si>
  <si>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Numéro, type et nom de la voie. Utilisé pour tout type de voie :  autoroute (PK, nom et sens), voie ferrée, voie navigable…
15-18 : Obligatoire et seule valeur des détails de l'adresse fournie par NexSIS.</t>
  </si>
  <si>
    <t>Type de la voie</t>
  </si>
  <si>
    <t>Nom de la voie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</si>
  <si>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</si>
  <si>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</si>
  <si>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Informations complémentaires sur la localisation</t>
  </si>
  <si>
    <t>L'objet alert correspond à la transcription d'une communication d'urgence, par exemple un appel téléphonique.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</si>
  <si>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Informations complémentaires sur l'alerte (observations ARM)</t>
  </si>
  <si>
    <t>Texte libre permettant de donner des informations supplémentaires concernant l'alerte.
15-15 : ce champ est celui dédié pour passer les observations ARM en texte libre.</t>
  </si>
  <si>
    <t>notes</t>
  </si>
  <si>
    <t>Date et heure de l'information complémentaire/l'observation ARM</t>
  </si>
  <si>
    <t>date et heure de l'observation</t>
  </si>
  <si>
    <t>Commentaire/Observations</t>
  </si>
  <si>
    <t>texte libre contenant les indications renseignées par l'ARM</t>
  </si>
  <si>
    <t xml:space="preserve">La personne est inconsciente (perte de connaissance). </t>
  </si>
  <si>
    <t>Requérant</t>
  </si>
  <si>
    <t xml:space="preserve">Type et valeur de l'URI permettant un rappel pour avoir plus d'informations : il peut s'agir du requérant, de la victime ou d'un témoin. </t>
  </si>
  <si>
    <t>Type de requérant</t>
  </si>
  <si>
    <t>NOMENCLATURE: SI-SAMU-TYPAPPLT</t>
  </si>
  <si>
    <t>NOMENCLATURE: SI-SAMU-PBAPL</t>
  </si>
  <si>
    <t>Champ servant à transférer la prise en charge d'un dossier à un autre CRAA après accord verbal de ce dernier.</t>
  </si>
  <si>
    <t>Patient / victime</t>
  </si>
  <si>
    <t>fr.health.samu044.DRFR15DDXAAJJJ00000.P00</t>
  </si>
  <si>
    <t>administrativeFile</t>
  </si>
  <si>
    <t>NOMENCLATURE: SI-SAMU-NOMENC_SEXE</t>
  </si>
  <si>
    <t>Traits non stricts de l'identité</t>
  </si>
  <si>
    <t>REGEX: P[0-9]{1,3}[YMWD]</t>
  </si>
  <si>
    <t>NOMENCLATURE: SI-SAMU-GRAVITE</t>
  </si>
  <si>
    <t>Informations complémentaires sur le patient</t>
  </si>
  <si>
    <t>Correspond à la zone de commentaire renseigné par patient créé/identifié</t>
  </si>
  <si>
    <t>Interrogatoire médical</t>
  </si>
  <si>
    <t>ID partagé du patient concerné par la décision, lorsque le patient existe et est identifié</t>
  </si>
  <si>
    <t>NOMENCLATURE: SI-SAMU-TYPEDEC</t>
  </si>
  <si>
    <t>Décision d'engagement</t>
  </si>
  <si>
    <t>Partage de l'équipe à engager sur le lieu de l'intervention</t>
  </si>
  <si>
    <t>engagementDetails</t>
  </si>
  <si>
    <t>Type de moyen</t>
  </si>
  <si>
    <t>détaille le moyen à engager</t>
  </si>
  <si>
    <t>SMUR, Pompiers</t>
  </si>
  <si>
    <t>categoryType</t>
  </si>
  <si>
    <t>NOMENCLATURE : TYPE_MOYEN</t>
  </si>
  <si>
    <t>Type de vecteur</t>
  </si>
  <si>
    <t>détaille le type de vecteur à engager</t>
  </si>
  <si>
    <t>AR, VLM, VSAV</t>
  </si>
  <si>
    <t>resourceType</t>
  </si>
  <si>
    <t>NOMENCLATURE : TYPE_VECTEUR</t>
  </si>
  <si>
    <t xml:space="preserve">ID vecteur </t>
  </si>
  <si>
    <t>resourceId</t>
  </si>
  <si>
    <t>teamCareInitial</t>
  </si>
  <si>
    <t>NOMENCLATURE : NIVSOIN</t>
  </si>
  <si>
    <t>Décision de transport/orientation</t>
  </si>
  <si>
    <t>transportDetails</t>
  </si>
  <si>
    <t>Type de devenir du patient</t>
  </si>
  <si>
    <t>ID demande de concours/de ressources</t>
  </si>
  <si>
    <t xml:space="preserve">Identifiant de la ou des demandes de concours </t>
  </si>
  <si>
    <t>concoursRequest</t>
  </si>
  <si>
    <t xml:space="preserve">Identifiant du véhicule terrestre / aérien / maritime de transport principal (= celui dans lequel se trouve le patient), permettant d'associer la décision à un véhicule spécifique + au patient. </t>
  </si>
  <si>
    <t>Lorsque plusieurs alertes correspondent à une même affaire/dossier, la première alerte reçue est appelée Alerte initial "initialAlert", la seconde et les suivantes sont des objets "newAlert".
Les objet newAlert suivent le modèle d'un objet initialAlert
15-18 : Dans le cadre d'une mise à jour d'affaire, les objets alertes sont IMMUTABLES.</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</si>
  <si>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</si>
  <si>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</si>
  <si>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</si>
  <si>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</si>
  <si>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</si>
  <si>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</si>
  <si>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</si>
  <si>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</si>
  <si>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</si>
  <si>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</si>
  <si>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</si>
  <si>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Cardinalité NEW</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</si>
  <si>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</si>
  <si>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</si>
  <si>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</si>
  <si>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</si>
  <si>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</si>
  <si>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</si>
  <si>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</si>
  <si>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</si>
  <si>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</si>
  <si>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</si>
  <si>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</si>
  <si>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</si>
  <si>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</si>
  <si>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</si>
  <si>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</si>
  <si>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</si>
  <si>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</si>
  <si>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</si>
  <si>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</si>
  <si>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</si>
  <si>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</si>
  <si>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</si>
  <si>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</si>
  <si>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</si>
  <si>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</si>
  <si>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</si>
  <si>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</si>
  <si>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</si>
  <si>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</si>
  <si>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</si>
  <si>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</si>
  <si>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</si>
  <si>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</si>
  <si>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</si>
  <si>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</si>
  <si>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</si>
  <si>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</si>
  <si>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</si>
  <si>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</si>
  <si>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</si>
  <si>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</si>
  <si>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</si>
  <si>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</si>
  <si>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</si>
  <si>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</si>
  <si>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</si>
  <si>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</si>
  <si>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</si>
  <si>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</si>
  <si>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</si>
  <si>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</si>
  <si>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</si>
  <si>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</si>
  <si>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</si>
  <si>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</si>
  <si>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</si>
  <si>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</si>
  <si>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</si>
  <si>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</si>
  <si>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</si>
  <si>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</si>
  <si>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</si>
  <si>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</si>
  <si>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</si>
  <si>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</si>
  <si>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</si>
  <si>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</si>
  <si>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</si>
  <si>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</si>
  <si>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</si>
  <si>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</si>
  <si>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</si>
  <si>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</si>
  <si>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</si>
  <si>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</si>
  <si>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</si>
  <si>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</si>
  <si>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</si>
  <si>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</si>
  <si>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</si>
  <si>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</si>
  <si>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</si>
  <si>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</si>
  <si>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</si>
  <si>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</si>
  <si>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</si>
  <si>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</si>
  <si>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</si>
  <si>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</si>
  <si>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</si>
  <si>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</si>
  <si>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</si>
  <si>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</si>
  <si>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</si>
  <si>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</si>
  <si>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</si>
  <si>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</si>
  <si>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</si>
  <si>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</si>
  <si>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</si>
  <si>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</si>
  <si>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</si>
  <si>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</si>
  <si>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</si>
  <si>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</si>
  <si>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</si>
  <si>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</si>
  <si>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</si>
  <si>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</si>
  <si>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</si>
  <si>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</si>
  <si>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</si>
  <si>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</si>
  <si>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</si>
  <si>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</si>
  <si>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</si>
  <si>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</si>
  <si>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</si>
  <si>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</si>
  <si>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</si>
  <si>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</si>
  <si>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</si>
  <si>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</si>
  <si>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</si>
  <si>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</si>
  <si>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</si>
  <si>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</si>
  <si>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</si>
  <si>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</si>
  <si>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</si>
  <si>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</si>
  <si>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</si>
  <si>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</si>
  <si>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</si>
  <si>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</si>
  <si>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</si>
  <si>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</si>
  <si>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</si>
  <si>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</si>
  <si>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</si>
  <si>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</si>
  <si>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</si>
  <si>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</si>
  <si>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</si>
  <si>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</si>
  <si>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</si>
  <si>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</si>
  <si>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</si>
  <si>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</si>
  <si>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</si>
  <si>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</si>
  <si>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</si>
  <si>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</si>
  <si>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</si>
  <si>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</si>
  <si>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</si>
  <si>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</si>
  <si>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</si>
  <si>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</si>
  <si>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</si>
  <si>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</si>
  <si>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</si>
  <si>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</si>
  <si>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</si>
  <si>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</si>
  <si>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</si>
  <si>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</si>
  <si>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</si>
  <si>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</si>
  <si>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</si>
  <si>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</si>
  <si>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</si>
  <si>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</si>
  <si>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</si>
  <si>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</si>
  <si>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</si>
  <si>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</si>
  <si>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</si>
  <si>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</si>
  <si>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</si>
  <si>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</si>
  <si>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</si>
  <si>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</si>
  <si>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</si>
  <si>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</si>
  <si>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</si>
  <si>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</si>
  <si>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</si>
  <si>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</si>
  <si>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</si>
  <si>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</si>
  <si>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</si>
  <si>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</si>
  <si>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</si>
  <si>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</si>
  <si>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</si>
  <si>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</si>
  <si>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</si>
  <si>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</si>
  <si>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</si>
  <si>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</si>
  <si>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</si>
  <si>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</si>
  <si>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</si>
  <si>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</si>
  <si>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</si>
  <si>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</si>
  <si>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</si>
  <si>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</si>
  <si>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</si>
  <si>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</si>
  <si>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</si>
  <si>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</si>
  <si>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</si>
  <si>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</si>
  <si>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</si>
  <si>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</si>
  <si>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</si>
  <si>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</si>
  <si>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</si>
  <si>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</si>
  <si>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</si>
  <si>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</si>
  <si>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</si>
  <si>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</si>
  <si>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</si>
  <si>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</si>
  <si>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</si>
  <si>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</si>
  <si>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</si>
  <si>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</si>
  <si>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</si>
  <si>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</si>
  <si>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</si>
  <si>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</si>
  <si>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</si>
  <si>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</si>
  <si>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</si>
  <si>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</si>
  <si>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</si>
  <si>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</si>
  <si>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</si>
  <si>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</si>
  <si>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</si>
  <si>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</si>
  <si>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</si>
  <si>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</si>
  <si>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</si>
  <si>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</si>
  <si>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</si>
  <si>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</si>
  <si>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</si>
  <si>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</si>
  <si>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</si>
  <si>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</si>
  <si>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</si>
  <si>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</si>
  <si>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</si>
  <si>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</si>
  <si>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</si>
  <si>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</si>
  <si>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</si>
  <si>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</si>
  <si>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</si>
  <si>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</si>
  <si>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</si>
  <si>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</si>
  <si>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</si>
  <si>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</si>
  <si>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</si>
  <si>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</si>
  <si>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</si>
  <si>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</si>
  <si>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</si>
  <si>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</si>
  <si>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</si>
  <si>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</si>
  <si>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</si>
  <si>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</si>
  <si>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</si>
  <si>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</si>
  <si>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</si>
  <si>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</si>
  <si>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</si>
  <si>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</si>
  <si>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</si>
  <si>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</si>
  <si>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</si>
  <si>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</si>
  <si>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</si>
  <si>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</si>
  <si>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</si>
  <si>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</si>
  <si>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</si>
  <si>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</si>
  <si>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</si>
  <si>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</si>
  <si>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</si>
  <si>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</si>
  <si>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</si>
  <si>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</si>
  <si>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</si>
  <si>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</si>
  <si>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</si>
  <si>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</si>
  <si>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</si>
  <si>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</si>
  <si>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</si>
  <si>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</si>
  <si>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</si>
  <si>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</si>
  <si>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</si>
  <si>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</si>
  <si>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</si>
  <si>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</si>
  <si>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</si>
  <si>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</si>
  <si>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</si>
  <si>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</si>
  <si>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</si>
  <si>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</si>
  <si>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</si>
  <si>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</si>
  <si>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</si>
  <si>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</si>
  <si>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</si>
  <si>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</si>
  <si>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</si>
  <si>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</si>
  <si>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</si>
  <si>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</si>
  <si>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</si>
  <si>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</si>
  <si>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</si>
  <si>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</si>
  <si>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</si>
  <si>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</si>
  <si>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</si>
  <si>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</si>
  <si>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</si>
  <si>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</si>
  <si>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</si>
  <si>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</si>
  <si>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</si>
  <si>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</si>
  <si>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</si>
  <si>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</si>
  <si>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</si>
  <si>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</si>
  <si>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</si>
  <si>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</si>
  <si>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</si>
  <si>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</si>
  <si>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</si>
  <si>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</si>
  <si>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</si>
  <si>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</si>
  <si>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</si>
  <si>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</si>
  <si>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</si>
  <si>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</si>
  <si>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</si>
  <si>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</si>
  <si>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</si>
  <si>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</si>
  <si>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</si>
  <si>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</si>
  <si>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</si>
  <si>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</si>
  <si>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</si>
  <si>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</si>
  <si>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</si>
  <si>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</si>
  <si>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</si>
  <si>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</si>
  <si>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</si>
  <si>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</si>
  <si>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</si>
  <si>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</si>
  <si>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</si>
  <si>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</si>
  <si>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</si>
  <si>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</si>
  <si>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</si>
  <si>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</si>
  <si>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</si>
  <si>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</si>
  <si>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</si>
  <si>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</si>
  <si>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</si>
  <si>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</si>
  <si>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</si>
  <si>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</si>
  <si>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</si>
  <si>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</si>
  <si>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</si>
  <si>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</si>
  <si>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</si>
  <si>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</si>
  <si>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</si>
  <si>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</si>
  <si>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</si>
  <si>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</si>
  <si>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</si>
  <si>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</si>
  <si>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current, on a la date</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</si>
  <si>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</si>
  <si>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</si>
  <si>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</si>
  <si>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</si>
  <si>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</si>
  <si>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</si>
  <si>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</si>
  <si>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</si>
  <si>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</si>
  <si>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</si>
  <si>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</si>
  <si>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</si>
  <si>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</si>
  <si>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</si>
  <si>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</si>
  <si>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</si>
  <si>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</si>
  <si>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</si>
  <si>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</si>
  <si>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</si>
  <si>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</si>
  <si>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</si>
  <si>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</si>
  <si>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</si>
  <si>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</si>
  <si>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</si>
  <si>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</si>
  <si>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</si>
  <si>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</si>
  <si>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</si>
  <si>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</si>
  <si>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</si>
  <si>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</si>
  <si>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</si>
  <si>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</si>
  <si>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</si>
  <si>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</si>
  <si>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Le message RS-RIG sert uniquement à partager :</t>
  </si>
  <si>
    <t>les mises à jour de statut : a chaque fois que le statut change (on peut donc passer une liste pour avoir l'historique sur le premier partage)</t>
  </si>
  <si>
    <t>ID partagé du message RS-RIG</t>
  </si>
  <si>
    <t>Identifiant unique de l'Echange de Ressource concerné. Le premier qui le créé à raison, ensuite il ne change pas. Il s'agit du message servant à échanger l'ensemble des ressources mobilisées/engagées sur un dossier</t>
  </si>
  <si>
    <t>RSRIGId</t>
  </si>
  <si>
    <t>Liste des vecteurs associés au message :  liste l'ensemble des vecteurs ou ressources mobilisées</t>
  </si>
  <si>
    <t>mobilizedResources</t>
  </si>
  <si>
    <t>Date/heure de déclenchement</t>
  </si>
  <si>
    <t>date et heure d'engagement de la ressource</t>
  </si>
  <si>
    <t>dateTime</t>
  </si>
  <si>
    <t>ID partagé</t>
  </si>
  <si>
    <t>ID unique de la ressource engagée</t>
  </si>
  <si>
    <t>resourceID</t>
  </si>
  <si>
    <t>A normer</t>
  </si>
  <si>
    <t xml:space="preserve">ID central d’appel </t>
  </si>
  <si>
    <t>(PSAP, …) qui a déclenché le vecteur et coordonne le vecteur</t>
  </si>
  <si>
    <t>ownerID</t>
  </si>
  <si>
    <t>ID mission local</t>
  </si>
  <si>
    <t>Numéro de mission du central d’appel (PSAP, …) qui a déclenché le vecteur</t>
  </si>
  <si>
    <t>missionID</t>
  </si>
  <si>
    <t>Nomenclature / liste à implémenter</t>
  </si>
  <si>
    <t>Immatriculation</t>
  </si>
  <si>
    <t>plate</t>
  </si>
  <si>
    <t>Nom donné à la ressource par l’organisation d’appartenance</t>
  </si>
  <si>
    <t>ID Organisation propriétaire</t>
  </si>
  <si>
    <t>Organisation à laquelle appartient la ressource</t>
  </si>
  <si>
    <t>orgID</t>
  </si>
  <si>
    <t>ID Centre d’affectation</t>
  </si>
  <si>
    <t>Lieu de garage principal</t>
  </si>
  <si>
    <t>centerName</t>
  </si>
  <si>
    <t>Type de centre d’affectation</t>
  </si>
  <si>
    <t>centerType</t>
  </si>
  <si>
    <t>Commune du centre d’affectation</t>
  </si>
  <si>
    <t>Code INSEE de la commune du centre d'affectation</t>
  </si>
  <si>
    <t>centerCity</t>
  </si>
  <si>
    <t>Marque vecteur</t>
  </si>
  <si>
    <t>make</t>
  </si>
  <si>
    <t>Modèle vecteur</t>
  </si>
  <si>
    <t>model</t>
  </si>
  <si>
    <t>Equipe vecteur</t>
  </si>
  <si>
    <t>Décrit le type et l'équipe à bord du vecteur</t>
  </si>
  <si>
    <t>team</t>
  </si>
  <si>
    <t>Médical / paramédical : indique le niveau de médicalisation du vecteur</t>
  </si>
  <si>
    <t>ENUM : Medicale, Paramédicale</t>
  </si>
  <si>
    <t>Voir pour implémenter une nomenclature ?</t>
  </si>
  <si>
    <t>Nom de l'équipe à bord du vecteur</t>
  </si>
  <si>
    <t>Etats vecteur</t>
  </si>
  <si>
    <t>state</t>
  </si>
  <si>
    <t>Date/heure de changement de statut</t>
  </si>
  <si>
    <t>Statut du vecteur</t>
  </si>
  <si>
    <t>Statuts Antares</t>
  </si>
  <si>
    <t>ENUM : Alerté, Parti, Arrivée sur les lieux, Transport destination, Arrivée destination, Fin de médicalisation , Quitte destination, Retour base, Rentrée Base</t>
  </si>
  <si>
    <t>Disponibilité du vecteur</t>
  </si>
  <si>
    <t>Indique si le vecteur est disponible / indisponible</t>
  </si>
  <si>
    <t>availability</t>
  </si>
  <si>
    <t>ENUM : Disponible, Indisponible, Inconnu</t>
  </si>
  <si>
    <t>Dernière géolocalisation du vecteur</t>
  </si>
  <si>
    <t>Type et valeur de l'URI utilisée par la ressource.</t>
  </si>
  <si>
    <t>Type de l'URI utilisée</t>
  </si>
  <si>
    <t>Valeur de l'URI utilisée pour contacter la ressource</t>
  </si>
  <si>
    <t>Texte libre permettant de passer toute autre information (équipements supplémentaires / particuliers, particularités du vecteur)</t>
  </si>
  <si>
    <t>Le message RS-DDR sert uniquement à :</t>
  </si>
  <si>
    <t>faire une demande de ressource.s ciblée à un partenaire (via un effet à obtenir)</t>
  </si>
  <si>
    <t>indiquer l'origine lorsqu'elle est différente de l'adresse d'intervention du dossier</t>
  </si>
  <si>
    <t>indiquer l'origine et la destination dans le cadre d'un TIH</t>
  </si>
  <si>
    <t>ID DDR partagé</t>
  </si>
  <si>
    <t>Identifiant unique partagé de la demande de ressource</t>
  </si>
  <si>
    <t>RSDDRId</t>
  </si>
  <si>
    <t>Demande de ressource</t>
  </si>
  <si>
    <t>Groupe date heure de début de la demande</t>
  </si>
  <si>
    <t>resourceRequest</t>
  </si>
  <si>
    <t>request</t>
  </si>
  <si>
    <t>Date Heure de création de la demande</t>
  </si>
  <si>
    <t>Voir liste des effets à obtenir identifiés</t>
  </si>
  <si>
    <t>Cadre conventionnel</t>
  </si>
  <si>
    <t>convention</t>
  </si>
  <si>
    <t>Délai souhaité</t>
  </si>
  <si>
    <t>deadline</t>
  </si>
  <si>
    <t>Effet à obtenir</t>
  </si>
  <si>
    <t>purpose</t>
  </si>
  <si>
    <t>Liste/nomenclature des effets à obtenir à ajouter</t>
  </si>
  <si>
    <t>Implémenter la liste des effets à obtenir ici</t>
  </si>
  <si>
    <t>Précisions sur la demande</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</si>
  <si>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</si>
  <si>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</si>
  <si>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</si>
  <si>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 Voir Origine (type location)</t>
  </si>
  <si>
    <t>Permet de décrire la destination d'une ressource, lorsqu'elle est connue. (Par exemple : suite à une décisition d'orientation, une nouvelle demande de ressource doit être envoyée, ou lors d'un TIH)</t>
  </si>
  <si>
    <t>Le message RS-RDR sert uniquement à :</t>
  </si>
  <si>
    <t xml:space="preserve">répondre à une demande de ressource.s envoyée par un partenaire </t>
  </si>
  <si>
    <t>indiquer la ou les ressource.s mobilisée.s en réponse à la demande reçue</t>
  </si>
  <si>
    <t>indiquer si nécessaire les horaires d'arrivée prévisionnels de chaque ressource engagée sur le lieu d'intervention / prise en charge et/ou sur le lieu de destination</t>
  </si>
  <si>
    <t>Identifiant unique partagé de la demande de ressource à laquelle l'expéditeur répond</t>
  </si>
  <si>
    <t>Réponse à la demande de concours</t>
  </si>
  <si>
    <t>Date Heure de réponse</t>
  </si>
  <si>
    <t>Réponse</t>
  </si>
  <si>
    <t>answer</t>
  </si>
  <si>
    <t>Délai de réponse</t>
  </si>
  <si>
    <t>Indique le délai de réponse auquel s'engage l'expéditeur</t>
  </si>
  <si>
    <t>Précisions sur la réponse</t>
  </si>
  <si>
    <t>Commentaire libre pour apporter toutes précisions utiles à la réponse</t>
  </si>
  <si>
    <t>Vecteur/ressource engagée</t>
  </si>
  <si>
    <t>commitmentDateTime</t>
  </si>
  <si>
    <t>Date/heure prévisionnelle d'arrivée au lieu d'intervention / lieu d'origine</t>
  </si>
  <si>
    <t>date et heure d'arrivée prévisionnelle sur le lieu de prise en charge du patient</t>
  </si>
  <si>
    <t>originDateTime</t>
  </si>
  <si>
    <t>Date/heure prévisionnelle d'arrivée au lieu de destination</t>
  </si>
  <si>
    <t>date et heure d'arrivée prévisionnelle sur le lieu de destination du patient</t>
  </si>
  <si>
    <t>destinationDateTime</t>
  </si>
  <si>
    <t>Nom donné par l’organisation d’appartenance</t>
  </si>
  <si>
    <t>N° d'ordre de la ressource</t>
  </si>
  <si>
    <t>S'il existe plusieurs types de vecteurs ou ressource identiques portant le même nom dans un même dans le même centre d’affectation; préciser le numéro d'ordre</t>
  </si>
  <si>
    <t>order</t>
  </si>
  <si>
    <t>Centre d’affectation</t>
  </si>
  <si>
    <t>Etat vecteur</t>
  </si>
  <si>
    <t>RPIS:15-RPIS:rpis</t>
  </si>
  <si>
    <t>15-RPIS</t>
  </si>
  <si>
    <t>15-TSU</t>
  </si>
  <si>
    <t>Evènement</t>
  </si>
  <si>
    <t>Identifiant du SAMU qui engage le SMUR</t>
  </si>
  <si>
    <t xml:space="preserve">Numéro du SAMU régulant la mission SMUR. 
A valoriser par fr.health.samuXXX :  {pays}.{domaine}.{organisation}
</t>
  </si>
  <si>
    <t>samuId</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</si>
  <si>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</si>
  <si>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</si>
  <si>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</si>
  <si>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fileId</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</si>
  <si>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</si>
  <si>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</si>
  <si>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</si>
  <si>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</si>
  <si>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</si>
  <si>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</si>
  <si>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</si>
  <si>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</si>
  <si>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</si>
  <si>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</si>
  <si>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</si>
  <si>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</si>
  <si>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</si>
  <si>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</si>
  <si>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Type d'évènement</t>
  </si>
  <si>
    <t>Sortie SUR primaire, Sortie SMUR Secondaire, Transfert TIIH</t>
  </si>
  <si>
    <t>S, P, T</t>
  </si>
  <si>
    <t>Annulation</t>
  </si>
  <si>
    <t>cancelled</t>
  </si>
  <si>
    <t>Annulation de l'intervention</t>
  </si>
  <si>
    <t>Indique si la mission est annulée</t>
  </si>
  <si>
    <t>VRAI, FAUX</t>
  </si>
  <si>
    <t>cancelStatus</t>
  </si>
  <si>
    <t>boolean</t>
  </si>
  <si>
    <t>Date et heure de l'annulation</t>
  </si>
  <si>
    <t>Régulation médicale</t>
  </si>
  <si>
    <t>regulation</t>
  </si>
  <si>
    <t>Circonstances ayant données lieu à l’appel</t>
  </si>
  <si>
    <t>A valoriser avec un code de la nomenclature TYPCIRCO</t>
  </si>
  <si>
    <t>AVPAR</t>
  </si>
  <si>
    <t>Libellé court</t>
  </si>
  <si>
    <t>A valoriser avec le libellé de la nomenclature TYPCIRCO.
Dans le cas où un système n'est pas en mesure de reconnaître un code, il peut directement afficher le libellé qui est obligatoirement fourni avec le code.</t>
  </si>
  <si>
    <t>Accident routier</t>
  </si>
  <si>
    <t xml:space="preserve">Motif de recours </t>
  </si>
  <si>
    <t>Niveau de médicalisation initial</t>
  </si>
  <si>
    <t xml:space="preserve">Type d’équipe (médical, paramédicale, secouriste).
A valoriser par un code de la nomenclature NIVSOIN.
Permet de déduire avec la donnée "niveau de médicalisation du transport", si un UMHP est devenu un SMUR. </t>
  </si>
  <si>
    <t>PARAMED</t>
  </si>
  <si>
    <t>initialTeamCare</t>
  </si>
  <si>
    <t>Identifiant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</si>
  <si>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</si>
  <si>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fr.health.samu690.DRFR15DDXAAJJJ00001.P01</t>
  </si>
  <si>
    <t>patientId</t>
  </si>
  <si>
    <t>Sexe</t>
  </si>
  <si>
    <t>Sexe du patient, suivant le libellé court de la nomenclature SEXE</t>
  </si>
  <si>
    <t>NIR</t>
  </si>
  <si>
    <t>Numéro d'inscription au Répertoire ou numéro de sécurité sociale, unique, transmis par la CNIL</t>
  </si>
  <si>
    <t>278112B050002</t>
  </si>
  <si>
    <t>nir</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</si>
  <si>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</si>
  <si>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</si>
  <si>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</si>
  <si>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</si>
  <si>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cityCode</t>
  </si>
  <si>
    <t>Levallois-Perret</t>
  </si>
  <si>
    <t>Intervention</t>
  </si>
  <si>
    <t>intervention</t>
  </si>
  <si>
    <t>Lieu d'intervention</t>
  </si>
  <si>
    <t>Type de lieu d’intervention</t>
  </si>
  <si>
    <t>A valoriser avec un code de la nomenclature TYPELIEU.</t>
  </si>
  <si>
    <t>DOMPAV</t>
  </si>
  <si>
    <t xml:space="preserve">FINESS géographique de l’établissement </t>
  </si>
  <si>
    <t>Finess géographique et juridique de l’établissement de santé</t>
  </si>
  <si>
    <t>finessGeo</t>
  </si>
  <si>
    <t xml:space="preserve">Unité fonctionnelle </t>
  </si>
  <si>
    <t>Unité fonctionnelle de l'établissement de santé</t>
  </si>
  <si>
    <t>unit</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</si>
  <si>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</si>
  <si>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</si>
  <si>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</si>
  <si>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 xml:space="preserve">A valoriser par O si complet et N si incomplet. 
Complet = équipe à 3 (avec infirmier), incomplet = équipe à 2 (sans infirmier), une équipe étant, à minima, composé d'un médecin et un ambulancier. </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</si>
  <si>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</si>
  <si>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</si>
  <si>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</si>
  <si>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</si>
  <si>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</si>
  <si>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</si>
  <si>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</si>
  <si>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</si>
  <si>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</si>
  <si>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Actes réalisés par le SMUR</t>
  </si>
  <si>
    <t>Précise aussi bien les actes réalisés par le SMUR sur le lieu de l'intervention à son arrivée que ceux réalisés avant son intervention. 
A valoriser avec un code de la nomenclature ACTES_SMUR.</t>
  </si>
  <si>
    <t>ABV</t>
  </si>
  <si>
    <t>actions</t>
  </si>
  <si>
    <t>Diagnostic principal SMUR</t>
  </si>
  <si>
    <t>Thésaurus SFMU-FEDORU.
A valoriser par un code de la nomenclature Diagnostic SMUR.</t>
  </si>
  <si>
    <t>R579</t>
  </si>
  <si>
    <t>Diagnostic associé  SMUR</t>
  </si>
  <si>
    <t>R578</t>
  </si>
  <si>
    <t>associatedDiagnosis</t>
  </si>
  <si>
    <t>Statuts des horaires du SMUR</t>
  </si>
  <si>
    <t>smurStatus</t>
  </si>
  <si>
    <t>resourceStatus</t>
  </si>
  <si>
    <t>Date et heure du départ de la base SMUR</t>
  </si>
  <si>
    <t>departSmur</t>
  </si>
  <si>
    <t>Date et heure de l’arrivée sur les lieux de l’intervention</t>
  </si>
  <si>
    <t>arrivedSmur</t>
  </si>
  <si>
    <t>Date et heure du départ des lieux de l’intervention</t>
  </si>
  <si>
    <t>departLocation</t>
  </si>
  <si>
    <t>Date et heure d’arrivée à destination</t>
  </si>
  <si>
    <t>arrivedDestination</t>
  </si>
  <si>
    <t>Date et heure de disponibilité de l’équipe</t>
  </si>
  <si>
    <t>teamAvailable</t>
  </si>
  <si>
    <t>Date et heure de retour à la base SMUR</t>
  </si>
  <si>
    <t>returnSmur</t>
  </si>
  <si>
    <t>Décision d'orientation</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</si>
  <si>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</si>
  <si>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TEMP</t>
  </si>
  <si>
    <t>Pays de destination</t>
  </si>
  <si>
    <t>A valoriser par le libellé court de la nomenclature SIGLPAYS</t>
  </si>
  <si>
    <t>destinationCountry</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</si>
  <si>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</si>
  <si>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</si>
  <si>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</si>
  <si>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</si>
  <si>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</si>
  <si>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</si>
  <si>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</si>
  <si>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</si>
  <si>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</si>
  <si>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Raison sociale de l’établissement de destination</t>
  </si>
  <si>
    <t>Raison sociale de l’entité géographique de l’établissement de destination</t>
  </si>
  <si>
    <t xml:space="preserve">Nom de l’unité </t>
  </si>
  <si>
    <t>Nom de l’unité dans laquelle est orienté le patient</t>
  </si>
  <si>
    <t>Transport</t>
  </si>
  <si>
    <t>Moyen de transport</t>
  </si>
  <si>
    <t>Précise le type de moyen engagé dans l'intervention (SMUR, TSU, HOSPIT, etc.). 
A valoriser par un code de la nomenclature TYPMOYEN.</t>
  </si>
  <si>
    <t>SMUR</t>
  </si>
  <si>
    <t>resourceCategory</t>
  </si>
  <si>
    <t>Type de vecteur de transport</t>
  </si>
  <si>
    <t>Précise le type de véhicule terrestre / aérien / maritime engagé dans l'intervention.
A valoriser par un code de la nomenclature TYPVECT.</t>
  </si>
  <si>
    <t>Niveau de médicalisation du transport</t>
  </si>
  <si>
    <t>Type d’équipe (médical, paramédicale, secouriste).
A valoriser par un code de la nomenclature NIVSOIN.</t>
  </si>
  <si>
    <t>Bilan Patient/Victime</t>
  </si>
  <si>
    <t>15-ATSU</t>
  </si>
  <si>
    <t>Identifiant affaire/dossier partagé</t>
  </si>
  <si>
    <t>Date et heure du bilan initial</t>
  </si>
  <si>
    <t>Lien URL du bilan</t>
  </si>
  <si>
    <t>url</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</si>
  <si>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</si>
  <si>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</si>
  <si>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</si>
  <si>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</si>
  <si>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</si>
  <si>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</si>
  <si>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</si>
  <si>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</si>
  <si>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</si>
  <si>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</si>
  <si>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</si>
  <si>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</si>
  <si>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</si>
  <si>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Prénom du patient</t>
  </si>
  <si>
    <t>Age valeur</t>
  </si>
  <si>
    <t xml:space="preserve">La date de naissance n'est pas tout le temps connu, cette donnée permet d'indiquer un âge entier. </t>
  </si>
  <si>
    <t>Nationalité</t>
  </si>
  <si>
    <t>Nationalité du patient</t>
  </si>
  <si>
    <t>nationality</t>
  </si>
  <si>
    <t>Evaluation / Diagnostic médical</t>
  </si>
  <si>
    <t>evaluation</t>
  </si>
  <si>
    <t>N</t>
  </si>
  <si>
    <t>Anamnèse</t>
  </si>
  <si>
    <t>medicalSummary</t>
  </si>
  <si>
    <t>summary</t>
  </si>
  <si>
    <t>Texte libre  pour décrire les antécédents du patient et familiaux</t>
  </si>
  <si>
    <t>Symptômes</t>
  </si>
  <si>
    <t>Texte libre pour décrire les symptomes actuels du patient</t>
  </si>
  <si>
    <t>symptoms</t>
  </si>
  <si>
    <t>Signes vitaux</t>
  </si>
  <si>
    <t>vital</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</si>
  <si>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</si>
  <si>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</si>
  <si>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</si>
  <si>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</si>
  <si>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</si>
  <si>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</si>
  <si>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</si>
  <si>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</si>
  <si>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</si>
  <si>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</si>
  <si>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</si>
  <si>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</si>
  <si>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</si>
  <si>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</si>
  <si>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</si>
  <si>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</si>
  <si>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</si>
  <si>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</si>
  <si>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</si>
  <si>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</si>
  <si>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</si>
  <si>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</si>
  <si>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</si>
  <si>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</si>
  <si>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</si>
  <si>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</si>
  <si>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</si>
  <si>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</si>
  <si>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</si>
  <si>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</si>
  <si>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</si>
  <si>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</si>
  <si>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</si>
  <si>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</si>
  <si>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</si>
  <si>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</si>
  <si>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</si>
  <si>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</si>
  <si>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</si>
  <si>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</si>
  <si>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</si>
  <si>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</si>
  <si>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</si>
  <si>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</si>
  <si>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</si>
  <si>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</si>
  <si>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</si>
  <si>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</si>
  <si>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</si>
  <si>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</si>
  <si>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</si>
  <si>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</si>
  <si>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</si>
  <si>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</si>
  <si>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</si>
  <si>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</si>
  <si>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</si>
  <si>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</si>
  <si>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</si>
  <si>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</si>
  <si>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</si>
  <si>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</si>
  <si>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</si>
  <si>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</si>
  <si>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</si>
  <si>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</si>
  <si>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</si>
  <si>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</si>
  <si>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</si>
  <si>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</si>
  <si>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</si>
  <si>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</si>
  <si>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</si>
  <si>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</si>
  <si>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</si>
  <si>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</si>
  <si>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Niveau de médicalisation souhaitée</t>
  </si>
  <si>
    <t>Destination souhaitée</t>
  </si>
  <si>
    <t>Date et heure de départ vers la destination</t>
  </si>
  <si>
    <t>startTime</t>
  </si>
  <si>
    <t xml:space="preserve">Date et heure d’arrivée vers la destination </t>
  </si>
  <si>
    <t>arrivalTime</t>
  </si>
  <si>
    <t>Decision</t>
  </si>
  <si>
    <t>Colonne2</t>
  </si>
  <si>
    <t>Colonne1</t>
  </si>
  <si>
    <t>15-XX</t>
  </si>
  <si>
    <t>Décision d'orientation transport</t>
  </si>
  <si>
    <t>AR</t>
  </si>
  <si>
    <t>Statuts Vecteur</t>
  </si>
  <si>
    <t>ID du SMUR</t>
  </si>
  <si>
    <t xml:space="preserve">Numéro du d'identification du SMUR
</t>
  </si>
  <si>
    <t>dateStatus</t>
  </si>
  <si>
    <t>Date et heure de l'état de situation du SMUR</t>
  </si>
  <si>
    <t>Type d'état de situation</t>
  </si>
  <si>
    <t xml:space="preserve">Maintenance </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</si>
  <si>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</si>
  <si>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</si>
  <si>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</si>
  <si>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</si>
  <si>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</si>
  <si>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</si>
  <si>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</si>
  <si>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</si>
  <si>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</si>
  <si>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</si>
  <si>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</si>
  <si>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</si>
  <si>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</si>
  <si>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</si>
  <si>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</si>
  <si>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</si>
  <si>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</si>
  <si>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</si>
  <si>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</si>
  <si>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</si>
  <si>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</si>
  <si>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</si>
  <si>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</si>
  <si>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</si>
  <si>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</si>
  <si>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</si>
  <si>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</si>
  <si>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</si>
  <si>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</si>
  <si>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</si>
  <si>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</si>
  <si>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</si>
  <si>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</si>
  <si>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</si>
  <si>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</si>
  <si>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</si>
  <si>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</si>
  <si>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</si>
  <si>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</si>
  <si>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</si>
  <si>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</si>
  <si>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</si>
  <si>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Identifiant(s) de(s) ressource(s)</t>
  </si>
  <si>
    <t>Liste des ID des ressources pour lesquels le demandeur a besoin d'obtenir plus de détails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</si>
  <si>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</si>
  <si>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</si>
  <si>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</si>
  <si>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</si>
  <si>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</si>
  <si>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</si>
  <si>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</si>
  <si>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</si>
  <si>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</si>
  <si>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</si>
  <si>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</si>
  <si>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</si>
  <si>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</si>
  <si>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</si>
  <si>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</si>
  <si>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</si>
  <si>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</si>
  <si>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</si>
  <si>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</si>
  <si>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</si>
  <si>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</si>
  <si>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</si>
  <si>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</si>
  <si>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</si>
  <si>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</si>
  <si>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</si>
  <si>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</si>
  <si>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</si>
  <si>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</si>
  <si>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</si>
  <si>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</si>
  <si>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</si>
  <si>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</si>
  <si>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</si>
  <si>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</si>
  <si>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</si>
  <si>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</si>
  <si>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</si>
  <si>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</si>
  <si>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</si>
  <si>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</si>
  <si>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</si>
  <si>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</si>
  <si>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</si>
  <si>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</si>
  <si>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</si>
  <si>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</si>
  <si>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</si>
  <si>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</si>
  <si>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</si>
  <si>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</si>
  <si>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</si>
  <si>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</si>
  <si>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</si>
  <si>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</si>
  <si>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</si>
  <si>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</si>
  <si>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</si>
  <si>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</si>
  <si>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</si>
  <si>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</si>
  <si>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</si>
  <si>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</si>
  <si>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</si>
  <si>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</si>
  <si>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</si>
  <si>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</si>
  <si>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</si>
  <si>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</si>
  <si>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</si>
  <si>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17/02/1936</t>
  </si>
  <si>
    <t>les mises à jour de géolocalisation =  si les 2 sont reçus (RIG + GEO POS),  pour un dossier partagé ce sont les infos RS-RIG qui sont considérées comme "vraies"</t>
  </si>
  <si>
    <t>Type de ressource mobilisée (type moyen)</t>
  </si>
  <si>
    <t>Type de ressource mobilisée (nomenclature type de vecteur à implémenter)</t>
  </si>
  <si>
    <t>N° d'immatriculation du vecteur</t>
  </si>
  <si>
    <t>vehiculeType</t>
  </si>
  <si>
    <t>Nomenclature type de moyens</t>
  </si>
  <si>
    <t>Nomenclature type de vecteur</t>
  </si>
  <si>
    <t>Date et heure de départ destination</t>
  </si>
  <si>
    <t>localID</t>
  </si>
  <si>
    <t>Identifiant de l'intervention dans le système qui envoie le message</t>
  </si>
  <si>
    <t>Opérateur décideur</t>
  </si>
  <si>
    <t>decider</t>
  </si>
  <si>
    <t>Dernier statut du vecteur</t>
  </si>
  <si>
    <t>les ressources engagées sur une opération =  pas besoin de réindiquer ici l'origine et la destination de chaque ressource, elles sont liées à une mission / un dossier ? (oui sur un cas de traversée de département)</t>
  </si>
  <si>
    <t>Lieu de prise en charge</t>
  </si>
  <si>
    <t>Permet de décrire le lieu d'intervention, lorsqu'il est différent de celui porté au dossier. Par exemple dans un cas de jonction, ou pour un TIH.</t>
  </si>
  <si>
    <t>oui / non / oui partiel / différé</t>
  </si>
  <si>
    <t>Permet de décrire le lieu d'intervention de la ressource, notamment s'il est différent du lieu d'intervention du dossier</t>
  </si>
  <si>
    <t>Texte libre permettant de passer toute autre information sur la ressource (équipements supplémentaires / particuliers, particularités du vecteur)</t>
  </si>
  <si>
    <t>EMSI:15-15:emsi</t>
  </si>
  <si>
    <t>RS-RIG:15-15:resourcesInfo</t>
  </si>
  <si>
    <t>RS-DDR:15-15:resourcesRequest</t>
  </si>
  <si>
    <t>RS-RDR:15-15:resourcesResponse</t>
  </si>
  <si>
    <t>GEO-POS:15-15:geoPositionsUpdate</t>
  </si>
  <si>
    <t>GEO-REQ:15-15:geoResourcesRequest</t>
  </si>
  <si>
    <t>GEO-RES:15-15:geoResourcesDetails</t>
  </si>
  <si>
    <t>RS-ERROR:15-15:error</t>
  </si>
  <si>
    <t>RS-INFO:15-15:info</t>
  </si>
  <si>
    <t>RC-REF:15-15:reference</t>
  </si>
  <si>
    <t>customContent:15-15:customContent</t>
  </si>
  <si>
    <t>Indique si les lignes sont à prendre en compte dans les contrats d'interface 15-15/15-18
Si les colonnes ne sont pas cochées, le parser ne prend pas en compte la ligne. Chaque colonne périmètre doit avoir le mot "Périmètre" à la ligne 7.</t>
  </si>
  <si>
    <t>Numéro de provenance de l'appel</t>
  </si>
  <si>
    <t>ENUM: 15, 18, 17, 112, 116117</t>
  </si>
  <si>
    <t>Nomenclature à prévoir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</si>
</sst>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59">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i/>
      <sz val="11"/>
      <color rgb="FFFF0000"/>
      <name val="Calibri"/>
      <family val="2"/>
      <scheme val="minor"/>
    </font>
    <font>
      <strike/>
      <sz val="11"/>
      <color rgb="FF808080"/>
      <name val="Calibri"/>
      <family val="2"/>
      <scheme val="minor"/>
    </font>
    <font>
      <strike/>
      <sz val="11"/>
      <color rgb="FF000000"/>
      <name val="Calibri"/>
      <family val="2"/>
      <scheme val="minor"/>
    </font>
    <font>
      <strike/>
      <sz val="11"/>
      <name val="Calibri"/>
      <family val="2"/>
      <scheme val="minor"/>
    </font>
    <font>
      <i/>
      <strike/>
      <sz val="11"/>
      <color theme="1"/>
      <name val="Calibri"/>
      <family val="2"/>
      <scheme val="minor"/>
    </font>
    <font>
      <i/>
      <sz val="11"/>
      <name val="Calibri"/>
      <family val="2"/>
      <scheme val="minor"/>
    </font>
    <font>
      <sz val="8"/>
      <name val="Tahoma"/>
      <family val="2"/>
    </font>
    <font>
      <strike/>
      <sz val="11"/>
      <color theme="2" tint="-0.499984740745262"/>
      <name val="Calibri"/>
      <family val="2"/>
      <scheme val="minor"/>
    </font>
    <font>
      <b/>
      <strike/>
      <sz val="11"/>
      <color theme="2" tint="-0.499984740745262"/>
      <name val="Calibri"/>
      <family val="2"/>
      <scheme val="minor"/>
    </font>
    <font>
      <b/>
      <sz val="12"/>
      <color rgb="FFC00000"/>
      <name val="Aptos"/>
      <family val="2"/>
    </font>
    <font>
      <sz val="11"/>
      <color rgb="FFC00000"/>
      <name val="Tahoma"/>
      <family val="2"/>
    </font>
    <font>
      <sz val="12"/>
      <color rgb="FFC00000"/>
      <name val="Aptos"/>
      <family val="2"/>
    </font>
    <font>
      <b/>
      <sz val="11"/>
      <color rgb="FFC00000"/>
      <name val="Calibri3"/>
    </font>
    <font>
      <sz val="11"/>
      <color rgb="FFC00000"/>
      <name val="Calibri3"/>
    </font>
    <font>
      <b/>
      <sz val="11"/>
      <color rgb="FFCC00CC"/>
      <name val="Calibri"/>
      <family val="2"/>
      <scheme val="minor"/>
    </font>
    <font>
      <b/>
      <sz val="12"/>
      <color rgb="FFCC00CC"/>
      <name val="Aptos"/>
      <family val="2"/>
    </font>
    <font>
      <b/>
      <sz val="11"/>
      <color rgb="FFEC7524"/>
      <name val="Calibri3"/>
    </font>
    <font>
      <sz val="11"/>
      <color rgb="FFEC7524"/>
      <name val="Calibri"/>
      <family val="2"/>
      <scheme val="minor"/>
    </font>
    <font>
      <b/>
      <sz val="11"/>
      <color rgb="FFEC7524"/>
      <name val="Calibri"/>
      <family val="2"/>
      <scheme val="minor"/>
    </font>
    <font>
      <strike/>
      <sz val="11"/>
      <color rgb="FF757171"/>
      <name val="Calibri"/>
      <family val="2"/>
      <scheme val="minor"/>
    </font>
    <font>
      <b/>
      <strike/>
      <sz val="11"/>
      <color rgb="FF757171"/>
      <name val="Calibri"/>
      <family val="2"/>
      <scheme val="minor"/>
    </font>
    <font>
      <strike/>
      <sz val="11"/>
      <color rgb="FF757171"/>
      <name val="Calibri"/>
      <family val="2"/>
    </font>
    <font>
      <i/>
      <strike/>
      <sz val="11"/>
      <color rgb="FF757171"/>
      <name val="Calibri"/>
      <family val="2"/>
      <scheme val="minor"/>
    </font>
    <font>
      <strike/>
      <sz val="11"/>
      <color rgb="FF757171"/>
      <name val="Calibri (Body)"/>
    </font>
    <font>
      <b/>
      <sz val="11"/>
      <color rgb="FF0070C0"/>
      <name val="Calibri"/>
      <family val="2"/>
      <scheme val="minor"/>
    </font>
    <font>
      <b/>
      <sz val="11"/>
      <color rgb="FF0070C0"/>
      <name val="Calibri3"/>
    </font>
    <font>
      <b/>
      <i/>
      <sz val="11"/>
      <color rgb="FFEC7524"/>
      <name val="Calibri"/>
      <family val="2"/>
      <scheme val="minor"/>
    </font>
    <font>
      <b/>
      <sz val="11"/>
      <color rgb="FFCC00CC"/>
      <name val="Calibri3"/>
    </font>
    <font>
      <b/>
      <u/>
      <sz val="11"/>
      <color rgb="FF0070C0"/>
      <name val="Calibri"/>
      <family val="2"/>
      <scheme val="minor"/>
    </font>
    <font>
      <strike/>
      <u/>
      <sz val="11"/>
      <color rgb="FF757171"/>
      <name val="Calibri"/>
      <family val="2"/>
      <scheme val="minor"/>
    </font>
    <font>
      <strike/>
      <sz val="11"/>
      <color rgb="FF757171"/>
      <name val="Calibri3"/>
    </font>
    <font>
      <strike/>
      <sz val="11"/>
      <color rgb="FF757171"/>
      <name val="Tahoma"/>
      <family val="2"/>
    </font>
    <font>
      <u/>
      <sz val="11"/>
      <color theme="10"/>
      <name val="Tahoma"/>
      <family val="2"/>
    </font>
    <font>
      <sz val="11"/>
      <color rgb="FF69008E"/>
      <name val="Calibri Light"/>
      <family val="2"/>
    </font>
    <font>
      <sz val="11"/>
      <color rgb="FF69008E"/>
      <name val="Calibri3"/>
    </font>
    <font>
      <b/>
      <strike/>
      <sz val="11"/>
      <color rgb="FFFF0000"/>
      <name val="Calibri"/>
      <family val="2"/>
      <scheme val="minor"/>
    </font>
    <font>
      <strike/>
      <sz val="11"/>
      <color rgb="FFFF0000"/>
      <name val="Calibri"/>
      <family val="2"/>
      <scheme val="minor"/>
    </font>
    <font>
      <sz val="11"/>
      <color theme="1" tint="4.9989318521683403E-2"/>
      <name val="Calibri"/>
      <family val="2"/>
      <scheme val="minor"/>
    </font>
    <font>
      <sz val="11"/>
      <color rgb="FF242424"/>
      <name val="Aptos Narrow"/>
      <family val="2"/>
    </font>
  </fonts>
  <fills count="65">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
      <patternFill patternType="solid">
        <fgColor theme="1" tint="0.499984740745262"/>
        <bgColor indexed="64"/>
      </patternFill>
    </fill>
    <fill>
      <patternFill patternType="solid">
        <fgColor theme="0" tint="-0.34998626667073579"/>
        <bgColor indexed="64"/>
      </patternFill>
    </fill>
    <fill>
      <patternFill patternType="solid">
        <fgColor rgb="FFC00000"/>
        <bgColor indexed="64"/>
      </patternFill>
    </fill>
    <fill>
      <patternFill patternType="solid">
        <fgColor theme="5" tint="-0.249977111117893"/>
        <bgColor indexed="64"/>
      </patternFill>
    </fill>
    <fill>
      <patternFill patternType="solid">
        <fgColor rgb="FF92D050"/>
        <bgColor indexed="6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s>
  <cellStyleXfs count="15">
    <xf numFmtId="0" fontId="0" fillId="0" borderId="0"/>
    <xf numFmtId="0" fontId="47" fillId="2" borderId="0" applyBorder="0" applyProtection="0"/>
    <xf numFmtId="0" fontId="47" fillId="2" borderId="0" applyBorder="0" applyProtection="0"/>
    <xf numFmtId="0" fontId="7" fillId="2" borderId="0" applyBorder="0" applyProtection="0"/>
    <xf numFmtId="0" fontId="47" fillId="2" borderId="0" applyBorder="0" applyProtection="0"/>
    <xf numFmtId="0" fontId="7" fillId="2" borderId="0" applyBorder="0" applyProtection="0"/>
    <xf numFmtId="0" fontId="9" fillId="0" borderId="0" applyBorder="0" applyProtection="0"/>
    <xf numFmtId="0" fontId="10" fillId="0" borderId="0" applyBorder="0" applyProtection="0"/>
    <xf numFmtId="164" fontId="11" fillId="0" borderId="0" applyBorder="0" applyProtection="0"/>
    <xf numFmtId="0" fontId="47" fillId="2" borderId="0" applyBorder="0" applyProtection="0"/>
    <xf numFmtId="0" fontId="47" fillId="2" borderId="0" applyBorder="0" applyProtection="0"/>
    <xf numFmtId="0" fontId="47" fillId="2" borderId="0" applyBorder="0" applyProtection="0"/>
    <xf numFmtId="0" fontId="7" fillId="2" borderId="0" applyBorder="0" applyProtection="0"/>
    <xf numFmtId="0" fontId="8" fillId="0" borderId="0" applyBorder="0" applyProtection="0"/>
    <xf numFmtId="0" fontId="152" fillId="0" borderId="0" applyNumberFormat="0" applyFill="0" applyBorder="0" applyAlignment="0" applyProtection="0"/>
  </cellStyleXfs>
  <cellXfs count="832">
    <xf numFmtId="0" fontId="0" fillId="0" borderId="0" xfId="0"/>
    <xf numFmtId="0" fontId="13" fillId="0" borderId="0" xfId="0" applyFont="1" applyAlignment="1">
      <alignment wrapText="1"/>
    </xf>
    <xf numFmtId="0" fontId="13" fillId="0" borderId="0" xfId="0" applyFont="1"/>
    <xf numFmtId="0" fontId="12" fillId="0" borderId="0" xfId="0" applyFont="1"/>
    <xf numFmtId="0" fontId="10" fillId="0" borderId="0" xfId="0" applyFont="1" applyAlignment="1">
      <alignment vertical="center"/>
    </xf>
    <xf numFmtId="0" fontId="12" fillId="0" borderId="0" xfId="0" applyFont="1" applyAlignment="1">
      <alignment wrapText="1"/>
    </xf>
    <xf numFmtId="0" fontId="17" fillId="0" borderId="0" xfId="0" applyFont="1" applyAlignment="1">
      <alignment wrapText="1"/>
    </xf>
    <xf numFmtId="0" fontId="12" fillId="0" borderId="0" xfId="0" applyFont="1" applyAlignment="1">
      <alignment horizontal="center"/>
    </xf>
    <xf numFmtId="0" fontId="13" fillId="5" borderId="1" xfId="0" applyFont="1" applyFill="1" applyBorder="1" applyAlignment="1">
      <alignment vertical="center"/>
    </xf>
    <xf numFmtId="0" fontId="14"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8" fillId="5" borderId="1" xfId="0" applyFont="1" applyFill="1" applyBorder="1" applyAlignment="1">
      <alignment vertical="center"/>
    </xf>
    <xf numFmtId="0" fontId="15" fillId="5" borderId="0" xfId="0" applyFont="1" applyFill="1" applyAlignment="1">
      <alignment vertical="center" wrapText="1"/>
    </xf>
    <xf numFmtId="0" fontId="12" fillId="5" borderId="0" xfId="0" applyFont="1" applyFill="1" applyAlignment="1">
      <alignment horizontal="center" vertical="center"/>
    </xf>
    <xf numFmtId="0" fontId="12" fillId="5" borderId="0" xfId="0" applyFont="1" applyFill="1" applyAlignment="1">
      <alignment vertical="center"/>
    </xf>
    <xf numFmtId="0" fontId="13" fillId="0" borderId="1" xfId="0" applyFont="1" applyBorder="1" applyAlignment="1">
      <alignment vertical="center"/>
    </xf>
    <xf numFmtId="0" fontId="19" fillId="0" borderId="1" xfId="0" applyFont="1" applyBorder="1" applyAlignment="1">
      <alignment horizontal="left" vertical="center"/>
    </xf>
    <xf numFmtId="0" fontId="20" fillId="4" borderId="1" xfId="0" applyFont="1" applyFill="1" applyBorder="1" applyAlignment="1">
      <alignment vertical="center"/>
    </xf>
    <xf numFmtId="0" fontId="19" fillId="4" borderId="1" xfId="0" applyFont="1" applyFill="1" applyBorder="1" applyAlignment="1">
      <alignment vertical="center"/>
    </xf>
    <xf numFmtId="0" fontId="10" fillId="4" borderId="1" xfId="0" applyFont="1" applyFill="1" applyBorder="1" applyAlignment="1">
      <alignment horizontal="left" vertical="center"/>
    </xf>
    <xf numFmtId="0" fontId="18" fillId="4" borderId="1" xfId="0" applyFont="1" applyFill="1" applyBorder="1" applyAlignment="1">
      <alignment vertical="center"/>
    </xf>
    <xf numFmtId="0" fontId="15" fillId="0" borderId="1" xfId="0" applyFont="1" applyBorder="1" applyAlignment="1">
      <alignment vertical="center"/>
    </xf>
    <xf numFmtId="0" fontId="0" fillId="0" borderId="1" xfId="0" applyBorder="1"/>
    <xf numFmtId="0" fontId="21" fillId="0" borderId="1" xfId="0" applyFont="1" applyBorder="1" applyAlignment="1">
      <alignment horizontal="center" vertical="center" wrapText="1"/>
    </xf>
    <xf numFmtId="0" fontId="22" fillId="0" borderId="1" xfId="0" applyFont="1" applyBorder="1" applyAlignment="1">
      <alignment vertical="center" wrapText="1"/>
    </xf>
    <xf numFmtId="0" fontId="15" fillId="0" borderId="0" xfId="0" applyFont="1" applyAlignment="1">
      <alignment vertical="center" wrapText="1"/>
    </xf>
    <xf numFmtId="0" fontId="12" fillId="0" borderId="0" xfId="0" applyFont="1" applyAlignment="1">
      <alignment horizontal="center" vertical="center"/>
    </xf>
    <xf numFmtId="0" fontId="12" fillId="0" borderId="0" xfId="0" applyFont="1" applyAlignment="1">
      <alignment vertical="center"/>
    </xf>
    <xf numFmtId="0" fontId="13" fillId="5" borderId="1" xfId="0" applyFont="1" applyFill="1" applyBorder="1"/>
    <xf numFmtId="0" fontId="15" fillId="5" borderId="1" xfId="0" applyFont="1" applyFill="1" applyBorder="1"/>
    <xf numFmtId="0" fontId="15" fillId="5" borderId="1" xfId="0" applyFont="1" applyFill="1" applyBorder="1" applyAlignment="1">
      <alignment wrapText="1"/>
    </xf>
    <xf numFmtId="0" fontId="15" fillId="5" borderId="0" xfId="0" applyFont="1" applyFill="1" applyAlignment="1">
      <alignment wrapText="1"/>
    </xf>
    <xf numFmtId="0" fontId="15" fillId="6" borderId="0" xfId="0" applyFont="1" applyFill="1" applyAlignment="1">
      <alignment horizontal="center" vertical="center" wrapText="1"/>
    </xf>
    <xf numFmtId="0" fontId="12" fillId="5" borderId="0" xfId="0" applyFont="1" applyFill="1"/>
    <xf numFmtId="0" fontId="13" fillId="0" borderId="1" xfId="0" applyFont="1" applyBorder="1"/>
    <xf numFmtId="0" fontId="12" fillId="0" borderId="1" xfId="0" applyFont="1" applyBorder="1"/>
    <xf numFmtId="0" fontId="10" fillId="7" borderId="1" xfId="0" applyFont="1" applyFill="1" applyBorder="1" applyAlignment="1">
      <alignment vertical="center"/>
    </xf>
    <xf numFmtId="0" fontId="15" fillId="0" borderId="0" xfId="0" applyFont="1"/>
    <xf numFmtId="0" fontId="15" fillId="0" borderId="0" xfId="0" applyFont="1" applyAlignment="1">
      <alignment wrapText="1"/>
    </xf>
    <xf numFmtId="0" fontId="23" fillId="0" borderId="0" xfId="0" applyFont="1" applyAlignment="1">
      <alignment horizontal="center" vertical="center" wrapText="1"/>
    </xf>
    <xf numFmtId="0" fontId="15" fillId="0" borderId="0" xfId="0" applyFont="1" applyAlignment="1">
      <alignment horizontal="center" vertical="center" wrapText="1"/>
    </xf>
    <xf numFmtId="0" fontId="13" fillId="0" borderId="2" xfId="0" applyFont="1" applyBorder="1"/>
    <xf numFmtId="0" fontId="10" fillId="7" borderId="1" xfId="0" applyFont="1" applyFill="1" applyBorder="1" applyAlignment="1">
      <alignment vertical="center" wrapText="1"/>
    </xf>
    <xf numFmtId="0" fontId="23" fillId="8" borderId="2" xfId="0" applyFont="1" applyFill="1" applyBorder="1" applyAlignment="1">
      <alignment horizontal="center" vertical="center" wrapText="1"/>
    </xf>
    <xf numFmtId="49" fontId="12" fillId="0" borderId="1" xfId="0" applyNumberFormat="1" applyFont="1" applyBorder="1"/>
    <xf numFmtId="0" fontId="18" fillId="0" borderId="1" xfId="0" applyFont="1" applyBorder="1" applyAlignment="1">
      <alignment vertical="center"/>
    </xf>
    <xf numFmtId="0" fontId="12" fillId="4" borderId="1" xfId="0" applyFont="1" applyFill="1" applyBorder="1"/>
    <xf numFmtId="0" fontId="12" fillId="4" borderId="1" xfId="0" applyFont="1" applyFill="1" applyBorder="1" applyAlignment="1">
      <alignment wrapText="1"/>
    </xf>
    <xf numFmtId="0" fontId="17" fillId="4" borderId="1" xfId="0" applyFont="1" applyFill="1" applyBorder="1" applyAlignment="1">
      <alignment wrapText="1"/>
    </xf>
    <xf numFmtId="0" fontId="10" fillId="0" borderId="1" xfId="0" applyFont="1" applyBorder="1" applyAlignment="1">
      <alignment vertical="center"/>
    </xf>
    <xf numFmtId="0" fontId="10" fillId="9" borderId="1" xfId="0" applyFont="1" applyFill="1" applyBorder="1" applyAlignment="1">
      <alignment vertical="center"/>
    </xf>
    <xf numFmtId="0" fontId="13" fillId="0" borderId="1" xfId="0" applyFont="1" applyBorder="1" applyAlignment="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0" fillId="9" borderId="1" xfId="0" applyFont="1" applyFill="1" applyBorder="1" applyAlignment="1">
      <alignment vertical="center" wrapText="1"/>
    </xf>
    <xf numFmtId="0" fontId="12" fillId="0" borderId="0" xfId="0" applyFont="1" applyAlignment="1">
      <alignment horizontal="center" wrapText="1"/>
    </xf>
    <xf numFmtId="0" fontId="0" fillId="0" borderId="0" xfId="0" applyAlignment="1">
      <alignment wrapText="1"/>
    </xf>
    <xf numFmtId="0" fontId="25" fillId="0" borderId="0" xfId="0" applyFont="1" applyAlignment="1">
      <alignment wrapText="1"/>
    </xf>
    <xf numFmtId="0" fontId="10" fillId="4" borderId="1" xfId="0" applyFont="1" applyFill="1" applyBorder="1" applyAlignment="1">
      <alignment vertical="center"/>
    </xf>
    <xf numFmtId="0" fontId="10" fillId="7" borderId="0" xfId="0" applyFont="1" applyFill="1" applyAlignment="1">
      <alignment vertical="center" wrapText="1"/>
    </xf>
    <xf numFmtId="0" fontId="26" fillId="0" borderId="0" xfId="0" applyFont="1"/>
    <xf numFmtId="49" fontId="12" fillId="0" borderId="0" xfId="0" applyNumberFormat="1" applyFont="1"/>
    <xf numFmtId="0" fontId="10" fillId="0" borderId="1" xfId="0" applyFont="1" applyBorder="1" applyAlignment="1">
      <alignment vertical="center" wrapText="1"/>
    </xf>
    <xf numFmtId="0" fontId="27" fillId="0" borderId="0" xfId="0" applyFont="1" applyAlignment="1">
      <alignment wrapText="1"/>
    </xf>
    <xf numFmtId="0" fontId="0" fillId="10" borderId="2" xfId="0" applyFill="1" applyBorder="1"/>
    <xf numFmtId="0" fontId="18" fillId="7" borderId="1" xfId="0" applyFont="1" applyFill="1" applyBorder="1" applyAlignment="1">
      <alignment vertical="center"/>
    </xf>
    <xf numFmtId="0" fontId="12" fillId="4" borderId="0" xfId="0" applyFont="1" applyFill="1" applyAlignment="1">
      <alignment wrapText="1"/>
    </xf>
    <xf numFmtId="0" fontId="0" fillId="8" borderId="2" xfId="0" applyFill="1" applyBorder="1"/>
    <xf numFmtId="0" fontId="10" fillId="4" borderId="1" xfId="0" applyFont="1" applyFill="1" applyBorder="1" applyAlignment="1">
      <alignment wrapText="1"/>
    </xf>
    <xf numFmtId="0" fontId="10" fillId="7" borderId="0" xfId="0" applyFont="1" applyFill="1" applyAlignment="1">
      <alignment vertical="center"/>
    </xf>
    <xf numFmtId="0" fontId="12" fillId="3" borderId="1" xfId="0" applyFont="1" applyFill="1" applyBorder="1"/>
    <xf numFmtId="0" fontId="13" fillId="8" borderId="2" xfId="0" applyFont="1" applyFill="1" applyBorder="1" applyAlignment="1">
      <alignment horizontal="center"/>
    </xf>
    <xf numFmtId="0" fontId="13" fillId="8" borderId="0" xfId="0" applyFont="1" applyFill="1" applyAlignment="1">
      <alignment horizontal="center"/>
    </xf>
    <xf numFmtId="0" fontId="13" fillId="8" borderId="0" xfId="0" applyFont="1" applyFill="1" applyAlignment="1">
      <alignment horizontal="center" vertical="center"/>
    </xf>
    <xf numFmtId="0" fontId="0" fillId="8" borderId="0" xfId="0" applyFill="1"/>
    <xf numFmtId="0" fontId="28" fillId="0" borderId="0" xfId="0" applyFont="1"/>
    <xf numFmtId="0" fontId="16" fillId="0" borderId="0" xfId="0" applyFont="1"/>
    <xf numFmtId="0" fontId="16" fillId="0" borderId="1" xfId="0" applyFont="1" applyBorder="1"/>
    <xf numFmtId="0" fontId="29" fillId="7" borderId="1" xfId="0" applyFont="1" applyFill="1" applyBorder="1" applyAlignment="1">
      <alignment vertical="center"/>
    </xf>
    <xf numFmtId="0" fontId="16" fillId="0" borderId="0" xfId="0" applyFont="1" applyAlignment="1">
      <alignment wrapText="1"/>
    </xf>
    <xf numFmtId="0" fontId="16" fillId="0" borderId="0" xfId="0" applyFont="1" applyAlignment="1">
      <alignment horizontal="center"/>
    </xf>
    <xf numFmtId="0" fontId="30" fillId="0" borderId="0" xfId="0" applyFont="1"/>
    <xf numFmtId="0" fontId="18" fillId="5" borderId="1" xfId="0" applyFont="1" applyFill="1" applyBorder="1" applyAlignment="1">
      <alignment vertical="center" wrapText="1"/>
    </xf>
    <xf numFmtId="0" fontId="15" fillId="5" borderId="1" xfId="0" applyFont="1" applyFill="1" applyBorder="1" applyAlignment="1">
      <alignment horizontal="center" vertical="center"/>
    </xf>
    <xf numFmtId="0" fontId="31" fillId="0" borderId="3" xfId="0" applyFont="1" applyBorder="1"/>
    <xf numFmtId="0" fontId="0" fillId="0" borderId="3" xfId="0" applyBorder="1" applyAlignment="1">
      <alignment wrapText="1"/>
    </xf>
    <xf numFmtId="0" fontId="32" fillId="0" borderId="0" xfId="0" applyFont="1"/>
    <xf numFmtId="0" fontId="33" fillId="0" borderId="0" xfId="0" applyFont="1"/>
    <xf numFmtId="0" fontId="34" fillId="0" borderId="0" xfId="0" applyFont="1"/>
    <xf numFmtId="0" fontId="34" fillId="0" borderId="0" xfId="0" applyFont="1" applyAlignment="1">
      <alignment vertical="center"/>
    </xf>
    <xf numFmtId="0" fontId="35" fillId="0" borderId="0" xfId="0" applyFont="1"/>
    <xf numFmtId="0" fontId="36" fillId="0" borderId="0" xfId="0" applyFont="1"/>
    <xf numFmtId="0" fontId="35" fillId="0" borderId="0" xfId="0" applyFont="1" applyAlignment="1">
      <alignment vertical="center"/>
    </xf>
    <xf numFmtId="0" fontId="37" fillId="0" borderId="0" xfId="0" applyFont="1"/>
    <xf numFmtId="0" fontId="0" fillId="0" borderId="0" xfId="0" applyAlignment="1">
      <alignment horizontal="center"/>
    </xf>
    <xf numFmtId="0" fontId="38" fillId="0" borderId="0" xfId="0" applyFont="1" applyAlignment="1">
      <alignment wrapText="1"/>
    </xf>
    <xf numFmtId="0" fontId="18" fillId="5" borderId="1" xfId="0" applyFont="1" applyFill="1" applyBorder="1" applyAlignment="1">
      <alignment wrapText="1"/>
    </xf>
    <xf numFmtId="0" fontId="0" fillId="5" borderId="0" xfId="0" applyFill="1"/>
    <xf numFmtId="0" fontId="18" fillId="4" borderId="1" xfId="0" applyFont="1" applyFill="1" applyBorder="1" applyAlignment="1">
      <alignment wrapText="1"/>
    </xf>
    <xf numFmtId="0" fontId="0" fillId="0" borderId="1" xfId="0" applyBorder="1" applyAlignment="1">
      <alignment horizontal="center"/>
    </xf>
    <xf numFmtId="0" fontId="39" fillId="0" borderId="1" xfId="0" applyFont="1" applyBorder="1" applyAlignment="1">
      <alignment horizontal="center" wrapText="1"/>
    </xf>
    <xf numFmtId="0" fontId="22" fillId="0" borderId="0" xfId="0" applyFont="1" applyAlignment="1">
      <alignment vertical="center" wrapText="1"/>
    </xf>
    <xf numFmtId="0" fontId="15" fillId="5" borderId="1" xfId="0" applyFont="1" applyFill="1" applyBorder="1" applyAlignment="1">
      <alignment horizontal="center"/>
    </xf>
    <xf numFmtId="0" fontId="15" fillId="5" borderId="1" xfId="0" applyFont="1" applyFill="1" applyBorder="1" applyAlignment="1">
      <alignment horizontal="center" wrapText="1"/>
    </xf>
    <xf numFmtId="0" fontId="40" fillId="5" borderId="1" xfId="0" applyFont="1" applyFill="1" applyBorder="1" applyAlignment="1">
      <alignment wrapText="1"/>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5" fillId="5" borderId="4" xfId="0" applyFont="1" applyFill="1" applyBorder="1" applyAlignment="1">
      <alignment vertical="center" wrapText="1"/>
    </xf>
    <xf numFmtId="0" fontId="10" fillId="0" borderId="1" xfId="0" applyFont="1" applyBorder="1" applyAlignment="1">
      <alignment wrapText="1"/>
    </xf>
    <xf numFmtId="0" fontId="36" fillId="0" borderId="0" xfId="0" applyFont="1" applyAlignment="1">
      <alignment wrapText="1"/>
    </xf>
    <xf numFmtId="0" fontId="13" fillId="4" borderId="1" xfId="0" applyFont="1" applyFill="1" applyBorder="1" applyAlignment="1">
      <alignment horizontal="center"/>
    </xf>
    <xf numFmtId="0" fontId="41" fillId="0" borderId="0" xfId="0" applyFont="1" applyAlignment="1">
      <alignment wrapText="1"/>
    </xf>
    <xf numFmtId="0" fontId="0" fillId="11" borderId="0" xfId="0" applyFill="1"/>
    <xf numFmtId="0" fontId="41" fillId="0" borderId="1" xfId="0" applyFont="1" applyBorder="1" applyAlignment="1">
      <alignment vertical="center" wrapText="1"/>
    </xf>
    <xf numFmtId="0" fontId="41" fillId="0" borderId="1" xfId="0" applyFont="1" applyBorder="1" applyAlignment="1">
      <alignment wrapText="1"/>
    </xf>
    <xf numFmtId="0" fontId="37" fillId="0" borderId="0" xfId="0" applyFont="1" applyAlignment="1">
      <alignment wrapText="1"/>
    </xf>
    <xf numFmtId="0" fontId="41" fillId="0" borderId="0" xfId="0" applyFont="1"/>
    <xf numFmtId="0" fontId="12" fillId="4" borderId="1" xfId="0" applyFont="1" applyFill="1" applyBorder="1" applyAlignment="1">
      <alignment horizontal="center" wrapText="1"/>
    </xf>
    <xf numFmtId="0" fontId="13" fillId="4" borderId="1" xfId="0" applyFont="1" applyFill="1" applyBorder="1" applyAlignment="1">
      <alignment horizontal="center" wrapText="1"/>
    </xf>
    <xf numFmtId="0" fontId="43" fillId="0" borderId="2" xfId="0" applyFont="1" applyBorder="1"/>
    <xf numFmtId="0" fontId="43" fillId="0" borderId="1" xfId="0" applyFont="1" applyBorder="1"/>
    <xf numFmtId="0" fontId="41" fillId="0" borderId="0" xfId="0" applyFont="1" applyAlignment="1">
      <alignment horizontal="left"/>
    </xf>
    <xf numFmtId="0" fontId="41" fillId="0" borderId="1" xfId="0" applyFont="1" applyBorder="1"/>
    <xf numFmtId="0" fontId="43" fillId="4" borderId="1" xfId="0" applyFont="1" applyFill="1" applyBorder="1" applyAlignment="1">
      <alignment horizontal="center"/>
    </xf>
    <xf numFmtId="0" fontId="41" fillId="0" borderId="0" xfId="0" applyFont="1" applyAlignment="1">
      <alignment horizontal="center" wrapText="1"/>
    </xf>
    <xf numFmtId="0" fontId="44" fillId="4" borderId="1" xfId="0" applyFont="1" applyFill="1" applyBorder="1" applyAlignment="1">
      <alignment horizontal="center"/>
    </xf>
    <xf numFmtId="0" fontId="43" fillId="0" borderId="0" xfId="0" applyFont="1" applyAlignment="1">
      <alignment horizontal="center"/>
    </xf>
    <xf numFmtId="0" fontId="38" fillId="0" borderId="0" xfId="0" applyFont="1"/>
    <xf numFmtId="0" fontId="39" fillId="4" borderId="1" xfId="0" applyFont="1" applyFill="1" applyBorder="1"/>
    <xf numFmtId="0" fontId="39" fillId="0" borderId="1" xfId="0" applyFont="1" applyBorder="1"/>
    <xf numFmtId="0" fontId="10" fillId="0" borderId="0" xfId="0" applyFont="1"/>
    <xf numFmtId="0" fontId="10" fillId="12" borderId="0" xfId="0" applyFont="1" applyFill="1" applyAlignment="1">
      <alignment vertical="center"/>
    </xf>
    <xf numFmtId="0" fontId="15" fillId="12" borderId="0" xfId="0" applyFont="1" applyFill="1" applyAlignment="1">
      <alignment vertical="center"/>
    </xf>
    <xf numFmtId="0" fontId="10" fillId="12" borderId="0" xfId="0" applyFont="1" applyFill="1"/>
    <xf numFmtId="0" fontId="10" fillId="12" borderId="5" xfId="0" applyFont="1" applyFill="1" applyBorder="1"/>
    <xf numFmtId="0" fontId="39" fillId="0" borderId="4" xfId="0" applyFont="1" applyBorder="1"/>
    <xf numFmtId="0" fontId="46" fillId="0" borderId="1" xfId="0" applyFont="1" applyBorder="1"/>
    <xf numFmtId="0" fontId="46" fillId="0" borderId="6" xfId="0" applyFont="1" applyBorder="1"/>
    <xf numFmtId="0" fontId="48" fillId="0" borderId="0" xfId="0" applyFont="1"/>
    <xf numFmtId="0" fontId="48" fillId="0" borderId="0" xfId="0" applyFont="1" applyAlignment="1">
      <alignment wrapText="1"/>
    </xf>
    <xf numFmtId="0" fontId="50" fillId="0" borderId="1" xfId="0" applyFont="1" applyBorder="1"/>
    <xf numFmtId="0" fontId="51" fillId="0" borderId="1" xfId="0" applyFont="1" applyBorder="1"/>
    <xf numFmtId="0" fontId="52" fillId="0" borderId="1" xfId="0" applyFont="1" applyBorder="1"/>
    <xf numFmtId="0" fontId="53" fillId="0" borderId="0" xfId="0" applyFont="1"/>
    <xf numFmtId="0" fontId="54" fillId="0" borderId="0" xfId="0" applyFont="1"/>
    <xf numFmtId="0" fontId="54" fillId="0" borderId="6" xfId="0" applyFont="1" applyBorder="1"/>
    <xf numFmtId="0" fontId="55" fillId="0" borderId="0" xfId="0" applyFont="1"/>
    <xf numFmtId="0" fontId="55" fillId="0" borderId="0" xfId="0" applyFont="1" applyAlignment="1">
      <alignment wrapText="1"/>
    </xf>
    <xf numFmtId="0" fontId="56" fillId="0" borderId="0" xfId="0" applyFont="1"/>
    <xf numFmtId="0" fontId="57" fillId="14" borderId="0" xfId="0" applyFont="1" applyFill="1"/>
    <xf numFmtId="0" fontId="57" fillId="17" borderId="0" xfId="0" applyFont="1" applyFill="1"/>
    <xf numFmtId="0" fontId="57" fillId="16" borderId="0" xfId="0" applyFont="1" applyFill="1"/>
    <xf numFmtId="0" fontId="39" fillId="18" borderId="1" xfId="0" applyFont="1" applyFill="1" applyBorder="1"/>
    <xf numFmtId="0" fontId="48" fillId="0" borderId="0" xfId="0" applyFont="1" applyAlignment="1">
      <alignment horizontal="left" wrapText="1"/>
    </xf>
    <xf numFmtId="0" fontId="12" fillId="0" borderId="0" xfId="0" applyFont="1" applyAlignment="1">
      <alignment horizontal="left" wrapText="1"/>
    </xf>
    <xf numFmtId="0" fontId="48" fillId="0" borderId="0" xfId="0" applyFont="1" applyAlignment="1">
      <alignment horizontal="center" wrapText="1"/>
    </xf>
    <xf numFmtId="9" fontId="38" fillId="0" borderId="0" xfId="0" applyNumberFormat="1" applyFont="1"/>
    <xf numFmtId="0" fontId="64" fillId="0" borderId="0" xfId="0" applyFont="1"/>
    <xf numFmtId="0" fontId="38" fillId="0" borderId="0" xfId="0" applyFont="1" applyAlignment="1">
      <alignment horizontal="left" wrapText="1"/>
    </xf>
    <xf numFmtId="0" fontId="55" fillId="0" borderId="0" xfId="0" applyFont="1" applyAlignment="1">
      <alignment horizontal="left" wrapText="1"/>
    </xf>
    <xf numFmtId="0" fontId="41" fillId="0" borderId="0" xfId="0" applyFont="1" applyAlignment="1">
      <alignment horizontal="left" wrapText="1"/>
    </xf>
    <xf numFmtId="0" fontId="66" fillId="15" borderId="10" xfId="0" applyFont="1" applyFill="1" applyBorder="1"/>
    <xf numFmtId="0" fontId="64" fillId="0" borderId="11" xfId="0" applyFont="1" applyBorder="1"/>
    <xf numFmtId="0" fontId="67" fillId="0" borderId="0" xfId="0" applyFont="1"/>
    <xf numFmtId="0" fontId="64" fillId="0" borderId="12" xfId="0" applyFont="1" applyBorder="1"/>
    <xf numFmtId="0" fontId="64" fillId="0" borderId="13" xfId="0" applyFont="1" applyBorder="1"/>
    <xf numFmtId="0" fontId="67" fillId="0" borderId="14" xfId="0" applyFont="1" applyBorder="1"/>
    <xf numFmtId="0" fontId="64" fillId="0" borderId="15" xfId="0" applyFont="1" applyBorder="1"/>
    <xf numFmtId="0" fontId="67" fillId="20" borderId="0" xfId="0" applyFont="1" applyFill="1"/>
    <xf numFmtId="0" fontId="65" fillId="0" borderId="0" xfId="0" applyFont="1"/>
    <xf numFmtId="0" fontId="38" fillId="5" borderId="0" xfId="0" applyFont="1" applyFill="1" applyAlignment="1">
      <alignment horizontal="center" vertical="center"/>
    </xf>
    <xf numFmtId="0" fontId="40" fillId="5" borderId="0" xfId="0" applyFont="1" applyFill="1" applyAlignment="1">
      <alignment horizontal="center" vertical="center"/>
    </xf>
    <xf numFmtId="0" fontId="38" fillId="0" borderId="0" xfId="0" applyFont="1" applyAlignment="1">
      <alignment horizontal="center" vertical="center" wrapText="1"/>
    </xf>
    <xf numFmtId="0" fontId="38" fillId="0" borderId="0" xfId="0" applyFont="1" applyAlignment="1">
      <alignment horizontal="center" vertical="center"/>
    </xf>
    <xf numFmtId="0" fontId="0" fillId="0" borderId="0" xfId="0" applyAlignment="1">
      <alignment horizontal="center" vertical="center"/>
    </xf>
    <xf numFmtId="0" fontId="48" fillId="0" borderId="16" xfId="0" applyFont="1" applyBorder="1" applyAlignment="1">
      <alignment horizontal="center" wrapText="1"/>
    </xf>
    <xf numFmtId="0" fontId="48" fillId="0" borderId="0" xfId="0" applyFont="1" applyAlignment="1">
      <alignment horizontal="left" vertical="top" wrapText="1"/>
    </xf>
    <xf numFmtId="0" fontId="12" fillId="0" borderId="0" xfId="0" applyFont="1" applyAlignment="1">
      <alignment horizontal="left" vertical="top" wrapText="1"/>
    </xf>
    <xf numFmtId="0" fontId="38" fillId="0" borderId="0" xfId="0" applyFont="1" applyAlignment="1">
      <alignment horizontal="left" vertical="top" wrapText="1"/>
    </xf>
    <xf numFmtId="0" fontId="41" fillId="0" borderId="0" xfId="0" applyFont="1" applyAlignment="1">
      <alignment horizontal="left" vertical="top" wrapText="1"/>
    </xf>
    <xf numFmtId="0" fontId="55" fillId="0" borderId="0" xfId="0" applyFont="1" applyAlignment="1">
      <alignment horizontal="left" vertical="top" wrapText="1"/>
    </xf>
    <xf numFmtId="0" fontId="48" fillId="0" borderId="16" xfId="0" applyFont="1" applyBorder="1" applyAlignment="1">
      <alignment horizontal="left" wrapText="1"/>
    </xf>
    <xf numFmtId="0" fontId="38" fillId="21" borderId="0" xfId="0" applyFont="1" applyFill="1" applyAlignment="1">
      <alignment horizontal="center" vertical="center" wrapText="1"/>
    </xf>
    <xf numFmtId="0" fontId="63" fillId="23" borderId="0" xfId="0" applyFont="1" applyFill="1" applyAlignment="1">
      <alignment horizontal="center" vertical="center" wrapText="1"/>
    </xf>
    <xf numFmtId="0" fontId="63" fillId="22" borderId="16" xfId="0" applyFont="1" applyFill="1" applyBorder="1" applyAlignment="1">
      <alignment horizontal="center" vertical="center" wrapText="1"/>
    </xf>
    <xf numFmtId="0" fontId="55" fillId="0" borderId="0" xfId="0" applyFont="1" applyAlignment="1">
      <alignment horizontal="center" vertical="center" wrapText="1"/>
    </xf>
    <xf numFmtId="0" fontId="48" fillId="0" borderId="0" xfId="0" applyFont="1" applyAlignment="1">
      <alignment horizontal="center" vertical="center" wrapText="1"/>
    </xf>
    <xf numFmtId="0" fontId="12" fillId="0" borderId="0" xfId="0" applyFont="1" applyAlignment="1">
      <alignment horizontal="center" vertical="center" wrapText="1"/>
    </xf>
    <xf numFmtId="0" fontId="41" fillId="0" borderId="0" xfId="0" applyFont="1" applyAlignment="1">
      <alignment horizontal="center" vertical="center"/>
    </xf>
    <xf numFmtId="0" fontId="41" fillId="0" borderId="0" xfId="0" applyFont="1" applyAlignment="1">
      <alignment horizontal="center" vertical="center" wrapText="1"/>
    </xf>
    <xf numFmtId="49" fontId="70" fillId="0" borderId="0" xfId="0" applyNumberFormat="1" applyFont="1" applyAlignment="1">
      <alignment horizontal="center" vertical="center"/>
    </xf>
    <xf numFmtId="49" fontId="70" fillId="0" borderId="0" xfId="0" applyNumberFormat="1" applyFont="1" applyAlignment="1">
      <alignment vertical="center"/>
    </xf>
    <xf numFmtId="49" fontId="70" fillId="0" borderId="0" xfId="0" applyNumberFormat="1" applyFont="1"/>
    <xf numFmtId="49" fontId="74" fillId="0" borderId="0" xfId="0" applyNumberFormat="1" applyFont="1"/>
    <xf numFmtId="49" fontId="70" fillId="0" borderId="0" xfId="0" applyNumberFormat="1" applyFont="1" applyAlignment="1">
      <alignment horizontal="left" vertical="top"/>
    </xf>
    <xf numFmtId="49" fontId="74" fillId="0" borderId="0" xfId="0" applyNumberFormat="1" applyFont="1" applyAlignment="1">
      <alignment horizontal="left" vertical="top"/>
    </xf>
    <xf numFmtId="49" fontId="76" fillId="0" borderId="0" xfId="0" applyNumberFormat="1" applyFont="1"/>
    <xf numFmtId="49" fontId="70" fillId="0" borderId="0" xfId="0" applyNumberFormat="1" applyFont="1" applyAlignment="1">
      <alignment horizontal="center"/>
    </xf>
    <xf numFmtId="49" fontId="71" fillId="0" borderId="0" xfId="0" applyNumberFormat="1" applyFont="1"/>
    <xf numFmtId="49" fontId="72" fillId="0" borderId="0" xfId="0" applyNumberFormat="1" applyFont="1" applyAlignment="1">
      <alignment vertical="top"/>
    </xf>
    <xf numFmtId="49" fontId="72" fillId="0" borderId="0" xfId="0" applyNumberFormat="1" applyFont="1" applyAlignment="1">
      <alignment vertical="top" wrapText="1"/>
    </xf>
    <xf numFmtId="49" fontId="70" fillId="0" borderId="0" xfId="0" applyNumberFormat="1" applyFont="1" applyAlignment="1">
      <alignment wrapText="1"/>
    </xf>
    <xf numFmtId="49" fontId="70" fillId="0" borderId="0" xfId="0" applyNumberFormat="1" applyFont="1" applyAlignment="1">
      <alignment vertical="top"/>
    </xf>
    <xf numFmtId="49" fontId="70" fillId="0" borderId="0" xfId="0" applyNumberFormat="1" applyFont="1" applyAlignment="1">
      <alignment vertical="top" wrapText="1"/>
    </xf>
    <xf numFmtId="49" fontId="75" fillId="0" borderId="0" xfId="0" applyNumberFormat="1" applyFont="1" applyAlignment="1">
      <alignment vertical="center" wrapText="1"/>
    </xf>
    <xf numFmtId="49" fontId="70" fillId="0" borderId="23" xfId="0" applyNumberFormat="1" applyFont="1" applyBorder="1" applyAlignment="1">
      <alignment vertical="center" wrapText="1"/>
    </xf>
    <xf numFmtId="49" fontId="70" fillId="0" borderId="23" xfId="0" applyNumberFormat="1" applyFont="1" applyBorder="1" applyAlignment="1">
      <alignment horizontal="center" vertical="center"/>
    </xf>
    <xf numFmtId="49" fontId="70" fillId="0" borderId="23" xfId="0" applyNumberFormat="1" applyFont="1" applyBorder="1" applyAlignment="1">
      <alignment vertical="center"/>
    </xf>
    <xf numFmtId="49" fontId="70" fillId="0" borderId="23" xfId="0" applyNumberFormat="1" applyFont="1" applyBorder="1" applyAlignment="1">
      <alignment horizontal="left" vertical="center" wrapText="1"/>
    </xf>
    <xf numFmtId="49" fontId="70" fillId="0" borderId="24" xfId="0" applyNumberFormat="1" applyFont="1" applyBorder="1" applyAlignment="1">
      <alignment vertical="center" wrapText="1"/>
    </xf>
    <xf numFmtId="49" fontId="70" fillId="0" borderId="24" xfId="0" applyNumberFormat="1" applyFont="1" applyBorder="1" applyAlignment="1">
      <alignment horizontal="center" vertical="center"/>
    </xf>
    <xf numFmtId="49" fontId="79" fillId="0" borderId="25" xfId="0" applyNumberFormat="1" applyFont="1" applyBorder="1" applyAlignment="1">
      <alignment horizontal="center" vertical="center" wrapText="1"/>
    </xf>
    <xf numFmtId="49" fontId="79" fillId="0" borderId="26" xfId="0" applyNumberFormat="1" applyFont="1" applyBorder="1" applyAlignment="1">
      <alignment horizontal="center" vertical="center" wrapText="1"/>
    </xf>
    <xf numFmtId="49" fontId="79" fillId="0" borderId="27" xfId="0" applyNumberFormat="1" applyFont="1" applyBorder="1" applyAlignment="1">
      <alignment horizontal="center" vertical="center" wrapText="1"/>
    </xf>
    <xf numFmtId="49" fontId="70" fillId="24" borderId="23" xfId="0" applyNumberFormat="1" applyFont="1" applyFill="1" applyBorder="1" applyAlignment="1">
      <alignment vertical="center" wrapText="1"/>
    </xf>
    <xf numFmtId="0" fontId="68"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64" fillId="0" borderId="0" xfId="0" applyFont="1" applyAlignment="1">
      <alignment horizontal="left"/>
    </xf>
    <xf numFmtId="0" fontId="59" fillId="0" borderId="0" xfId="0" applyFont="1" applyAlignment="1">
      <alignment horizontal="left"/>
    </xf>
    <xf numFmtId="0" fontId="62" fillId="0" borderId="0" xfId="0" applyFont="1" applyAlignment="1">
      <alignment horizontal="left"/>
    </xf>
    <xf numFmtId="0" fontId="60" fillId="0" borderId="0" xfId="0" applyFont="1" applyAlignment="1">
      <alignment horizontal="left"/>
    </xf>
    <xf numFmtId="0" fontId="83" fillId="0" borderId="11" xfId="0" applyFont="1" applyBorder="1" applyAlignment="1">
      <alignment vertical="center"/>
    </xf>
    <xf numFmtId="0" fontId="58" fillId="0" borderId="0" xfId="0" applyFont="1"/>
    <xf numFmtId="0" fontId="58" fillId="0" borderId="0" xfId="0" applyFont="1" applyAlignment="1">
      <alignment wrapText="1"/>
    </xf>
    <xf numFmtId="0" fontId="0" fillId="25" borderId="0" xfId="0" applyFill="1"/>
    <xf numFmtId="0" fontId="45" fillId="0" borderId="0" xfId="0" applyFont="1" applyAlignment="1">
      <alignment vertical="center" wrapText="1"/>
    </xf>
    <xf numFmtId="0" fontId="84" fillId="0" borderId="0" xfId="0" applyFont="1"/>
    <xf numFmtId="0" fontId="85" fillId="23" borderId="0" xfId="0" applyFont="1" applyFill="1" applyAlignment="1">
      <alignment horizontal="center" vertical="center" wrapText="1"/>
    </xf>
    <xf numFmtId="0" fontId="58" fillId="25" borderId="0" xfId="0" applyFont="1" applyFill="1"/>
    <xf numFmtId="0" fontId="6" fillId="0" borderId="0" xfId="0" applyFont="1"/>
    <xf numFmtId="0" fontId="58" fillId="26" borderId="0" xfId="0" applyFont="1" applyFill="1"/>
    <xf numFmtId="0" fontId="58" fillId="5" borderId="0" xfId="0" applyFont="1" applyFill="1" applyAlignment="1">
      <alignment horizontal="center" vertical="center"/>
    </xf>
    <xf numFmtId="0" fontId="58" fillId="0" borderId="0" xfId="0" applyFont="1" applyAlignment="1">
      <alignment horizontal="center" vertical="center" wrapText="1"/>
    </xf>
    <xf numFmtId="0" fontId="58" fillId="21" borderId="0" xfId="0" applyFont="1" applyFill="1" applyAlignment="1">
      <alignment horizontal="center" vertical="center" wrapText="1"/>
    </xf>
    <xf numFmtId="0" fontId="85" fillId="22" borderId="16" xfId="0" applyFont="1" applyFill="1" applyBorder="1" applyAlignment="1">
      <alignment horizontal="center" vertical="center" wrapText="1"/>
    </xf>
    <xf numFmtId="0" fontId="58" fillId="21" borderId="1" xfId="0" applyFont="1" applyFill="1" applyBorder="1" applyAlignment="1">
      <alignment horizontal="center" vertical="center" wrapText="1"/>
    </xf>
    <xf numFmtId="0" fontId="58" fillId="0" borderId="0" xfId="0" applyFont="1" applyAlignment="1">
      <alignment horizontal="center" vertical="center"/>
    </xf>
    <xf numFmtId="0" fontId="58" fillId="0" borderId="0" xfId="0" applyFont="1" applyAlignment="1">
      <alignment horizontal="left" wrapText="1"/>
    </xf>
    <xf numFmtId="0" fontId="86" fillId="0" borderId="0" xfId="0" applyFont="1" applyAlignment="1">
      <alignment horizontal="left"/>
    </xf>
    <xf numFmtId="0" fontId="89" fillId="0" borderId="0" xfId="0" applyFont="1" applyAlignment="1">
      <alignment horizontal="left"/>
    </xf>
    <xf numFmtId="0" fontId="91" fillId="0" borderId="0" xfId="0" applyFont="1" applyAlignment="1">
      <alignment horizontal="left"/>
    </xf>
    <xf numFmtId="0" fontId="92" fillId="0" borderId="0" xfId="0" applyFont="1" applyAlignment="1">
      <alignment wrapText="1"/>
    </xf>
    <xf numFmtId="0" fontId="62" fillId="0" borderId="0" xfId="0" applyFont="1"/>
    <xf numFmtId="0" fontId="61" fillId="0" borderId="16" xfId="0" applyFont="1" applyBorder="1" applyAlignment="1">
      <alignment horizontal="left" wrapText="1"/>
    </xf>
    <xf numFmtId="0" fontId="93" fillId="0" borderId="0" xfId="13" applyFont="1"/>
    <xf numFmtId="0" fontId="94" fillId="0" borderId="0" xfId="0" applyFont="1" applyAlignment="1">
      <alignment horizontal="left"/>
    </xf>
    <xf numFmtId="0" fontId="92" fillId="0" borderId="0" xfId="0" applyFont="1" applyAlignment="1">
      <alignment horizontal="left" vertical="top" wrapText="1"/>
    </xf>
    <xf numFmtId="0" fontId="61" fillId="0" borderId="0" xfId="0" applyFont="1"/>
    <xf numFmtId="0" fontId="95" fillId="0" borderId="0" xfId="0" applyFont="1" applyAlignment="1">
      <alignment horizontal="left"/>
    </xf>
    <xf numFmtId="0" fontId="95" fillId="0" borderId="0" xfId="0" applyFont="1"/>
    <xf numFmtId="0" fontId="92" fillId="0" borderId="0" xfId="0" applyFont="1" applyAlignment="1">
      <alignment horizontal="center" vertical="center" wrapText="1"/>
    </xf>
    <xf numFmtId="0" fontId="58" fillId="0" borderId="0" xfId="0" applyFont="1" applyAlignment="1">
      <alignment horizontal="left" vertical="top"/>
    </xf>
    <xf numFmtId="0" fontId="60" fillId="0" borderId="0" xfId="0" applyFont="1"/>
    <xf numFmtId="0" fontId="61" fillId="0" borderId="0" xfId="0" applyFont="1" applyAlignment="1">
      <alignment wrapText="1"/>
    </xf>
    <xf numFmtId="0" fontId="59" fillId="0" borderId="0" xfId="0" applyFont="1"/>
    <xf numFmtId="0" fontId="96" fillId="0" borderId="0" xfId="0" applyFont="1"/>
    <xf numFmtId="0" fontId="97" fillId="0" borderId="0" xfId="0" applyFont="1"/>
    <xf numFmtId="0" fontId="89" fillId="19" borderId="7" xfId="0" applyFont="1" applyFill="1" applyBorder="1" applyAlignment="1">
      <alignment wrapText="1"/>
    </xf>
    <xf numFmtId="0" fontId="64" fillId="0" borderId="16" xfId="0" applyFont="1" applyBorder="1" applyAlignment="1">
      <alignment horizontal="center" wrapText="1"/>
    </xf>
    <xf numFmtId="0" fontId="64" fillId="0" borderId="16" xfId="0" applyFont="1" applyBorder="1" applyAlignment="1">
      <alignment horizontal="left" wrapText="1"/>
    </xf>
    <xf numFmtId="0" fontId="98" fillId="0" borderId="0" xfId="0" applyFont="1" applyAlignment="1">
      <alignment horizontal="left"/>
    </xf>
    <xf numFmtId="0" fontId="64" fillId="0" borderId="0" xfId="0" applyFont="1" applyAlignment="1">
      <alignment wrapText="1"/>
    </xf>
    <xf numFmtId="0" fontId="64" fillId="0" borderId="0" xfId="0" applyFont="1" applyAlignment="1">
      <alignment horizontal="left" wrapText="1"/>
    </xf>
    <xf numFmtId="0" fontId="64" fillId="0" borderId="0" xfId="0" applyFont="1" applyAlignment="1">
      <alignment horizontal="center" vertical="center" wrapText="1"/>
    </xf>
    <xf numFmtId="0" fontId="64" fillId="0" borderId="0" xfId="0" applyFont="1" applyAlignment="1">
      <alignment horizontal="left" vertical="top" wrapText="1"/>
    </xf>
    <xf numFmtId="0" fontId="64" fillId="0" borderId="0" xfId="0" applyFont="1" applyAlignment="1">
      <alignment horizontal="left" vertical="center" wrapText="1"/>
    </xf>
    <xf numFmtId="0" fontId="64" fillId="0" borderId="0" xfId="0" applyFont="1" applyAlignment="1">
      <alignment horizontal="center" wrapText="1"/>
    </xf>
    <xf numFmtId="0" fontId="64" fillId="0" borderId="0" xfId="0" applyFont="1" applyAlignment="1">
      <alignment vertical="top" wrapText="1"/>
    </xf>
    <xf numFmtId="0" fontId="99" fillId="0" borderId="0" xfId="0" applyFont="1" applyAlignment="1">
      <alignment horizontal="left"/>
    </xf>
    <xf numFmtId="0" fontId="58" fillId="0" borderId="0" xfId="0" applyFont="1" applyAlignment="1">
      <alignment horizontal="left" vertical="top" wrapText="1"/>
    </xf>
    <xf numFmtId="0" fontId="46" fillId="0" borderId="0" xfId="0" applyFont="1"/>
    <xf numFmtId="0" fontId="58" fillId="0" borderId="0" xfId="0" quotePrefix="1" applyFont="1" applyAlignment="1">
      <alignment wrapText="1"/>
    </xf>
    <xf numFmtId="0" fontId="58" fillId="0" borderId="0" xfId="0" applyFont="1" applyAlignment="1">
      <alignment horizontal="center" wrapText="1"/>
    </xf>
    <xf numFmtId="0" fontId="100" fillId="0" borderId="0" xfId="0" applyFont="1" applyAlignment="1">
      <alignment wrapText="1"/>
    </xf>
    <xf numFmtId="0" fontId="95" fillId="0" borderId="0" xfId="0" applyFont="1" applyAlignment="1">
      <alignment wrapText="1"/>
    </xf>
    <xf numFmtId="0" fontId="38" fillId="0" borderId="0" xfId="0" applyFont="1" applyAlignment="1">
      <alignment horizontal="center" wrapText="1"/>
    </xf>
    <xf numFmtId="0" fontId="87" fillId="5" borderId="0" xfId="0" applyFont="1" applyFill="1" applyAlignment="1">
      <alignment horizontal="center" vertical="center" wrapText="1"/>
    </xf>
    <xf numFmtId="0" fontId="55" fillId="0" borderId="0" xfId="0" applyFont="1" applyAlignment="1">
      <alignment horizontal="center" wrapText="1"/>
    </xf>
    <xf numFmtId="0" fontId="90" fillId="0" borderId="0" xfId="0" applyFont="1" applyAlignment="1">
      <alignment horizontal="center" wrapText="1"/>
    </xf>
    <xf numFmtId="0" fontId="89" fillId="0" borderId="0" xfId="0" applyFont="1" applyAlignment="1">
      <alignment horizontal="center" wrapText="1"/>
    </xf>
    <xf numFmtId="0" fontId="92" fillId="0" borderId="0" xfId="0" applyFont="1" applyAlignment="1">
      <alignment horizontal="center" wrapText="1"/>
    </xf>
    <xf numFmtId="0" fontId="58" fillId="0" borderId="0" xfId="0" applyFont="1" applyAlignment="1">
      <alignment horizontal="left" vertical="center" wrapText="1"/>
    </xf>
    <xf numFmtId="0" fontId="38" fillId="0" borderId="0" xfId="0" applyFont="1" applyProtection="1">
      <protection locked="0"/>
    </xf>
    <xf numFmtId="0" fontId="101" fillId="0" borderId="0" xfId="0" applyFont="1"/>
    <xf numFmtId="0" fontId="102" fillId="0" borderId="0" xfId="0" applyFont="1"/>
    <xf numFmtId="49" fontId="70" fillId="0" borderId="24" xfId="0" applyNumberFormat="1" applyFont="1" applyBorder="1" applyAlignment="1">
      <alignment horizontal="left" vertical="center" wrapText="1"/>
    </xf>
    <xf numFmtId="0" fontId="48" fillId="26" borderId="0" xfId="0" applyFont="1" applyFill="1" applyAlignment="1">
      <alignment horizontal="center" wrapText="1"/>
    </xf>
    <xf numFmtId="0" fontId="12" fillId="26" borderId="0" xfId="0" applyFont="1" applyFill="1"/>
    <xf numFmtId="0" fontId="65" fillId="27" borderId="0" xfId="0" applyFont="1" applyFill="1"/>
    <xf numFmtId="49" fontId="70" fillId="0" borderId="23" xfId="0" applyNumberFormat="1" applyFont="1" applyBorder="1" applyAlignment="1">
      <alignment horizontal="center" vertical="center" wrapText="1"/>
    </xf>
    <xf numFmtId="49" fontId="70" fillId="0" borderId="23" xfId="0" applyNumberFormat="1" applyFont="1" applyBorder="1" applyAlignment="1">
      <alignment horizontal="left" vertical="center"/>
    </xf>
    <xf numFmtId="0" fontId="39" fillId="28" borderId="0" xfId="0" applyFont="1" applyFill="1"/>
    <xf numFmtId="0" fontId="45" fillId="29" borderId="0" xfId="0" applyFont="1" applyFill="1" applyAlignment="1">
      <alignment wrapText="1"/>
    </xf>
    <xf numFmtId="0" fontId="50" fillId="0" borderId="28" xfId="0" applyFont="1" applyBorder="1"/>
    <xf numFmtId="0" fontId="39" fillId="30" borderId="0" xfId="0" applyFont="1" applyFill="1"/>
    <xf numFmtId="0" fontId="51" fillId="0" borderId="28" xfId="0" applyFont="1" applyBorder="1"/>
    <xf numFmtId="0" fontId="39" fillId="31" borderId="0" xfId="0" applyFont="1" applyFill="1"/>
    <xf numFmtId="0" fontId="103" fillId="0" borderId="28" xfId="0" applyFont="1" applyBorder="1"/>
    <xf numFmtId="0" fontId="39" fillId="32" borderId="1" xfId="0" applyFont="1" applyFill="1" applyBorder="1"/>
    <xf numFmtId="0" fontId="54" fillId="0" borderId="4" xfId="0" applyFont="1" applyBorder="1"/>
    <xf numFmtId="0" fontId="104" fillId="0" borderId="0" xfId="0" applyFont="1"/>
    <xf numFmtId="0" fontId="46" fillId="0" borderId="29" xfId="0" applyFont="1" applyBorder="1"/>
    <xf numFmtId="0" fontId="40" fillId="0" borderId="0" xfId="0" applyFont="1" applyAlignment="1">
      <alignment wrapText="1"/>
    </xf>
    <xf numFmtId="0" fontId="15" fillId="5" borderId="30" xfId="0" applyFont="1" applyFill="1" applyBorder="1"/>
    <xf numFmtId="0" fontId="15" fillId="5" borderId="7" xfId="0" applyFont="1" applyFill="1" applyBorder="1"/>
    <xf numFmtId="0" fontId="15" fillId="36" borderId="7" xfId="0" applyFont="1" applyFill="1" applyBorder="1" applyAlignment="1">
      <alignment wrapText="1"/>
    </xf>
    <xf numFmtId="0" fontId="15" fillId="33" borderId="7" xfId="0" applyFont="1" applyFill="1" applyBorder="1" applyAlignment="1">
      <alignment wrapText="1"/>
    </xf>
    <xf numFmtId="0" fontId="15" fillId="37" borderId="7" xfId="0" applyFont="1" applyFill="1" applyBorder="1" applyAlignment="1">
      <alignment wrapText="1"/>
    </xf>
    <xf numFmtId="0" fontId="15" fillId="34" borderId="7" xfId="0" applyFont="1" applyFill="1" applyBorder="1" applyAlignment="1">
      <alignment wrapText="1"/>
    </xf>
    <xf numFmtId="0" fontId="15" fillId="38" borderId="7" xfId="0" applyFont="1" applyFill="1" applyBorder="1"/>
    <xf numFmtId="0" fontId="15" fillId="35" borderId="7" xfId="0" applyFont="1" applyFill="1" applyBorder="1" applyAlignment="1">
      <alignment wrapText="1"/>
    </xf>
    <xf numFmtId="0" fontId="15" fillId="35" borderId="1" xfId="0" applyFont="1" applyFill="1" applyBorder="1" applyAlignment="1">
      <alignment wrapText="1"/>
    </xf>
    <xf numFmtId="0" fontId="106" fillId="0" borderId="0" xfId="0" applyFont="1"/>
    <xf numFmtId="0" fontId="10" fillId="39" borderId="7" xfId="0" applyFont="1" applyFill="1" applyBorder="1"/>
    <xf numFmtId="0" fontId="10" fillId="19" borderId="7" xfId="0" applyFont="1" applyFill="1" applyBorder="1" applyAlignment="1">
      <alignment wrapText="1"/>
    </xf>
    <xf numFmtId="0" fontId="10" fillId="19" borderId="7" xfId="0" quotePrefix="1" applyFont="1" applyFill="1" applyBorder="1" applyAlignment="1">
      <alignment wrapText="1"/>
    </xf>
    <xf numFmtId="0" fontId="29" fillId="40" borderId="7" xfId="0" applyFont="1" applyFill="1" applyBorder="1"/>
    <xf numFmtId="0" fontId="10" fillId="41" borderId="7" xfId="0" applyFont="1" applyFill="1" applyBorder="1" applyAlignment="1">
      <alignment wrapText="1"/>
    </xf>
    <xf numFmtId="0" fontId="10" fillId="42" borderId="7" xfId="0" applyFont="1" applyFill="1" applyBorder="1"/>
    <xf numFmtId="0" fontId="10" fillId="31" borderId="7" xfId="0" applyFont="1" applyFill="1" applyBorder="1"/>
    <xf numFmtId="0" fontId="10" fillId="0" borderId="7" xfId="0" applyFont="1" applyBorder="1" applyAlignment="1">
      <alignment wrapText="1"/>
    </xf>
    <xf numFmtId="0" fontId="10" fillId="0" borderId="7" xfId="0" quotePrefix="1" applyFont="1" applyBorder="1" applyAlignment="1">
      <alignment wrapText="1"/>
    </xf>
    <xf numFmtId="0" fontId="10" fillId="28" borderId="7" xfId="0" applyFont="1" applyFill="1" applyBorder="1" applyAlignment="1">
      <alignment wrapText="1"/>
    </xf>
    <xf numFmtId="0" fontId="10" fillId="43" borderId="7" xfId="0" applyFont="1" applyFill="1" applyBorder="1"/>
    <xf numFmtId="0" fontId="10" fillId="44" borderId="7" xfId="0" applyFont="1" applyFill="1" applyBorder="1" applyAlignment="1">
      <alignment wrapText="1"/>
    </xf>
    <xf numFmtId="0" fontId="35" fillId="41" borderId="7" xfId="0" applyFont="1" applyFill="1" applyBorder="1" applyAlignment="1">
      <alignment wrapText="1"/>
    </xf>
    <xf numFmtId="0" fontId="35" fillId="44" borderId="7" xfId="0" applyFont="1" applyFill="1" applyBorder="1" applyAlignment="1">
      <alignment wrapText="1"/>
    </xf>
    <xf numFmtId="0" fontId="10" fillId="45" borderId="7" xfId="0" applyFont="1" applyFill="1" applyBorder="1" applyAlignment="1">
      <alignment wrapText="1"/>
    </xf>
    <xf numFmtId="0" fontId="10" fillId="31" borderId="7" xfId="0" applyFont="1" applyFill="1" applyBorder="1" applyAlignment="1">
      <alignment wrapText="1"/>
    </xf>
    <xf numFmtId="0" fontId="10" fillId="42" borderId="7" xfId="0" applyFont="1" applyFill="1" applyBorder="1" applyAlignment="1">
      <alignment wrapText="1"/>
    </xf>
    <xf numFmtId="0" fontId="10" fillId="46" borderId="7" xfId="0" applyFont="1" applyFill="1" applyBorder="1" applyAlignment="1">
      <alignment wrapText="1"/>
    </xf>
    <xf numFmtId="0" fontId="35" fillId="46" borderId="7" xfId="0" applyFont="1" applyFill="1" applyBorder="1" applyAlignment="1">
      <alignment wrapText="1"/>
    </xf>
    <xf numFmtId="0" fontId="35" fillId="28" borderId="7" xfId="0" applyFont="1" applyFill="1" applyBorder="1" applyAlignment="1">
      <alignment wrapText="1"/>
    </xf>
    <xf numFmtId="0" fontId="10" fillId="30" borderId="7" xfId="0" applyFont="1" applyFill="1" applyBorder="1"/>
    <xf numFmtId="0" fontId="10" fillId="30" borderId="0" xfId="0" applyFont="1" applyFill="1"/>
    <xf numFmtId="0" fontId="10" fillId="40" borderId="7" xfId="0" applyFont="1" applyFill="1" applyBorder="1" applyAlignment="1">
      <alignment wrapText="1"/>
    </xf>
    <xf numFmtId="0" fontId="10" fillId="31" borderId="0" xfId="0" applyFont="1" applyFill="1"/>
    <xf numFmtId="0" fontId="10" fillId="43" borderId="0" xfId="0" applyFont="1" applyFill="1"/>
    <xf numFmtId="0" fontId="35" fillId="0" borderId="7" xfId="0" applyFont="1" applyBorder="1" applyAlignment="1">
      <alignment wrapText="1"/>
    </xf>
    <xf numFmtId="0" fontId="10" fillId="19" borderId="7" xfId="0" applyFont="1" applyFill="1" applyBorder="1"/>
    <xf numFmtId="0" fontId="10" fillId="40" borderId="7" xfId="0" applyFont="1" applyFill="1" applyBorder="1"/>
    <xf numFmtId="0" fontId="10" fillId="43" borderId="7" xfId="0" applyFont="1" applyFill="1" applyBorder="1" applyAlignment="1">
      <alignment wrapText="1"/>
    </xf>
    <xf numFmtId="0" fontId="10" fillId="0" borderId="7" xfId="0" applyFont="1" applyBorder="1"/>
    <xf numFmtId="0" fontId="10" fillId="19" borderId="0" xfId="0" applyFont="1" applyFill="1"/>
    <xf numFmtId="0" fontId="10" fillId="45" borderId="7" xfId="0" applyFont="1" applyFill="1" applyBorder="1"/>
    <xf numFmtId="0" fontId="35" fillId="31" borderId="7" xfId="0" applyFont="1" applyFill="1" applyBorder="1" applyAlignment="1">
      <alignment wrapText="1"/>
    </xf>
    <xf numFmtId="0" fontId="35" fillId="19" borderId="7" xfId="0" applyFont="1" applyFill="1" applyBorder="1" applyAlignment="1">
      <alignment wrapText="1"/>
    </xf>
    <xf numFmtId="0" fontId="107" fillId="43" borderId="7" xfId="0" applyFont="1" applyFill="1" applyBorder="1" applyAlignment="1">
      <alignment wrapText="1"/>
    </xf>
    <xf numFmtId="0" fontId="10" fillId="28" borderId="7" xfId="0" applyFont="1" applyFill="1" applyBorder="1"/>
    <xf numFmtId="0" fontId="107" fillId="28" borderId="7" xfId="0" applyFont="1" applyFill="1" applyBorder="1" applyAlignment="1">
      <alignment wrapText="1"/>
    </xf>
    <xf numFmtId="0" fontId="10" fillId="41" borderId="7" xfId="0" applyFont="1" applyFill="1" applyBorder="1"/>
    <xf numFmtId="0" fontId="10" fillId="41" borderId="0" xfId="0" applyFont="1" applyFill="1"/>
    <xf numFmtId="0" fontId="107" fillId="19" borderId="7" xfId="0" applyFont="1" applyFill="1" applyBorder="1" applyAlignment="1">
      <alignment wrapText="1"/>
    </xf>
    <xf numFmtId="0" fontId="107" fillId="31" borderId="7" xfId="0" applyFont="1" applyFill="1" applyBorder="1" applyAlignment="1">
      <alignment wrapText="1"/>
    </xf>
    <xf numFmtId="0" fontId="107" fillId="46" borderId="7" xfId="0" applyFont="1" applyFill="1" applyBorder="1" applyAlignment="1">
      <alignment wrapText="1"/>
    </xf>
    <xf numFmtId="0" fontId="107" fillId="44" borderId="7" xfId="0" applyFont="1" applyFill="1" applyBorder="1" applyAlignment="1">
      <alignment wrapText="1"/>
    </xf>
    <xf numFmtId="0" fontId="107" fillId="41" borderId="7" xfId="0" applyFont="1" applyFill="1" applyBorder="1" applyAlignment="1">
      <alignment wrapText="1"/>
    </xf>
    <xf numFmtId="0" fontId="18" fillId="0" borderId="31" xfId="0" applyFont="1" applyBorder="1" applyAlignment="1">
      <alignment wrapText="1"/>
    </xf>
    <xf numFmtId="0" fontId="18" fillId="0" borderId="32" xfId="0" applyFont="1" applyBorder="1" applyAlignment="1">
      <alignment wrapText="1"/>
    </xf>
    <xf numFmtId="0" fontId="18" fillId="42" borderId="32" xfId="0" applyFont="1" applyFill="1" applyBorder="1"/>
    <xf numFmtId="0" fontId="0" fillId="42" borderId="0" xfId="0" applyFill="1"/>
    <xf numFmtId="0" fontId="39" fillId="4" borderId="33" xfId="0" applyFont="1" applyFill="1" applyBorder="1"/>
    <xf numFmtId="0" fontId="39" fillId="0" borderId="33" xfId="0" applyFont="1" applyBorder="1"/>
    <xf numFmtId="0" fontId="39" fillId="0" borderId="28" xfId="0" applyFont="1" applyBorder="1"/>
    <xf numFmtId="0" fontId="39" fillId="0" borderId="34" xfId="0" applyFont="1" applyBorder="1"/>
    <xf numFmtId="0" fontId="39" fillId="4" borderId="28" xfId="0" applyFont="1" applyFill="1" applyBorder="1"/>
    <xf numFmtId="0" fontId="39" fillId="4" borderId="34" xfId="0" applyFont="1" applyFill="1" applyBorder="1"/>
    <xf numFmtId="0" fontId="41" fillId="0" borderId="28" xfId="0" applyFont="1" applyBorder="1"/>
    <xf numFmtId="0" fontId="41" fillId="0" borderId="34" xfId="0" applyFont="1" applyBorder="1"/>
    <xf numFmtId="0" fontId="39" fillId="0" borderId="35" xfId="0" applyFont="1" applyBorder="1"/>
    <xf numFmtId="0" fontId="15" fillId="47" borderId="7" xfId="0" applyFont="1" applyFill="1" applyBorder="1" applyAlignment="1">
      <alignment wrapText="1"/>
    </xf>
    <xf numFmtId="0" fontId="61" fillId="0" borderId="0" xfId="0" applyFont="1" applyAlignment="1">
      <alignment horizontal="center" wrapText="1"/>
    </xf>
    <xf numFmtId="0" fontId="61" fillId="0" borderId="16" xfId="0" applyFont="1" applyBorder="1" applyAlignment="1">
      <alignment horizontal="center" wrapText="1"/>
    </xf>
    <xf numFmtId="0" fontId="10" fillId="0" borderId="7" xfId="0" applyFont="1" applyBorder="1" applyAlignment="1">
      <alignment horizontal="left" wrapText="1"/>
    </xf>
    <xf numFmtId="0" fontId="61" fillId="0" borderId="0" xfId="0" applyFont="1" applyAlignment="1">
      <alignment horizontal="center" vertical="center" wrapText="1"/>
    </xf>
    <xf numFmtId="0" fontId="39" fillId="0" borderId="6" xfId="0" applyFont="1" applyBorder="1"/>
    <xf numFmtId="0" fontId="92" fillId="0" borderId="0" xfId="0" applyFont="1" applyAlignment="1">
      <alignment horizontal="left" wrapText="1"/>
    </xf>
    <xf numFmtId="0" fontId="61" fillId="0" borderId="0" xfId="0" applyFont="1" applyAlignment="1">
      <alignment horizontal="left" vertical="top" wrapText="1"/>
    </xf>
    <xf numFmtId="0" fontId="61" fillId="19" borderId="7" xfId="0" applyFont="1" applyFill="1" applyBorder="1" applyAlignment="1">
      <alignment wrapText="1"/>
    </xf>
    <xf numFmtId="0" fontId="87" fillId="5" borderId="0" xfId="0" applyFont="1" applyFill="1" applyAlignment="1">
      <alignment horizontal="center" vertical="center"/>
    </xf>
    <xf numFmtId="0" fontId="59" fillId="0" borderId="0" xfId="0" applyFont="1" applyAlignment="1">
      <alignment wrapText="1"/>
    </xf>
    <xf numFmtId="0" fontId="59" fillId="0" borderId="0" xfId="0" applyFont="1" applyAlignment="1">
      <alignment horizontal="left" vertical="top" wrapText="1"/>
    </xf>
    <xf numFmtId="0" fontId="59" fillId="20" borderId="0" xfId="0" applyFont="1" applyFill="1" applyAlignment="1">
      <alignment horizontal="left" vertical="top" wrapText="1"/>
    </xf>
    <xf numFmtId="0" fontId="112" fillId="0" borderId="0" xfId="0" applyFont="1" applyAlignment="1">
      <alignment wrapText="1"/>
    </xf>
    <xf numFmtId="0" fontId="113" fillId="0" borderId="0" xfId="0" applyFont="1" applyAlignment="1">
      <alignment horizontal="left" vertical="top" wrapText="1"/>
    </xf>
    <xf numFmtId="0" fontId="111" fillId="20" borderId="0" xfId="0" applyFont="1" applyFill="1" applyAlignment="1">
      <alignment wrapText="1"/>
    </xf>
    <xf numFmtId="0" fontId="113" fillId="0" borderId="0" xfId="0" applyFont="1" applyAlignment="1">
      <alignment wrapText="1"/>
    </xf>
    <xf numFmtId="0" fontId="98" fillId="0" borderId="0" xfId="0" applyFont="1" applyAlignment="1">
      <alignment wrapText="1"/>
    </xf>
    <xf numFmtId="0" fontId="59" fillId="20" borderId="0" xfId="0" applyFont="1" applyFill="1" applyAlignment="1">
      <alignment wrapText="1"/>
    </xf>
    <xf numFmtId="0" fontId="113" fillId="24" borderId="0" xfId="0" applyFont="1" applyFill="1" applyAlignment="1">
      <alignment horizontal="left" vertical="top" wrapText="1"/>
    </xf>
    <xf numFmtId="0" fontId="10" fillId="48" borderId="7" xfId="0" applyFont="1" applyFill="1" applyBorder="1" applyAlignment="1">
      <alignment vertical="center"/>
    </xf>
    <xf numFmtId="0" fontId="10" fillId="49" borderId="7" xfId="0" applyFont="1" applyFill="1" applyBorder="1" applyAlignment="1">
      <alignment wrapText="1"/>
    </xf>
    <xf numFmtId="0" fontId="10" fillId="50" borderId="7" xfId="0" applyFont="1" applyFill="1" applyBorder="1" applyAlignment="1">
      <alignment wrapText="1"/>
    </xf>
    <xf numFmtId="0" fontId="107" fillId="31" borderId="7" xfId="0" applyFont="1" applyFill="1" applyBorder="1" applyAlignment="1">
      <alignment vertical="center"/>
    </xf>
    <xf numFmtId="0" fontId="107" fillId="48" borderId="7" xfId="0" applyFont="1" applyFill="1" applyBorder="1" applyAlignment="1">
      <alignment vertical="center"/>
    </xf>
    <xf numFmtId="0" fontId="107" fillId="43" borderId="7" xfId="0" applyFont="1" applyFill="1" applyBorder="1" applyAlignment="1">
      <alignment vertical="center"/>
    </xf>
    <xf numFmtId="0" fontId="10" fillId="51" borderId="7" xfId="0" applyFont="1" applyFill="1" applyBorder="1" applyAlignment="1">
      <alignment wrapText="1"/>
    </xf>
    <xf numFmtId="0" fontId="10" fillId="52" borderId="7" xfId="0" applyFont="1" applyFill="1" applyBorder="1" applyAlignment="1">
      <alignment wrapText="1"/>
    </xf>
    <xf numFmtId="0" fontId="10" fillId="51" borderId="7" xfId="0" quotePrefix="1" applyFont="1" applyFill="1" applyBorder="1" applyAlignment="1">
      <alignment wrapText="1"/>
    </xf>
    <xf numFmtId="0" fontId="10" fillId="52" borderId="7" xfId="0" applyFont="1" applyFill="1" applyBorder="1" applyAlignment="1">
      <alignment horizontal="left" wrapText="1"/>
    </xf>
    <xf numFmtId="0" fontId="15" fillId="5" borderId="30" xfId="0" applyFont="1" applyFill="1" applyBorder="1" applyAlignment="1">
      <alignment horizontal="center" vertical="center"/>
    </xf>
    <xf numFmtId="0" fontId="85" fillId="15" borderId="0" xfId="0" applyFont="1" applyFill="1" applyAlignment="1">
      <alignment horizontal="center" vertical="center" wrapText="1"/>
    </xf>
    <xf numFmtId="0" fontId="85" fillId="15" borderId="0" xfId="0" applyFont="1" applyFill="1" applyAlignment="1">
      <alignment horizontal="left" vertical="center" wrapText="1"/>
    </xf>
    <xf numFmtId="0" fontId="10" fillId="24" borderId="0" xfId="0" applyFont="1" applyFill="1" applyAlignment="1">
      <alignment vertical="center"/>
    </xf>
    <xf numFmtId="0" fontId="10" fillId="24" borderId="0" xfId="0" applyFont="1" applyFill="1" applyAlignment="1">
      <alignment horizontal="center" vertical="center"/>
    </xf>
    <xf numFmtId="0" fontId="65" fillId="53" borderId="0" xfId="0" applyFont="1" applyFill="1"/>
    <xf numFmtId="0" fontId="116" fillId="0" borderId="0" xfId="0" applyFont="1" applyAlignment="1">
      <alignment wrapText="1"/>
    </xf>
    <xf numFmtId="0" fontId="39" fillId="0" borderId="29" xfId="0" applyFont="1" applyBorder="1"/>
    <xf numFmtId="0" fontId="117" fillId="34" borderId="0" xfId="0" applyFont="1" applyFill="1" applyAlignment="1">
      <alignment wrapText="1"/>
    </xf>
    <xf numFmtId="0" fontId="15" fillId="5" borderId="7" xfId="0" applyFont="1" applyFill="1" applyBorder="1" applyAlignment="1">
      <alignment wrapText="1"/>
    </xf>
    <xf numFmtId="0" fontId="15" fillId="34" borderId="36" xfId="0" applyFont="1" applyFill="1" applyBorder="1" applyAlignment="1">
      <alignment wrapText="1"/>
    </xf>
    <xf numFmtId="0" fontId="107" fillId="43" borderId="30" xfId="0" applyFont="1" applyFill="1" applyBorder="1"/>
    <xf numFmtId="0" fontId="107" fillId="31" borderId="7" xfId="0" applyFont="1" applyFill="1" applyBorder="1"/>
    <xf numFmtId="0" fontId="10" fillId="54" borderId="7" xfId="0" applyFont="1" applyFill="1" applyBorder="1" applyAlignment="1">
      <alignment wrapText="1"/>
    </xf>
    <xf numFmtId="0" fontId="10" fillId="55" borderId="7" xfId="0" applyFont="1" applyFill="1" applyBorder="1" applyAlignment="1">
      <alignment wrapText="1"/>
    </xf>
    <xf numFmtId="0" fontId="118" fillId="19" borderId="7" xfId="0" applyFont="1" applyFill="1" applyBorder="1"/>
    <xf numFmtId="0" fontId="118" fillId="19" borderId="36" xfId="0" applyFont="1" applyFill="1" applyBorder="1"/>
    <xf numFmtId="0" fontId="10" fillId="56" borderId="7" xfId="0" applyFont="1" applyFill="1" applyBorder="1" applyAlignment="1">
      <alignment wrapText="1"/>
    </xf>
    <xf numFmtId="0" fontId="10" fillId="56" borderId="37" xfId="0" applyFont="1" applyFill="1" applyBorder="1" applyAlignment="1">
      <alignment wrapText="1"/>
    </xf>
    <xf numFmtId="0" fontId="118" fillId="0" borderId="7" xfId="0" applyFont="1" applyBorder="1"/>
    <xf numFmtId="0" fontId="10" fillId="57" borderId="33" xfId="0" applyFont="1" applyFill="1" applyBorder="1"/>
    <xf numFmtId="0" fontId="118" fillId="58" borderId="7" xfId="0" applyFont="1" applyFill="1" applyBorder="1"/>
    <xf numFmtId="0" fontId="107" fillId="43" borderId="7" xfId="0" applyFont="1" applyFill="1" applyBorder="1"/>
    <xf numFmtId="0" fontId="15" fillId="5" borderId="38" xfId="0" applyFont="1" applyFill="1" applyBorder="1"/>
    <xf numFmtId="0" fontId="15" fillId="5" borderId="38" xfId="0" applyFont="1" applyFill="1" applyBorder="1" applyAlignment="1">
      <alignment wrapText="1"/>
    </xf>
    <xf numFmtId="0" fontId="15" fillId="37" borderId="38" xfId="0" applyFont="1" applyFill="1" applyBorder="1" applyAlignment="1">
      <alignment wrapText="1"/>
    </xf>
    <xf numFmtId="0" fontId="15" fillId="34" borderId="38" xfId="0" applyFont="1" applyFill="1" applyBorder="1" applyAlignment="1">
      <alignment wrapText="1"/>
    </xf>
    <xf numFmtId="0" fontId="107" fillId="43" borderId="39" xfId="0" applyFont="1" applyFill="1" applyBorder="1"/>
    <xf numFmtId="0" fontId="10" fillId="31" borderId="39" xfId="0" applyFont="1" applyFill="1" applyBorder="1"/>
    <xf numFmtId="0" fontId="107" fillId="31" borderId="39" xfId="0" applyFont="1" applyFill="1" applyBorder="1"/>
    <xf numFmtId="0" fontId="10" fillId="19" borderId="39" xfId="0" applyFont="1" applyFill="1" applyBorder="1" applyAlignment="1">
      <alignment wrapText="1"/>
    </xf>
    <xf numFmtId="0" fontId="118" fillId="19" borderId="39" xfId="0" applyFont="1" applyFill="1" applyBorder="1"/>
    <xf numFmtId="0" fontId="10" fillId="55" borderId="39" xfId="0" applyFont="1" applyFill="1" applyBorder="1" applyAlignment="1">
      <alignment wrapText="1"/>
    </xf>
    <xf numFmtId="0" fontId="10" fillId="19" borderId="7" xfId="0" applyFont="1" applyFill="1" applyBorder="1" applyAlignment="1">
      <alignment vertical="top" wrapText="1"/>
    </xf>
    <xf numFmtId="0" fontId="15" fillId="37" borderId="38" xfId="0" applyFont="1" applyFill="1" applyBorder="1" applyAlignment="1">
      <alignment vertical="top" wrapText="1"/>
    </xf>
    <xf numFmtId="0" fontId="15" fillId="5" borderId="38" xfId="0" applyFont="1" applyFill="1" applyBorder="1" applyAlignment="1">
      <alignment vertical="top"/>
    </xf>
    <xf numFmtId="0" fontId="15" fillId="5" borderId="38" xfId="0" applyFont="1" applyFill="1" applyBorder="1" applyAlignment="1">
      <alignment vertical="top" wrapText="1"/>
    </xf>
    <xf numFmtId="0" fontId="15" fillId="34" borderId="38" xfId="0" applyFont="1" applyFill="1" applyBorder="1" applyAlignment="1">
      <alignment vertical="top" wrapText="1"/>
    </xf>
    <xf numFmtId="0" fontId="12" fillId="38" borderId="0" xfId="0" applyFont="1" applyFill="1" applyAlignment="1">
      <alignment vertical="top"/>
    </xf>
    <xf numFmtId="0" fontId="12" fillId="33" borderId="0" xfId="0" applyFont="1" applyFill="1" applyAlignment="1">
      <alignment vertical="top" wrapText="1"/>
    </xf>
    <xf numFmtId="0" fontId="15" fillId="59" borderId="7" xfId="0" applyFont="1" applyFill="1" applyBorder="1" applyAlignment="1">
      <alignment vertical="top" wrapText="1"/>
    </xf>
    <xf numFmtId="0" fontId="12" fillId="33" borderId="1" xfId="0" applyFont="1" applyFill="1" applyBorder="1" applyAlignment="1">
      <alignment vertical="top" wrapText="1"/>
    </xf>
    <xf numFmtId="0" fontId="12" fillId="0" borderId="0" xfId="0" applyFont="1" applyAlignment="1">
      <alignment vertical="top"/>
    </xf>
    <xf numFmtId="0" fontId="0" fillId="0" borderId="0" xfId="0" applyAlignment="1">
      <alignment vertical="top"/>
    </xf>
    <xf numFmtId="0" fontId="10" fillId="19" borderId="0" xfId="0" applyFont="1" applyFill="1" applyAlignment="1">
      <alignment vertical="top" wrapText="1"/>
    </xf>
    <xf numFmtId="0" fontId="10" fillId="56" borderId="42" xfId="0" applyFont="1" applyFill="1" applyBorder="1" applyAlignment="1">
      <alignment vertical="top" wrapText="1"/>
    </xf>
    <xf numFmtId="0" fontId="10" fillId="56" borderId="43" xfId="0" applyFont="1" applyFill="1" applyBorder="1" applyAlignment="1">
      <alignment vertical="top" wrapText="1"/>
    </xf>
    <xf numFmtId="0" fontId="10" fillId="19" borderId="39" xfId="0" applyFont="1" applyFill="1" applyBorder="1" applyAlignment="1">
      <alignment vertical="top" wrapText="1"/>
    </xf>
    <xf numFmtId="0" fontId="10"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8" fillId="0" borderId="0" xfId="0" applyFont="1" applyAlignment="1">
      <alignment horizontal="center"/>
    </xf>
    <xf numFmtId="0" fontId="15" fillId="5" borderId="49" xfId="0" applyFont="1" applyFill="1" applyBorder="1"/>
    <xf numFmtId="0" fontId="15" fillId="5" borderId="39" xfId="0" applyFont="1" applyFill="1" applyBorder="1" applyAlignment="1">
      <alignment wrapText="1"/>
    </xf>
    <xf numFmtId="0" fontId="15" fillId="37" borderId="39" xfId="0" applyFont="1" applyFill="1" applyBorder="1" applyAlignment="1">
      <alignment wrapText="1"/>
    </xf>
    <xf numFmtId="0" fontId="15" fillId="37" borderId="39" xfId="0" applyFont="1" applyFill="1" applyBorder="1" applyAlignment="1">
      <alignment vertical="top" wrapText="1"/>
    </xf>
    <xf numFmtId="0" fontId="15" fillId="37" borderId="50" xfId="0" applyFont="1" applyFill="1" applyBorder="1" applyAlignment="1">
      <alignment wrapText="1"/>
    </xf>
    <xf numFmtId="0" fontId="119" fillId="0" borderId="30" xfId="0" applyFont="1" applyBorder="1"/>
    <xf numFmtId="0" fontId="10" fillId="51" borderId="7" xfId="0" applyFont="1" applyFill="1" applyBorder="1" applyAlignment="1">
      <alignment horizontal="left" wrapText="1"/>
    </xf>
    <xf numFmtId="0" fontId="47" fillId="0" borderId="0" xfId="0" applyFont="1"/>
    <xf numFmtId="0" fontId="107" fillId="48" borderId="38" xfId="0" applyFont="1" applyFill="1" applyBorder="1" applyAlignment="1">
      <alignment vertical="center"/>
    </xf>
    <xf numFmtId="0" fontId="107" fillId="48" borderId="39" xfId="0" applyFont="1" applyFill="1" applyBorder="1" applyAlignment="1">
      <alignment vertical="center"/>
    </xf>
    <xf numFmtId="0" fontId="10" fillId="48" borderId="38" xfId="0" applyFont="1" applyFill="1" applyBorder="1" applyAlignment="1">
      <alignment vertical="center"/>
    </xf>
    <xf numFmtId="0" fontId="10" fillId="48" borderId="39" xfId="0" applyFont="1" applyFill="1" applyBorder="1" applyAlignment="1">
      <alignment vertical="center"/>
    </xf>
    <xf numFmtId="0" fontId="107" fillId="31" borderId="30" xfId="0" applyFont="1" applyFill="1" applyBorder="1"/>
    <xf numFmtId="0" fontId="107" fillId="31" borderId="39" xfId="0" applyFont="1" applyFill="1" applyBorder="1" applyAlignment="1">
      <alignment vertical="center"/>
    </xf>
    <xf numFmtId="0" fontId="10" fillId="0" borderId="39" xfId="0" applyFont="1" applyBorder="1" applyAlignment="1">
      <alignment wrapText="1"/>
    </xf>
    <xf numFmtId="0" fontId="10" fillId="46" borderId="39" xfId="0" applyFont="1" applyFill="1" applyBorder="1" applyAlignment="1">
      <alignment wrapText="1"/>
    </xf>
    <xf numFmtId="0" fontId="107" fillId="43" borderId="52" xfId="0" applyFont="1" applyFill="1" applyBorder="1" applyAlignment="1">
      <alignment vertical="center"/>
    </xf>
    <xf numFmtId="0" fontId="10" fillId="48" borderId="52" xfId="0" applyFont="1" applyFill="1" applyBorder="1" applyAlignment="1">
      <alignment vertical="center"/>
    </xf>
    <xf numFmtId="0" fontId="107" fillId="48" borderId="52" xfId="0" applyFont="1" applyFill="1" applyBorder="1" applyAlignment="1">
      <alignment vertical="center"/>
    </xf>
    <xf numFmtId="0" fontId="10" fillId="19" borderId="52" xfId="0" applyFont="1" applyFill="1" applyBorder="1" applyAlignment="1">
      <alignment wrapText="1"/>
    </xf>
    <xf numFmtId="0" fontId="10" fillId="19" borderId="52" xfId="0" quotePrefix="1" applyFont="1" applyFill="1" applyBorder="1" applyAlignment="1">
      <alignment wrapText="1"/>
    </xf>
    <xf numFmtId="0" fontId="0" fillId="0" borderId="51" xfId="0" applyBorder="1"/>
    <xf numFmtId="0" fontId="10" fillId="46" borderId="52" xfId="0" applyFont="1" applyFill="1" applyBorder="1" applyAlignment="1">
      <alignment wrapText="1"/>
    </xf>
    <xf numFmtId="0" fontId="58" fillId="0" borderId="51" xfId="0" applyFont="1" applyBorder="1" applyAlignment="1">
      <alignment horizontal="center"/>
    </xf>
    <xf numFmtId="0" fontId="58" fillId="0" borderId="51" xfId="0" applyFont="1" applyBorder="1"/>
    <xf numFmtId="0" fontId="107" fillId="24" borderId="53" xfId="0" applyFont="1" applyFill="1" applyBorder="1"/>
    <xf numFmtId="0" fontId="107" fillId="43" borderId="52" xfId="0" applyFont="1" applyFill="1" applyBorder="1"/>
    <xf numFmtId="0" fontId="10" fillId="31" borderId="52" xfId="0" applyFont="1" applyFill="1" applyBorder="1"/>
    <xf numFmtId="0" fontId="107" fillId="31" borderId="52" xfId="0" applyFont="1" applyFill="1" applyBorder="1"/>
    <xf numFmtId="0" fontId="10" fillId="19" borderId="51" xfId="0" applyFont="1" applyFill="1" applyBorder="1" applyAlignment="1">
      <alignment vertical="top" wrapText="1"/>
    </xf>
    <xf numFmtId="0" fontId="10" fillId="57" borderId="51" xfId="0" applyFont="1" applyFill="1" applyBorder="1"/>
    <xf numFmtId="0" fontId="118" fillId="19" borderId="52" xfId="0" applyFont="1" applyFill="1" applyBorder="1"/>
    <xf numFmtId="0" fontId="10" fillId="55" borderId="52" xfId="0" applyFont="1" applyFill="1" applyBorder="1" applyAlignment="1">
      <alignment wrapText="1"/>
    </xf>
    <xf numFmtId="0" fontId="107" fillId="31" borderId="52" xfId="0" applyFont="1" applyFill="1" applyBorder="1" applyAlignment="1">
      <alignment vertical="center"/>
    </xf>
    <xf numFmtId="0" fontId="107" fillId="48" borderId="51" xfId="0" applyFont="1" applyFill="1" applyBorder="1" applyAlignment="1">
      <alignment vertical="center"/>
    </xf>
    <xf numFmtId="0" fontId="10" fillId="52" borderId="52" xfId="0" applyFont="1" applyFill="1" applyBorder="1" applyAlignment="1">
      <alignment wrapText="1"/>
    </xf>
    <xf numFmtId="0" fontId="10" fillId="0" borderId="51" xfId="0" applyFont="1" applyBorder="1" applyAlignment="1">
      <alignment wrapText="1"/>
    </xf>
    <xf numFmtId="0" fontId="10" fillId="0" borderId="51" xfId="0" applyFont="1" applyBorder="1" applyAlignment="1">
      <alignment horizontal="left" wrapText="1"/>
    </xf>
    <xf numFmtId="0" fontId="64" fillId="0" borderId="51" xfId="0" applyFont="1" applyBorder="1" applyAlignment="1">
      <alignment wrapText="1"/>
    </xf>
    <xf numFmtId="0" fontId="0" fillId="0" borderId="51" xfId="0" applyBorder="1" applyAlignment="1">
      <alignment horizontal="center"/>
    </xf>
    <xf numFmtId="0" fontId="58" fillId="14" borderId="0" xfId="0" applyFont="1" applyFill="1" applyAlignment="1">
      <alignment horizontal="left"/>
    </xf>
    <xf numFmtId="0" fontId="89" fillId="14" borderId="0" xfId="0" applyFont="1" applyFill="1" applyAlignment="1">
      <alignment horizontal="left"/>
    </xf>
    <xf numFmtId="0" fontId="61" fillId="0" borderId="0" xfId="0" applyFont="1" applyAlignment="1">
      <alignment horizontal="left" wrapText="1"/>
    </xf>
    <xf numFmtId="0" fontId="120" fillId="0" borderId="0" xfId="0" applyFont="1" applyAlignment="1">
      <alignment horizontal="left" wrapText="1"/>
    </xf>
    <xf numFmtId="0" fontId="61" fillId="0" borderId="0" xfId="0" applyFont="1" applyAlignment="1">
      <alignment vertical="top" wrapText="1"/>
    </xf>
    <xf numFmtId="0" fontId="61" fillId="26" borderId="0" xfId="0" applyFont="1" applyFill="1"/>
    <xf numFmtId="0" fontId="61" fillId="20" borderId="0" xfId="0" applyFont="1" applyFill="1" applyAlignment="1">
      <alignment horizontal="left" vertical="top" wrapText="1"/>
    </xf>
    <xf numFmtId="0" fontId="118" fillId="19" borderId="7" xfId="0" applyFont="1" applyFill="1" applyBorder="1" applyAlignment="1">
      <alignment horizontal="center" vertical="center"/>
    </xf>
    <xf numFmtId="0" fontId="118" fillId="19" borderId="36" xfId="0" applyFont="1" applyFill="1" applyBorder="1" applyAlignment="1">
      <alignment horizontal="center" vertical="center"/>
    </xf>
    <xf numFmtId="0" fontId="89" fillId="0" borderId="0" xfId="0" applyFont="1"/>
    <xf numFmtId="0" fontId="89" fillId="0" borderId="51" xfId="0" applyFont="1" applyBorder="1"/>
    <xf numFmtId="0" fontId="10" fillId="19" borderId="39" xfId="0" applyFont="1" applyFill="1" applyBorder="1"/>
    <xf numFmtId="0" fontId="29" fillId="19" borderId="39" xfId="0" applyFont="1" applyFill="1" applyBorder="1"/>
    <xf numFmtId="0" fontId="10" fillId="19" borderId="52" xfId="0" applyFont="1" applyFill="1" applyBorder="1"/>
    <xf numFmtId="0" fontId="123" fillId="0" borderId="16" xfId="0" applyFont="1" applyBorder="1" applyAlignment="1">
      <alignment horizontal="center" wrapText="1"/>
    </xf>
    <xf numFmtId="0" fontId="123" fillId="0" borderId="0" xfId="0" applyFont="1"/>
    <xf numFmtId="0" fontId="62" fillId="60" borderId="0" xfId="0" applyFont="1" applyFill="1" applyAlignment="1">
      <alignment horizontal="left"/>
    </xf>
    <xf numFmtId="0" fontId="10" fillId="60" borderId="0" xfId="0" applyFont="1" applyFill="1"/>
    <xf numFmtId="0" fontId="89" fillId="60" borderId="0" xfId="0" applyFont="1" applyFill="1" applyAlignment="1">
      <alignment horizontal="left"/>
    </xf>
    <xf numFmtId="0" fontId="107" fillId="0" borderId="0" xfId="0" applyFont="1"/>
    <xf numFmtId="0" fontId="86" fillId="51" borderId="0" xfId="0" applyFont="1" applyFill="1" applyAlignment="1">
      <alignment horizontal="left"/>
    </xf>
    <xf numFmtId="0" fontId="58" fillId="20" borderId="0" xfId="0" applyFont="1" applyFill="1" applyAlignment="1">
      <alignment horizontal="left"/>
    </xf>
    <xf numFmtId="0" fontId="89" fillId="61" borderId="0" xfId="0" applyFont="1" applyFill="1" applyAlignment="1">
      <alignment horizontal="left"/>
    </xf>
    <xf numFmtId="0" fontId="64" fillId="61" borderId="0" xfId="0" applyFont="1" applyFill="1" applyAlignment="1">
      <alignment horizontal="left"/>
    </xf>
    <xf numFmtId="0" fontId="62" fillId="61" borderId="0" xfId="0" applyFont="1" applyFill="1" applyAlignment="1">
      <alignment horizontal="left"/>
    </xf>
    <xf numFmtId="0" fontId="89" fillId="20" borderId="0" xfId="0" applyFont="1" applyFill="1" applyAlignment="1">
      <alignment horizontal="left"/>
    </xf>
    <xf numFmtId="0" fontId="121" fillId="0" borderId="0" xfId="0" applyFont="1"/>
    <xf numFmtId="0" fontId="125" fillId="0" borderId="0" xfId="0" applyFont="1" applyAlignment="1">
      <alignment horizontal="left" wrapText="1"/>
    </xf>
    <xf numFmtId="0" fontId="63" fillId="21" borderId="0" xfId="0" applyFont="1" applyFill="1" applyAlignment="1">
      <alignment horizontal="center" wrapText="1"/>
    </xf>
    <xf numFmtId="0" fontId="127" fillId="0" borderId="0" xfId="0" applyFont="1" applyAlignment="1">
      <alignment wrapText="1"/>
    </xf>
    <xf numFmtId="0" fontId="127" fillId="0" borderId="0" xfId="0" applyFont="1" applyAlignment="1">
      <alignment horizontal="left"/>
    </xf>
    <xf numFmtId="0" fontId="128" fillId="0" borderId="0" xfId="0" applyFont="1" applyAlignment="1">
      <alignment horizontal="left"/>
    </xf>
    <xf numFmtId="0" fontId="127" fillId="0" borderId="0" xfId="0" applyFont="1" applyAlignment="1">
      <alignment horizontal="left" wrapText="1"/>
    </xf>
    <xf numFmtId="0" fontId="127" fillId="0" borderId="0" xfId="0" applyFont="1" applyAlignment="1">
      <alignment horizontal="center" vertical="center" wrapText="1"/>
    </xf>
    <xf numFmtId="0" fontId="127" fillId="0" borderId="0" xfId="0" applyFont="1" applyAlignment="1">
      <alignment horizontal="center" wrapText="1"/>
    </xf>
    <xf numFmtId="0" fontId="127" fillId="0" borderId="16" xfId="0" applyFont="1" applyBorder="1" applyAlignment="1">
      <alignment horizontal="center" wrapText="1"/>
    </xf>
    <xf numFmtId="0" fontId="127" fillId="26" borderId="0" xfId="0" applyFont="1" applyFill="1"/>
    <xf numFmtId="0" fontId="127" fillId="0" borderId="0" xfId="0" applyFont="1" applyAlignment="1">
      <alignment horizontal="left" vertical="top" wrapText="1"/>
    </xf>
    <xf numFmtId="0" fontId="127" fillId="0" borderId="16" xfId="0" applyFont="1" applyBorder="1" applyAlignment="1">
      <alignment horizontal="left" wrapText="1"/>
    </xf>
    <xf numFmtId="0" fontId="127" fillId="0" borderId="0" xfId="0" applyFont="1"/>
    <xf numFmtId="0" fontId="39" fillId="0" borderId="0" xfId="0" applyFont="1"/>
    <xf numFmtId="0" fontId="129" fillId="0" borderId="0" xfId="0" applyFont="1" applyAlignment="1">
      <alignment vertical="center"/>
    </xf>
    <xf numFmtId="0" fontId="130" fillId="0" borderId="0" xfId="0" applyFont="1"/>
    <xf numFmtId="0" fontId="131" fillId="0" borderId="0" xfId="0" applyFont="1" applyAlignment="1">
      <alignment horizontal="left" vertical="center" indent="1"/>
    </xf>
    <xf numFmtId="0" fontId="132" fillId="0" borderId="0" xfId="0" applyFont="1"/>
    <xf numFmtId="0" fontId="133" fillId="0" borderId="0" xfId="0" applyFont="1"/>
    <xf numFmtId="0" fontId="133" fillId="0" borderId="0" xfId="0" applyFont="1" applyAlignment="1">
      <alignment wrapText="1"/>
    </xf>
    <xf numFmtId="0" fontId="111" fillId="0" borderId="0" xfId="0" applyFont="1" applyAlignment="1">
      <alignment wrapText="1"/>
    </xf>
    <xf numFmtId="0" fontId="133" fillId="0" borderId="0" xfId="0" applyFont="1" applyAlignment="1">
      <alignment horizontal="left" wrapText="1"/>
    </xf>
    <xf numFmtId="0" fontId="132" fillId="21" borderId="0" xfId="0" applyFont="1" applyFill="1" applyAlignment="1">
      <alignment horizontal="center" wrapText="1"/>
    </xf>
    <xf numFmtId="0" fontId="133" fillId="0" borderId="0" xfId="0" applyFont="1" applyAlignment="1">
      <alignment horizontal="center" vertical="center" wrapText="1"/>
    </xf>
    <xf numFmtId="0" fontId="133" fillId="0" borderId="0" xfId="0" applyFont="1" applyAlignment="1">
      <alignment horizontal="center" wrapText="1"/>
    </xf>
    <xf numFmtId="0" fontId="133" fillId="0" borderId="0" xfId="0" applyFont="1" applyAlignment="1">
      <alignment horizontal="left" vertical="top" wrapText="1"/>
    </xf>
    <xf numFmtId="0" fontId="134" fillId="0" borderId="0" xfId="0" applyFont="1" applyAlignment="1">
      <alignment horizontal="left"/>
    </xf>
    <xf numFmtId="0" fontId="134" fillId="0" borderId="0" xfId="0" applyFont="1" applyAlignment="1">
      <alignment wrapText="1"/>
    </xf>
    <xf numFmtId="0" fontId="134" fillId="0" borderId="0" xfId="0" applyFont="1" applyAlignment="1">
      <alignment horizontal="left" wrapText="1"/>
    </xf>
    <xf numFmtId="0" fontId="134" fillId="0" borderId="0" xfId="0" applyFont="1" applyAlignment="1">
      <alignment horizontal="center" vertical="center" wrapText="1"/>
    </xf>
    <xf numFmtId="0" fontId="134" fillId="0" borderId="0" xfId="0" applyFont="1" applyAlignment="1">
      <alignment horizontal="center" wrapText="1"/>
    </xf>
    <xf numFmtId="0" fontId="134" fillId="0" borderId="16" xfId="0" applyFont="1" applyBorder="1" applyAlignment="1">
      <alignment horizontal="center" wrapText="1"/>
    </xf>
    <xf numFmtId="0" fontId="134" fillId="26" borderId="0" xfId="0" applyFont="1" applyFill="1"/>
    <xf numFmtId="0" fontId="134" fillId="0" borderId="0" xfId="0" applyFont="1" applyAlignment="1">
      <alignment horizontal="left" vertical="top" wrapText="1"/>
    </xf>
    <xf numFmtId="0" fontId="134" fillId="0" borderId="16" xfId="0" applyFont="1" applyBorder="1" applyAlignment="1">
      <alignment horizontal="left" wrapText="1"/>
    </xf>
    <xf numFmtId="0" fontId="134" fillId="0" borderId="0" xfId="0" applyFont="1"/>
    <xf numFmtId="0" fontId="135" fillId="0" borderId="0" xfId="0" applyFont="1"/>
    <xf numFmtId="0" fontId="136" fillId="0" borderId="1" xfId="0" applyFont="1" applyBorder="1"/>
    <xf numFmtId="0" fontId="137" fillId="0" borderId="0" xfId="0" applyFont="1" applyAlignment="1">
      <alignment wrapText="1"/>
    </xf>
    <xf numFmtId="0" fontId="137" fillId="0" borderId="0" xfId="0" applyFont="1" applyAlignment="1">
      <alignment horizontal="left"/>
    </xf>
    <xf numFmtId="0" fontId="138" fillId="0" borderId="0" xfId="0" applyFont="1" applyAlignment="1">
      <alignment horizontal="left"/>
    </xf>
    <xf numFmtId="0" fontId="137" fillId="0" borderId="0" xfId="0" applyFont="1" applyAlignment="1">
      <alignment horizontal="left" wrapText="1"/>
    </xf>
    <xf numFmtId="0" fontId="137" fillId="0" borderId="0" xfId="0" applyFont="1" applyAlignment="1">
      <alignment horizontal="center" vertical="center" wrapText="1"/>
    </xf>
    <xf numFmtId="0" fontId="137" fillId="0" borderId="0" xfId="0" applyFont="1" applyAlignment="1">
      <alignment horizontal="center" wrapText="1"/>
    </xf>
    <xf numFmtId="0" fontId="137" fillId="0" borderId="16" xfId="0" applyFont="1" applyBorder="1" applyAlignment="1">
      <alignment horizontal="center" wrapText="1"/>
    </xf>
    <xf numFmtId="0" fontId="137" fillId="26" borderId="0" xfId="0" applyFont="1" applyFill="1"/>
    <xf numFmtId="0" fontId="137" fillId="24" borderId="0" xfId="0" applyFont="1" applyFill="1" applyAlignment="1">
      <alignment horizontal="left" vertical="top" wrapText="1"/>
    </xf>
    <xf numFmtId="0" fontId="137" fillId="0" borderId="16" xfId="0" applyFont="1" applyBorder="1" applyAlignment="1">
      <alignment horizontal="left" wrapText="1"/>
    </xf>
    <xf numFmtId="0" fontId="137" fillId="0" borderId="0" xfId="0" applyFont="1"/>
    <xf numFmtId="0" fontId="139" fillId="0" borderId="0" xfId="0" applyFont="1" applyAlignment="1">
      <alignment wrapText="1"/>
    </xf>
    <xf numFmtId="0" fontId="139" fillId="0" borderId="0" xfId="0" applyFont="1" applyAlignment="1">
      <alignment horizontal="left"/>
    </xf>
    <xf numFmtId="0" fontId="140" fillId="0" borderId="0" xfId="0" applyFont="1" applyAlignment="1">
      <alignment horizontal="left"/>
    </xf>
    <xf numFmtId="0" fontId="141" fillId="19" borderId="7" xfId="0" applyFont="1" applyFill="1" applyBorder="1" applyAlignment="1">
      <alignment wrapText="1"/>
    </xf>
    <xf numFmtId="0" fontId="139" fillId="0" borderId="0" xfId="0" applyFont="1" applyAlignment="1">
      <alignment horizontal="left" wrapText="1"/>
    </xf>
    <xf numFmtId="0" fontId="139" fillId="0" borderId="0" xfId="0" applyFont="1" applyAlignment="1">
      <alignment horizontal="center" vertical="center" wrapText="1"/>
    </xf>
    <xf numFmtId="0" fontId="139" fillId="0" borderId="0" xfId="0" applyFont="1" applyAlignment="1">
      <alignment horizontal="center" wrapText="1"/>
    </xf>
    <xf numFmtId="0" fontId="139" fillId="0" borderId="16" xfId="0" applyFont="1" applyBorder="1" applyAlignment="1">
      <alignment horizontal="center" wrapText="1"/>
    </xf>
    <xf numFmtId="0" fontId="139" fillId="26" borderId="0" xfId="0" applyFont="1" applyFill="1"/>
    <xf numFmtId="0" fontId="139" fillId="0" borderId="0" xfId="0" applyFont="1" applyAlignment="1">
      <alignment horizontal="left" vertical="top" wrapText="1"/>
    </xf>
    <xf numFmtId="0" fontId="139" fillId="0" borderId="16" xfId="0" applyFont="1" applyBorder="1" applyAlignment="1">
      <alignment horizontal="left" wrapText="1"/>
    </xf>
    <xf numFmtId="0" fontId="139" fillId="0" borderId="0" xfId="0" applyFont="1"/>
    <xf numFmtId="0" fontId="142" fillId="0" borderId="0" xfId="0" applyFont="1" applyAlignment="1">
      <alignment wrapText="1"/>
    </xf>
    <xf numFmtId="0" fontId="143" fillId="0" borderId="0" xfId="0" applyFont="1" applyAlignment="1">
      <alignment wrapText="1"/>
    </xf>
    <xf numFmtId="0" fontId="143" fillId="0" borderId="0" xfId="0" applyFont="1" applyAlignment="1">
      <alignment horizontal="left"/>
    </xf>
    <xf numFmtId="0" fontId="143" fillId="0" borderId="0" xfId="0" applyFont="1"/>
    <xf numFmtId="0" fontId="143" fillId="0" borderId="0" xfId="0" applyFont="1" applyAlignment="1">
      <alignment horizontal="left" wrapText="1"/>
    </xf>
    <xf numFmtId="0" fontId="143" fillId="0" borderId="0" xfId="0" applyFont="1" applyAlignment="1">
      <alignment horizontal="center" vertical="center" wrapText="1"/>
    </xf>
    <xf numFmtId="0" fontId="143" fillId="0" borderId="0" xfId="0" applyFont="1" applyAlignment="1">
      <alignment horizontal="center" wrapText="1"/>
    </xf>
    <xf numFmtId="0" fontId="143" fillId="0" borderId="16" xfId="0" applyFont="1" applyBorder="1" applyAlignment="1">
      <alignment horizontal="center" wrapText="1"/>
    </xf>
    <xf numFmtId="0" fontId="143" fillId="26" borderId="0" xfId="0" applyFont="1" applyFill="1"/>
    <xf numFmtId="0" fontId="143" fillId="0" borderId="0" xfId="0" applyFont="1" applyAlignment="1">
      <alignment horizontal="left" vertical="top" wrapText="1"/>
    </xf>
    <xf numFmtId="0" fontId="143" fillId="0" borderId="16" xfId="0" applyFont="1" applyBorder="1" applyAlignment="1">
      <alignment horizontal="left" wrapText="1"/>
    </xf>
    <xf numFmtId="0" fontId="139" fillId="24" borderId="0" xfId="0" applyFont="1" applyFill="1" applyAlignment="1">
      <alignment horizontal="left" vertical="top" wrapText="1"/>
    </xf>
    <xf numFmtId="0" fontId="144" fillId="0" borderId="0" xfId="0" applyFont="1" applyAlignment="1">
      <alignment horizontal="left"/>
    </xf>
    <xf numFmtId="0" fontId="145" fillId="0" borderId="1" xfId="0" applyFont="1" applyBorder="1"/>
    <xf numFmtId="0" fontId="142" fillId="0" borderId="0" xfId="0" applyFont="1" applyAlignment="1">
      <alignment horizontal="center" vertical="center" wrapText="1"/>
    </xf>
    <xf numFmtId="0" fontId="139" fillId="0" borderId="0" xfId="0" quotePrefix="1" applyFont="1" applyAlignment="1">
      <alignment horizontal="left" wrapText="1"/>
    </xf>
    <xf numFmtId="0" fontId="142" fillId="0" borderId="0" xfId="0" applyFont="1" applyAlignment="1">
      <alignment horizontal="left" wrapText="1"/>
    </xf>
    <xf numFmtId="0" fontId="137" fillId="0" borderId="0" xfId="0" applyFont="1" applyAlignment="1">
      <alignment horizontal="left" vertical="top"/>
    </xf>
    <xf numFmtId="0" fontId="137" fillId="0" borderId="0" xfId="0" applyFont="1" applyAlignment="1">
      <alignment horizontal="left" vertical="top" wrapText="1"/>
    </xf>
    <xf numFmtId="0" fontId="139" fillId="0" borderId="7" xfId="0" applyFont="1" applyBorder="1" applyAlignment="1">
      <alignment wrapText="1"/>
    </xf>
    <xf numFmtId="0" fontId="138" fillId="0" borderId="0" xfId="0" applyFont="1" applyAlignment="1">
      <alignment wrapText="1"/>
    </xf>
    <xf numFmtId="0" fontId="138" fillId="0" borderId="0" xfId="0" applyFont="1" applyAlignment="1">
      <alignment horizontal="left" wrapText="1"/>
    </xf>
    <xf numFmtId="0" fontId="146" fillId="0" borderId="0" xfId="0" applyFont="1" applyAlignment="1">
      <alignment horizontal="center" vertical="center" wrapText="1"/>
    </xf>
    <xf numFmtId="0" fontId="138" fillId="0" borderId="0" xfId="0" applyFont="1" applyAlignment="1">
      <alignment horizontal="center" wrapText="1"/>
    </xf>
    <xf numFmtId="0" fontId="138" fillId="0" borderId="16" xfId="0" applyFont="1" applyBorder="1" applyAlignment="1">
      <alignment horizontal="center" wrapText="1"/>
    </xf>
    <xf numFmtId="0" fontId="138" fillId="26" borderId="0" xfId="0" applyFont="1" applyFill="1"/>
    <xf numFmtId="0" fontId="138" fillId="0" borderId="0" xfId="0" applyFont="1" applyAlignment="1">
      <alignment horizontal="left" vertical="top" wrapText="1"/>
    </xf>
    <xf numFmtId="0" fontId="138" fillId="0" borderId="16" xfId="0" applyFont="1" applyBorder="1" applyAlignment="1">
      <alignment horizontal="left" wrapText="1"/>
    </xf>
    <xf numFmtId="0" fontId="138" fillId="0" borderId="0" xfId="0" applyFont="1"/>
    <xf numFmtId="0" fontId="140" fillId="0" borderId="0" xfId="0" applyFont="1"/>
    <xf numFmtId="0" fontId="147" fillId="0" borderId="1" xfId="0" applyFont="1" applyBorder="1"/>
    <xf numFmtId="0" fontId="146" fillId="0" borderId="0" xfId="0" applyFont="1" applyAlignment="1">
      <alignment wrapText="1"/>
    </xf>
    <xf numFmtId="0" fontId="139" fillId="0" borderId="0" xfId="0" applyFont="1" applyAlignment="1">
      <alignment wrapText="1" shrinkToFit="1"/>
    </xf>
    <xf numFmtId="0" fontId="144" fillId="0" borderId="0" xfId="0" applyFont="1" applyAlignment="1">
      <alignment wrapText="1"/>
    </xf>
    <xf numFmtId="0" fontId="144" fillId="0" borderId="0" xfId="0" applyFont="1" applyAlignment="1">
      <alignment horizontal="left" wrapText="1"/>
    </xf>
    <xf numFmtId="0" fontId="144" fillId="0" borderId="0" xfId="0" applyFont="1" applyAlignment="1">
      <alignment horizontal="center" vertical="center" wrapText="1"/>
    </xf>
    <xf numFmtId="0" fontId="144" fillId="0" borderId="0" xfId="0" applyFont="1" applyAlignment="1">
      <alignment horizontal="center" wrapText="1"/>
    </xf>
    <xf numFmtId="0" fontId="144" fillId="0" borderId="16" xfId="0" applyFont="1" applyBorder="1" applyAlignment="1">
      <alignment horizontal="center" wrapText="1"/>
    </xf>
    <xf numFmtId="0" fontId="144" fillId="26" borderId="0" xfId="0" applyFont="1" applyFill="1"/>
    <xf numFmtId="0" fontId="144" fillId="0" borderId="0" xfId="0" applyFont="1" applyAlignment="1">
      <alignment horizontal="left" vertical="top" wrapText="1"/>
    </xf>
    <xf numFmtId="0" fontId="144" fillId="0" borderId="16" xfId="0" applyFont="1" applyBorder="1" applyAlignment="1">
      <alignment horizontal="left" wrapText="1"/>
    </xf>
    <xf numFmtId="0" fontId="144" fillId="0" borderId="0" xfId="0" applyFont="1"/>
    <xf numFmtId="0" fontId="148" fillId="0" borderId="0" xfId="13" applyFont="1"/>
    <xf numFmtId="0" fontId="149" fillId="0" borderId="0" xfId="13" applyFont="1"/>
    <xf numFmtId="0" fontId="140" fillId="20" borderId="0" xfId="0" applyFont="1" applyFill="1" applyAlignment="1">
      <alignment wrapText="1"/>
    </xf>
    <xf numFmtId="0" fontId="150" fillId="0" borderId="0" xfId="0" applyFont="1"/>
    <xf numFmtId="0" fontId="139" fillId="0" borderId="0" xfId="0" quotePrefix="1" applyFont="1" applyAlignment="1">
      <alignment wrapText="1"/>
    </xf>
    <xf numFmtId="0" fontId="150" fillId="0" borderId="0" xfId="0" applyFont="1" applyAlignment="1">
      <alignment horizontal="center" wrapText="1"/>
    </xf>
    <xf numFmtId="0" fontId="150" fillId="0" borderId="0" xfId="0" applyFont="1" applyAlignment="1">
      <alignment horizontal="left" vertical="top" wrapText="1"/>
    </xf>
    <xf numFmtId="0" fontId="150" fillId="0" borderId="0" xfId="0" applyFont="1" applyAlignment="1">
      <alignment wrapText="1"/>
    </xf>
    <xf numFmtId="0" fontId="150" fillId="0" borderId="0" xfId="0" applyFont="1" applyAlignment="1">
      <alignment horizontal="left" wrapText="1"/>
    </xf>
    <xf numFmtId="0" fontId="151" fillId="0" borderId="0" xfId="0" applyFont="1"/>
    <xf numFmtId="0" fontId="151" fillId="0" borderId="0" xfId="0" applyFont="1" applyAlignment="1">
      <alignment horizontal="center" vertical="center"/>
    </xf>
    <xf numFmtId="0" fontId="142" fillId="0" borderId="0" xfId="0" applyFont="1" applyAlignment="1">
      <alignment horizontal="left"/>
    </xf>
    <xf numFmtId="0" fontId="142" fillId="0" borderId="0" xfId="0" applyFont="1" applyAlignment="1">
      <alignment horizontal="center" wrapText="1"/>
    </xf>
    <xf numFmtId="0" fontId="142" fillId="0" borderId="0" xfId="0" applyFont="1" applyAlignment="1">
      <alignment horizontal="left" vertical="top" wrapText="1"/>
    </xf>
    <xf numFmtId="0" fontId="139" fillId="19" borderId="7" xfId="0" applyFont="1" applyFill="1" applyBorder="1" applyAlignment="1">
      <alignment wrapText="1"/>
    </xf>
    <xf numFmtId="0" fontId="140" fillId="0" borderId="0" xfId="0" applyFont="1" applyAlignment="1">
      <alignment wrapText="1"/>
    </xf>
    <xf numFmtId="0" fontId="140" fillId="20" borderId="0" xfId="0" applyFont="1" applyFill="1" applyAlignment="1">
      <alignment horizontal="left" vertical="top" wrapText="1"/>
    </xf>
    <xf numFmtId="0" fontId="140" fillId="0" borderId="0" xfId="0" applyFont="1" applyAlignment="1">
      <alignment horizontal="left" vertical="top" wrapText="1"/>
    </xf>
    <xf numFmtId="0" fontId="139" fillId="0" borderId="0" xfId="0" applyFont="1" applyAlignment="1">
      <alignment horizontal="left" vertical="center" wrapText="1"/>
    </xf>
    <xf numFmtId="0" fontId="137" fillId="0" borderId="7" xfId="0" applyFont="1" applyBorder="1" applyAlignment="1">
      <alignment wrapText="1"/>
    </xf>
    <xf numFmtId="0" fontId="138" fillId="0" borderId="0" xfId="0" quotePrefix="1" applyFont="1" applyAlignment="1">
      <alignment horizontal="left" wrapText="1"/>
    </xf>
    <xf numFmtId="0" fontId="138" fillId="0" borderId="0" xfId="0" applyFont="1" applyAlignment="1">
      <alignment horizontal="center" vertical="center" wrapText="1"/>
    </xf>
    <xf numFmtId="0" fontId="138" fillId="19" borderId="7" xfId="0" applyFont="1" applyFill="1" applyBorder="1" applyAlignment="1">
      <alignment wrapText="1"/>
    </xf>
    <xf numFmtId="0" fontId="139" fillId="0" borderId="0" xfId="0" applyFont="1" applyAlignment="1">
      <alignment vertical="top" wrapText="1"/>
    </xf>
    <xf numFmtId="0" fontId="139" fillId="20" borderId="0" xfId="0" applyFont="1" applyFill="1" applyAlignment="1">
      <alignment wrapText="1"/>
    </xf>
    <xf numFmtId="0" fontId="139" fillId="20" borderId="0" xfId="0" applyFont="1" applyFill="1" applyAlignment="1">
      <alignment horizontal="left" vertical="top" wrapText="1"/>
    </xf>
    <xf numFmtId="0" fontId="139" fillId="14" borderId="0" xfId="0" applyFont="1" applyFill="1" applyAlignment="1">
      <alignment wrapText="1"/>
    </xf>
    <xf numFmtId="0" fontId="139" fillId="14" borderId="0" xfId="0" applyFont="1" applyFill="1" applyAlignment="1">
      <alignment horizontal="left"/>
    </xf>
    <xf numFmtId="0" fontId="85" fillId="21" borderId="16" xfId="0" applyFont="1" applyFill="1" applyBorder="1" applyAlignment="1">
      <alignment horizontal="center" vertical="center" wrapText="1"/>
    </xf>
    <xf numFmtId="0" fontId="139" fillId="62" borderId="0" xfId="0" applyFont="1" applyFill="1" applyAlignment="1">
      <alignment wrapText="1"/>
    </xf>
    <xf numFmtId="0" fontId="139" fillId="62" borderId="0" xfId="0" applyFont="1" applyFill="1" applyAlignment="1">
      <alignment horizontal="left"/>
    </xf>
    <xf numFmtId="0" fontId="139" fillId="62" borderId="0" xfId="0" applyFont="1" applyFill="1" applyAlignment="1">
      <alignment horizontal="left" wrapText="1"/>
    </xf>
    <xf numFmtId="0" fontId="139" fillId="62" borderId="0" xfId="0" applyFont="1" applyFill="1" applyAlignment="1">
      <alignment horizontal="center" vertical="center" wrapText="1"/>
    </xf>
    <xf numFmtId="0" fontId="139" fillId="62" borderId="0" xfId="0" applyFont="1" applyFill="1" applyAlignment="1">
      <alignment horizontal="center" wrapText="1"/>
    </xf>
    <xf numFmtId="0" fontId="139" fillId="62" borderId="16" xfId="0" applyFont="1" applyFill="1" applyBorder="1" applyAlignment="1">
      <alignment horizontal="center" wrapText="1"/>
    </xf>
    <xf numFmtId="0" fontId="139" fillId="62" borderId="0" xfId="0" applyFont="1" applyFill="1"/>
    <xf numFmtId="0" fontId="139" fillId="62" borderId="0" xfId="0" applyFont="1" applyFill="1" applyAlignment="1">
      <alignment horizontal="left" vertical="top" wrapText="1"/>
    </xf>
    <xf numFmtId="0" fontId="139" fillId="62" borderId="16" xfId="0" applyFont="1" applyFill="1" applyBorder="1" applyAlignment="1">
      <alignment horizontal="left" wrapText="1"/>
    </xf>
    <xf numFmtId="0" fontId="152" fillId="0" borderId="0" xfId="14"/>
    <xf numFmtId="0" fontId="5" fillId="0" borderId="0" xfId="0" applyFont="1" applyAlignment="1">
      <alignment horizontal="left" wrapText="1"/>
    </xf>
    <xf numFmtId="0" fontId="5" fillId="0" borderId="16" xfId="0" applyFont="1" applyBorder="1" applyAlignment="1">
      <alignment horizontal="center" wrapText="1"/>
    </xf>
    <xf numFmtId="0" fontId="5" fillId="0" borderId="0" xfId="0" applyFont="1" applyAlignment="1">
      <alignment wrapText="1"/>
    </xf>
    <xf numFmtId="0" fontId="5" fillId="0" borderId="0" xfId="0" applyFont="1" applyAlignment="1">
      <alignment horizontal="center" vertical="center" wrapText="1"/>
    </xf>
    <xf numFmtId="0" fontId="5" fillId="0" borderId="0" xfId="0" applyFont="1" applyAlignment="1">
      <alignment horizontal="center" wrapText="1"/>
    </xf>
    <xf numFmtId="0" fontId="5" fillId="0" borderId="0" xfId="0" applyFont="1" applyAlignment="1">
      <alignment horizontal="left" vertical="top" wrapText="1"/>
    </xf>
    <xf numFmtId="0" fontId="5" fillId="0" borderId="16" xfId="0" applyFont="1" applyBorder="1" applyAlignment="1">
      <alignment horizontal="left" wrapText="1"/>
    </xf>
    <xf numFmtId="0" fontId="64" fillId="26" borderId="0" xfId="0" applyFont="1" applyFill="1"/>
    <xf numFmtId="0" fontId="154" fillId="0" borderId="1" xfId="0" applyFont="1" applyBorder="1"/>
    <xf numFmtId="0" fontId="153" fillId="0" borderId="0" xfId="0" applyFont="1" applyAlignment="1">
      <alignment vertical="center"/>
    </xf>
    <xf numFmtId="0" fontId="5" fillId="0" borderId="0" xfId="0" applyFont="1"/>
    <xf numFmtId="0" fontId="5" fillId="0" borderId="0" xfId="0" applyFont="1" applyAlignment="1">
      <alignment horizontal="left"/>
    </xf>
    <xf numFmtId="0" fontId="5" fillId="0" borderId="7" xfId="0" applyFont="1" applyBorder="1" applyAlignment="1">
      <alignment wrapText="1"/>
    </xf>
    <xf numFmtId="0" fontId="5" fillId="0" borderId="0" xfId="0" quotePrefix="1" applyFont="1" applyAlignment="1">
      <alignment horizontal="left" wrapText="1"/>
    </xf>
    <xf numFmtId="0" fontId="60" fillId="26" borderId="0" xfId="0" applyFont="1" applyFill="1"/>
    <xf numFmtId="0" fontId="5" fillId="26" borderId="0" xfId="0" applyFont="1" applyFill="1"/>
    <xf numFmtId="0" fontId="59" fillId="26" borderId="0" xfId="0" applyFont="1" applyFill="1"/>
    <xf numFmtId="0" fontId="62" fillId="26" borderId="0" xfId="0" applyFont="1" applyFill="1"/>
    <xf numFmtId="0" fontId="96" fillId="26" borderId="0" xfId="0" applyFont="1" applyFill="1"/>
    <xf numFmtId="0" fontId="97" fillId="26" borderId="0" xfId="0" applyFont="1" applyFill="1"/>
    <xf numFmtId="0" fontId="5" fillId="0" borderId="16" xfId="0" applyFont="1" applyBorder="1" applyAlignment="1">
      <alignment wrapText="1"/>
    </xf>
    <xf numFmtId="0" fontId="155" fillId="26" borderId="0" xfId="0" applyFont="1" applyFill="1"/>
    <xf numFmtId="0" fontId="155" fillId="0" borderId="0" xfId="0" applyFont="1"/>
    <xf numFmtId="0" fontId="156" fillId="0" borderId="0" xfId="0" applyFont="1" applyAlignment="1">
      <alignment wrapText="1"/>
    </xf>
    <xf numFmtId="0" fontId="156" fillId="0" borderId="0" xfId="0" applyFont="1" applyAlignment="1">
      <alignment horizontal="left"/>
    </xf>
    <xf numFmtId="0" fontId="155" fillId="0" borderId="0" xfId="0" applyFont="1" applyAlignment="1">
      <alignment horizontal="left"/>
    </xf>
    <xf numFmtId="0" fontId="156" fillId="0" borderId="0" xfId="0" applyFont="1" applyAlignment="1">
      <alignment horizontal="left" wrapText="1"/>
    </xf>
    <xf numFmtId="0" fontId="156" fillId="0" borderId="0" xfId="0" applyFont="1" applyAlignment="1">
      <alignment horizontal="center" wrapText="1"/>
    </xf>
    <xf numFmtId="0" fontId="156" fillId="0" borderId="0" xfId="0" applyFont="1" applyAlignment="1">
      <alignment horizontal="center" vertical="center" wrapText="1"/>
    </xf>
    <xf numFmtId="0" fontId="156" fillId="0" borderId="0" xfId="0" applyFont="1" applyAlignment="1">
      <alignment horizontal="left" vertical="top" wrapText="1"/>
    </xf>
    <xf numFmtId="0" fontId="156" fillId="0" borderId="16" xfId="0" applyFont="1" applyBorder="1" applyAlignment="1">
      <alignment horizontal="left" wrapText="1"/>
    </xf>
    <xf numFmtId="0" fontId="156" fillId="0" borderId="16" xfId="0" applyFont="1" applyBorder="1" applyAlignment="1">
      <alignment horizontal="center" wrapText="1"/>
    </xf>
    <xf numFmtId="0" fontId="156" fillId="0" borderId="0" xfId="0" applyFont="1"/>
    <xf numFmtId="0" fontId="157" fillId="0" borderId="0" xfId="0" applyFont="1" applyAlignment="1">
      <alignment horizontal="left"/>
    </xf>
    <xf numFmtId="0" fontId="120" fillId="0" borderId="0" xfId="0" applyFont="1" applyAlignment="1">
      <alignment wrapText="1"/>
    </xf>
    <xf numFmtId="0" fontId="5" fillId="20" borderId="0" xfId="0" applyFont="1" applyFill="1" applyAlignment="1">
      <alignment wrapText="1"/>
    </xf>
    <xf numFmtId="0" fontId="5" fillId="63" borderId="16" xfId="0" applyFont="1" applyFill="1" applyBorder="1" applyAlignment="1">
      <alignment horizontal="center" wrapText="1"/>
    </xf>
    <xf numFmtId="0" fontId="5" fillId="0" borderId="0" xfId="0" applyFont="1" applyAlignment="1">
      <alignment wrapText="1" shrinkToFit="1"/>
    </xf>
    <xf numFmtId="0" fontId="5" fillId="19" borderId="7" xfId="0" applyFont="1" applyFill="1" applyBorder="1" applyAlignment="1">
      <alignment wrapText="1"/>
    </xf>
    <xf numFmtId="0" fontId="5" fillId="0" borderId="0" xfId="0" applyFont="1" applyAlignment="1">
      <alignment vertical="top" wrapText="1"/>
    </xf>
    <xf numFmtId="0" fontId="5" fillId="20" borderId="0" xfId="0" applyFont="1" applyFill="1" applyAlignment="1">
      <alignment horizontal="left" vertical="top" wrapText="1"/>
    </xf>
    <xf numFmtId="0" fontId="5" fillId="19" borderId="0" xfId="0" applyFont="1" applyFill="1" applyAlignment="1">
      <alignment horizontal="left" wrapText="1"/>
    </xf>
    <xf numFmtId="0" fontId="5" fillId="60" borderId="0" xfId="0" applyFont="1" applyFill="1" applyAlignment="1">
      <alignment wrapText="1"/>
    </xf>
    <xf numFmtId="0" fontId="5" fillId="60" borderId="0" xfId="0" applyFont="1" applyFill="1" applyAlignment="1">
      <alignment horizontal="left" wrapText="1"/>
    </xf>
    <xf numFmtId="0" fontId="5" fillId="61" borderId="0" xfId="0" applyFont="1" applyFill="1" applyAlignment="1">
      <alignment wrapText="1"/>
    </xf>
    <xf numFmtId="0" fontId="5" fillId="61" borderId="0" xfId="0" applyFont="1" applyFill="1" applyAlignment="1">
      <alignment horizontal="left" wrapText="1"/>
    </xf>
    <xf numFmtId="0" fontId="5" fillId="61" borderId="0" xfId="0" applyFont="1" applyFill="1" applyAlignment="1">
      <alignment horizontal="left"/>
    </xf>
    <xf numFmtId="0" fontId="5" fillId="26" borderId="16" xfId="0" applyFont="1" applyFill="1" applyBorder="1" applyAlignment="1">
      <alignment horizontal="center" wrapText="1"/>
    </xf>
    <xf numFmtId="0" fontId="84" fillId="24" borderId="0" xfId="0" applyFont="1" applyFill="1"/>
    <xf numFmtId="0" fontId="158" fillId="24" borderId="0" xfId="0" applyFont="1" applyFill="1"/>
    <xf numFmtId="0" fontId="10" fillId="19" borderId="0" xfId="0" applyFont="1" applyFill="1" applyAlignment="1">
      <alignment wrapText="1"/>
    </xf>
    <xf numFmtId="49" fontId="5" fillId="0" borderId="0" xfId="0" applyNumberFormat="1" applyFont="1" applyAlignment="1">
      <alignment horizontal="left" wrapText="1"/>
    </xf>
    <xf numFmtId="49" fontId="86" fillId="51" borderId="0" xfId="0" applyNumberFormat="1" applyFont="1" applyFill="1" applyAlignment="1">
      <alignment horizontal="left"/>
    </xf>
    <xf numFmtId="49" fontId="62" fillId="60" borderId="0" xfId="0" applyNumberFormat="1" applyFont="1" applyFill="1" applyAlignment="1">
      <alignment horizontal="left"/>
    </xf>
    <xf numFmtId="49" fontId="5" fillId="60" borderId="0" xfId="0" applyNumberFormat="1" applyFont="1" applyFill="1" applyAlignment="1">
      <alignment wrapText="1"/>
    </xf>
    <xf numFmtId="49" fontId="10" fillId="60" borderId="0" xfId="0" applyNumberFormat="1" applyFont="1" applyFill="1"/>
    <xf numFmtId="49" fontId="5" fillId="0" borderId="0" xfId="0" applyNumberFormat="1" applyFont="1" applyAlignment="1">
      <alignment wrapText="1"/>
    </xf>
    <xf numFmtId="49" fontId="5" fillId="0" borderId="0" xfId="0" applyNumberFormat="1" applyFont="1" applyAlignment="1">
      <alignment horizontal="center" vertical="center" wrapText="1"/>
    </xf>
    <xf numFmtId="49" fontId="5" fillId="0" borderId="0" xfId="0" applyNumberFormat="1" applyFont="1" applyAlignment="1">
      <alignment horizontal="center" wrapText="1"/>
    </xf>
    <xf numFmtId="49" fontId="92" fillId="0" borderId="0" xfId="0" applyNumberFormat="1" applyFont="1" applyAlignment="1">
      <alignment wrapText="1"/>
    </xf>
    <xf numFmtId="49" fontId="5" fillId="0" borderId="16" xfId="0" applyNumberFormat="1" applyFont="1" applyBorder="1" applyAlignment="1">
      <alignment horizontal="center" wrapText="1"/>
    </xf>
    <xf numFmtId="49" fontId="58" fillId="26" borderId="0" xfId="0" applyNumberFormat="1" applyFont="1" applyFill="1"/>
    <xf numFmtId="49" fontId="5" fillId="0" borderId="0" xfId="0" applyNumberFormat="1" applyFont="1" applyAlignment="1">
      <alignment horizontal="left" vertical="top" wrapText="1"/>
    </xf>
    <xf numFmtId="49" fontId="5" fillId="0" borderId="16" xfId="0" applyNumberFormat="1" applyFont="1" applyBorder="1" applyAlignment="1">
      <alignment horizontal="left" wrapText="1"/>
    </xf>
    <xf numFmtId="49" fontId="86" fillId="0" borderId="0" xfId="0" applyNumberFormat="1" applyFont="1" applyAlignment="1">
      <alignment horizontal="left"/>
    </xf>
    <xf numFmtId="49" fontId="89" fillId="20" borderId="0" xfId="0" applyNumberFormat="1" applyFont="1" applyFill="1" applyAlignment="1">
      <alignment horizontal="left"/>
    </xf>
    <xf numFmtId="49" fontId="89" fillId="0" borderId="0" xfId="0" applyNumberFormat="1" applyFont="1" applyAlignment="1">
      <alignment horizontal="left"/>
    </xf>
    <xf numFmtId="49" fontId="58" fillId="0" borderId="0" xfId="0" applyNumberFormat="1" applyFont="1" applyAlignment="1">
      <alignment horizontal="left"/>
    </xf>
    <xf numFmtId="49" fontId="5" fillId="0" borderId="0" xfId="0" applyNumberFormat="1" applyFont="1" applyAlignment="1">
      <alignment horizontal="left"/>
    </xf>
    <xf numFmtId="49" fontId="122" fillId="0" borderId="0" xfId="0" applyNumberFormat="1" applyFont="1" applyAlignment="1">
      <alignment horizontal="left"/>
    </xf>
    <xf numFmtId="49" fontId="112" fillId="0" borderId="0" xfId="0" applyNumberFormat="1" applyFont="1" applyAlignment="1">
      <alignment wrapText="1"/>
    </xf>
    <xf numFmtId="49" fontId="112" fillId="0" borderId="0" xfId="0" applyNumberFormat="1" applyFont="1" applyAlignment="1">
      <alignment horizontal="left" wrapText="1"/>
    </xf>
    <xf numFmtId="49" fontId="112" fillId="0" borderId="0" xfId="0" applyNumberFormat="1" applyFont="1" applyAlignment="1">
      <alignment horizontal="center" vertical="center" wrapText="1"/>
    </xf>
    <xf numFmtId="49" fontId="112" fillId="0" borderId="0" xfId="0" applyNumberFormat="1" applyFont="1" applyAlignment="1">
      <alignment horizontal="center" wrapText="1"/>
    </xf>
    <xf numFmtId="49" fontId="122" fillId="51" borderId="0" xfId="0" applyNumberFormat="1" applyFont="1" applyFill="1" applyAlignment="1">
      <alignment horizontal="left"/>
    </xf>
    <xf numFmtId="49" fontId="89" fillId="60" borderId="0" xfId="0" applyNumberFormat="1" applyFont="1" applyFill="1" applyAlignment="1">
      <alignment horizontal="left"/>
    </xf>
    <xf numFmtId="49" fontId="5" fillId="60" borderId="0" xfId="0" applyNumberFormat="1" applyFont="1" applyFill="1" applyAlignment="1">
      <alignment horizontal="left" wrapText="1"/>
    </xf>
    <xf numFmtId="49" fontId="124" fillId="0" borderId="0" xfId="0" applyNumberFormat="1" applyFont="1" applyAlignment="1">
      <alignment wrapText="1"/>
    </xf>
    <xf numFmtId="49" fontId="68" fillId="0" borderId="0" xfId="0" applyNumberFormat="1" applyFont="1" applyAlignment="1">
      <alignment horizontal="left"/>
    </xf>
    <xf numFmtId="49" fontId="64" fillId="0" borderId="0" xfId="0" applyNumberFormat="1" applyFont="1" applyAlignment="1">
      <alignment vertical="top" wrapText="1"/>
    </xf>
    <xf numFmtId="49" fontId="5" fillId="60" borderId="0" xfId="0" applyNumberFormat="1" applyFont="1" applyFill="1" applyAlignment="1">
      <alignment horizontal="left"/>
    </xf>
    <xf numFmtId="49" fontId="92" fillId="0" borderId="0" xfId="0" applyNumberFormat="1" applyFont="1" applyAlignment="1">
      <alignment horizontal="left" wrapText="1"/>
    </xf>
    <xf numFmtId="49" fontId="121" fillId="0" borderId="0" xfId="0" applyNumberFormat="1" applyFont="1" applyAlignment="1">
      <alignment horizontal="left"/>
    </xf>
    <xf numFmtId="49" fontId="112" fillId="0" borderId="16" xfId="0" applyNumberFormat="1" applyFont="1" applyBorder="1" applyAlignment="1">
      <alignment horizontal="center" wrapText="1"/>
    </xf>
    <xf numFmtId="49" fontId="121" fillId="26" borderId="0" xfId="0" applyNumberFormat="1" applyFont="1" applyFill="1"/>
    <xf numFmtId="49" fontId="112" fillId="0" borderId="0" xfId="0" applyNumberFormat="1" applyFont="1" applyAlignment="1">
      <alignment horizontal="left" vertical="top" wrapText="1"/>
    </xf>
    <xf numFmtId="49" fontId="112" fillId="0" borderId="16" xfId="0" applyNumberFormat="1" applyFont="1" applyBorder="1" applyAlignment="1">
      <alignment horizontal="left" wrapText="1"/>
    </xf>
    <xf numFmtId="0" fontId="158" fillId="0" borderId="0" xfId="0" applyFont="1"/>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horizontal="center" vertical="center" wrapText="1"/>
    </xf>
    <xf numFmtId="0" fontId="4" fillId="0" borderId="0" xfId="0" applyFont="1" applyAlignment="1">
      <alignment horizontal="center" wrapText="1"/>
    </xf>
    <xf numFmtId="0" fontId="4" fillId="0" borderId="16" xfId="0" applyFont="1" applyBorder="1" applyAlignment="1">
      <alignment horizontal="center" wrapText="1"/>
    </xf>
    <xf numFmtId="0" fontId="4" fillId="0" borderId="0" xfId="0" applyFont="1" applyAlignment="1">
      <alignment horizontal="left" vertical="top" wrapText="1"/>
    </xf>
    <xf numFmtId="0" fontId="4" fillId="0" borderId="16" xfId="0" applyFont="1" applyBorder="1" applyAlignment="1">
      <alignment horizontal="left" wrapText="1"/>
    </xf>
    <xf numFmtId="0" fontId="4" fillId="0" borderId="0" xfId="0" applyFont="1" applyAlignment="1">
      <alignment horizontal="left"/>
    </xf>
    <xf numFmtId="49" fontId="4" fillId="0" borderId="0" xfId="0" applyNumberFormat="1" applyFont="1" applyAlignment="1">
      <alignment wrapText="1"/>
    </xf>
    <xf numFmtId="49" fontId="4" fillId="0" borderId="0" xfId="0" applyNumberFormat="1" applyFont="1" applyAlignment="1">
      <alignment horizontal="center" wrapText="1"/>
    </xf>
    <xf numFmtId="49" fontId="4" fillId="0" borderId="0" xfId="0" applyNumberFormat="1" applyFont="1" applyAlignment="1">
      <alignment horizontal="left" vertical="top" wrapText="1"/>
    </xf>
    <xf numFmtId="49" fontId="4" fillId="0" borderId="16" xfId="0" applyNumberFormat="1" applyFont="1" applyBorder="1" applyAlignment="1">
      <alignment horizontal="left" wrapText="1"/>
    </xf>
    <xf numFmtId="0" fontId="58" fillId="64" borderId="0" xfId="0" applyFont="1" applyFill="1" applyAlignment="1">
      <alignment wrapText="1"/>
    </xf>
    <xf numFmtId="49" fontId="58" fillId="64" borderId="0" xfId="0" applyNumberFormat="1" applyFont="1" applyFill="1" applyAlignment="1">
      <alignment horizontal="left"/>
    </xf>
    <xf numFmtId="49" fontId="89" fillId="64" borderId="0" xfId="0" applyNumberFormat="1" applyFont="1" applyFill="1" applyAlignment="1">
      <alignment horizontal="left"/>
    </xf>
    <xf numFmtId="49" fontId="4" fillId="64" borderId="0" xfId="0" applyNumberFormat="1" applyFont="1" applyFill="1" applyAlignment="1">
      <alignment wrapText="1"/>
    </xf>
    <xf numFmtId="49" fontId="4" fillId="64" borderId="0" xfId="0" applyNumberFormat="1" applyFont="1" applyFill="1" applyAlignment="1">
      <alignment horizontal="left" wrapText="1"/>
    </xf>
    <xf numFmtId="49" fontId="4" fillId="64" borderId="0" xfId="0" applyNumberFormat="1" applyFont="1" applyFill="1" applyAlignment="1">
      <alignment horizontal="center" vertical="center" wrapText="1"/>
    </xf>
    <xf numFmtId="49" fontId="4" fillId="64" borderId="0" xfId="0" applyNumberFormat="1" applyFont="1" applyFill="1" applyAlignment="1">
      <alignment horizontal="center" wrapText="1"/>
    </xf>
    <xf numFmtId="49" fontId="4" fillId="64" borderId="16" xfId="0" applyNumberFormat="1" applyFont="1" applyFill="1" applyBorder="1" applyAlignment="1">
      <alignment horizontal="center" wrapText="1"/>
    </xf>
    <xf numFmtId="0" fontId="40" fillId="34" borderId="0" xfId="0" applyFont="1" applyFill="1" applyAlignment="1">
      <alignment wrapText="1"/>
    </xf>
    <xf numFmtId="0" fontId="3" fillId="0" borderId="0" xfId="0" applyFont="1" applyAlignment="1">
      <alignment wrapText="1"/>
    </xf>
    <xf numFmtId="0" fontId="3" fillId="19" borderId="0" xfId="0" applyFont="1" applyFill="1" applyAlignment="1">
      <alignment horizontal="left" wrapText="1"/>
    </xf>
    <xf numFmtId="0" fontId="58" fillId="19" borderId="0" xfId="0" applyFont="1" applyFill="1" applyAlignment="1">
      <alignment wrapText="1"/>
    </xf>
    <xf numFmtId="0" fontId="3" fillId="0" borderId="0" xfId="0" applyFont="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16" xfId="0" applyFont="1" applyBorder="1" applyAlignment="1">
      <alignment horizontal="center" wrapText="1"/>
    </xf>
    <xf numFmtId="0" fontId="3" fillId="0" borderId="0" xfId="0" applyFont="1" applyAlignment="1">
      <alignment horizontal="left" vertical="top" wrapText="1"/>
    </xf>
    <xf numFmtId="0" fontId="3" fillId="0" borderId="16" xfId="0" applyFont="1" applyBorder="1" applyAlignment="1">
      <alignment horizontal="left" wrapText="1"/>
    </xf>
    <xf numFmtId="0" fontId="3" fillId="0" borderId="0" xfId="0" applyFont="1" applyAlignment="1">
      <alignment vertical="top" wrapText="1"/>
    </xf>
    <xf numFmtId="0" fontId="3" fillId="19" borderId="7" xfId="0" applyFont="1" applyFill="1" applyBorder="1" applyAlignment="1">
      <alignment wrapText="1"/>
    </xf>
    <xf numFmtId="0" fontId="3" fillId="0" borderId="0" xfId="0" quotePrefix="1" applyFont="1" applyAlignment="1">
      <alignment horizontal="left" wrapText="1"/>
    </xf>
    <xf numFmtId="0" fontId="63" fillId="23" borderId="0" xfId="0" applyFont="1" applyFill="1" applyAlignment="1">
      <alignment wrapText="1"/>
    </xf>
    <xf numFmtId="0" fontId="63" fillId="24" borderId="0" xfId="0" applyFont="1" applyFill="1" applyAlignment="1">
      <alignment wrapText="1"/>
    </xf>
    <xf numFmtId="0" fontId="115" fillId="23" borderId="0" xfId="0" applyFont="1" applyFill="1" applyAlignment="1">
      <alignment wrapText="1"/>
    </xf>
    <xf numFmtId="0" fontId="2" fillId="0" borderId="0" xfId="0" applyFont="1" applyAlignment="1">
      <alignment horizontal="left"/>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0" fillId="5" borderId="1" xfId="0" applyFill="1" applyBorder="1"/>
    <xf numFmtId="0" fontId="66" fillId="15" borderId="8" xfId="0" applyFont="1" applyFill="1" applyBorder="1" applyAlignment="1">
      <alignment horizontal="left"/>
    </xf>
    <xf numFmtId="0" fontId="66" fillId="15" borderId="9" xfId="0" applyFont="1" applyFill="1" applyBorder="1" applyAlignment="1">
      <alignment horizontal="left"/>
    </xf>
    <xf numFmtId="49" fontId="70" fillId="0" borderId="0" xfId="0" applyNumberFormat="1" applyFont="1" applyAlignment="1">
      <alignment horizontal="left" vertical="top"/>
    </xf>
    <xf numFmtId="49" fontId="74" fillId="0" borderId="0" xfId="0" applyNumberFormat="1" applyFont="1" applyAlignment="1">
      <alignment horizontal="left" vertical="top"/>
    </xf>
    <xf numFmtId="49" fontId="70" fillId="0" borderId="23" xfId="0" applyNumberFormat="1" applyFont="1" applyBorder="1" applyAlignment="1">
      <alignment horizontal="center" vertical="center" wrapText="1"/>
    </xf>
    <xf numFmtId="49" fontId="71" fillId="0" borderId="17" xfId="0" applyNumberFormat="1" applyFont="1" applyBorder="1" applyAlignment="1">
      <alignment horizontal="center"/>
    </xf>
    <xf numFmtId="49" fontId="71" fillId="0" borderId="18" xfId="0" applyNumberFormat="1" applyFont="1" applyBorder="1" applyAlignment="1">
      <alignment horizontal="center"/>
    </xf>
    <xf numFmtId="49" fontId="71" fillId="0" borderId="19" xfId="0" applyNumberFormat="1" applyFont="1" applyBorder="1" applyAlignment="1">
      <alignment horizontal="center"/>
    </xf>
    <xf numFmtId="49" fontId="80" fillId="0" borderId="20" xfId="0" applyNumberFormat="1" applyFont="1" applyBorder="1" applyAlignment="1">
      <alignment horizontal="center" vertical="center" wrapText="1"/>
    </xf>
    <xf numFmtId="49" fontId="80" fillId="0" borderId="21" xfId="0" applyNumberFormat="1" applyFont="1" applyBorder="1" applyAlignment="1">
      <alignment horizontal="center" vertical="center" wrapText="1"/>
    </xf>
    <xf numFmtId="49" fontId="80" fillId="0" borderId="22" xfId="0" applyNumberFormat="1" applyFont="1" applyBorder="1" applyAlignment="1">
      <alignment horizontal="center" vertical="center" wrapText="1"/>
    </xf>
    <xf numFmtId="49" fontId="70" fillId="0" borderId="23" xfId="0" applyNumberFormat="1" applyFont="1" applyBorder="1" applyAlignment="1">
      <alignment horizontal="center" vertical="center"/>
    </xf>
    <xf numFmtId="49" fontId="70" fillId="0" borderId="23" xfId="0" applyNumberFormat="1" applyFont="1" applyBorder="1" applyAlignment="1">
      <alignment horizontal="left" vertical="center"/>
    </xf>
    <xf numFmtId="0" fontId="45" fillId="13" borderId="0" xfId="0" applyFont="1" applyFill="1" applyAlignment="1">
      <alignment horizontal="center" vertical="center" wrapText="1"/>
    </xf>
    <xf numFmtId="0" fontId="38" fillId="0" borderId="0" xfId="0" applyFont="1" applyAlignment="1">
      <alignment horizontal="center" wrapText="1"/>
    </xf>
    <xf numFmtId="0" fontId="63" fillId="21" borderId="0" xfId="0" applyFont="1" applyFill="1" applyAlignment="1">
      <alignment horizontal="center" wrapText="1"/>
    </xf>
    <xf numFmtId="0" fontId="63" fillId="23" borderId="0" xfId="0" applyFont="1" applyFill="1" applyAlignment="1">
      <alignment horizontal="center" wrapText="1"/>
    </xf>
    <xf numFmtId="0" fontId="63" fillId="23" borderId="0" xfId="0" applyFont="1" applyFill="1" applyAlignment="1">
      <alignment horizontal="center" vertical="center" wrapText="1"/>
    </xf>
    <xf numFmtId="0" fontId="45" fillId="29" borderId="0" xfId="0" applyFont="1" applyFill="1" applyAlignment="1">
      <alignment wrapText="1"/>
    </xf>
    <xf numFmtId="0" fontId="40" fillId="33" borderId="0" xfId="0" applyFont="1" applyFill="1" applyAlignment="1">
      <alignment wrapText="1"/>
    </xf>
    <xf numFmtId="0" fontId="40" fillId="35" borderId="0" xfId="0" applyFont="1" applyFill="1" applyAlignment="1">
      <alignment wrapText="1"/>
    </xf>
    <xf numFmtId="0" fontId="45" fillId="0" borderId="0" xfId="0" applyFont="1" applyAlignment="1">
      <alignment horizontal="center" vertical="center" wrapText="1"/>
    </xf>
    <xf numFmtId="0" fontId="39" fillId="28" borderId="0" xfId="0" applyFont="1" applyFill="1" applyAlignment="1">
      <alignment horizontal="center" vertical="center"/>
    </xf>
    <xf numFmtId="0" fontId="38" fillId="0" borderId="0" xfId="0" applyFont="1" applyAlignment="1">
      <alignment wrapText="1"/>
    </xf>
    <xf numFmtId="0" fontId="65" fillId="53" borderId="40" xfId="0" applyFont="1" applyFill="1" applyBorder="1" applyAlignment="1">
      <alignment horizontal="center" vertical="center"/>
    </xf>
    <xf numFmtId="0" fontId="65" fillId="53" borderId="29" xfId="0" applyFont="1" applyFill="1" applyBorder="1" applyAlignment="1">
      <alignment horizontal="center" vertical="center"/>
    </xf>
    <xf numFmtId="0" fontId="39" fillId="32" borderId="41" xfId="0" applyFont="1" applyFill="1" applyBorder="1" applyAlignment="1">
      <alignment horizontal="center" vertical="center"/>
    </xf>
    <xf numFmtId="0" fontId="39" fillId="32" borderId="34" xfId="0" applyFont="1" applyFill="1" applyBorder="1" applyAlignment="1">
      <alignment horizontal="center" vertical="center"/>
    </xf>
    <xf numFmtId="0" fontId="39" fillId="31" borderId="0" xfId="0" applyFont="1" applyFill="1" applyAlignment="1">
      <alignment horizontal="center" vertical="center"/>
    </xf>
    <xf numFmtId="0" fontId="39" fillId="30" borderId="0" xfId="0" applyFont="1" applyFill="1" applyAlignment="1">
      <alignment horizontal="center" vertical="center"/>
    </xf>
    <xf numFmtId="0" fontId="10" fillId="0" borderId="0" xfId="0" applyFont="1" applyAlignment="1">
      <alignment horizontal="left" vertical="top" wrapText="1"/>
    </xf>
    <xf numFmtId="0" fontId="10" fillId="0" borderId="0" xfId="0" applyFont="1" applyAlignment="1">
      <alignment horizontal="left" vertical="center" wrapText="1"/>
    </xf>
    <xf numFmtId="0" fontId="1" fillId="0" borderId="0" xfId="0" applyFont="1" applyAlignment="1">
      <alignment horizontal="left" wrapText="1"/>
    </xf>
  </cellXfs>
  <cellStyles count="15">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Lien hypertexte" xfId="14" builtinId="8"/>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856">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alignment horizontal="center" textRotation="0" indent="0" justifyLastLine="0" shrinkToFit="0" readingOrder="0"/>
    </dxf>
    <dxf>
      <alignment horizontal="center" textRotation="0" indent="0" justifyLastLine="0" shrinkToFit="0" readingOrder="0"/>
    </dxf>
    <dxf>
      <font>
        <name val="Calibri"/>
        <scheme val="minor"/>
      </font>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rgb="FFF58383"/>
        </patternFill>
      </fill>
    </dxf>
    <dxf>
      <fill>
        <patternFill>
          <bgColor rgb="FFFFE1FF"/>
        </patternFill>
      </fill>
    </dxf>
    <dxf>
      <fill>
        <patternFill>
          <bgColor theme="9" tint="0.79998168889431442"/>
        </patternFill>
      </fill>
    </dxf>
    <dxf>
      <fill>
        <patternFill>
          <bgColor rgb="FFF58383"/>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7" tint="0.79998168889431442"/>
        </patternFill>
      </fill>
    </dxf>
    <dxf>
      <fill>
        <patternFill>
          <bgColor rgb="FFFFE1FF"/>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757171"/>
      <color rgb="FFEC7524"/>
      <color rgb="FFCC00CC"/>
      <color rgb="FFFF9933"/>
      <color rgb="FF69008E"/>
      <color rgb="FFFFCCFF"/>
      <color rgb="FFFFE1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Elodie FALCIONI (EXT)" id="{10AA01AE-01D7-784E-A4FB-B6D4F18B5232}"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1835" dataDxfId="1834">
  <autoFilter ref="A8:AD20" xr:uid="{EF99425A-BF7C-494D-843B-A436A28F1D50}"/>
  <tableColumns count="30">
    <tableColumn id="26" xr3:uid="{F6E0102F-6A62-4676-8743-12C78DFD5AAE}" name="ID" totalsRowFunction="count" dataDxfId="1833" totalsRowDxfId="1832"/>
    <tableColumn id="34" xr3:uid="{C5C184C6-181D-45CF-A63D-7AEDCADFA43B}" name="Donnée (Niveau 1)" dataDxfId="1831" totalsRowDxfId="1830"/>
    <tableColumn id="1" xr3:uid="{48BA0677-2A51-4516-901D-245A32C9EF11}" name="Donnée (Niveau 2)" totalsRowFunction="count" dataDxfId="1829" totalsRowDxfId="1828"/>
    <tableColumn id="2" xr3:uid="{22B866D0-1B5E-4581-93E5-86229BC69C02}" name="Donnée (Niveau 3)" totalsRowFunction="count" dataDxfId="1827" totalsRowDxfId="1826"/>
    <tableColumn id="3" xr3:uid="{888BC815-3A76-4EEA-B68B-9A9CFFA21AC6}" name="Donnée (Niveau 4)" totalsRowFunction="count" dataDxfId="1825" totalsRowDxfId="1824"/>
    <tableColumn id="4" xr3:uid="{A1D31B95-E51B-44D1-A7C2-8E42F9D33E13}" name="Donnée (Niveau 5)" totalsRowFunction="count" dataDxfId="1823" totalsRowDxfId="1822"/>
    <tableColumn id="5" xr3:uid="{EA6D57DD-52EF-4D70-B539-0505DC6517EC}" name="Donnée (Niveau 6)" totalsRowFunction="count" dataDxfId="1821" totalsRowDxfId="1820"/>
    <tableColumn id="6" xr3:uid="{3FE552E2-2FEF-4E1A-B5DE-F4C21C13A296}" name="Description" totalsRowFunction="count" dataDxfId="1819" totalsRowDxfId="1818"/>
    <tableColumn id="14" xr3:uid="{BE5AEDCA-1CC5-4938-964E-9C68E6A07DC7}" name="Exemples" totalsRowFunction="count" dataDxfId="1817" totalsRowDxfId="1816"/>
    <tableColumn id="13" xr3:uid="{ED5FE47C-9997-4511-9856-83AF83A90171}" name="Fichier XSD" totalsRowFunction="count" dataDxfId="1815" totalsRowDxfId="1814"/>
    <tableColumn id="32" xr3:uid="{5C8C2495-D269-4E47-88B5-00584EF6B484}" name="Balise EMSI" dataDxfId="1813" totalsRowDxfId="1812"/>
    <tableColumn id="7" xr3:uid="{5C4F4C1E-17D3-4C4E-9650-A41F0BBB82B0}" name="Balise NexSIS" totalsRowFunction="count" dataDxfId="1811" totalsRowDxfId="1810"/>
    <tableColumn id="21" xr3:uid="{D8470834-C8F8-4F70-9302-7A4C602B72E6}" name="Nouvelle balise" totalsRowFunction="count" dataDxfId="1809" totalsRowDxfId="1808"/>
    <tableColumn id="8" xr3:uid="{D4E41060-B282-4AE5-8C87-3716CFB70625}" name="Nantes - balise" totalsRowFunction="count" dataDxfId="1807" totalsRowDxfId="1806"/>
    <tableColumn id="15" xr3:uid="{BB0E9A10-45CE-44DE-802C-D3A58D081A2F}" name="Nantes - description" totalsRowFunction="count" dataDxfId="1805" totalsRowDxfId="1804"/>
    <tableColumn id="18" xr3:uid="{8FE17C2A-E229-4B7F-B204-F356EEB4AE45}" name="GT399" totalsRowFunction="count" dataDxfId="1803" totalsRowDxfId="1802"/>
    <tableColumn id="9" xr3:uid="{4C9E2B92-3A78-454F-B9FF-8B97A2EAE3ED}" name="GT399 description" totalsRowFunction="count" dataDxfId="1801" totalsRowDxfId="1800"/>
    <tableColumn id="10" xr3:uid="{CCF33634-CF25-46BD-8DE3-12B24D24D5F8}" name="Priorisation" totalsRowFunction="count" dataDxfId="1799" totalsRowDxfId="1798"/>
    <tableColumn id="11" xr3:uid="{85B3828E-8687-4AA3-88CE-D610FCBDCFDE}" name="Cardinalité" dataDxfId="1797" totalsRowDxfId="1796"/>
    <tableColumn id="27" xr3:uid="{CF8F2F83-80E1-4F34-8CA4-101022C31379}" name="Objet" totalsRowFunction="count" dataDxfId="1795" totalsRowDxfId="1794"/>
    <tableColumn id="12" xr3:uid="{9491E93A-73C3-4214-8227-2A99EABCA3C1}" name="Format (ou type)" totalsRowFunction="count" dataDxfId="1793" totalsRowDxfId="1792"/>
    <tableColumn id="31" xr3:uid="{97801A1D-505C-4F61-ACF5-6EE844F5E23A}" name="Détails de format" dataDxfId="1791" totalsRowDxfId="1790"/>
    <tableColumn id="36" xr3:uid="{62248724-3AC6-48C6-B62F-D3C050A5A08F}" name="15-18" dataDxfId="1789" totalsRowDxfId="1788"/>
    <tableColumn id="35" xr3:uid="{2A6F94A4-B86B-4A8C-8862-6337DBF190B2}" name="15-15" dataDxfId="1787" totalsRowDxfId="1786"/>
    <tableColumn id="37" xr3:uid="{01782744-2942-D140-994A-3D343B0E0342}" name="CUT" dataDxfId="1785" totalsRowDxfId="1784"/>
    <tableColumn id="19" xr3:uid="{B112D546-E236-4723-880E-6D39731D2093}" name="Commentaire Hub Santé" totalsRowFunction="count" dataDxfId="1783" totalsRowDxfId="1782"/>
    <tableColumn id="16" xr3:uid="{E6CB6828-8B65-4F12-95B0-B9304BA135D8}" name="Commentaire Philippe Dreyfus" totalsRowFunction="count" dataDxfId="1781" totalsRowDxfId="1780"/>
    <tableColumn id="33" xr3:uid="{9AEA7D2D-C467-4E16-9414-C9877028EA11}" name="Commentaire FBE" dataDxfId="1779" totalsRowDxfId="1778"/>
    <tableColumn id="17" xr3:uid="{ACE48C56-220E-4341-8BEC-04B45FF1F728}" name="Commentaire Yann Penverne" totalsRowFunction="count" dataDxfId="1777" totalsRowDxfId="1776"/>
    <tableColumn id="20" xr3:uid="{A0AF1313-269D-4060-8F91-417D2F081DEB}" name="NexSIS" totalsRowFunction="custom" dataDxfId="1775" totalsRowDxfId="1774">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AF65" totalsRowCount="1" headerRowDxfId="427" dataDxfId="426" totalsRowDxfId="425">
  <autoFilter ref="A8:AF64" xr:uid="{35EA0160-5939-4AFE-BAAE-8243018C4F97}"/>
  <tableColumns count="32">
    <tableColumn id="26" xr3:uid="{12D8CEB3-E681-43DF-BEC0-6C291A8D8329}" name="ID" totalsRowFunction="count" dataDxfId="424" totalsRowDxfId="423"/>
    <tableColumn id="34" xr3:uid="{9EE009C3-D24E-469A-A94A-F3A00D5DDB8B}" name="Donnée (Niveau 1)" dataDxfId="422" totalsRowDxfId="421"/>
    <tableColumn id="1" xr3:uid="{B7EC5B63-675D-4F31-B76D-3E5B9E37F078}" name="Donnée (Niveau 2)" totalsRowFunction="count" dataDxfId="420" totalsRowDxfId="419"/>
    <tableColumn id="2" xr3:uid="{5B57BF21-F87F-460E-ACB7-9BCE55E6C176}" name="Donnée (Niveau 3)" totalsRowFunction="count" dataDxfId="418" totalsRowDxfId="417"/>
    <tableColumn id="3" xr3:uid="{8520709C-ABA8-4102-B671-D70267716998}" name="Donnée (Niveau 4)" totalsRowFunction="count" dataDxfId="416" totalsRowDxfId="415"/>
    <tableColumn id="4" xr3:uid="{94B80BD7-3514-45E7-8B9D-A5DC5D37E118}" name="Donnée (Niveau 5)" totalsRowFunction="count" dataDxfId="414" totalsRowDxfId="413"/>
    <tableColumn id="5" xr3:uid="{F774375F-2786-4A73-8C43-B5EB8D703C0F}" name="Donnée (Niveau 6)" totalsRowFunction="count" dataDxfId="412" totalsRowDxfId="411"/>
    <tableColumn id="23" xr3:uid="{338CDAC6-AC89-46E4-AF8E-187CA0315B6E}" name="Colonne2" dataDxfId="410" totalsRowDxfId="409"/>
    <tableColumn id="13" xr3:uid="{5043CFEE-E3A2-40E9-89E2-B8C2A1E632D2}" name="Colonne1" dataDxfId="408" totalsRowDxfId="407"/>
    <tableColumn id="6" xr3:uid="{C95E5171-3260-402B-86BF-C67DF056D407}" name="Description" totalsRowFunction="count" dataDxfId="406" totalsRowDxfId="405"/>
    <tableColumn id="14" xr3:uid="{067837E0-4917-486E-9C27-F725A2C59FCC}" name="Exemples" totalsRowFunction="count" dataDxfId="404" totalsRowDxfId="403"/>
    <tableColumn id="7" xr3:uid="{47E5D71A-AC82-4F55-8E27-563593D3B2F2}" name="Balise NexSIS" totalsRowFunction="count" dataDxfId="402" totalsRowDxfId="401"/>
    <tableColumn id="21" xr3:uid="{48DFB3FE-D2A7-4950-A487-0263E812B718}" name="Nouvelle balise" totalsRowFunction="count" dataDxfId="400" totalsRowDxfId="399"/>
    <tableColumn id="8" xr3:uid="{23093890-1C60-4E05-B2F8-363E069FD671}" name="Nantes - balise" totalsRowFunction="count" dataDxfId="398" totalsRowDxfId="397"/>
    <tableColumn id="15" xr3:uid="{8DC442E9-7D57-46C9-A861-01C2491324E2}" name="Nantes - description" totalsRowFunction="count" dataDxfId="396" totalsRowDxfId="395"/>
    <tableColumn id="18" xr3:uid="{57F2ED8D-3700-461C-82A4-8C8C841C0155}" name="GT399" totalsRowFunction="count" dataDxfId="394" totalsRowDxfId="393"/>
    <tableColumn id="9" xr3:uid="{45CB5E5C-D372-4A26-AF5B-2DA6114D7886}" name="GT399 description" totalsRowFunction="count" dataDxfId="392" totalsRowDxfId="391"/>
    <tableColumn id="10" xr3:uid="{00C96956-9EC8-4735-8013-245FC44ED807}" name="Priorisation" totalsRowFunction="count" dataDxfId="390" totalsRowDxfId="389"/>
    <tableColumn id="11" xr3:uid="{EF3C732C-A2D6-463A-85FD-D8AA0C9B50F6}" name="Cardinalité" dataDxfId="388" totalsRowDxfId="387"/>
    <tableColumn id="27" xr3:uid="{1B7324D2-64BE-4C9B-A6EE-8283085CB7EC}" name="Objet" totalsRowFunction="count" dataDxfId="386" totalsRowDxfId="385"/>
    <tableColumn id="12" xr3:uid="{346BC643-C741-4ED3-B94E-9C4FB69ED0A9}" name="Format (ou type)" totalsRowFunction="count" dataDxfId="384" totalsRowDxfId="383"/>
    <tableColumn id="37" xr3:uid="{BE51494B-A6D7-451B-9A84-3ECED33214DA}" name="Nomenclature/ énumération" dataDxfId="382" totalsRowDxfId="381"/>
    <tableColumn id="31" xr3:uid="{6BD336ED-7D35-4C80-AE8F-19525394188D}" name="Détails de format" dataDxfId="380" totalsRowDxfId="379"/>
    <tableColumn id="36" xr3:uid="{E5F8BD0D-97FB-4023-B64F-B4F8A90F6ADA}" name="15-SMUR" dataDxfId="378" totalsRowDxfId="377"/>
    <tableColumn id="35" xr3:uid="{45734523-870D-44C5-B243-A03765CD1CDD}" name="15-XX" dataDxfId="376" totalsRowDxfId="375"/>
    <tableColumn id="39" xr3:uid="{F8B31559-1068-4F01-BFEB-663EA0804A93}" name="CUT" dataDxfId="374" totalsRowDxfId="373"/>
    <tableColumn id="19" xr3:uid="{B4C5005C-0D3A-4440-A4BD-B2D49E8D7DD6}" name="Commentaire Hub Santé" totalsRowFunction="count" dataDxfId="372" totalsRowDxfId="371"/>
    <tableColumn id="16" xr3:uid="{8AC22362-8626-468F-AB79-BB4DB6E31CD3}" name="Commentaire Philippe Dreyfus" totalsRowFunction="count" dataDxfId="370" totalsRowDxfId="369"/>
    <tableColumn id="33" xr3:uid="{D9D4C6BB-6562-473E-8C63-13A3EDF78820}" name="Commentaire FBE" dataDxfId="368" totalsRowDxfId="367"/>
    <tableColumn id="17" xr3:uid="{11394A71-F820-4495-9AD4-2BF85E5B2920}" name="Commentaire Yann Penverne" totalsRowFunction="count" dataDxfId="366" totalsRowDxfId="365"/>
    <tableColumn id="20" xr3:uid="{036A98E5-4C02-415A-989D-802A776C391D}" name="NexSIS" totalsRowFunction="custom" dataDxfId="364" totalsRowDxfId="363">
      <totalsRowFormula>SUBTOTAL(103,createCase16[NexSIS])-COUNTIFS(createCase16[NexSIS],"=X")</totalsRowFormula>
    </tableColumn>
    <tableColumn id="22" xr3:uid="{307F1363-FE7C-48AC-ADD9-C3A2A561630D}" name="Métier" totalsRowFunction="custom" dataDxfId="362" totalsRowDxfId="361">
      <totalsRowFormula>SUBTOTAL(103,createCase16[Métier])-COUNTIFS(createCase16[Métier],"=X")</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AD15" totalsRowCount="1" headerRowDxfId="349" dataDxfId="348" totalsRowDxfId="347">
  <autoFilter ref="A8:AD14" xr:uid="{F3595FED-2D23-43E0-82AA-4A679D9E25EC}"/>
  <tableColumns count="30">
    <tableColumn id="26" xr3:uid="{1FA9DD08-C96F-4AE2-8207-3C37C2625ABE}" name="ID" totalsRowFunction="count" dataDxfId="346" totalsRowDxfId="345"/>
    <tableColumn id="34" xr3:uid="{795EBD09-E696-417D-A399-6AF56CB38FFE}" name="Donnée (Niveau 1)" dataDxfId="344" totalsRowDxfId="343"/>
    <tableColumn id="1" xr3:uid="{5D55C6A7-D3C8-4B4F-962B-D684CC469CD7}" name="Donnée (Niveau 2)" totalsRowFunction="count" dataDxfId="342" totalsRowDxfId="341"/>
    <tableColumn id="2" xr3:uid="{6064AA15-6125-4E52-A059-BCD0F891AC4D}" name="Donnée (Niveau 3)" totalsRowFunction="count" dataDxfId="340" totalsRowDxfId="339"/>
    <tableColumn id="3" xr3:uid="{C4094AB5-565D-4563-9A98-4BAC24C8C03F}" name="Donnée (Niveau 4)" totalsRowFunction="count" dataDxfId="338" totalsRowDxfId="337"/>
    <tableColumn id="4" xr3:uid="{FDFD5534-55B3-462C-A013-1AF4EEFC7A0E}" name="Donnée (Niveau 5)" totalsRowFunction="count" dataDxfId="336" totalsRowDxfId="335"/>
    <tableColumn id="5" xr3:uid="{4C7DDDEF-FB5D-40CE-A24D-1069A6180C9C}" name="Donnée (Niveau 6)" totalsRowFunction="count" dataDxfId="334" totalsRowDxfId="333"/>
    <tableColumn id="6" xr3:uid="{BDC8426F-031A-4500-84AD-15FC39F3F6CE}" name="Description" totalsRowFunction="count" dataDxfId="332" totalsRowDxfId="331"/>
    <tableColumn id="14" xr3:uid="{1BD518AA-08F2-4CB0-853F-ED4258E389B3}" name="Exemples" totalsRowFunction="count" dataDxfId="330" totalsRowDxfId="329"/>
    <tableColumn id="7" xr3:uid="{34980826-8C15-43DE-AC2D-D8B45029291F}" name="Balise NexSIS" totalsRowFunction="count" dataDxfId="328" totalsRowDxfId="327"/>
    <tableColumn id="21" xr3:uid="{773DD795-C5AD-4B15-84FB-8DE01F1F60C4}" name="Nouvelle balise" totalsRowFunction="count" dataDxfId="326" totalsRowDxfId="325"/>
    <tableColumn id="8" xr3:uid="{7EEA980C-947D-475D-9893-55AE50A34AE8}" name="Nantes - balise" totalsRowFunction="count" dataDxfId="324" totalsRowDxfId="323"/>
    <tableColumn id="15" xr3:uid="{151091E7-82F7-490D-BF28-3C8435A09341}" name="Nantes - description" totalsRowFunction="count" dataDxfId="322" totalsRowDxfId="321"/>
    <tableColumn id="18" xr3:uid="{BDE79025-50B5-46A2-A136-ACCCF4ADD26F}" name="GT399" totalsRowFunction="count" dataDxfId="320" totalsRowDxfId="319"/>
    <tableColumn id="9" xr3:uid="{C314D2A3-1B1F-46CA-87E0-4413BDD02CA7}" name="GT399 description" totalsRowFunction="count" dataDxfId="318" totalsRowDxfId="317"/>
    <tableColumn id="10" xr3:uid="{0C3B1690-50DF-4DF0-8303-94ED4A082730}" name="Priorisation" totalsRowFunction="count" dataDxfId="316" totalsRowDxfId="315"/>
    <tableColumn id="11" xr3:uid="{CF28EC3A-4C91-435F-AC27-1982AA8ADD1D}" name="Cardinalité" dataDxfId="314" totalsRowDxfId="313"/>
    <tableColumn id="27" xr3:uid="{A2A017CB-AD8E-44B3-8642-D11115614E70}" name="Objet" totalsRowFunction="count" dataDxfId="312" totalsRowDxfId="311"/>
    <tableColumn id="12" xr3:uid="{66EFD264-E68A-4187-98CB-316B01B4417B}" name="Format (ou type)" totalsRowFunction="count" dataDxfId="310" totalsRowDxfId="309"/>
    <tableColumn id="37" xr3:uid="{EE16CD08-1554-426C-9970-EB455A6E91CE}" name="Nomenclature/ énumération" dataDxfId="308" totalsRowDxfId="307"/>
    <tableColumn id="31" xr3:uid="{2C55E942-315D-4196-88AC-22B3956DA9E4}" name="Détails de format" dataDxfId="306" totalsRowDxfId="305"/>
    <tableColumn id="36" xr3:uid="{4457D8CC-EA04-48F7-94E1-5038866A5C40}" name="15-18" dataDxfId="304" totalsRowDxfId="303"/>
    <tableColumn id="35" xr3:uid="{DE6F3E1D-4E7D-4614-B0F4-FBCC8B26E17F}" name="15-15" dataDxfId="302" totalsRowDxfId="301"/>
    <tableColumn id="39" xr3:uid="{ED0D760B-A01B-4FCE-968A-DF8FB318720F}" name="CUT" dataDxfId="300" totalsRowDxfId="299"/>
    <tableColumn id="19" xr3:uid="{13987337-997C-423C-8C6C-CD2A636B3191}" name="Commentaire Hub Santé" totalsRowFunction="count" dataDxfId="298" totalsRowDxfId="297"/>
    <tableColumn id="16" xr3:uid="{2E666105-7978-4AB4-BD35-48C364391E38}" name="Commentaire Philippe Dreyfus" totalsRowFunction="count" dataDxfId="296" totalsRowDxfId="295"/>
    <tableColumn id="33" xr3:uid="{59ED82FB-9F32-4B0C-92AF-B11030B269C4}" name="Commentaire FBE" dataDxfId="294" totalsRowDxfId="293"/>
    <tableColumn id="17" xr3:uid="{FF32A60F-0401-427C-85E9-AF6C668D67E5}" name="Commentaire Yann Penverne" totalsRowFunction="count" dataDxfId="292" totalsRowDxfId="291"/>
    <tableColumn id="20" xr3:uid="{4C3C4242-9715-4D3F-8678-E2DF7E298B48}" name="NexSIS" totalsRowFunction="custom" dataDxfId="290" totalsRowDxfId="289">
      <totalsRowFormula>SUBTOTAL(103,createCase291217[NexSIS])-COUNTIFS(createCase291217[NexSIS],"=X")</totalsRowFormula>
    </tableColumn>
    <tableColumn id="22" xr3:uid="{89A21B40-369F-479D-8124-13571B8DC460}" name="Métier" totalsRowFunction="custom" dataDxfId="288" totalsRowDxfId="287">
      <totalsRowFormula>SUBTOTAL(103,createCase291217[Métier])-COUNTIFS(createCase291217[Métier],"=X")</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D19" totalsRowCount="1" headerRowDxfId="262" dataDxfId="261" totalsRowDxfId="260">
  <autoFilter ref="A8:AD18" xr:uid="{3932ADEA-DC88-4A0F-8DAC-A587FD7E4148}"/>
  <tableColumns count="30">
    <tableColumn id="26" xr3:uid="{3299B1BE-9E8D-4297-8D33-E8B4E6314998}" name="ID" totalsRowFunction="count" dataDxfId="259" totalsRowDxfId="258"/>
    <tableColumn id="34" xr3:uid="{943EB1AA-FC87-47D8-9208-417FE7A33ACF}" name="Donnée (Niveau 1)" dataDxfId="257" totalsRowDxfId="256"/>
    <tableColumn id="1" xr3:uid="{9AB0B7F6-617C-49F5-8E21-C93976E9DCDA}" name="Donnée (Niveau 2)" totalsRowFunction="count" dataDxfId="255" totalsRowDxfId="254"/>
    <tableColumn id="2" xr3:uid="{A48A81EF-3C17-489D-BCD8-5B425E174DCF}" name="Donnée (Niveau 3)" totalsRowFunction="count" dataDxfId="253" totalsRowDxfId="252"/>
    <tableColumn id="3" xr3:uid="{AEF972B8-4C2B-48DE-9661-295612B8D9D4}" name="Donnée (Niveau 4)" totalsRowFunction="count" dataDxfId="251" totalsRowDxfId="250"/>
    <tableColumn id="4" xr3:uid="{3788DC23-8937-4CF6-BF8E-302839D5FFDD}" name="Donnée (Niveau 5)" totalsRowFunction="count" dataDxfId="249" totalsRowDxfId="248"/>
    <tableColumn id="5" xr3:uid="{52D81477-ABE6-4966-B95A-C02F570AE73A}" name="Donnée (Niveau 6)" totalsRowFunction="count" dataDxfId="247" totalsRowDxfId="246"/>
    <tableColumn id="6" xr3:uid="{8CBF540E-BEA4-4436-8262-A7C687CE3E2D}" name="Description" totalsRowFunction="count" dataDxfId="245" totalsRowDxfId="244"/>
    <tableColumn id="14" xr3:uid="{64D795F4-1995-494F-810E-260DF2C5085A}" name="Exemples" totalsRowFunction="count" dataDxfId="243" totalsRowDxfId="242"/>
    <tableColumn id="7" xr3:uid="{D6B3F761-7C6E-417A-9BDD-696632C9F5FF}" name="Balise NexSIS" totalsRowFunction="count" dataDxfId="241" totalsRowDxfId="240"/>
    <tableColumn id="21" xr3:uid="{9DFC9AE6-5781-4CF5-9259-45DCFD672294}" name="Nouvelle balise" totalsRowFunction="count" dataDxfId="239" totalsRowDxfId="238"/>
    <tableColumn id="8" xr3:uid="{01EECBEF-753B-4F59-99A4-4790E47E73EE}" name="Nantes - balise" totalsRowFunction="count" dataDxfId="237" totalsRowDxfId="236"/>
    <tableColumn id="15" xr3:uid="{0A856445-1DFB-47A0-8F98-1BB704EBE9BB}" name="Nantes - description" totalsRowFunction="count" dataDxfId="235" totalsRowDxfId="234"/>
    <tableColumn id="18" xr3:uid="{C7281F1D-46DF-4F03-B261-CAA071B10445}" name="GT399" totalsRowFunction="count" dataDxfId="233" totalsRowDxfId="232"/>
    <tableColumn id="9" xr3:uid="{8F75A270-1699-45B9-AEE8-46DC9C103E9A}" name="GT399 description" totalsRowFunction="count" dataDxfId="231" totalsRowDxfId="230"/>
    <tableColumn id="10" xr3:uid="{C4EF9828-8BEA-45BA-9358-37C041F8BE93}" name="Priorisation" totalsRowFunction="count" dataDxfId="229" totalsRowDxfId="228"/>
    <tableColumn id="11" xr3:uid="{C8A1EB70-9D5E-41CB-888E-94DB682F73EE}" name="Cardinalité" dataDxfId="227" totalsRowDxfId="226"/>
    <tableColumn id="27" xr3:uid="{CA1C1D4B-6AA0-4DEB-8946-D2D88578F7E3}" name="Objet" totalsRowFunction="count" dataDxfId="225" totalsRowDxfId="224"/>
    <tableColumn id="12" xr3:uid="{DE654E76-8FBA-4354-9CF8-6E6A462E6409}" name="Format (ou type)" totalsRowFunction="count" dataDxfId="223" totalsRowDxfId="222"/>
    <tableColumn id="37" xr3:uid="{C96CA3D7-42EC-4F04-A68A-7444B82822C8}" name="Nomenclature/ énumération" dataDxfId="221" totalsRowDxfId="220"/>
    <tableColumn id="31" xr3:uid="{D0A863DE-C408-4007-8ED1-035E6F8C1949}" name="Détails de format" dataDxfId="219" totalsRowDxfId="218"/>
    <tableColumn id="36" xr3:uid="{4FBDDCB5-6890-404E-AF57-163DA21D490D}" name="15-18" dataDxfId="217" totalsRowDxfId="216"/>
    <tableColumn id="35" xr3:uid="{31AA9CC8-C176-428C-BF54-6A11D6D81BB2}" name="15-15" dataDxfId="215" totalsRowDxfId="214"/>
    <tableColumn id="39" xr3:uid="{8866D17E-800C-4E85-BE99-1E028619BE67}" name="CUT" dataDxfId="213" totalsRowDxfId="212"/>
    <tableColumn id="19" xr3:uid="{89AE86E7-D981-4E55-B036-1545CE5A0149}" name="Commentaire Hub Santé" totalsRowFunction="count" dataDxfId="211" totalsRowDxfId="210"/>
    <tableColumn id="16" xr3:uid="{ACDAA173-B451-4B80-A3E5-E5A1D928393F}" name="Commentaire Philippe Dreyfus" totalsRowFunction="count" dataDxfId="209" totalsRowDxfId="208"/>
    <tableColumn id="33" xr3:uid="{9B4758BD-1388-4079-8A50-1F8C39538EDF}" name="Commentaire FBE" dataDxfId="207" totalsRowDxfId="206"/>
    <tableColumn id="17" xr3:uid="{BF13D23C-C019-4EEE-96CD-540F8E568157}" name="Commentaire Yann Penverne" totalsRowFunction="count" dataDxfId="205" totalsRowDxfId="204"/>
    <tableColumn id="20" xr3:uid="{CA95465C-6ED7-43BD-96F7-66CA68FFA6DF}" name="NexSIS" totalsRowFunction="custom" dataDxfId="203" totalsRowDxfId="202">
      <totalsRowFormula>SUBTOTAL(103,createCase29[NexSIS])-COUNTIFS(createCase29[NexSIS],"=X")</totalsRowFormula>
    </tableColumn>
    <tableColumn id="22" xr3:uid="{A91321AB-D5A1-492C-80AF-94204824579D}" name="Métier" totalsRowFunction="custom" dataDxfId="201" totalsRowDxfId="200">
      <totalsRowFormula>SUBTOTAL(103,createCase29[Métier])-COUNTIFS(createCase29[Métier],"=X")</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199">
  <autoFilter ref="A8:W23" xr:uid="{EEF68223-2157-47F6-9133-264D671F0942}"/>
  <tableColumns count="23">
    <tableColumn id="1" xr3:uid="{0308532B-296F-49D7-B76E-23948A2F1FAE}" name="ID" totalsRowFunction="count" dataDxfId="198" totalsRowDxfId="22"/>
    <tableColumn id="2" xr3:uid="{4E5CA3CD-74C0-41D7-A064-93B29A44F6EA}" name="Donnée (Niveau 1)" totalsRowFunction="custom" dataDxfId="197" totalsRowDxfId="21">
      <totalsRowFormula>SUBTOTAL(103,Tableau3[Donnée (Niveau 1)])</totalsRowFormula>
    </tableColumn>
    <tableColumn id="3" xr3:uid="{099F4D11-28E8-482A-B443-FA0B35F69A5A}" name="Donnée (Niveau 2)" totalsRowFunction="custom" dataDxfId="196" totalsRowDxfId="20">
      <totalsRowFormula>SUBTOTAL(103,Tableau3[Donnée (Niveau 2)])</totalsRowFormula>
    </tableColumn>
    <tableColumn id="4" xr3:uid="{894FFF8F-C344-436B-8995-6D977D9EE845}" name="Donnée (Niveau 3)" totalsRowFunction="custom" dataDxfId="195" totalsRowDxfId="19">
      <totalsRowFormula>SUBTOTAL(103,Tableau3[Donnée (Niveau 3)])</totalsRowFormula>
    </tableColumn>
    <tableColumn id="5" xr3:uid="{AB815DDF-5ECF-4083-A621-45835C8FE42C}" name="Donnée (Niveau 4)" totalsRowFunction="custom" dataDxfId="194" totalsRowDxfId="18">
      <totalsRowFormula>SUBTOTAL(103,Tableau3[Donnée (Niveau 4)])</totalsRowFormula>
    </tableColumn>
    <tableColumn id="6" xr3:uid="{20F05C10-E73C-4ECE-95CB-368439F635A4}" name="Donnée (Niveau 5)" totalsRowFunction="custom" dataDxfId="193" totalsRowDxfId="17">
      <totalsRowFormula>SUBTOTAL(103,Tableau3[Donnée (Niveau 5)])</totalsRowFormula>
    </tableColumn>
    <tableColumn id="7" xr3:uid="{CD2D80B3-AFB4-4A43-A25F-9936020F0A33}" name="Donnée (Niveau 6)" totalsRowFunction="custom" dataDxfId="192" totalsRowDxfId="16">
      <totalsRowFormula>SUBTOTAL(103,Tableau3[Donnée (Niveau 6)])</totalsRowFormula>
    </tableColumn>
    <tableColumn id="8" xr3:uid="{6D534A97-72D3-4D26-ACDA-1E36EFF5A5D1}" name="Description" totalsRowFunction="custom" totalsRowDxfId="15">
      <totalsRowFormula>SUBTOTAL(103,Tableau3[Description])</totalsRowFormula>
    </tableColumn>
    <tableColumn id="9" xr3:uid="{1C7F0F41-E26E-4A31-99F7-36DA6F587FD4}" name="Exemples" totalsRowFunction="custom" totalsRowDxfId="14">
      <totalsRowFormula>SUBTOTAL(103,Tableau3[Exemples])</totalsRowFormula>
    </tableColumn>
    <tableColumn id="10" xr3:uid="{16E03419-7018-452F-85C4-FD235A5FD831}" name="Balise NexSIS" totalsRowFunction="custom" totalsRowDxfId="13">
      <totalsRowFormula>SUBTOTAL(103,Tableau3[Balise NexSIS])</totalsRowFormula>
    </tableColumn>
    <tableColumn id="11" xr3:uid="{B07E8B63-480E-4E4D-B3C9-5480DBD4EBFD}" name="Nouvelle balise" totalsRowFunction="custom" totalsRowDxfId="12">
      <totalsRowFormula>SUBTOTAL(103,Tableau3[Nouvelle balise])</totalsRowFormula>
    </tableColumn>
    <tableColumn id="12" xr3:uid="{580E514F-043D-4789-9329-386B22D4622D}" name="Nantes - balise" totalsRowFunction="custom" totalsRowDxfId="11">
      <totalsRowFormula>SUBTOTAL(103,Tableau3[Nantes - balise])</totalsRowFormula>
    </tableColumn>
    <tableColumn id="13" xr3:uid="{0C60FD75-9B70-4899-B643-430300539392}" name="Nantes - description" totalsRowFunction="custom" totalsRowDxfId="10">
      <totalsRowFormula>SUBTOTAL(103,Tableau3[Nantes - description])</totalsRowFormula>
    </tableColumn>
    <tableColumn id="14" xr3:uid="{A80B0132-E4A5-41BF-9151-A57B2C45E16D}" name="GT399" totalsRowFunction="custom" totalsRowDxfId="9">
      <totalsRowFormula>SUBTOTAL(103,Tableau3[GT399])</totalsRowFormula>
    </tableColumn>
    <tableColumn id="15" xr3:uid="{8E187925-974B-4A24-81D7-AB82144912F1}" name="GT399 description" totalsRowFunction="custom" totalsRowDxfId="8">
      <totalsRowFormula>SUBTOTAL(103,Tableau3[GT399 description])</totalsRowFormula>
    </tableColumn>
    <tableColumn id="16" xr3:uid="{42F38D08-76CB-4B3A-A731-4207FB6FBE23}" name="Priorisation" totalsRowFunction="custom" totalsRowDxfId="7">
      <totalsRowFormula>SUBTOTAL(103,Tableau3[Priorisation])</totalsRowFormula>
    </tableColumn>
    <tableColumn id="17" xr3:uid="{9F68F1ED-1480-436C-8BC5-AA551A9025A4}" name="Cardinalité" totalsRowFunction="custom" dataDxfId="191" totalsRowDxfId="6">
      <totalsRowFormula>SUBTOTAL(103,Tableau3[Cardinalité])</totalsRowFormula>
    </tableColumn>
    <tableColumn id="18" xr3:uid="{8D71687D-B67F-4FBE-A91C-E3D7AF1CF7CE}" name="Objet" totalsRowFunction="custom" dataDxfId="190" totalsRowDxfId="5">
      <totalsRowFormula>SUBTOTAL(103,Tableau3[Objet])</totalsRowFormula>
    </tableColumn>
    <tableColumn id="19" xr3:uid="{3997D7F5-733D-4A1D-97E2-3BDAED2B9FE3}" name="Format (ou type)" totalsRowFunction="custom" dataDxfId="189" totalsRowDxfId="4">
      <totalsRowFormula>SUBTOTAL(103,Tableau3[Format (ou type)])</totalsRowFormula>
    </tableColumn>
    <tableColumn id="20" xr3:uid="{33562809-70DE-436A-940D-49F45D5F14A8}" name="Nomenclature/ énumération" totalsRowFunction="custom" totalsRowDxfId="3">
      <totalsRowFormula>SUBTOTAL(103,Tableau3[Nomenclature/ énumération])</totalsRowFormula>
    </tableColumn>
    <tableColumn id="21" xr3:uid="{0FBF9953-AE08-41BF-9CDE-EA27950F10D4}" name="Détails de format" totalsRowFunction="custom" totalsRowDxfId="2">
      <totalsRowFormula>SUBTOTAL(103,Tableau3[Détails de format])</totalsRowFormula>
    </tableColumn>
    <tableColumn id="22" xr3:uid="{9F868D8D-588A-4128-8291-ABF86AE38F9A}" name="15-18" totalsRowFunction="custom" dataDxfId="188" totalsRowDxfId="1">
      <totalsRowFormula>SUBTOTAL(103,Tableau3[15-18])</totalsRowFormula>
    </tableColumn>
    <tableColumn id="23" xr3:uid="{87B18F95-525A-4A9B-860F-C7A99278233D}" name="15-15" totalsRowFunction="custom" dataDxfId="187" totalsRowDxfId="0">
      <totalsRowFormula>SUBTOTAL(103,Tableau3[15-15])</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186">
  <autoFilter ref="A8:W9" xr:uid="{75253F3A-254C-4618-A5FE-BEE9E9C3C612}"/>
  <tableColumns count="23">
    <tableColumn id="1" xr3:uid="{B9312955-B2A3-439B-98E2-35497FC3B9CD}" name="ID" totalsRowFunction="count" dataDxfId="185" totalsRowDxfId="184"/>
    <tableColumn id="2" xr3:uid="{A41A30AA-1973-446D-97F1-BB8048C22A4F}" name="Donnée (Niveau 1)" totalsRowFunction="custom" dataDxfId="183" totalsRowDxfId="182">
      <totalsRowFormula>SUBTOTAL(103,Tableau35[Donnée (Niveau 1)])</totalsRowFormula>
    </tableColumn>
    <tableColumn id="3" xr3:uid="{DFE7CE8D-9D20-4AEF-A0BD-66C619A3B39A}" name="Donnée (Niveau 2)" totalsRowFunction="custom" dataDxfId="181" totalsRowDxfId="180">
      <totalsRowFormula>SUBTOTAL(103,Tableau35[Donnée (Niveau 2)])</totalsRowFormula>
    </tableColumn>
    <tableColumn id="4" xr3:uid="{D4BCA6FB-BEEB-4675-B373-97CA3247D3B3}" name="Donnée (Niveau 3)" totalsRowFunction="custom" dataDxfId="179" totalsRowDxfId="178">
      <totalsRowFormula>SUBTOTAL(103,Tableau35[Donnée (Niveau 3)])</totalsRowFormula>
    </tableColumn>
    <tableColumn id="5" xr3:uid="{98330C77-3D56-4BE0-94A2-82DDC5827C96}" name="Donnée (Niveau 4)" totalsRowFunction="custom" dataDxfId="177" totalsRowDxfId="176">
      <totalsRowFormula>SUBTOTAL(103,Tableau35[Donnée (Niveau 4)])</totalsRowFormula>
    </tableColumn>
    <tableColumn id="6" xr3:uid="{3D011196-6587-48FF-87E2-AE1D56773EE7}" name="Donnée (Niveau 5)" totalsRowFunction="custom" dataDxfId="175" totalsRowDxfId="174">
      <totalsRowFormula>SUBTOTAL(103,Tableau35[Donnée (Niveau 5)])</totalsRowFormula>
    </tableColumn>
    <tableColumn id="7" xr3:uid="{9EBCC79E-BB78-43E2-8390-99AED4817490}" name="Donnée (Niveau 6)" totalsRowFunction="custom" dataDxfId="173" totalsRowDxfId="172">
      <totalsRowFormula>SUBTOTAL(103,Tableau35[Donnée (Niveau 6)])</totalsRowFormula>
    </tableColumn>
    <tableColumn id="8" xr3:uid="{E26B9737-D2F7-4253-9691-0FAB27540899}" name="Description" totalsRowFunction="custom" totalsRowDxfId="171">
      <totalsRowFormula>SUBTOTAL(103,Tableau35[Description])</totalsRowFormula>
    </tableColumn>
    <tableColumn id="9" xr3:uid="{CD269DAD-CD7B-426A-8623-52708A75A9F3}" name="Exemples" totalsRowFunction="custom" totalsRowDxfId="170">
      <totalsRowFormula>SUBTOTAL(103,Tableau35[Exemples])</totalsRowFormula>
    </tableColumn>
    <tableColumn id="10" xr3:uid="{20924355-7D5C-49E1-BBA9-453A972E5FD5}" name="Balise NexSIS" totalsRowFunction="custom" totalsRowDxfId="169">
      <totalsRowFormula>SUBTOTAL(103,Tableau35[Balise NexSIS])</totalsRowFormula>
    </tableColumn>
    <tableColumn id="11" xr3:uid="{E6886C03-3B0D-46D0-99EE-5173E67D42D5}" name="Nouvelle balise" totalsRowFunction="custom" totalsRowDxfId="168">
      <totalsRowFormula>SUBTOTAL(103,Tableau35[Nouvelle balise])</totalsRowFormula>
    </tableColumn>
    <tableColumn id="12" xr3:uid="{FC0A1304-6D18-4479-8A8D-40E1640CC417}" name="Nantes - balise" totalsRowFunction="custom" totalsRowDxfId="167">
      <totalsRowFormula>SUBTOTAL(103,Tableau35[Nantes - balise])</totalsRowFormula>
    </tableColumn>
    <tableColumn id="13" xr3:uid="{F13FED84-5993-4B0F-9596-BB54F03D8CD2}" name="Nantes - description" totalsRowFunction="custom" totalsRowDxfId="166">
      <totalsRowFormula>SUBTOTAL(103,Tableau35[Nantes - description])</totalsRowFormula>
    </tableColumn>
    <tableColumn id="14" xr3:uid="{D10C28EC-5A2B-4C5A-9DF5-FA610DC16AB7}" name="GT399" totalsRowFunction="custom" totalsRowDxfId="165">
      <totalsRowFormula>SUBTOTAL(103,Tableau35[GT399])</totalsRowFormula>
    </tableColumn>
    <tableColumn id="15" xr3:uid="{BEB12139-7DD8-42F5-B1E1-2ECBC4C5542E}" name="GT399 description" totalsRowFunction="custom" totalsRowDxfId="164">
      <totalsRowFormula>SUBTOTAL(103,Tableau35[GT399 description])</totalsRowFormula>
    </tableColumn>
    <tableColumn id="16" xr3:uid="{188B779B-92B8-4FEF-8EED-51C2A38708D0}" name="Priorisation" totalsRowFunction="custom" totalsRowDxfId="163">
      <totalsRowFormula>SUBTOTAL(103,Tableau35[Priorisation])</totalsRowFormula>
    </tableColumn>
    <tableColumn id="17" xr3:uid="{F4CC96EB-6D1D-4960-BCD8-CD461F381ED8}" name="Cardinalité" totalsRowFunction="custom" dataDxfId="162" totalsRowDxfId="161">
      <totalsRowFormula>SUBTOTAL(103,Tableau35[Cardinalité])</totalsRowFormula>
    </tableColumn>
    <tableColumn id="18" xr3:uid="{B0090839-6783-4E0E-8106-4E6A56CCAFD2}" name="Objet" totalsRowFunction="custom" dataDxfId="160" totalsRowDxfId="159">
      <totalsRowFormula>SUBTOTAL(103,Tableau35[Objet])</totalsRowFormula>
    </tableColumn>
    <tableColumn id="19" xr3:uid="{A81D9ACE-1BA2-42E2-A7BF-AD6A21D051B7}" name="Format (ou type)" totalsRowFunction="custom" dataDxfId="158" totalsRowDxfId="157">
      <totalsRowFormula>SUBTOTAL(103,Tableau35[Format (ou type)])</totalsRowFormula>
    </tableColumn>
    <tableColumn id="20" xr3:uid="{395551A0-AF3E-4BCA-A2D1-B5B3AFE7BB0F}" name="Nomenclature/ énumération" totalsRowFunction="custom" totalsRowDxfId="156">
      <totalsRowFormula>SUBTOTAL(103,Tableau35[Nomenclature/ énumération])</totalsRowFormula>
    </tableColumn>
    <tableColumn id="21" xr3:uid="{CA6C9852-2D54-43AF-A983-D0F4CF56B2B4}" name="Détails de format" totalsRowFunction="custom" totalsRowDxfId="155">
      <totalsRowFormula>SUBTOTAL(103,Tableau35[Détails de format])</totalsRowFormula>
    </tableColumn>
    <tableColumn id="22" xr3:uid="{15560D52-4B8E-408C-878A-EEE9AFD8D183}" name="15-18" totalsRowFunction="custom" totalsRowDxfId="154">
      <totalsRowFormula>SUBTOTAL(103,Tableau35[15-18])</totalsRowFormula>
    </tableColumn>
    <tableColumn id="23" xr3:uid="{F8085B3C-2A10-48F6-B2F1-428BF4D2A4F6}" name="15-15" totalsRowFunction="custom" totalsRowDxfId="153">
      <totalsRowFormula>SUBTOTAL(103,Tableau35[15-15])</totalsRow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152">
  <autoFilter ref="A8:W19" xr:uid="{1FE8A3AF-4E94-4B60-8D0F-BDD2D3ECE80A}"/>
  <tableColumns count="23">
    <tableColumn id="1" xr3:uid="{2194A6A9-978B-49BF-92EC-24BA1F982865}" name="ID" totalsRowFunction="count" dataDxfId="151" totalsRowDxfId="150"/>
    <tableColumn id="2" xr3:uid="{7639722A-2F33-4FF5-974B-AF23A0A6AFB1}" name="Donnée (Niveau 1)" totalsRowFunction="custom" dataDxfId="149" totalsRowDxfId="148">
      <totalsRowFormula>SUBTOTAL(103,Tableau357[Donnée (Niveau 1)])</totalsRowFormula>
    </tableColumn>
    <tableColumn id="3" xr3:uid="{9BD64E43-D2AF-489F-A571-5D02F069CB5A}" name="Donnée (Niveau 2)" totalsRowFunction="custom" dataDxfId="147" totalsRowDxfId="146">
      <totalsRowFormula>SUBTOTAL(103,Tableau357[Donnée (Niveau 2)])</totalsRowFormula>
    </tableColumn>
    <tableColumn id="4" xr3:uid="{3A15C35A-E24A-431E-9B0F-5AA03F1DEC65}" name="Donnée (Niveau 3)" totalsRowFunction="custom" dataDxfId="145" totalsRowDxfId="144">
      <totalsRowFormula>SUBTOTAL(103,Tableau357[Donnée (Niveau 3)])</totalsRowFormula>
    </tableColumn>
    <tableColumn id="5" xr3:uid="{30450838-7269-4B21-AED9-DE744E6D7BE7}" name="Donnée (Niveau 4)" totalsRowFunction="custom" dataDxfId="143" totalsRowDxfId="142">
      <totalsRowFormula>SUBTOTAL(103,Tableau357[Donnée (Niveau 4)])</totalsRowFormula>
    </tableColumn>
    <tableColumn id="6" xr3:uid="{3660E566-E514-413D-B57E-5899D7E2C97A}" name="Donnée (Niveau 5)" totalsRowFunction="custom" dataDxfId="141" totalsRowDxfId="140">
      <totalsRowFormula>SUBTOTAL(103,Tableau357[Donnée (Niveau 5)])</totalsRowFormula>
    </tableColumn>
    <tableColumn id="7" xr3:uid="{9C7BB915-267A-4C5A-AA02-029048F4DC4E}" name="Donnée (Niveau 6)" totalsRowFunction="custom" dataDxfId="139" totalsRowDxfId="138">
      <totalsRowFormula>SUBTOTAL(103,Tableau357[Donnée (Niveau 6)])</totalsRowFormula>
    </tableColumn>
    <tableColumn id="8" xr3:uid="{E5B15786-B76A-4BEA-9067-9613FD29334F}" name="Description" totalsRowFunction="custom" totalsRowDxfId="137">
      <totalsRowFormula>SUBTOTAL(103,Tableau357[Description])</totalsRowFormula>
    </tableColumn>
    <tableColumn id="9" xr3:uid="{8DB05C06-6CE9-4263-BA6F-48CE0AE9983C}" name="Exemples" totalsRowFunction="custom" totalsRowDxfId="136">
      <totalsRowFormula>SUBTOTAL(103,Tableau357[Exemples])</totalsRowFormula>
    </tableColumn>
    <tableColumn id="10" xr3:uid="{1837705E-85D2-43D6-9CDA-E6F77570DBBD}" name="Balise NexSIS" totalsRowFunction="custom" totalsRowDxfId="135">
      <totalsRowFormula>SUBTOTAL(103,Tableau357[Balise NexSIS])</totalsRowFormula>
    </tableColumn>
    <tableColumn id="11" xr3:uid="{957F756D-730B-4641-8748-30510E6525C0}" name="Nouvelle balise" totalsRowFunction="custom" dataDxfId="134" totalsRowDxfId="133">
      <totalsRowFormula>SUBTOTAL(103,Tableau357[Nouvelle balise])</totalsRowFormula>
    </tableColumn>
    <tableColumn id="12" xr3:uid="{3169EF9C-BB85-4FFA-B5E7-A3B8B73FC3A2}" name="Nantes - balise" totalsRowFunction="custom" totalsRowDxfId="132">
      <totalsRowFormula>SUBTOTAL(103,Tableau357[Nantes - balise])</totalsRowFormula>
    </tableColumn>
    <tableColumn id="13" xr3:uid="{E548F095-B313-42ED-B82E-D4F99D2C0A04}" name="Nantes - description" totalsRowFunction="custom" totalsRowDxfId="131">
      <totalsRowFormula>SUBTOTAL(103,Tableau357[Nantes - description])</totalsRowFormula>
    </tableColumn>
    <tableColumn id="14" xr3:uid="{CC704391-8DDA-45F3-B8AB-AE5DEBD43C11}" name="GT399" totalsRowFunction="custom" totalsRowDxfId="130">
      <totalsRowFormula>SUBTOTAL(103,Tableau357[GT399])</totalsRowFormula>
    </tableColumn>
    <tableColumn id="15" xr3:uid="{A5BB6FA3-0492-4977-AD3E-CEAAE8366B7A}" name="GT399 description" totalsRowFunction="custom" totalsRowDxfId="129">
      <totalsRowFormula>SUBTOTAL(103,Tableau357[GT399 description])</totalsRowFormula>
    </tableColumn>
    <tableColumn id="16" xr3:uid="{6BC9EA61-5862-4D25-B98C-EA9E88DF081C}" name="Priorisation" totalsRowFunction="custom" totalsRowDxfId="128">
      <totalsRowFormula>SUBTOTAL(103,Tableau357[Priorisation])</totalsRowFormula>
    </tableColumn>
    <tableColumn id="17" xr3:uid="{F8CC7813-2529-4AB6-8673-B22D55F47970}" name="Cardinalité" totalsRowFunction="custom" dataDxfId="127" totalsRowDxfId="126">
      <totalsRowFormula>SUBTOTAL(103,Tableau357[Cardinalité])</totalsRowFormula>
    </tableColumn>
    <tableColumn id="18" xr3:uid="{F8AA89E9-3720-467E-92C2-F847AE5D62EB}" name="Objet" totalsRowFunction="custom" dataDxfId="125" totalsRowDxfId="124">
      <totalsRowFormula>SUBTOTAL(103,Tableau357[Objet])</totalsRowFormula>
    </tableColumn>
    <tableColumn id="19" xr3:uid="{044C8000-1042-455B-8904-0733131290E6}" name="Format (ou type)" totalsRowFunction="custom" dataDxfId="123" totalsRowDxfId="122">
      <totalsRowFormula>SUBTOTAL(103,Tableau357[Format (ou type)])</totalsRowFormula>
    </tableColumn>
    <tableColumn id="20" xr3:uid="{4C43F220-1FFF-4D6A-B274-6AC8F1923DC0}" name="Nomenclature/ énumération" totalsRowFunction="custom" dataDxfId="121" totalsRowDxfId="120">
      <totalsRowFormula>SUBTOTAL(103,Tableau357[Nomenclature/ énumération])</totalsRowFormula>
    </tableColumn>
    <tableColumn id="21" xr3:uid="{F3647E69-0E89-450A-AF38-B5627E006D73}" name="Détails de format" totalsRowFunction="custom" dataDxfId="119" totalsRowDxfId="118">
      <totalsRowFormula>SUBTOTAL(103,Tableau357[Détails de format])</totalsRowFormula>
    </tableColumn>
    <tableColumn id="22" xr3:uid="{BDA6CEC4-51B8-4CFB-B6B6-B7AF21F84DE9}" name="15-18" totalsRowFunction="custom" totalsRowDxfId="117">
      <totalsRowFormula>SUBTOTAL(103,Tableau357[15-18])</totalsRowFormula>
    </tableColumn>
    <tableColumn id="23" xr3:uid="{A7D9FC89-3D3C-442A-BF60-2B5E8CAB8757}" name="15-15" totalsRowFunction="custom" totalsRowDxfId="116">
      <totalsRowFormula>SUBTOTAL(103,Tableau357[15-15])</totalsRow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115" totalsRowDxfId="112" headerRowBorderDxfId="114" tableBorderDxfId="113" totalsRowBorderDxfId="111">
  <autoFilter ref="A8:W14" xr:uid="{E931F4C5-87AC-4B70-ADC3-93962301DA67}"/>
  <tableColumns count="23">
    <tableColumn id="1" xr3:uid="{1E224984-052D-4A13-B622-AE0F71DD159A}" name="ID" totalsRowFunction="custom" dataDxfId="110" totalsRowDxfId="109">
      <totalsRowFormula>SUBTOTAL(103, Tableau9[ID])</totalsRowFormula>
    </tableColumn>
    <tableColumn id="2" xr3:uid="{C0689F99-92F2-497E-8FC9-D5C9893BC7E9}" name="Donnée (Niveau 1)" totalsRowFunction="custom" dataDxfId="108" totalsRowDxfId="107">
      <totalsRowFormula>SUBTOTAL(103, Tableau9[Donnée (Niveau 1)])</totalsRowFormula>
    </tableColumn>
    <tableColumn id="3" xr3:uid="{415D4766-C4FA-4EA5-814E-1F0F00B07B37}" name="Donnée (Niveau 2)" totalsRowFunction="custom" dataDxfId="106" totalsRowDxfId="105">
      <totalsRowFormula>SUBTOTAL(103, Tableau9[Donnée (Niveau 2)])</totalsRowFormula>
    </tableColumn>
    <tableColumn id="4" xr3:uid="{3376F3F3-12CC-4AD9-9955-3EC68C5C3DD9}" name="Donnée (Niveau 3)" totalsRowFunction="custom" dataDxfId="104" totalsRowDxfId="103">
      <totalsRowFormula>SUBTOTAL(103, Tableau9[Donnée (Niveau 3)])</totalsRowFormula>
    </tableColumn>
    <tableColumn id="5" xr3:uid="{541A98F6-3A3C-473C-86A3-80321C6E2798}" name="Donnée (Niveau 4)" totalsRowFunction="custom" dataDxfId="102" totalsRowDxfId="101">
      <totalsRowFormula>SUBTOTAL(103, Tableau9[Donnée (Niveau 4)])</totalsRowFormula>
    </tableColumn>
    <tableColumn id="6" xr3:uid="{9860160A-69B0-43CC-ACC3-513CC21BBCC9}" name="Donnée (Niveau 5)" totalsRowFunction="custom" dataDxfId="100" totalsRowDxfId="99">
      <totalsRowFormula>SUBTOTAL(103, Tableau9[Donnée (Niveau 5)])</totalsRowFormula>
    </tableColumn>
    <tableColumn id="7" xr3:uid="{A283BE6B-5F72-4E28-A1D0-C3CEFC3A3203}" name="Donnée (Niveau 6)" totalsRowFunction="custom" dataDxfId="98" totalsRowDxfId="97">
      <totalsRowFormula>SUBTOTAL(103, Tableau9[Donnée (Niveau 6)])</totalsRowFormula>
    </tableColumn>
    <tableColumn id="8" xr3:uid="{19DF1CAC-A34E-4D6F-9152-7E372105A411}" name="Description" totalsRowFunction="custom" totalsRowDxfId="96">
      <totalsRowFormula>SUBTOTAL(103, Tableau9[Description])</totalsRowFormula>
    </tableColumn>
    <tableColumn id="9" xr3:uid="{19C7F4C5-FBF2-4DDF-8C18-64844C80A068}" name="Exemples" totalsRowFunction="custom" totalsRowDxfId="95">
      <totalsRowFormula>SUBTOTAL(103, Tableau9[Exemples])</totalsRowFormula>
    </tableColumn>
    <tableColumn id="10" xr3:uid="{25BE0A12-B3F7-4026-80D6-5AED0D62F912}" name="Balise NexSIS" totalsRowFunction="custom" totalsRowDxfId="94">
      <totalsRowFormula>SUBTOTAL(103, Tableau9[Balise NexSIS])</totalsRowFormula>
    </tableColumn>
    <tableColumn id="11" xr3:uid="{7578B8D2-C435-4424-9B0B-FE7DB8E3AC98}" name="Nouvelle balise" totalsRowFunction="custom" totalsRowDxfId="93">
      <totalsRowFormula>SUBTOTAL(103, Tableau9[Nouvelle balise])</totalsRowFormula>
    </tableColumn>
    <tableColumn id="12" xr3:uid="{BED9B1DE-1D7A-44E1-B55A-77D8F2867832}" name="Nantes - balise" totalsRowFunction="custom" totalsRowDxfId="92">
      <totalsRowFormula>SUBTOTAL(103, Tableau9[Nantes - balise])</totalsRowFormula>
    </tableColumn>
    <tableColumn id="13" xr3:uid="{0A269333-965B-47E6-A39A-3828EC8525D7}" name="Nantes - description" totalsRowFunction="custom" totalsRowDxfId="91">
      <totalsRowFormula>SUBTOTAL(103, Tableau9[Nantes - description])</totalsRowFormula>
    </tableColumn>
    <tableColumn id="14" xr3:uid="{9551F7F9-F22B-4AE0-8C95-D6D0EABBF631}" name="GT399" totalsRowFunction="custom" totalsRowDxfId="90">
      <totalsRowFormula>SUBTOTAL(103, Tableau9[GT399])</totalsRowFormula>
    </tableColumn>
    <tableColumn id="15" xr3:uid="{B250F388-C8B6-4941-A85E-C23834348517}" name="GT399 description" totalsRowFunction="custom" totalsRowDxfId="89">
      <totalsRowFormula>SUBTOTAL(103, Tableau9[GT399 description])</totalsRowFormula>
    </tableColumn>
    <tableColumn id="16" xr3:uid="{A477B070-59A8-4A28-9E4D-9B4503B0FCDC}" name="Priorisation" totalsRowFunction="custom" totalsRowDxfId="88">
      <totalsRowFormula>SUBTOTAL(103, Tableau9[Priorisation])</totalsRowFormula>
    </tableColumn>
    <tableColumn id="17" xr3:uid="{8D44E1CE-FB68-4E9B-AE44-0ADF0DFE048B}" name="Cardinalité" totalsRowFunction="custom" dataDxfId="87" totalsRowDxfId="86">
      <totalsRowFormula>SUBTOTAL(103, Tableau9[Cardinalité])</totalsRowFormula>
    </tableColumn>
    <tableColumn id="18" xr3:uid="{F5551B1C-1DCC-4580-B858-E095724B74EC}" name="Objet" totalsRowFunction="custom" totalsRowDxfId="85">
      <totalsRowFormula>SUBTOTAL(103, Tableau9[Objet])</totalsRowFormula>
    </tableColumn>
    <tableColumn id="19" xr3:uid="{836B344A-EF05-48E1-9A56-678F7B1B5ECF}" name="Format (ou type)" totalsRowFunction="custom" totalsRowDxfId="84">
      <totalsRowFormula>SUBTOTAL(103, Tableau9[Format (ou type)])</totalsRowFormula>
    </tableColumn>
    <tableColumn id="20" xr3:uid="{622F58D5-8FA2-4261-957A-F5060FF0501F}" name="Nomenclature/ énumération" totalsRowFunction="custom" totalsRowDxfId="83">
      <totalsRowFormula>SUBTOTAL(103, Tableau9[Nomenclature/ énumération])</totalsRowFormula>
    </tableColumn>
    <tableColumn id="21" xr3:uid="{EE4A67A2-A8BB-40C5-B66B-2C677A555E0D}" name="Détails de format" totalsRowFunction="custom" totalsRowDxfId="82">
      <totalsRowFormula>SUBTOTAL(103, Tableau9[Détails de format])</totalsRowFormula>
    </tableColumn>
    <tableColumn id="22" xr3:uid="{74252E4D-4A09-4C3D-A70C-71232233BE99}" name="15-18" totalsRowFunction="custom" totalsRowDxfId="81">
      <totalsRowFormula>SUBTOTAL(103, Tableau9[15-18])</totalsRowFormula>
    </tableColumn>
    <tableColumn id="23" xr3:uid="{9A825B74-72E7-4083-95A6-ADAB0B83FA51}" name="15-15" totalsRowFunction="custom" totalsRowDxfId="80">
      <totalsRowFormula>SUBTOTAL(103, Tableau9[15-15])</totalsRow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79" headerRowBorderDxfId="78" tableBorderDxfId="77">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76">
      <totalsRowFormula>SUBTOTAL(103,Tableau911[Nantes - balise])</totalsRowFormula>
    </tableColumn>
    <tableColumn id="24" xr3:uid="{B812F9CB-695C-4233-9210-247EE7E30D5C}" name="Nantes - description" totalsRowFunction="custom" dataDxfId="75">
      <totalsRowFormula>SUBTOTAL(103,Tableau911[Nantes - description])</totalsRowFormula>
    </tableColumn>
    <tableColumn id="23" xr3:uid="{369A7FC9-8210-45F8-B7CE-7CA66D94704C}" name="GT399" totalsRowFunction="custom" dataDxfId="74">
      <totalsRowFormula>SUBTOTAL(103,Tableau911[GT399])</totalsRowFormula>
    </tableColumn>
    <tableColumn id="22" xr3:uid="{CC0C4430-85CE-4749-B0EF-01F38758D213}" name="GT399 description" totalsRowFunction="custom" dataDxfId="73">
      <totalsRowFormula>SUBTOTAL(103,Tableau911[GT399 description])</totalsRowFormula>
    </tableColumn>
    <tableColumn id="21" xr3:uid="{C8812723-9205-4252-A00F-7EA4ABD87E9F}" name="Priorisation" totalsRowFunction="custom" dataDxfId="72">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71" headerRowBorderDxfId="70" tableBorderDxfId="69">
  <autoFilter ref="A8:W11" xr:uid="{4F62EADF-21E3-48F1-8B6F-5A3984C01C34}"/>
  <tableColumns count="23">
    <tableColumn id="1" xr3:uid="{B6643D7A-4C2D-4D5B-82CD-9FB6A5509A72}" name="ID" totalsRowFunction="count"/>
    <tableColumn id="2" xr3:uid="{D8AD65B6-1FCA-4B50-9A1E-843B91A13A63}" name="Donnée (Niveau 1)" totalsRowFunction="custom" dataDxfId="68">
      <totalsRowFormula>SUBTOTAL(103,Tableau12[Donnée (Niveau 1)])</totalsRowFormula>
    </tableColumn>
    <tableColumn id="3" xr3:uid="{C51845AD-B914-429D-B634-E93F9EB2C6E2}" name="Donnée (Niveau 2)" totalsRowFunction="custom" dataDxfId="67">
      <totalsRowFormula>SUBTOTAL(103,Tableau12[Donnée (Niveau 2)])</totalsRowFormula>
    </tableColumn>
    <tableColumn id="4" xr3:uid="{708D3FF7-D497-49D4-A121-91CEB536EDC0}" name="Donnée (Niveau 3)" totalsRowFunction="custom" dataDxfId="66">
      <totalsRowFormula>SUBTOTAL(103,Tableau12[Donnée (Niveau 3)])</totalsRowFormula>
    </tableColumn>
    <tableColumn id="5" xr3:uid="{36BBF4F3-B871-4924-B1DF-09F52BEC9A84}" name="Donnée (Niveau 4)" totalsRowFunction="custom" dataDxfId="65">
      <totalsRowFormula>SUBTOTAL(103,Tableau12[Donnée (Niveau 4)])</totalsRowFormula>
    </tableColumn>
    <tableColumn id="6" xr3:uid="{912708D6-C037-4264-88D3-7DEB49F9D269}" name="Donnée (Niveau 5)" totalsRowFunction="custom" dataDxfId="64">
      <totalsRowFormula>SUBTOTAL(103,Tableau12[Donnée (Niveau 5)])</totalsRowFormula>
    </tableColumn>
    <tableColumn id="7" xr3:uid="{AEB42A44-4C97-42F7-968F-F3445075B977}" name="Donnée (Niveau 6)" totalsRowFunction="custom" dataDxfId="63">
      <totalsRowFormula>SUBTOTAL(103,Tableau12[Donnée (Niveau 6)])</totalsRowFormula>
    </tableColumn>
    <tableColumn id="8" xr3:uid="{05104B7E-48BC-48C5-B4C9-B0719BA33344}" name="Description" totalsRowFunction="custom" dataDxfId="62">
      <totalsRowFormula>SUBTOTAL(103,Tableau12[Description])</totalsRowFormula>
    </tableColumn>
    <tableColumn id="9" xr3:uid="{614AAED4-0FFF-4312-9849-5269BBACA5F4}" name="Exemples" totalsRowFunction="custom" dataDxfId="61">
      <totalsRowFormula>SUBTOTAL(103,Tableau12[Exemples])</totalsRowFormula>
    </tableColumn>
    <tableColumn id="24" xr3:uid="{E4AE869A-0CB6-491F-A644-3F5631849EE2}" name="Balise NexSIS" totalsRowFunction="custom" dataDxfId="60">
      <totalsRowFormula>SUBTOTAL(103,Tableau12[Balise NexSIS])</totalsRowFormula>
    </tableColumn>
    <tableColumn id="10" xr3:uid="{591036EA-D7D7-4CDB-9E72-F34570B08579}" name="Nouvelle balise" totalsRowFunction="custom" dataDxfId="59">
      <totalsRowFormula>SUBTOTAL(103,Tableau12[Nouvelle balise])</totalsRowFormula>
    </tableColumn>
    <tableColumn id="23" xr3:uid="{17E8B19F-5463-4A93-9375-F25F24920A06}" name="Nantes - balise" totalsRowFunction="custom" dataDxfId="58">
      <totalsRowFormula>SUBTOTAL(103,Tableau12[Nantes - balise])</totalsRowFormula>
    </tableColumn>
    <tableColumn id="22" xr3:uid="{752C5DB9-CA47-4947-BC51-EA0AB6CAF178}" name="Nantes - description" totalsRowFunction="custom" dataDxfId="57">
      <totalsRowFormula>SUBTOTAL(103,Tableau12[Nantes - description])</totalsRowFormula>
    </tableColumn>
    <tableColumn id="21" xr3:uid="{3086C8B1-9331-471D-85E4-DFE9ECD0778B}" name="GT399" totalsRowFunction="custom" dataDxfId="56">
      <totalsRowFormula>SUBTOTAL(103,Tableau12[GT399])</totalsRowFormula>
    </tableColumn>
    <tableColumn id="20" xr3:uid="{7161B64A-7444-47C0-A0EB-FBE31CB32883}" name="GT399 description" totalsRowFunction="custom" dataDxfId="55">
      <totalsRowFormula>SUBTOTAL(103,Tableau12[GT399 description])</totalsRowFormula>
    </tableColumn>
    <tableColumn id="19" xr3:uid="{7B7F428D-98DE-48C1-B4C7-1B8FEF343340}" name="Priorisation" totalsRowFunction="custom" dataDxfId="54">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1754" dataDxfId="1753" totalsRowDxfId="1752">
  <autoFilter ref="A8:AD14" xr:uid="{EF99425A-BF7C-494D-843B-A436A28F1D50}"/>
  <tableColumns count="30">
    <tableColumn id="26" xr3:uid="{D5B2518C-6D8E-6147-8C4F-B866728B3834}" name="ID" totalsRowFunction="count" dataDxfId="1751" totalsRowDxfId="1750"/>
    <tableColumn id="34" xr3:uid="{87148819-B7A5-7947-82EE-7CD825960AED}" name="Donnée (Niveau 1)" dataDxfId="1749" totalsRowDxfId="1748"/>
    <tableColumn id="1" xr3:uid="{D13C8DA4-A6E7-6647-83BF-735A36445504}" name="Donnée (Niveau 2)" totalsRowFunction="count" dataDxfId="1747" totalsRowDxfId="1746"/>
    <tableColumn id="2" xr3:uid="{9844E3D8-484C-674F-A6FE-C5E74C0BECD7}" name="Donnée (Niveau 3)" totalsRowFunction="count" dataDxfId="1745" totalsRowDxfId="1744"/>
    <tableColumn id="3" xr3:uid="{EDEAC3BB-E6E5-6D4A-81D4-0D53BDE32BE7}" name="Donnée (Niveau 4)" totalsRowFunction="count" dataDxfId="1743" totalsRowDxfId="1742"/>
    <tableColumn id="4" xr3:uid="{02D62420-0C0A-4A42-BF62-D538EE277DA2}" name="Donnée (Niveau 5)" totalsRowFunction="count" dataDxfId="1741" totalsRowDxfId="1740"/>
    <tableColumn id="5" xr3:uid="{AEDF2332-EB8E-3F47-A30F-62F4B295DC6E}" name="Donnée (Niveau 6)" totalsRowFunction="count" dataDxfId="1739" totalsRowDxfId="1738"/>
    <tableColumn id="6" xr3:uid="{6B82679A-C79E-B942-87C2-2A9AC62DFE61}" name="Description" totalsRowFunction="count" dataDxfId="1737" totalsRowDxfId="1736"/>
    <tableColumn id="14" xr3:uid="{64EB0DE7-7110-B649-B47F-39D14AB54769}" name="Exemples" totalsRowFunction="count" dataDxfId="1735" totalsRowDxfId="1734"/>
    <tableColumn id="7" xr3:uid="{30859462-25E2-6C4B-8D3C-5F2310CF2710}" name="Balise NexSIS" totalsRowFunction="count" dataDxfId="1733" totalsRowDxfId="1732"/>
    <tableColumn id="21" xr3:uid="{C7789C87-5B0F-9240-95BB-36A6DBBF16F7}" name="Nouvelle balise" totalsRowFunction="count" dataDxfId="1731" totalsRowDxfId="1730"/>
    <tableColumn id="8" xr3:uid="{56A311D2-6944-B44A-BA90-1B44FB783B25}" name="Nantes - balise" totalsRowFunction="count" dataDxfId="1729" totalsRowDxfId="1728"/>
    <tableColumn id="15" xr3:uid="{CC481BC4-1ACF-7849-B03D-7121652EE416}" name="Nantes - description" totalsRowFunction="count" dataDxfId="1727" totalsRowDxfId="1726"/>
    <tableColumn id="18" xr3:uid="{DA3EC825-B94E-6142-B1D1-58F763F6812E}" name="GT399" totalsRowFunction="count" dataDxfId="1725" totalsRowDxfId="1724"/>
    <tableColumn id="9" xr3:uid="{A60F6B9F-CF7A-6F48-A3FD-7FC591506696}" name="GT399 description" totalsRowFunction="count" dataDxfId="1723" totalsRowDxfId="1722"/>
    <tableColumn id="10" xr3:uid="{F183E99A-8936-D242-9E2F-7DF202579449}" name="Priorisation" totalsRowFunction="count" dataDxfId="1721" totalsRowDxfId="1720"/>
    <tableColumn id="11" xr3:uid="{0C55DBEB-B030-EB40-8778-44C43E402B7D}" name="Cardinalité" dataDxfId="1719" totalsRowDxfId="1718"/>
    <tableColumn id="27" xr3:uid="{3EA0014F-1F9E-3346-86AA-D19E79E32F71}" name="Objet" totalsRowFunction="count" dataDxfId="1717" totalsRowDxfId="1716"/>
    <tableColumn id="12" xr3:uid="{A3CD3B4C-97D3-9741-9A73-087C7A9F8936}" name="Format (ou type)" totalsRowFunction="count" dataDxfId="1715" totalsRowDxfId="1714"/>
    <tableColumn id="37" xr3:uid="{3FE45E5F-AD1E-7B48-BE25-BC7327DD16EC}" name="Nomenclature/ énumération" dataDxfId="1713" totalsRowDxfId="1712"/>
    <tableColumn id="31" xr3:uid="{9CB46CA4-597C-5148-8480-F8796E3C5AFD}" name="Détails de format" dataDxfId="1711" totalsRowDxfId="1710"/>
    <tableColumn id="36" xr3:uid="{97A47004-218F-7749-B82B-5B2AEE40A23C}" name="15-18" dataDxfId="1709" totalsRowDxfId="1708"/>
    <tableColumn id="35" xr3:uid="{544CEA0F-DCB5-C64C-9CDE-A40F1906888F}" name="15-15" dataDxfId="1707" totalsRowDxfId="1706"/>
    <tableColumn id="39" xr3:uid="{6DB8C4C4-E592-DA4D-B502-CA1F3A98FF18}" name="CUT" dataDxfId="1705" totalsRowDxfId="1704"/>
    <tableColumn id="19" xr3:uid="{F48E57B7-0080-CD4F-8CC0-D9866BEEABEE}" name="Commentaire Hub Santé" totalsRowFunction="count" dataDxfId="1703" totalsRowDxfId="1702"/>
    <tableColumn id="16" xr3:uid="{93611743-80E2-3A49-9F47-6E81E63C36BC}" name="Commentaire Philippe Dreyfus" totalsRowFunction="count" dataDxfId="1701" totalsRowDxfId="1700"/>
    <tableColumn id="33" xr3:uid="{E8582012-E1AA-5C48-84F3-81E85831EA3D}" name="Commentaire FBE" dataDxfId="1699" totalsRowDxfId="1698"/>
    <tableColumn id="17" xr3:uid="{10CD9342-79AA-B840-BD59-F6A02345EC01}" name="Commentaire Yann Penverne" totalsRowFunction="count" dataDxfId="1697" totalsRowDxfId="1696"/>
    <tableColumn id="20" xr3:uid="{36DD8A92-EC42-2849-A047-5EE0AABF1132}" name="NexSIS" totalsRowFunction="custom" dataDxfId="1695" totalsRowDxfId="1694">
      <totalsRowFormula>SUBTOTAL(103,createCase3[NexSIS])-COUNTIFS(createCase3[NexSIS],"=X")</totalsRowFormula>
    </tableColumn>
    <tableColumn id="22" xr3:uid="{055A2D99-D525-3349-A349-779652E6F495}" name="Métier" totalsRowFunction="custom" dataDxfId="1693" totalsRowDxfId="1692">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C2E237-CF17-49D4-BA3B-A5C3063E7BCB}" name="createCase142" displayName="createCase142" ref="A11:AD192" totalsRowCount="1" headerRowDxfId="1418" dataDxfId="1417" totalsRowDxfId="1416">
  <autoFilter ref="A11:AD191" xr:uid="{EF99425A-BF7C-494D-843B-A436A28F1D50}"/>
  <tableColumns count="30">
    <tableColumn id="26" xr3:uid="{ABF5D23D-E9BE-447B-A48E-850A8FE050AB}" name="ID" totalsRowFunction="count" dataDxfId="1415" totalsRowDxfId="1414"/>
    <tableColumn id="34" xr3:uid="{C603A664-BB7C-4E81-81F5-9AC771B920CE}" name="Donnée (Niveau 1)" dataDxfId="1413" totalsRowDxfId="1412"/>
    <tableColumn id="1" xr3:uid="{985EC22A-699F-4D1C-A0FF-90DCFB6591AE}" name="Donnée (Niveau 2)" totalsRowFunction="count" dataDxfId="1411" totalsRowDxfId="1410"/>
    <tableColumn id="2" xr3:uid="{9726EFFF-17E9-4567-9D61-3FDED4A1439C}" name="Donnée (Niveau 3)" totalsRowFunction="count" dataDxfId="1409" totalsRowDxfId="1408"/>
    <tableColumn id="3" xr3:uid="{DC2A9A2B-BD09-4CA3-892C-4DE6298A5712}" name="Donnée (Niveau 4)" totalsRowFunction="count" dataDxfId="1407" totalsRowDxfId="1406"/>
    <tableColumn id="4" xr3:uid="{B78C276D-8762-4642-9D7D-502A3706006F}" name="Donnée (Niveau 5)" totalsRowFunction="count" dataDxfId="1405" totalsRowDxfId="1404"/>
    <tableColumn id="5" xr3:uid="{E754A894-2972-4273-B6DD-CF0D8D93573D}" name="Donnée (Niveau 6)" totalsRowFunction="count" dataDxfId="1403" totalsRowDxfId="1402"/>
    <tableColumn id="6" xr3:uid="{24AAC4C6-656F-44C0-87E7-A586457237B4}" name="Description" totalsRowFunction="count" dataDxfId="1401" totalsRowDxfId="1400"/>
    <tableColumn id="14" xr3:uid="{5B142435-1C90-4234-8FB8-74C6ED9A57EB}" name="Exemples" totalsRowFunction="count" dataDxfId="1399" totalsRowDxfId="1398"/>
    <tableColumn id="7" xr3:uid="{23939F30-951A-4F60-A1C3-04B73AEA5803}" name="Balise NexSIS" totalsRowFunction="count" dataDxfId="1397" totalsRowDxfId="1396"/>
    <tableColumn id="21" xr3:uid="{DC207162-20F5-49F1-888F-349E9D3CC392}" name="Nouvelle balise" totalsRowFunction="count" dataDxfId="1395" totalsRowDxfId="1394"/>
    <tableColumn id="8" xr3:uid="{7556FAA0-1801-4DD7-900A-EE18363D5E82}" name="Nantes - balise" totalsRowFunction="count" dataDxfId="1393" totalsRowDxfId="1392"/>
    <tableColumn id="15" xr3:uid="{5FB127EE-7452-472C-AB5F-3281FCE1AA29}" name="Nantes - description" totalsRowFunction="count" dataDxfId="1391" totalsRowDxfId="1390"/>
    <tableColumn id="18" xr3:uid="{B55CBC10-E0E1-44C1-8A07-61AE2E43D1CB}" name="GT399" totalsRowFunction="count" dataDxfId="1389" totalsRowDxfId="1388"/>
    <tableColumn id="9" xr3:uid="{ED8CCBEC-AE8D-4416-B493-B3C4C06F7DE9}" name="GT399 description" totalsRowFunction="count" dataDxfId="1387" totalsRowDxfId="1386"/>
    <tableColumn id="10" xr3:uid="{46B3BCFD-A3E1-4528-930E-7787E8879562}" name="Priorisation" totalsRowFunction="count" dataDxfId="1385" totalsRowDxfId="1384"/>
    <tableColumn id="11" xr3:uid="{ABAA3778-8B61-4076-8B61-44A440D6CD31}" name="Cardinalité" dataDxfId="1383" totalsRowDxfId="1382"/>
    <tableColumn id="27" xr3:uid="{E5276C21-A4EF-4884-B4FB-C3E1823816EB}" name="Objet" totalsRowFunction="count" dataDxfId="1381" totalsRowDxfId="1380"/>
    <tableColumn id="12" xr3:uid="{5E7CF984-0D2D-4AB5-8857-24FA22847AFC}" name="Format (ou type)" totalsRowFunction="count" dataDxfId="1379" totalsRowDxfId="1378"/>
    <tableColumn id="37" xr3:uid="{2169D618-3BA4-45CD-952B-3014DC716E45}" name="Nomenclature/ énumération" dataDxfId="1377" totalsRowDxfId="1376"/>
    <tableColumn id="31" xr3:uid="{EC8DCE8F-9583-487D-94F2-441D28009773}" name="Détails de format" dataDxfId="1375" totalsRowDxfId="1374"/>
    <tableColumn id="36" xr3:uid="{2218AE1F-CDAB-423E-B754-D13BA6E01E7D}" name="Exos/RRAMU" dataDxfId="1373" totalsRowDxfId="1372"/>
    <tableColumn id="35" xr3:uid="{CF1EC0D3-4BCA-452A-AF26-36BE082E3351}" name="15-15" dataDxfId="1371" totalsRowDxfId="1370"/>
    <tableColumn id="39" xr3:uid="{4775AE16-DC68-4E34-8344-7B69CEBD7DD8}" name="CUT" dataDxfId="1369" totalsRowDxfId="1368"/>
    <tableColumn id="19" xr3:uid="{8FA91BE2-BC77-4525-BDE0-F6A9933290D7}" name="Commentaire Hub Santé" totalsRowFunction="count" dataDxfId="1367" totalsRowDxfId="1366"/>
    <tableColumn id="16" xr3:uid="{CFE0C64C-3AF3-4ED4-B261-757CDC0E4BAF}" name="Commentaire Philippe Dreyfus" totalsRowFunction="count" dataDxfId="1365" totalsRowDxfId="1364"/>
    <tableColumn id="33" xr3:uid="{DEAB7E62-6BC9-459A-9537-0973D7DAD581}" name="Commentaire FBE" dataDxfId="1363" totalsRowDxfId="1362"/>
    <tableColumn id="17" xr3:uid="{29D9B450-9ECA-42F9-BAF0-F3037CEEF915}" name="Commentaire Yann Penverne" totalsRowFunction="count" dataDxfId="1361" totalsRowDxfId="1360"/>
    <tableColumn id="20" xr3:uid="{DDA0A9DE-8EA2-4BC6-88A9-FC4FC0D98FFE}" name="NexSIS" totalsRowFunction="custom" dataDxfId="1359" totalsRowDxfId="1358">
      <totalsRowFormula>SUBTOTAL(103,createCase142[NexSIS])-COUNTIFS(createCase142[NexSIS],"=X")</totalsRowFormula>
    </tableColumn>
    <tableColumn id="22" xr3:uid="{1E79267D-7033-4469-BFCF-BBE2A69D6108}" name="Métier" totalsRowFunction="custom" dataDxfId="1357" totalsRowDxfId="1356">
      <totalsRowFormula>SUBTOTAL(103,createCase142[Métier])-COUNTIFS(createCase142[Métier],"=X")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E199" totalsRowCount="1" headerRowDxfId="1079" dataDxfId="1078" totalsRowDxfId="1077">
  <autoFilter ref="A8:AE198" xr:uid="{EF99425A-BF7C-494D-843B-A436A28F1D50}"/>
  <tableColumns count="31">
    <tableColumn id="26" xr3:uid="{F89F79B0-EC13-4626-8B8B-E72803CF8D7F}" name="ID" totalsRowFunction="count" dataDxfId="1076" totalsRowDxfId="53">
      <calculatedColumnFormula>ROW()-8</calculatedColumnFormula>
    </tableColumn>
    <tableColumn id="34" xr3:uid="{82D9E408-6E89-6548-8064-32C2C1C49796}" name="Donnée (Niveau 1)" dataDxfId="1075" totalsRowDxfId="52"/>
    <tableColumn id="1" xr3:uid="{A4D81CB2-5DBF-46A1-831A-3B0CB8713987}" name="Donnée (Niveau 2)" totalsRowFunction="count" dataDxfId="1074" totalsRowDxfId="51"/>
    <tableColumn id="2" xr3:uid="{70FEA672-42A5-4D50-83E3-20F1DC99F826}" name="Donnée (Niveau 3)" totalsRowFunction="count" dataDxfId="1073" totalsRowDxfId="50"/>
    <tableColumn id="3" xr3:uid="{E5F546D4-3F7C-49D3-ACAD-5C0AA86EEA72}" name="Donnée (Niveau 4)" totalsRowFunction="count" dataDxfId="1072" totalsRowDxfId="49"/>
    <tableColumn id="4" xr3:uid="{C36F63D5-6F86-4068-8553-7E11F2FF2E34}" name="Donnée (Niveau 5)" totalsRowFunction="count" dataDxfId="1071" totalsRowDxfId="48"/>
    <tableColumn id="5" xr3:uid="{BCD32C8B-1BF5-4152-A4E3-856EB454D41F}" name="Donnée (Niveau 6)" totalsRowFunction="count" dataDxfId="1070" totalsRowDxfId="47"/>
    <tableColumn id="6" xr3:uid="{31AB271A-A79E-4AD6-A425-139013E5C0ED}" name="Description" totalsRowFunction="count" dataDxfId="1069" totalsRowDxfId="46"/>
    <tableColumn id="14" xr3:uid="{42356E16-5C2C-47EF-96D9-1439EB52D654}" name="Exemples" totalsRowFunction="count" dataDxfId="1068" totalsRowDxfId="45"/>
    <tableColumn id="7" xr3:uid="{05B3DFF6-BC4E-40A1-862A-0EBD5F2686D8}" name="Balise NexSIS" totalsRowFunction="count" dataDxfId="1067" totalsRowDxfId="44"/>
    <tableColumn id="21" xr3:uid="{A67EAB5D-C889-4A87-AEDD-CB5D507B5224}" name="Nouvelle balise" totalsRowFunction="count" dataDxfId="1066" totalsRowDxfId="43"/>
    <tableColumn id="8" xr3:uid="{142E6E6B-2EEA-41C0-969F-103EB7FEE77B}" name="Nantes - balise" totalsRowFunction="count" dataDxfId="1065" totalsRowDxfId="42"/>
    <tableColumn id="15" xr3:uid="{4B3C95EC-2C41-42CE-9528-75F02E532B07}" name="Nantes - description" totalsRowFunction="count" dataDxfId="1064" totalsRowDxfId="41"/>
    <tableColumn id="18" xr3:uid="{DD4C49C8-6EEB-4810-B6DF-F5EA0958E68F}" name="GT399" totalsRowFunction="count" dataDxfId="1063" totalsRowDxfId="40"/>
    <tableColumn id="9" xr3:uid="{1EF347D1-5F3C-455F-B7CC-0411A0A13BA5}" name="GT399 description" totalsRowFunction="count" dataDxfId="1062" totalsRowDxfId="39"/>
    <tableColumn id="10" xr3:uid="{A688C13F-43B2-4D38-AB61-5A8FA70F8877}" name="Priorisation" totalsRowFunction="count" dataDxfId="1061" totalsRowDxfId="38"/>
    <tableColumn id="11" xr3:uid="{740E98DF-4145-4688-96B5-1DB2B4C65860}" name="Cardinalité" dataDxfId="1060" totalsRowDxfId="37"/>
    <tableColumn id="27" xr3:uid="{5362BDCB-F398-463F-807C-5642BE8139A3}" name="Objet" totalsRowFunction="count" dataDxfId="1059" totalsRowDxfId="36"/>
    <tableColumn id="12" xr3:uid="{F99D40B9-B75A-4B6D-AD14-A9CC94A67A94}" name="Format (ou type)" totalsRowFunction="count" dataDxfId="1058" totalsRowDxfId="35"/>
    <tableColumn id="37" xr3:uid="{C4249FC6-D549-4A35-98D7-D98FEFD604C7}" name="Nomenclature/ énumération" dataDxfId="1057" totalsRowDxfId="34"/>
    <tableColumn id="31" xr3:uid="{165DCEEB-09D9-4414-9EB1-071322B65527}" name="Détails de format" dataDxfId="1056" totalsRowDxfId="33"/>
    <tableColumn id="36" xr3:uid="{DFE77849-E589-4C00-A974-5EA32CAC9950}" name="15-18" dataDxfId="1055" totalsRowDxfId="32"/>
    <tableColumn id="35" xr3:uid="{6F7422E5-A9F0-4CB5-94CC-23CADED3A1EA}" name="15-15" dataDxfId="1054" totalsRowDxfId="31"/>
    <tableColumn id="24" xr3:uid="{84A6C4F7-D7B2-45A3-94D6-FA4C63F0BF6D}" name="15-SMUR" dataDxfId="1053" totalsRowDxfId="30"/>
    <tableColumn id="39" xr3:uid="{D123E456-B227-404D-9075-2C12B6D79281}" name="CUT" dataDxfId="1052" totalsRowDxfId="29"/>
    <tableColumn id="19" xr3:uid="{0E27CA97-E0CC-4707-8A95-C2EB8B822A50}" name="Commentaire Hub Santé" totalsRowFunction="count" dataDxfId="1051" totalsRowDxfId="28"/>
    <tableColumn id="16" xr3:uid="{85C90A89-19FA-4640-8DE9-5BC81E29801A}" name="Commentaire Philippe Dreyfus" totalsRowFunction="count" dataDxfId="1050" totalsRowDxfId="27"/>
    <tableColumn id="33" xr3:uid="{F9B7E469-F267-4217-89F6-2332B9BE9F00}" name="Commentaire FBE" dataDxfId="1049" totalsRowDxfId="26"/>
    <tableColumn id="17" xr3:uid="{AF1719C0-5CFC-4F9F-8447-1E16DD154E8D}" name="Commentaire Yann Penverne" totalsRowFunction="count" dataDxfId="1048" totalsRowDxfId="25"/>
    <tableColumn id="20" xr3:uid="{A1AC7405-8CAD-4797-ACD3-A6DB9BD4973A}" name="NexSIS" totalsRowFunction="custom" dataDxfId="1047" totalsRowDxfId="24">
      <totalsRowFormula>SUBTOTAL(103,createCase[NexSIS])-COUNTIFS(createCase[NexSIS],"=X")</totalsRowFormula>
    </tableColumn>
    <tableColumn id="22" xr3:uid="{BFD15786-BC47-434A-8C58-1A07EC8D4305}" name="Métier" totalsRowFunction="custom" dataDxfId="1046" totalsRowDxfId="23">
      <totalsRowFormula>SUBTOTAL(103,createCase[Métier])-COUNTIFS(createCase[Métier],"=X")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X93" totalsRowCount="1" headerRowDxfId="949" dataDxfId="948" totalsRowDxfId="947">
  <autoFilter ref="A8:X92" xr:uid="{C92664FE-ED8F-46D7-9DD5-6F2E0861D6FF}"/>
  <tableColumns count="24">
    <tableColumn id="26" xr3:uid="{62D1D962-435E-445C-8176-6AFEE7ABB964}" name="ID" totalsRowFunction="count" dataDxfId="946" totalsRowDxfId="945"/>
    <tableColumn id="34" xr3:uid="{AF99D652-DA31-487A-8CE3-C43A9D0D0F82}" name="Donnée (Niveau 1)" dataDxfId="944" totalsRowDxfId="943"/>
    <tableColumn id="1" xr3:uid="{26624729-2378-4BE4-AF94-2AD83420E408}" name="Donnée (Niveau 2)" totalsRowFunction="count" dataDxfId="942" totalsRowDxfId="941"/>
    <tableColumn id="2" xr3:uid="{3DF2C155-D187-4F5C-A2F9-29CA2B2A18CC}" name="Donnée (Niveau 3)" totalsRowFunction="count" dataDxfId="940" totalsRowDxfId="939"/>
    <tableColumn id="3" xr3:uid="{DD16CD2E-7545-4983-AF64-50A47209731F}" name="Donnée (Niveau 4)" totalsRowFunction="count" dataDxfId="938" totalsRowDxfId="937"/>
    <tableColumn id="4" xr3:uid="{9201EFE0-C9BD-490F-B6AA-83311B09262F}" name="Donnée (Niveau 5)" totalsRowFunction="count" dataDxfId="936" totalsRowDxfId="935"/>
    <tableColumn id="5" xr3:uid="{20C32895-212D-4F26-B134-FBDF1FD4ED0E}" name="Donnée (Niveau 6)" totalsRowFunction="count" dataDxfId="934" totalsRowDxfId="933"/>
    <tableColumn id="6" xr3:uid="{036B2D7E-23E0-4814-B2FB-5C619B25F782}" name="Description" totalsRowFunction="count" dataDxfId="932" totalsRowDxfId="931"/>
    <tableColumn id="14" xr3:uid="{51A4E1A3-F3DC-4BAD-9F20-81B65F485A0D}" name="Exemples" totalsRowFunction="count" dataDxfId="930" totalsRowDxfId="929"/>
    <tableColumn id="7" xr3:uid="{E778FC69-A017-41C1-83AA-E451D575B2A3}" name="Balise NexSIS" dataDxfId="928" totalsRowDxfId="927"/>
    <tableColumn id="21" xr3:uid="{C6BE7A8E-F875-441C-BFA9-86D71B9EFF88}" name="Nouvelle balise" totalsRowFunction="count" dataDxfId="926" totalsRowDxfId="925"/>
    <tableColumn id="11" xr3:uid="{F10EE65F-1515-4AE2-9211-FD44F3EA5D3E}" name="Cardinalité" dataDxfId="924" totalsRowDxfId="923"/>
    <tableColumn id="27" xr3:uid="{B47DCBC0-7B24-497F-8892-323B08A42011}" name="Objet" totalsRowFunction="count" dataDxfId="922" totalsRowDxfId="921"/>
    <tableColumn id="12" xr3:uid="{15BDE3A9-E8A9-4EFC-A353-0269A66BC2B2}" name="Format (ou type)" totalsRowFunction="count" dataDxfId="920" totalsRowDxfId="919"/>
    <tableColumn id="37" xr3:uid="{046163B9-02C2-4347-B7FB-61E0432AAB68}" name="Nomenclature/ énumération" dataDxfId="918" totalsRowDxfId="917"/>
    <tableColumn id="31" xr3:uid="{20E92D64-29A1-4239-93C5-E8F762FFD8DE}" name="Détails de format" dataDxfId="916" totalsRowDxfId="915"/>
    <tableColumn id="36" xr3:uid="{636C128D-46D4-443D-9FB6-645B4E8390EC}" name="15-18" dataDxfId="914" totalsRowDxfId="913"/>
    <tableColumn id="35" xr3:uid="{3C17CD84-5847-4BD3-990E-46197D8D30CE}" name="15-15" dataDxfId="912" totalsRowDxfId="911"/>
    <tableColumn id="39" xr3:uid="{8F5DF9DE-3AC1-4BBF-B05B-904A5EB4D934}" name="CUT" dataDxfId="910" totalsRowDxfId="909"/>
    <tableColumn id="19" xr3:uid="{B90DC3CB-85F4-4D23-8DE4-7B4C05AC2236}" name="Commentaire Hub Santé" totalsRowFunction="count" dataDxfId="908" totalsRowDxfId="907"/>
    <tableColumn id="16" xr3:uid="{E17F6AB0-4FBD-425F-A071-573AD4BA0F3E}" name="Commentaire Philippe Dreyfus" totalsRowFunction="count" dataDxfId="906" totalsRowDxfId="905"/>
    <tableColumn id="33" xr3:uid="{7CFA00D6-8048-42E1-B541-BEA178D54E3E}" name="Commentaire FBE" dataDxfId="904" totalsRowDxfId="903"/>
    <tableColumn id="17" xr3:uid="{FC58F8C6-81B4-4955-A593-71BD7E5BDA7A}" name="Commentaire Yann Penverne" totalsRowFunction="count" dataDxfId="902" totalsRowDxfId="901"/>
    <tableColumn id="22" xr3:uid="{DB0180C0-781E-4165-87A4-8168655417AB}" name="Métier" totalsRowFunction="custom" dataDxfId="900" totalsRowDxfId="899">
      <totalsRowFormula>SUBTOTAL(103,createCase1418[Métier])-COUNTIFS(createCase1418[Métier],"=X")</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X65" totalsRowCount="1" headerRowDxfId="804" dataDxfId="803" totalsRowDxfId="802">
  <autoFilter ref="A8:X64" xr:uid="{C92664FE-ED8F-46D7-9DD5-6F2E0861D6FF}"/>
  <tableColumns count="24">
    <tableColumn id="26" xr3:uid="{3D95D60D-4749-4205-B5A3-C40BC9083DDF}" name="ID" totalsRowFunction="count" dataDxfId="801" totalsRowDxfId="800"/>
    <tableColumn id="34" xr3:uid="{F55F9431-FBCC-4C37-BC99-DDE204E6AD66}" name="Donnée (Niveau 1)" dataDxfId="799" totalsRowDxfId="798"/>
    <tableColumn id="1" xr3:uid="{7BDE9DBC-8BFF-4962-94C8-303215EF6651}" name="Donnée (Niveau 2)" totalsRowFunction="count" dataDxfId="797" totalsRowDxfId="796"/>
    <tableColumn id="2" xr3:uid="{D40563B8-DCFF-4581-97D6-3BC1A593C4AB}" name="Donnée (Niveau 3)" totalsRowFunction="count" dataDxfId="795" totalsRowDxfId="794"/>
    <tableColumn id="3" xr3:uid="{25A7848B-AF8E-4993-88F6-92216A238470}" name="Donnée (Niveau 4)" totalsRowFunction="count" dataDxfId="793" totalsRowDxfId="792"/>
    <tableColumn id="4" xr3:uid="{AA50B053-891E-46D9-A92A-0E26EF075B7E}" name="Donnée (Niveau 5)" totalsRowFunction="count" dataDxfId="791" totalsRowDxfId="790"/>
    <tableColumn id="5" xr3:uid="{58A3E3FB-40F5-40E2-96F6-8C1C4AF04759}" name="Donnée (Niveau 6)" totalsRowFunction="count" dataDxfId="789" totalsRowDxfId="788"/>
    <tableColumn id="6" xr3:uid="{C62E45BF-811F-42E7-AB88-572B417F6150}" name="Description" totalsRowFunction="count" dataDxfId="787" totalsRowDxfId="786"/>
    <tableColumn id="14" xr3:uid="{F9F87B89-8446-4459-82BE-4CC3FDAE3D24}" name="Exemples" totalsRowFunction="count" dataDxfId="785" totalsRowDxfId="784"/>
    <tableColumn id="7" xr3:uid="{F4B052FA-031E-401E-BE7B-85F763764DFE}" name="Balise NexSIS" dataDxfId="783" totalsRowDxfId="782"/>
    <tableColumn id="21" xr3:uid="{48DE3666-C566-4CAB-B0A7-07A3209B6595}" name="Nouvelle balise" totalsRowFunction="count" dataDxfId="781" totalsRowDxfId="780"/>
    <tableColumn id="11" xr3:uid="{FD69FEBC-E70D-44C5-AD2D-C6CC2D1C0D06}" name="Cardinalité" dataDxfId="779" totalsRowDxfId="778"/>
    <tableColumn id="27" xr3:uid="{B5A842FA-9CEA-4996-A030-5CA520DDD42D}" name="Objet" totalsRowFunction="count" dataDxfId="777" totalsRowDxfId="776"/>
    <tableColumn id="12" xr3:uid="{A04D9211-F25C-4418-9545-A6F2966A3528}" name="Format (ou type)" totalsRowFunction="count" dataDxfId="775" totalsRowDxfId="774"/>
    <tableColumn id="37" xr3:uid="{4AA2533B-7EE3-47E8-A3C9-3721487911B2}" name="Nomenclature/ énumération" dataDxfId="773" totalsRowDxfId="772"/>
    <tableColumn id="31" xr3:uid="{5F33B9AF-8F57-40C0-B58A-2900055019D0}" name="Détails de format" dataDxfId="771" totalsRowDxfId="770"/>
    <tableColumn id="36" xr3:uid="{4350E4CE-9B26-491D-804C-0334C47A43C5}" name="15-18" dataDxfId="769" totalsRowDxfId="768"/>
    <tableColumn id="35" xr3:uid="{D25EA6AD-098C-4C6E-94BD-A321CF38C383}" name="15-15" dataDxfId="767" totalsRowDxfId="766"/>
    <tableColumn id="39" xr3:uid="{05BE7884-8749-4B81-B356-DDAA0EAB4864}" name="CUT" dataDxfId="765" totalsRowDxfId="764"/>
    <tableColumn id="19" xr3:uid="{6A104928-C33B-4AA9-A990-40B6C20E9D80}" name="Commentaire Hub Santé" totalsRowFunction="count" dataDxfId="763" totalsRowDxfId="762"/>
    <tableColumn id="16" xr3:uid="{712AA8BE-EBEC-4D34-9BE4-C551609D4A8E}" name="Commentaire Philippe Dreyfus" totalsRowFunction="count" dataDxfId="761" totalsRowDxfId="760"/>
    <tableColumn id="33" xr3:uid="{C7EF274F-4008-4396-97F1-6B640D914E6E}" name="Commentaire FBE" dataDxfId="759" totalsRowDxfId="758"/>
    <tableColumn id="17" xr3:uid="{BC6A7B64-7E37-4F83-AA3E-8E136D3C025C}" name="Commentaire Yann Penverne" totalsRowFunction="count" dataDxfId="757" totalsRowDxfId="756"/>
    <tableColumn id="22" xr3:uid="{FBAE91BA-4332-4036-98CF-545C9190993D}" name="Métier" totalsRowFunction="custom" dataDxfId="755" totalsRowDxfId="754">
      <totalsRowFormula>SUBTOTAL(103,createCase141814[Métier])-COUNTIFS(createCase141814[Métier],"=X")</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X43" totalsRowCount="1" headerRowDxfId="640" dataDxfId="639" totalsRowDxfId="638">
  <autoFilter ref="A8:X42" xr:uid="{C92664FE-ED8F-46D7-9DD5-6F2E0861D6FF}"/>
  <tableColumns count="24">
    <tableColumn id="26" xr3:uid="{F0BBFE2C-91EC-4F63-8C42-7A13D8DB1773}" name="ID" totalsRowFunction="count" dataDxfId="637" totalsRowDxfId="636"/>
    <tableColumn id="34" xr3:uid="{D4146487-94AF-45AE-9337-108D3BA4CEB4}" name="Donnée (Niveau 1)" dataDxfId="635" totalsRowDxfId="634"/>
    <tableColumn id="1" xr3:uid="{6249CE60-4860-4AE5-B2FE-DC960F0E9986}" name="Donnée (Niveau 2)" totalsRowFunction="count" dataDxfId="633" totalsRowDxfId="632"/>
    <tableColumn id="2" xr3:uid="{C2D3DCAE-6928-4F1C-AF61-C37FEBF17CE7}" name="Donnée (Niveau 3)" totalsRowFunction="count" dataDxfId="631" totalsRowDxfId="630"/>
    <tableColumn id="3" xr3:uid="{33216364-1D3C-4C3A-9A87-FDF54DD48221}" name="Donnée (Niveau 4)" totalsRowFunction="count" dataDxfId="629" totalsRowDxfId="628"/>
    <tableColumn id="4" xr3:uid="{57EF9CD5-EC70-4A23-A60C-23D9F357C89F}" name="Donnée (Niveau 5)" totalsRowFunction="count" dataDxfId="627" totalsRowDxfId="626"/>
    <tableColumn id="5" xr3:uid="{9F84A053-8A83-4A58-AEB1-A4D4BC92B461}" name="Donnée (Niveau 6)" totalsRowFunction="count" dataDxfId="625" totalsRowDxfId="624"/>
    <tableColumn id="6" xr3:uid="{D1C161A6-6AE9-4A45-944C-37A17B71ECB9}" name="Description" totalsRowFunction="count" dataDxfId="623" totalsRowDxfId="622"/>
    <tableColumn id="14" xr3:uid="{B7506A0E-75D9-44A0-9C02-5DB0ECF2A955}" name="Exemples" totalsRowFunction="count" dataDxfId="621" totalsRowDxfId="620"/>
    <tableColumn id="7" xr3:uid="{75D58EAE-33E2-4457-BF72-961EB594E74F}" name="Balise NexSIS" dataDxfId="619" totalsRowDxfId="618"/>
    <tableColumn id="21" xr3:uid="{8064C132-A136-4348-BB46-3374B12E8118}" name="Nouvelle balise" totalsRowFunction="count" dataDxfId="617" totalsRowDxfId="616"/>
    <tableColumn id="11" xr3:uid="{07C5EC80-6F69-4BF2-A52F-A8DC0C68FDD5}" name="Cardinalité" dataDxfId="615" totalsRowDxfId="614"/>
    <tableColumn id="27" xr3:uid="{45AE51DB-A6BF-45B0-A5E3-450B57AFF1BE}" name="Objet" totalsRowFunction="count" dataDxfId="613" totalsRowDxfId="612"/>
    <tableColumn id="12" xr3:uid="{DDC6828F-2B6C-4E05-87D2-07F4D40557F4}" name="Format (ou type)" totalsRowFunction="count" dataDxfId="611" totalsRowDxfId="610"/>
    <tableColumn id="37" xr3:uid="{66657B31-D3ED-45B0-AFA9-C1A1912F21C1}" name="Nomenclature/ énumération" dataDxfId="609" totalsRowDxfId="608"/>
    <tableColumn id="31" xr3:uid="{FC0F3951-1CFE-4C1D-96D5-F355E8519DFE}" name="Détails de format" dataDxfId="607" totalsRowDxfId="606"/>
    <tableColumn id="36" xr3:uid="{E4D376D5-6C75-44C6-9C5A-2DB0ECCB6D64}" name="15-18" dataDxfId="605" totalsRowDxfId="604"/>
    <tableColumn id="35" xr3:uid="{EA11A1BC-8967-40FA-ADCD-0B84F05B4FB7}" name="15-15" dataDxfId="603" totalsRowDxfId="602"/>
    <tableColumn id="39" xr3:uid="{D31DD38F-C6EE-4749-A560-C7A57192A678}" name="CUT" dataDxfId="601" totalsRowDxfId="600"/>
    <tableColumn id="19" xr3:uid="{B19166B6-0C3E-4F4D-ADFE-C549689DAD0F}" name="Commentaire Hub Santé" totalsRowFunction="count" dataDxfId="599" totalsRowDxfId="598"/>
    <tableColumn id="16" xr3:uid="{4463EAB1-8B99-416B-81E7-7BF762EFF67F}" name="Commentaire Philippe Dreyfus" totalsRowFunction="count" dataDxfId="597" totalsRowDxfId="596"/>
    <tableColumn id="33" xr3:uid="{AEB9EA63-47DE-4EB1-98A2-28AF16C300B3}" name="Commentaire FBE" dataDxfId="595" totalsRowDxfId="594"/>
    <tableColumn id="17" xr3:uid="{A303D711-3B44-411C-AFCC-D94F65BB0726}" name="Commentaire Yann Penverne" totalsRowFunction="count" dataDxfId="593" totalsRowDxfId="592"/>
    <tableColumn id="22" xr3:uid="{05D5BA78-9525-42BB-9AA1-997AB030D68E}" name="Métier" totalsRowFunction="custom" dataDxfId="591" totalsRowDxfId="590">
      <totalsRowFormula>SUBTOTAL(103,createCase14181419[Métier])-COUNTIFS(createCase14181419[Métier],"=X")</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AF71" totalsRowCount="1" headerRowDxfId="575" dataDxfId="574" totalsRowDxfId="573">
  <autoFilter ref="A8:AF70" xr:uid="{63D50B21-49FD-4724-931E-4B74BF8476B1}"/>
  <tableColumns count="32">
    <tableColumn id="26" xr3:uid="{8D5EDC39-215F-4E94-846A-3D4ACA1D2C53}" name="ID" totalsRowFunction="count" dataDxfId="572" totalsRowDxfId="571">
      <calculatedColumnFormula>ROW()-8</calculatedColumnFormula>
    </tableColumn>
    <tableColumn id="34" xr3:uid="{207093F4-4D8B-4CEB-9D2D-235D14641525}" name="Donnée (Niveau 1)" dataDxfId="570" totalsRowDxfId="569"/>
    <tableColumn id="1" xr3:uid="{9E73ABC5-269F-4BD3-9995-81E72371DAE3}" name="Donnée (Niveau 2)" totalsRowFunction="count" dataDxfId="568" totalsRowDxfId="567"/>
    <tableColumn id="2" xr3:uid="{2161A585-4F28-44FE-A023-7DB4D8C14776}" name="Donnée (Niveau 3)" totalsRowFunction="count" dataDxfId="566" totalsRowDxfId="565"/>
    <tableColumn id="3" xr3:uid="{B4AC3C84-E90A-41BE-8D7E-B00512446AA0}" name="Donnée (Niveau 4)" totalsRowFunction="count" dataDxfId="564" totalsRowDxfId="563"/>
    <tableColumn id="4" xr3:uid="{7625C9EB-D58E-42FE-879B-9F8F2027D9BC}" name="Donnée (Niveau 5)" totalsRowFunction="count" dataDxfId="562" totalsRowDxfId="561"/>
    <tableColumn id="5" xr3:uid="{F9A74558-8C8F-45C8-835B-46F0B31B479D}" name="Donnée (Niveau 6)" totalsRowFunction="count" dataDxfId="560" totalsRowDxfId="559"/>
    <tableColumn id="6" xr3:uid="{09509801-3591-48A7-8985-CCEA3490DE3C}" name="Description" totalsRowFunction="count" dataDxfId="558" totalsRowDxfId="557"/>
    <tableColumn id="14" xr3:uid="{8545E83F-C13A-48FC-82C5-4A224D3A6106}" name="Exemples" totalsRowFunction="count" dataDxfId="556" totalsRowDxfId="555"/>
    <tableColumn id="7" xr3:uid="{F7282465-AB67-4D8A-90B4-CAF4CDB5007B}" name="Balise NexSIS" totalsRowFunction="count" dataDxfId="554" totalsRowDxfId="553"/>
    <tableColumn id="21" xr3:uid="{44DD35C0-3D58-465E-82FF-70ABB11F29EF}" name="Nouvelle balise" totalsRowFunction="count" dataDxfId="552" totalsRowDxfId="551"/>
    <tableColumn id="8" xr3:uid="{8F87BED5-B74C-4B7A-B29D-D91C208A9F73}" name="Nantes - balise" totalsRowFunction="count" dataDxfId="550" totalsRowDxfId="549"/>
    <tableColumn id="15" xr3:uid="{718CC66C-29F4-4C63-B0E0-D70789F55F8F}" name="Nantes - description" totalsRowFunction="count" dataDxfId="548" totalsRowDxfId="547"/>
    <tableColumn id="18" xr3:uid="{65F92B88-E7A2-45E5-8796-E162FAED8248}" name="GT399" totalsRowFunction="count" dataDxfId="546" totalsRowDxfId="545"/>
    <tableColumn id="9" xr3:uid="{A24D6524-4257-4D93-94F9-A3667397DDBA}" name="GT399 description" totalsRowFunction="count" dataDxfId="544" totalsRowDxfId="543"/>
    <tableColumn id="10" xr3:uid="{E016D53B-CB5B-4F83-A1DA-7C210BE8E926}" name="Priorisation" totalsRowFunction="count" dataDxfId="542" totalsRowDxfId="541"/>
    <tableColumn id="11" xr3:uid="{17AE5B25-E42A-4545-AF36-AE2BF5D231F1}" name="Cardinalité" dataDxfId="540" totalsRowDxfId="539"/>
    <tableColumn id="27" xr3:uid="{0646FC2D-E448-497F-9566-96B9E754D7B3}" name="Objet" totalsRowFunction="count" dataDxfId="538" totalsRowDxfId="537"/>
    <tableColumn id="12" xr3:uid="{9F463A79-A8A7-456D-BC30-1910D14EEA3A}" name="Format (ou type)" totalsRowFunction="count" dataDxfId="536" totalsRowDxfId="535"/>
    <tableColumn id="37" xr3:uid="{B034C9F4-78BE-4F4D-9B79-BA9F5DAB2826}" name="Nomenclature/ énumération" dataDxfId="534" totalsRowDxfId="533"/>
    <tableColumn id="31" xr3:uid="{3158C7A2-A99D-4EF2-8BAE-8667747DCF73}" name="Détails de format" dataDxfId="532" totalsRowDxfId="531"/>
    <tableColumn id="36" xr3:uid="{89279DA3-D94C-4AAB-B817-DF00FFBA9888}" name="15-RPIS" dataDxfId="530" totalsRowDxfId="529"/>
    <tableColumn id="13" xr3:uid="{A70D290D-71CE-4BB5-8E04-3E3B951B7729}" name="15-SMUR" dataDxfId="528" totalsRowDxfId="527"/>
    <tableColumn id="23" xr3:uid="{FB137A89-375F-455A-9ADB-F409CB7B19B9}" name="15-18" dataDxfId="526" totalsRowDxfId="525"/>
    <tableColumn id="35" xr3:uid="{EE84F553-FEE7-4CD0-89C0-C8DD492F4429}" name="15-TSU" dataDxfId="524" totalsRowDxfId="523"/>
    <tableColumn id="39" xr3:uid="{DA320A45-45B6-4963-91DD-917A38D8DF49}" name="CUT" dataDxfId="522" totalsRowDxfId="521"/>
    <tableColumn id="19" xr3:uid="{FF109D4E-4787-4AB3-9E15-478656FCDADF}" name="Commentaire Hub Santé" totalsRowFunction="count" dataDxfId="520" totalsRowDxfId="519"/>
    <tableColumn id="16" xr3:uid="{642C8AF9-3354-4F6C-A37B-363B64C9780B}" name="Commentaire Philippe Dreyfus" totalsRowFunction="count" dataDxfId="518" totalsRowDxfId="517"/>
    <tableColumn id="33" xr3:uid="{44001357-ED08-4953-9C2E-B2302A17E223}" name="Commentaire FBE" dataDxfId="516" totalsRowDxfId="515"/>
    <tableColumn id="17" xr3:uid="{D9CE2245-CA19-44A0-94CC-CE702DFB5445}" name="Commentaire Yann Penverne" totalsRowFunction="count" dataDxfId="514" totalsRowDxfId="513"/>
    <tableColumn id="20" xr3:uid="{2A0BBAC6-9A77-4C1A-BA6E-777232E44EA6}" name="NexSIS" totalsRowFunction="custom" dataDxfId="512" totalsRowDxfId="511">
      <totalsRowFormula>SUBTOTAL(103,createCase2912[NexSIS])-COUNTIFS(createCase2912[NexSIS],"=X")</totalsRowFormula>
    </tableColumn>
    <tableColumn id="22" xr3:uid="{2D3A15A0-662A-48E8-A3A3-1095AE1804CC}" name="Métier" totalsRowFunction="custom" dataDxfId="510" totalsRowDxfId="509">
      <totalsRowFormula>SUBTOTAL(103,createCase2912[Métier])-COUNTIFS(createCase2912[Métier],"=X")</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AD93" totalsRowCount="1" headerRowDxfId="500" dataDxfId="499" totalsRowDxfId="498">
  <autoFilter ref="A8:AD92" xr:uid="{61BCAC55-9BDD-436A-8C43-43FA10A8A29F}"/>
  <tableColumns count="30">
    <tableColumn id="26" xr3:uid="{588455DD-C3D5-4460-AC26-09BB83302193}" name="ID" totalsRowFunction="count" dataDxfId="497" totalsRowDxfId="496"/>
    <tableColumn id="34" xr3:uid="{75617E3F-38B8-498E-B488-E5382B8D8E59}" name="Donnée (Niveau 1)" dataDxfId="495" totalsRowDxfId="494"/>
    <tableColumn id="1" xr3:uid="{90A61A2B-B1CF-4E5B-AC63-E218B3506FE1}" name="Donnée (Niveau 2)" totalsRowFunction="count" dataDxfId="493" totalsRowDxfId="492"/>
    <tableColumn id="2" xr3:uid="{40B5ED06-C233-4300-B851-9639491A20EA}" name="Donnée (Niveau 3)" totalsRowFunction="count" dataDxfId="491" totalsRowDxfId="490"/>
    <tableColumn id="3" xr3:uid="{FE650810-91F2-43FA-A1A9-4ADEDDF019D9}" name="Donnée (Niveau 4)" totalsRowFunction="count" dataDxfId="489" totalsRowDxfId="488"/>
    <tableColumn id="4" xr3:uid="{67B0AC35-FCE9-4B98-A5B5-F79242422DED}" name="Donnée (Niveau 5)" totalsRowFunction="count" dataDxfId="487" totalsRowDxfId="486"/>
    <tableColumn id="5" xr3:uid="{5584FBA0-8C9A-4B74-996C-489E5B6D8B31}" name="Donnée (Niveau 6)" totalsRowFunction="count" dataDxfId="485" totalsRowDxfId="484"/>
    <tableColumn id="6" xr3:uid="{B561E47E-0EF4-4741-9318-11ED52CE2081}" name="Description" totalsRowFunction="count" dataDxfId="483" totalsRowDxfId="482"/>
    <tableColumn id="14" xr3:uid="{BCB241CF-864B-404B-9457-5CFCE283A52E}" name="Exemples" totalsRowFunction="count" dataDxfId="481" totalsRowDxfId="480"/>
    <tableColumn id="7" xr3:uid="{EAF17525-FE29-430A-A520-5F864853ED00}" name="Balise NexSIS" totalsRowFunction="count" dataDxfId="479" totalsRowDxfId="478"/>
    <tableColumn id="21" xr3:uid="{D0BFFE6C-4225-46D0-B895-F3676779BA23}" name="Nouvelle balise" totalsRowFunction="count" dataDxfId="477" totalsRowDxfId="476"/>
    <tableColumn id="8" xr3:uid="{3895610D-D4D5-42BF-BCF9-30A1A3C697D5}" name="Nantes - balise" totalsRowFunction="count" dataDxfId="475" totalsRowDxfId="474"/>
    <tableColumn id="15" xr3:uid="{A4C3AF04-789D-45AA-AF75-181EE5D3C889}" name="Nantes - description" totalsRowFunction="count" dataDxfId="473" totalsRowDxfId="472"/>
    <tableColumn id="18" xr3:uid="{0B319C5E-2B1A-48A1-AB5B-565B289E8E5A}" name="GT399" totalsRowFunction="count" dataDxfId="471" totalsRowDxfId="470"/>
    <tableColumn id="9" xr3:uid="{3270362B-AE6D-4A4F-9B53-9B4705420332}" name="GT399 description" totalsRowFunction="count" dataDxfId="469" totalsRowDxfId="468"/>
    <tableColumn id="10" xr3:uid="{7DFD36C3-C87A-40C8-A097-E0E6D15F31FF}" name="Priorisation" totalsRowFunction="count" dataDxfId="467" totalsRowDxfId="466"/>
    <tableColumn id="11" xr3:uid="{830A5A92-5BDB-4DBC-B7BB-71ACF59E0F86}" name="Cardinalité" dataDxfId="465" totalsRowDxfId="464"/>
    <tableColumn id="27" xr3:uid="{84308AE7-7DC0-4DF5-B1F2-D62629FB9721}" name="Objet" totalsRowFunction="count" dataDxfId="463" totalsRowDxfId="462"/>
    <tableColumn id="12" xr3:uid="{BC7634C4-D51C-4D1D-A74D-CA61CA757208}" name="Format (ou type)" totalsRowFunction="count" dataDxfId="461" totalsRowDxfId="460"/>
    <tableColumn id="37" xr3:uid="{66BD417D-8F82-43EE-8B74-84DF4CC46C92}" name="Nomenclature/ énumération" dataDxfId="459" totalsRowDxfId="458"/>
    <tableColumn id="31" xr3:uid="{57E65586-98BD-4335-934F-A093282E1FEE}" name="Détails de format" dataDxfId="457" totalsRowDxfId="456"/>
    <tableColumn id="36" xr3:uid="{8151D5CE-9DBC-4230-BFCD-A109E5501497}" name="15-18" dataDxfId="455" totalsRowDxfId="454"/>
    <tableColumn id="35" xr3:uid="{B2C9F5A2-91F5-468B-AE17-940BE1DE3870}" name="15-SMUR" dataDxfId="453" totalsRowDxfId="452"/>
    <tableColumn id="39" xr3:uid="{81AAA84E-9D2F-4ADE-9D78-C7DB3A5A2ACF}" name="15-ATSU" dataDxfId="451" totalsRowDxfId="450"/>
    <tableColumn id="19" xr3:uid="{0F82E793-70E1-4AE5-ACE7-7E8EB5091B93}" name="Commentaire Hub Santé" totalsRowFunction="count" dataDxfId="449" totalsRowDxfId="448"/>
    <tableColumn id="16" xr3:uid="{C59347C9-5FCC-40A9-8926-CA2A963211D3}" name="Commentaire Philippe Dreyfus" totalsRowFunction="count" dataDxfId="447" totalsRowDxfId="446"/>
    <tableColumn id="33" xr3:uid="{61C64199-FD5A-477C-9F67-38D22581EECF}" name="Commentaire FBE" dataDxfId="445" totalsRowDxfId="444"/>
    <tableColumn id="17" xr3:uid="{E78A9C85-C797-4A18-8685-52FDE2B659CA}" name="Commentaire Yann Penverne" totalsRowFunction="count" dataDxfId="443" totalsRowDxfId="442"/>
    <tableColumn id="20" xr3:uid="{F9D1F989-7BDE-4BE2-8178-8D906FAA358D}" name="NexSIS" totalsRowFunction="custom" dataDxfId="441" totalsRowDxfId="440">
      <totalsRowFormula>SUBTOTAL(103,createCase215[NexSIS])-COUNTIFS(createCase215[NexSIS],"=X")</totalsRowFormula>
    </tableColumn>
    <tableColumn id="22" xr3:uid="{736803F3-8344-4B8F-A1B7-881CC3FA1483}" name="Métier" totalsRowFunction="custom" dataDxfId="439" totalsRowDxfId="438">
      <totalsRowFormula>SUBTOTAL(103,createCase215[Métier])-COUNTIFS(createCase215[Métier],"=X")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C17" dT="2024-03-27T13:51:12.15" personId="{D6952652-30E5-479A-9FFE-AD0BC8CBB562}" id="{0CE8A59F-6C67-4E3A-891B-3EA2B5782CF2}">
    <text>Type déduit par rapport à la localisation de l'intervention vs de la destination (ex. Si hospitalier alors sorite SMUR secondaire), et pour les TIH : idem plus niveau de médicalisation (=paramédical)</text>
  </threadedComment>
  <threadedComment ref="D24" dT="2024-03-26T14:48:00.56" personId="{D6952652-30E5-479A-9FFE-AD0BC8CBB562}" id="{AFBC43DC-22DD-45A7-94DB-0652D4386677}">
    <text xml:space="preserve">Quel libellé/code prendre ? </text>
  </threadedComment>
  <threadedComment ref="D24" dT="2024-03-26T14:50:37.20" personId="{D6952652-30E5-479A-9FFE-AD0BC8CBB562}" id="{12D414B6-9197-442F-966B-F11238AB8098}" parentId="{AFBC43DC-22DD-45A7-94DB-0652D4386677}">
    <text xml:space="preserve">Exemple : si accident routier entre un piéton et camion de marchandise, quel est le code à retenir ? AVPAR ? AVPARCAM ? AVPARPIE ? </text>
  </threadedComment>
  <threadedComment ref="D24" dT="2024-03-26T14:50:53.56" personId="{D6952652-30E5-479A-9FFE-AD0BC8CBB562}" id="{7123B02D-79C1-4AE4-A452-1757A424ABF5}" parentId="{AFBC43DC-22DD-45A7-94DB-0652D4386677}">
    <text>Ou est-ce à préciser dans le commentaire ?</text>
  </threadedComment>
  <threadedComment ref="C29" dT="2024-03-27T13:59:13.40" personId="{D6952652-30E5-479A-9FFE-AD0BC8CBB562}" id="{E217C0E1-E310-4516-9319-75E49215DCA3}">
    <text xml:space="preserve">Comment gérer le fait que la date de naissance n'est pas toujours connu, et que seul un âge est saisi ? </text>
  </threadedComment>
  <threadedComment ref="C59" dT="2024-03-25T16:05:53.08" personId="{D6952652-30E5-479A-9FFE-AD0BC8CBB562}" id="{CA9F7116-A69A-49A4-A9FD-112B11A9100E}">
    <text>Correspond également au motif de sans transport (soins sur place, refus de soins, refus de transport, décédé)</text>
  </threadedComment>
  <threadedComment ref="H62" dT="2024-03-27T14:38:41.61" personId="{D6952652-30E5-479A-9FFE-AD0BC8CBB562}" id="{91C7B266-0E0A-4462-A600-2FC08026D2AA}">
    <text>Pas de nomenclature dispo dans l'Excel partagé</text>
  </threadedComment>
  <threadedComment ref="D68"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2.xml><?xml version="1.0" encoding="utf-8"?>
<ThreadedComments xmlns="http://schemas.microsoft.com/office/spreadsheetml/2018/threadedcomments" xmlns:x="http://schemas.openxmlformats.org/spreadsheetml/2006/main">
  <threadedComment ref="J1" dT="2023-09-21T15:05:23.74" personId="{C9A89B3A-A5FD-6849-8E65-1CD4E6C7CFF2}" id="{479F015F-54AC-4C4B-A571-D82C1DB25F24}" done="1">
    <text>Valider avec NexSIS les noms des balises racines !! (message, createCase, emsi)</text>
  </threadedComment>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3.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4-04-19T13:17:48.56" personId="{E9A6DF60-F9B3-4BD0-BB8A-DE1D37E26830}" id="{9C816C17-63F7-4443-898B-193E759904F6}">
    <text>= priorité de régulation médicale dans le modèle actuel</text>
  </threadedComment>
  <threadedComment ref="H1" dT="2023-09-21T15:05:23.74" personId="{C9A89B3A-A5FD-6849-8E65-1CD4E6C7CFF2}" id="{4570E3BC-C741-489A-A78A-421EBE0A2EB1}" done="1">
    <text>Valider avec NexSIS les noms des balises racines !! (message, createCase, emsi)</text>
  </threadedComment>
  <threadedComment ref="B11" dT="2023-10-17T14:10:14.10" personId="{C9A89B3A-A5FD-6849-8E65-1CD4E6C7CFF2}" id="{450D2339-A705-4808-865A-DE47F86A9ED0}">
    <text xml:space="preserve">Le champs de ‘signalement’ a été supprimé finalement ? </text>
  </threadedComment>
  <threadedComment ref="B11" dT="2023-10-23T11:26:27.60" personId="{C9A89B3A-A5FD-6849-8E65-1CD4E6C7CFF2}" id="{32654A26-F1C3-4340-92DA-C6177612D8A6}" parentId="{450D2339-A705-4808-865A-DE47F86A9ED0}">
    <text>Ajouter un champs de statut local global du dossier ? Ou message de clôture ? Ou règle "après 24h clôt" ?</text>
  </threadedComment>
  <threadedComment ref="B11" dT="2023-11-08T13:34:34.60" personId="{ABFB0C52-AC18-4406-B6D7-B9BCF5A2A0D7}" id="{4C2AEB01-7D19-4253-B5A8-573136EDFC25}" parentId="{450D2339-A705-4808-865A-DE47F86A9ED0}">
    <text>A traiter avec NexSIS. Pour l'instant obligé de passer par un RC-EDA pour la gestion du statut</text>
  </threadedComment>
  <threadedComment ref="B12" dT="2023-09-25T11:44:28.72" personId="{C9A89B3A-A5FD-6849-8E65-1CD4E6C7CFF2}" id="{7AA19D51-1D33-4B9B-BE52-A2E51A3B53B1}">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12" dT="2023-11-08T13:35:34.96" personId="{ABFB0C52-AC18-4406-B6D7-B9BCF5A2A0D7}" id="{1791E887-9471-48C4-AE76-BABD5F205052}" parentId="{7AA19D51-1D33-4B9B-BE52-A2E51A3B53B1}">
    <text>=&gt; A traiter ultérieurement avec le sujet de rapprochement de dossier/affaire</text>
  </threadedComment>
  <threadedComment ref="H12" dT="2023-09-07T08:01:23.57" personId="{C9A89B3A-A5FD-6849-8E65-1CD4E6C7CFF2}" id="{542F91E3-E69C-4326-B2BD-75A564CC87B0}" done="1">
    <text>Bien clarifier comment on identifie le SAMU émetteur (SAMU76A ou SAMU761)</text>
  </threadedComment>
  <threadedComment ref="H12" dT="2023-09-07T09:36:20.81" personId="{ABFB0C52-AC18-4406-B6D7-B9BCF5A2A0D7}" id="{08BCB5EC-CD30-45DE-9195-D48EC53BBC01}" parentId="{542F91E3-E69C-4326-B2BD-75A564CC87B0}">
    <text># Références
Format NF399 : pays + CTA + date + # unique
Format NexSIS : SC-20211105-077-cga-AF18 (SC-AAAAMMJJ-{codeCGA}-AL|AF{SEQUENCE}) (toutes les alertes créent pas des affaires, affaires peuvent avoir plusieurs alertes)</text>
  </threadedComment>
  <threadedComment ref="H12" dT="2023-09-07T09:42:45.96" personId="{ABFB0C52-AC18-4406-B6D7-B9BCF5A2A0D7}" id="{918672B9-3755-4814-AFCB-FC84E4845240}" parentId="{542F91E3-E69C-4326-B2BD-75A564CC87B0}">
    <text>2 remarques : quand est-ce qu'on utilise AL ou AF ?
Id sur 4 digits, a priori ok vu le volume mais pas mega large =&gt; cout de passer à 6 digits par exemple ?</text>
  </threadedComment>
  <threadedComment ref="H12" dT="2023-09-18T13:00:04.67" personId="{C9A89B3A-A5FD-6849-8E65-1CD4E6C7CFF2}" id="{19D07C5F-6EE4-43EE-8675-FDCA04E1977A}" parentId="{542F91E3-E69C-4326-B2BD-75A564CC87B0}">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12" dT="2023-09-18T14:07:24.05" personId="{ABFB0C52-AC18-4406-B6D7-B9BCF5A2A0D7}" id="{A14E1466-9701-404C-B9E2-BFA6E6F5C5FE}" parentId="{542F91E3-E69C-4326-B2BD-75A564CC87B0}">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12" dT="2023-09-19T07:07:28.84" personId="{C9A89B3A-A5FD-6849-8E65-1CD4E6C7CFF2}" id="{D240442F-11DD-4176-ABFD-C04065DF37AE}" parentId="{542F91E3-E69C-4326-B2BD-75A564CC87B0}">
    <text>Voir avec NexSIS si c’est vraiment nécessaire où si on peut juste faire idStructure_idLocale ?</text>
  </threadedComment>
  <threadedComment ref="H12" dT="2023-09-21T14:49:44.43" personId="{ABFB0C52-AC18-4406-B6D7-B9BCF5A2A0D7}" id="{74F7897D-9B91-4CA8-8B09-E8C1567B6CD0}" parentId="{542F91E3-E69C-4326-B2BD-75A564CC87B0}">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12" dT="2023-09-22T08:17:55.35" personId="{ABFB0C52-AC18-4406-B6D7-B9BCF5A2A0D7}" id="{D1783902-3926-4F35-A11C-16633ED18D7B}" parentId="{542F91E3-E69C-4326-B2BD-75A564CC87B0}">
    <text>Remarque Olivier : contrainte sur le français</text>
  </threadedComment>
  <threadedComment ref="H12" dT="2023-09-22T08:30:01.21" personId="{ABFB0C52-AC18-4406-B6D7-B9BCF5A2A0D7}" id="{C898D658-0D76-4BB9-B205-210D9CDAD135}" parentId="{542F91E3-E69C-4326-B2BD-75A564CC87B0}">
    <text>Ajouter une explication sur l'utilité de la clé unique et pourquoi elle doit être intelligible</text>
  </threadedComment>
  <threadedComment ref="H12" dT="2023-09-22T08:31:56.77" personId="{ABFB0C52-AC18-4406-B6D7-B9BCF5A2A0D7}" id="{24F17CA9-15E9-4057-98CE-96FAAC7EF019}" parentId="{542F91E3-E69C-4326-B2BD-75A564CC87B0}">
    <text>Définir le concept de clé conventionnelle</text>
  </threadedComment>
  <threadedComment ref="C18" dT="2024-03-28T15:29:48.96" personId="{15E60E5B-8F12-4B01-8E2A-D3C877CDBAC1}" id="{427501DC-94D6-40AC-AB53-69343E8D716D}">
    <text>Main courante des ARM =&gt; liste</text>
  </threadedComment>
  <threadedComment ref="C19" dT="2024-04-19T13:17:48.56" personId="{E9A6DF60-F9B3-4BD0-BB8A-DE1D37E26830}" id="{2F3C1B5F-AE01-4255-B450-2BAE36EE9967}">
    <text>= priorité de régulation médicale dans le modèle actuel</text>
  </threadedComment>
  <threadedComment ref="C36" dT="2024-04-19T13:28:20.49" personId="{E9A6DF60-F9B3-4BD0-BB8A-DE1D37E26830}" id="{E589D130-0254-4A06-B0D4-786737C54D9C}">
    <text xml:space="preserve">Voir si ce n'est pas retrouvable dans Initial alert, via le centre de l'agent ? </text>
  </threadedComment>
  <threadedComment ref="D46" dT="2024-03-28T15:43:47.91" personId="{15E60E5B-8F12-4B01-8E2A-D3C877CDBAC1}" id="{35F4687D-6275-4358-8182-C47F7638BBD5}">
    <text>Exos gère pas les PK comme ça !</text>
  </threadedComment>
  <threadedComment ref="D46" dT="2024-03-28T15:44:06.37" personId="{15E60E5B-8F12-4B01-8E2A-D3C877CDBAC1}" id="{A5FE075D-D87E-4603-8086-A2C05FCDF476}" parentId="{35F4687D-6275-4358-8182-C47F7638BBD5}">
    <text>Sujet sur l’autoroute… comment on passe cette localisation (pas d’adresse)</text>
  </threadedComment>
  <threadedComment ref="C88" dT="2024-03-28T15:27:12.86" personId="{15E60E5B-8F12-4B01-8E2A-D3C877CDBAC1}" id="{A4803FCF-E02E-4083-84FC-92B40E7A9D5D}">
    <text>Exos a une liste de numéros avec en champs libre pour le type + un “numéro principal”</text>
  </threadedComment>
  <threadedComment ref="B165" dT="2024-03-28T15:39:50.94" personId="{15E60E5B-8F12-4B01-8E2A-D3C877CDBAC1}" id="{6D45BC39-07B8-4875-A22D-5F8881A6780E}">
    <text>Hors du périmètre Appel Limitrophe</text>
  </threadedComment>
  <threadedComment ref="B165" dT="2024-03-28T15:40:29.55" personId="{15E60E5B-8F12-4B01-8E2A-D3C877CDBAC1}" id="{C217A1BC-5A68-460F-A6D0-25E004350BC1}" parentId="{6D45BC39-07B8-4875-A22D-5F8881A6780E}">
    <text>A voir… Car ça permet de mettre dans le même cas d’embrayer sur la demande d’engagement de vecteur du SMAU d’en face</text>
  </threadedComment>
  <threadedComment ref="B165" dT="2024-03-28T15:41:27.88" personId="{15E60E5B-8F12-4B01-8E2A-D3C877CDBAC1}" id="{8E537B9A-9EE4-406F-8179-B6525B82450B}" parentId="{6D45BC39-07B8-4875-A22D-5F8881A6780E}">
    <text>Liste de textes libres déjà pour le moment</text>
  </threadedComment>
  <threadedComment ref="B173" dT="2024-03-28T15:39:05.51" personId="{15E60E5B-8F12-4B01-8E2A-D3C877CDBAC1}" id="{D4248A5B-AD83-4934-B056-EAEDD6CF723A}">
    <text>A rediscuter !!! Mais au de la de la création</text>
  </threadedComment>
  <threadedComment ref="C176" dT="2024-03-28T15:38:48.42" personId="{15E60E5B-8F12-4B01-8E2A-D3C877CDBAC1}" id="{DBE9B7AD-3774-41D9-9ECE-8156E962B9EF}">
    <text>Pompiers ont 2 missions : aller au chevet + faire transport.
Mais donc pas adapté…</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U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7" dT="2024-02-13T08:52:55.35" personId="{15E60E5B-8F12-4B01-8E2A-D3C877CDBAC1}" id="{80848A42-0F14-B24F-8D04-3043FFD08495}">
    <text>Format : codeLabelComment
Détails : référence vers la nomenclature
Type Java : name</text>
  </threadedComment>
  <threadedComment ref="U18" dT="2023-12-20T16:35:01.71" personId="{9D129102-2382-4ACD-99FE-0A45F267AA1A}" id="{D4A6E809-E116-4F43-AB47-04D882212A95}">
    <text>NOMENCLATURE: CISU-Code_Nature_de_fait</text>
  </threadedComment>
  <threadedComment ref="U20" dT="2023-12-20T16:35:44.18" personId="{9D129102-2382-4ACD-99FE-0A45F267AA1A}" id="{309DA0AD-08A5-48B1-8181-1F2CF88AD9D6}">
    <text>Voir nomenclature CISU Type de Lieu</text>
  </threadedComment>
  <threadedComment ref="U21" dT="2023-12-20T16:36:14.68" personId="{9D129102-2382-4ACD-99FE-0A45F267AA1A}" id="{69DA961E-023F-4CCC-87B8-5E0165FCFF9B}">
    <text>Voir nomenclature CISU Risque, menace et sensibilité</text>
  </threadedComment>
  <threadedComment ref="C22" dT="2023-11-24T15:15:04.35" personId="{E9A6DF60-F9B3-4BD0-BB8A-DE1D37E26830}" id="{77ED2E6B-DD8D-4E8A-8AF3-5F8BE44D831E}">
    <text>A l'étude  pour voir si on le sort de la qualification de l'affaire et on le met dans patient/victime ?</text>
  </threadedComment>
  <threadedComment ref="C22"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2"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2" dT="2023-12-20T16:36:51.39" personId="{9D129102-2382-4ACD-99FE-0A45F267AA1A}" id="{1B18AEB3-0A07-4B62-BA73-C6715D37DD3F}" parentId="{5B87F3E0-42AE-40C0-BFFC-2EB08FD229EA}">
    <text>Voir nomenclature CISU Motif de recours médico-secouriste</text>
  </threadedComment>
  <threadedComment ref="C23" dT="2023-11-24T15:48:08.70" personId="{E9A6DF60-F9B3-4BD0-BB8A-DE1D37E26830}" id="{C407DBF8-A3A1-42F8-99B5-D8013FA36506}">
    <text xml:space="preserve">Est-ce vraiment utile de s'échanger l'état du dossier ? Faut-il y ajouter le type ?  </text>
  </threadedComment>
  <threadedComment ref="C23"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3" dT="2023-12-21T16:51:07.27" personId="{C9A89B3A-A5FD-6849-8E65-1CD4E6C7CFF2}" id="{21F0D62A-A239-794F-8300-5B191BC3F425}">
    <text>J’ai migré tous les champs dans case.details, ça te semble OK ?</text>
  </threadedComment>
  <threadedComment ref="U24" dT="2023-11-23T09:09:36.07" personId="{E9A6DF60-F9B3-4BD0-BB8A-DE1D37E26830}" id="{0CF29C07-A470-4C7E-BB1B-C82F21208545}">
    <text>Juste une énumération pour l'instant, pas de nomenclature dispo.</text>
  </threadedComment>
  <threadedComment ref="K26" dT="2023-12-21T16:52:13.97" personId="{C9A89B3A-A5FD-6849-8E65-1CD4E6C7CFF2}" id="{671673A3-61CA-394E-94B2-4C7157E8A6A7}">
    <text>J’ai du mal à voir si les LRM où ont vraiment cette info !</text>
  </threadedComment>
  <threadedComment ref="U26" dT="2024-01-23T14:26:41.32" personId="{E9A6DF60-F9B3-4BD0-BB8A-DE1D37E26830}" id="{3163C301-BF45-42AC-9B93-9FA29CCC4160}">
    <text>Nomenclature SI-SAMU DEVENIRD</text>
  </threadedComment>
  <threadedComment ref="D27" dT="2023-12-13T14:39:37.97" personId="{E9A6DF60-F9B3-4BD0-BB8A-DE1D37E26830}" id="{E4B924E1-C80E-F54A-9F2A-990A48DF3558}">
    <text>L'info est-elle obligatoire pou les échanges 15-15</text>
  </threadedComment>
  <threadedComment ref="K27"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7" dT="2024-01-23T14:29:06.44" personId="{E9A6DF60-F9B3-4BD0-BB8A-DE1D37E26830}" id="{F63CD7B6-7D33-47AE-8986-700F3EE32D5A}">
    <text>Nomenclature PRIORITE (fichier SI-SAMU envoyé par Philippe)</text>
  </threadedComment>
  <threadedComment ref="U29" dT="2023-11-30T14:37:38.83" personId="{C9A89B3A-A5FD-6849-8E65-1CD4E6C7CFF2}" id="{A2629A30-8579-B745-804F-8D68CAC27551}">
    <text>NexSIS propose de rajouter UNKNOWN</text>
  </threadedComment>
  <threadedComment ref="U29"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9" dT="2024-03-06T09:05:48.56" personId="{E9A6DF60-F9B3-4BD0-BB8A-DE1D37E26830}" id="{15526BA8-4C0D-4313-AA89-DB8DA96392BD}" parentId="{A2629A30-8579-B745-804F-8D68CAC27551}">
    <text>Implémenter la nomenclature CISU/SI SAMU prévue ?</text>
  </threadedComment>
  <threadedComment ref="X29" dT="2024-05-23T16:10:04.59" personId="{15E60E5B-8F12-4B01-8E2A-D3C877CDBAC1}" id="{FF1AF53E-AE58-E849-A74B-33EB38D418D2}">
    <text>Vu l’ENUM je ne pense pas que ça corresponde à ce que veut le métier donc je pense qu’il faut mieux l’enlever !</text>
  </threadedComment>
  <threadedComment ref="X29" dT="2024-05-28T08:51:33.03" personId="{D6952652-30E5-479A-9FFE-AD0BC8CBB562}" id="{3292C369-F092-4CD6-9BFE-02038285674D}" parentId="{FF1AF53E-AE58-E849-A74B-33EB38D418D2}">
    <text>On l'avait bien précisé à Philippe et Bruno que ça ne serait pas des chiffres 4, 5, mais ils trouvaient le champ intéressant quand même</text>
  </threadedComment>
  <threadedComment ref="C34"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4" dT="2023-11-06T17:45:16.48" personId="{ABFB0C52-AC18-4406-B6D7-B9BCF5A2A0D7}" id="{CB35003D-B559-4C2C-B525-CBD55DFD6D30}" parentId="{85B1EF9F-47F0-CE46-887A-E909D7720A3B}">
    <text>fait</text>
  </threadedComment>
  <threadedComment ref="S34" dT="2023-10-06T15:52:24.74" personId="{6D908C62-98CE-5042-81E4-8ACAD1B880FE}" id="{3B2E0936-494B-B445-A636-D7FDBB9167D5}" done="1">
    <text>Nader veut passer le nombre max de caractères de 80 à 255</text>
  </threadedComment>
  <threadedComment ref="C35" dT="2023-10-31T09:38:04.74" personId="{ABFB0C52-AC18-4406-B6D7-B9BCF5A2A0D7}" id="{925BDB3E-FDC8-4AE9-BBEA-7ACEF4FDDB2C}">
    <text>Revu avec NexSIS =&gt; à passer en optionnel</text>
  </threadedComment>
  <threadedComment ref="C35" dT="2023-11-08T13:43:03.47" personId="{ABFB0C52-AC18-4406-B6D7-B9BCF5A2A0D7}" id="{D4536E1A-F569-483C-9E68-8149326DCE2D}" parentId="{925BDB3E-FDC8-4AE9-BBEA-7ACEF4FDDB2C}">
    <text>A voir avec NexSIS</text>
  </threadedComment>
  <threadedComment ref="C35"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5" dT="2023-11-06T12:45:17.60" personId="{E9A6DF60-F9B3-4BD0-BB8A-DE1D37E26830}" id="{8AEC1623-DDE1-47FA-B84D-C6A42BA263BB}" done="1">
    <text>Ici il faut mettre uniquement le nom du lieu. Lieu-dit / quartier et le reste vont dans compléments de commune</text>
  </threadedComment>
  <threadedComment ref="H35" dT="2023-11-06T12:54:13.77" personId="{E9A6DF60-F9B3-4BD0-BB8A-DE1D37E26830}" id="{BA23A14C-1B94-4147-B3A7-F4DE0375E586}" parentId="{8AEC1623-DDE1-47FA-B84D-C6A42BA263BB}">
    <text>Lac / foret sont plutôt des types de lieu ? Sauf si spécifique, par exemple Foret de Fontainebleau</text>
  </threadedComment>
  <threadedComment ref="U37" dT="2024-03-22T14:10:43.40" personId="{E9A6DF60-F9B3-4BD0-BB8A-DE1D37E26830}" id="{0CFF5582-9153-4C81-BF2B-0E3E475CB201}">
    <text>Voir pour compléter cette liste ?</text>
  </threadedComment>
  <threadedComment ref="D46"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6"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6"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6" dT="2023-06-15T08:20:05.47" personId="{C9A89B3A-A5FD-6849-8E65-1CD4E6C7CFF2}" id="{62D969EF-9883-4543-B543-50F15B16ED43}" parentId="{8DE310B9-0615-45CC-A644-35176EC52B6C}">
    <text>Rq : lieu-dits permettent aussi de séparer 2 rives</text>
  </threadedComment>
  <threadedComment ref="D46"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6" dT="2023-06-15T08:21:45.68" personId="{C9A89B3A-A5FD-6849-8E65-1CD4E6C7CFF2}" id="{29E0E845-8D17-4F32-BBCA-3117A62A82CF}" parentId="{8DE310B9-0615-45CC-A644-35176EC52B6C}">
    <text>Pas sûr qu'on puisse les exploiter...</text>
  </threadedComment>
  <threadedComment ref="D46" dT="2023-06-15T08:22:12.60" personId="{C9A89B3A-A5FD-6849-8E65-1CD4E6C7CFF2}" id="{E22B87A0-3BCA-4E15-AB4D-3E7D7E799EF9}" parentId="{8DE310B9-0615-45CC-A644-35176EC52B6C}">
    <text xml:space="preserve">Autoroute dans un sens = 1 commune et lieu-dits pour les tronçons </text>
  </threadedComment>
  <threadedComment ref="D46"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6" dT="2023-06-15T08:23:09.21" personId="{C9A89B3A-A5FD-6849-8E65-1CD4E6C7CFF2}" id="{3CC5A5F7-7E87-4EEE-8B8C-05E635D40FC7}" parentId="{8DE310B9-0615-45CC-A644-35176EC52B6C}">
    <text>Pas de dictionnaire opérationnel commun...</text>
  </threadedComment>
  <threadedComment ref="D46"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50"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50" dT="2023-09-21T08:26:59.23" personId="{ABFB0C52-AC18-4406-B6D7-B9BCF5A2A0D7}" id="{DADC5CF8-F488-411A-AE3B-4C5106A577E2}" parentId="{49FC8FAC-1BAF-45B2-887C-3878DB0CEBFB}">
    <text>On peut limiter le nombre de détails à 20 par exemple</text>
  </threadedComment>
  <threadedComment ref="D59" dT="2023-11-28T09:23:33.55" personId="{E9A6DF60-F9B3-4BD0-BB8A-DE1D37E26830}" id="{8B068B41-6738-4D89-AE95-7DBE47687C8B}">
    <text xml:space="preserve">Faut-il utiliser un autre objet, déjà existant ? </text>
  </threadedComment>
  <threadedComment ref="Q62" dT="2023-10-26T21:36:55.27" personId="{C9A89B3A-A5FD-6849-8E65-1CD4E6C7CFF2}" id="{82E4F400-D3A9-2343-9417-D338A272253E}" done="1">
    <text>Nécessaire de le passer obligatoire pour NexSIS (retour Scriptal) ?</text>
  </threadedComment>
  <threadedComment ref="H70" dT="2023-06-15T08:29:05.80" personId="{C9A89B3A-A5FD-6849-8E65-1CD4E6C7CFF2}" id="{4ED4D63E-99DA-4C40-8B3F-74484A91486A}" done="1">
    <text>Pourquoi passer par EPSG-4326 et pas dire WGS-84 direct ?</text>
  </threadedComment>
  <threadedComment ref="H70" dT="2023-06-15T08:29:45.24" personId="{C9A89B3A-A5FD-6849-8E65-1CD4E6C7CFF2}" id="{7B030752-5833-4DC9-AD05-3BBB102E62CA}" parentId="{4ED4D63E-99DA-4C40-8B3F-74484A91486A}">
    <text>WGS système de projection et EPSG système de coordonnées ?</text>
  </threadedComment>
  <threadedComment ref="D71" dT="2023-09-21T18:09:18.83" personId="{ABFB0C52-AC18-4406-B6D7-B9BCF5A2A0D7}" id="{F2C29A76-9B08-4696-A7FF-552A24CA01B1}">
    <text xml:space="preserve">En attente précision NexSIS
</text>
  </threadedComment>
  <threadedComment ref="H71" dT="2023-11-06T15:00:23.61" personId="{ABFB0C52-AC18-4406-B6D7-B9BCF5A2A0D7}" id="{A443D7D1-FE76-42EE-B140-98BBD5AEDCB9}">
    <text>Attention, pas d'équivalent strict du GML en json</text>
  </threadedComment>
  <threadedComment ref="S71" dT="2023-09-15T20:46:47.38" personId="{C9A89B3A-A5FD-6849-8E65-1CD4E6C7CFF2}" id="{44161FD7-DA29-2241-8A73-168E646C6F3C}">
    <text>Pourquoi est-ce une string ?</text>
  </threadedComment>
  <threadedComment ref="S71" dT="2023-09-19T08:55:24.63" personId="{ABFB0C52-AC18-4406-B6D7-B9BCF5A2A0D7}" id="{C4FA73F1-A3E9-4362-B6DA-8609738BA1A7}" parentId="{44161FD7-DA29-2241-8A73-168E646C6F3C}">
    <text>À confirmer avec NexSIS, est-ce qu'on passe bien un fichier .sketch via une string ?</text>
  </threadedComment>
  <threadedComment ref="S71" dT="2023-10-11T16:20:12.31" personId="{ABFB0C52-AC18-4406-B6D7-B9BCF5A2A0D7}" id="{0ABDFDBF-CB19-4FD4-B295-E323559D0024}" parentId="{44161FD7-DA29-2241-8A73-168E646C6F3C}">
    <text>En attente exemple NexSIS</text>
  </threadedComment>
  <threadedComment ref="D72"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72"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72"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73" dT="2023-11-08T13:56:26.21" personId="{ABFB0C52-AC18-4406-B6D7-B9BCF5A2A0D7}" id="{82723964-123F-464F-AC6E-1559C240D31E}">
    <text>Vraiment une enum ?</text>
  </threadedComment>
  <threadedComment ref="C76" dT="2024-03-26T16:28:29.15" personId="{C9A89B3A-A5FD-6849-8E65-1CD4E6C7CFF2}" id="{7BED2FAB-053B-044B-A4B2-EA939D9441D5}">
    <text>A enlever car géré dans le code INSEE -&gt; le spécifier dans la description de la balise du code INSEE</text>
  </threadedComment>
  <threadedComment ref="C76" dT="2024-03-26T16:29:50.91" personId="{C9A89B3A-A5FD-6849-8E65-1CD4E6C7CFF2}" id="{BFF9CC2C-E454-FC4D-83AA-267C05549E2E}" parentId="{7BED2FAB-053B-044B-A4B2-EA939D9441D5}">
    <text>Etranger : 99 + code pays https://medecine.univ-lorraine.fr/sites/medecine.univ-lorraine.fr/files/users/DU_DIU/03_codes_pays.pdf</text>
  </threadedComment>
  <threadedComment ref="H76" dT="2023-09-21T10:47:24.82" personId="{ABFB0C52-AC18-4406-B6D7-B9BCF5A2A0D7}" id="{F6DBF483-4352-48F3-A605-280A47B8FAE1}" done="1">
    <text>Voir si il y'a une nomenclature NexSIS</text>
  </threadedComment>
  <threadedComment ref="H76" dT="2023-10-11T16:20:34.55" personId="{ABFB0C52-AC18-4406-B6D7-B9BCF5A2A0D7}" id="{3D1BFA56-129F-4F59-AEC8-B2129F29C6DE}" parentId="{F6DBF483-4352-48F3-A605-280A47B8FAE1}">
    <text>=&gt; se rapprocher d'ISO</text>
  </threadedComment>
  <threadedComment ref="X76" dT="2024-05-16T10:06:42.41" personId="{D6952652-30E5-479A-9FFE-AD0BC8CBB562}" id="{9EEEA36D-4CCB-4E28-A80B-46F1DF7D5A2C}">
    <text>Le RS-EDA-SMUR n'a pas le champ Pays comme il peut être déterminé via le code INSEE plus haut</text>
  </threadedComment>
  <threadedComment ref="X76" dT="2024-05-23T16:09:31.21" personId="{15E60E5B-8F12-4B01-8E2A-D3C877CDBAC1}" id="{ED118667-D91C-5D46-B3F3-5BA58786F3FA}" parentId="{9EEEA36D-4CCB-4E28-A80B-46F1DF7D5A2C}">
    <text>Ca serait plutôt à répercuter partout que faire des exceptions !</text>
  </threadedComment>
  <threadedComment ref="X76" dT="2024-05-28T08:50:40.23" personId="{D6952652-30E5-479A-9FFE-AD0BC8CBB562}" id="{49547F39-D9E3-404F-ACDA-02AF63297224}" parentId="{9EEEA36D-4CCB-4E28-A80B-46F1DF7D5A2C}">
    <text>Je le mets</text>
  </threadedComment>
  <threadedComment ref="X77" dT="2024-05-23T16:10:29.53" personId="{15E60E5B-8F12-4B01-8E2A-D3C877CDBAC1}" id="{81700F22-8DFB-6A4A-BE92-3A0EE1C56D87}">
    <text>Pas nécessaire ???!!!</text>
  </threadedComment>
  <threadedComment ref="X77" dT="2024-05-28T08:50:31.42" personId="{D6952652-30E5-479A-9FFE-AD0BC8CBB562}" id="{8C76F549-1931-4EBA-9AD1-6FD559289C15}" parentId="{81700F22-8DFB-6A4A-BE92-3A0EE1C56D87}">
    <text>Si c'est un oubli je pense</text>
  </threadedComment>
  <threadedComment ref="B78"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8"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8"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8"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8" dT="2023-09-22T09:00:11.92" personId="{C9A89B3A-A5FD-6849-8E65-1CD4E6C7CFF2}" id="{E4DBF580-F695-1240-B403-399ED7FC597D}" parentId="{36EBE513-9CB4-3348-B010-D39B51DF2455}">
    <text>-&gt; Dans tous les cas, les LRM doivent prendre la plus récente !</text>
  </threadedComment>
  <threadedComment ref="Q78"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8" dT="2023-09-22T09:03:47.31" personId="{C9A89B3A-A5FD-6849-8E65-1CD4E6C7CFF2}" id="{864DEDA1-82F2-BE42-883E-A0DE68C6DABF}" parentId="{36EBE513-9CB4-3348-B010-D39B51DF2455}">
    <text>Nader creuse le sujet côté NexSIS pour voir comment c’est fait / modifiable côté NexSIS</text>
  </threadedComment>
  <threadedComment ref="Q78"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9" dT="2023-09-21T09:46:56.60" personId="{ABFB0C52-AC18-4406-B6D7-B9BCF5A2A0D7}" id="{2185076E-A743-4FEC-950F-43630CD6417E}" done="1">
    <text>REGEX à définir</text>
  </threadedComment>
  <threadedComment ref="Q79" dT="2023-10-16T11:55:16.89" personId="{C9A89B3A-A5FD-6849-8E65-1CD4E6C7CFF2}" id="{2A6A195C-5D26-FA4B-91BD-34DAEC1D051C}" done="1">
    <text>Pas vraiment géré côté Santé, possible de passer la cardinalité à 0..1 ?</text>
  </threadedComment>
  <threadedComment ref="C80" dT="2023-09-22T09:00:43.88" personId="{ABFB0C52-AC18-4406-B6D7-B9BCF5A2A0D7}" id="{C5B6241A-BACF-47B3-9FCB-3D62B0208AEB}" done="1">
    <text>Pour savoir quelle alerte utiliser dans une affaire :
=&gt; Regarder cette date de réception</text>
  </threadedComment>
  <threadedComment ref="D82" dT="2023-07-03T14:32:04.26" personId="{6D908C62-98CE-5042-81E4-8ACAD1B880FE}" id="{849D9658-5404-49CC-A650-D8E23CF68C04}">
    <text>Comment on gère le fait que des informations médicales et personnelles peuvent être saisies dans ce champs par le SAMU</text>
  </threadedComment>
  <threadedComment ref="D82" dT="2023-09-25T11:53:05.92" personId="{C9A89B3A-A5FD-6849-8E65-1CD4E6C7CFF2}" id="{7E857887-808A-2345-B2BE-7D90DB86AB49}" parentId="{849D9658-5404-49CC-A650-D8E23CF68C04}">
    <text>Quelle politique HDS côté NexSIS ?</text>
  </threadedComment>
  <threadedComment ref="J82" dT="2023-09-21T09:49:59.10" personId="{ABFB0C52-AC18-4406-B6D7-B9BCF5A2A0D7}" id="{6A447ED8-B3D9-4E56-96E2-F03AE558F91D}" done="1">
    <text>Passer tous les champs dans un style freetext avec un label freetext</text>
  </threadedComment>
  <threadedComment ref="X82" dT="2024-05-23T16:11:09.54" personId="{15E60E5B-8F12-4B01-8E2A-D3C877CDBAC1}" id="{0E967918-B0FF-874A-A786-2C84A1372A97}">
    <text>Idem je pense que ça vaut le coup en 15-SMUR ! Par contre, je ne pense pas que ça doive être présent en 15-18 !</text>
  </threadedComment>
  <threadedComment ref="X82" dT="2024-05-28T08:52:53.86" personId="{D6952652-30E5-479A-9FFE-AD0BC8CBB562}" id="{A7DC5A76-4F13-4C60-AD87-A25CBA0CAEBC}" parentId="{0E967918-B0FF-874A-A786-2C84A1372A97}">
    <text>En 15-18 c'est le commentaire de l'alerte initiale (il est presque indispensable), je ne sais plus pourquoi Philippe et Bruno n'ont pas conservé ces champs, je peux les ajouter</text>
  </threadedComment>
  <threadedComment ref="D84" dT="2024-05-22T08:34:11.46" personId="{E9A6DF60-F9B3-4BD0-BB8A-DE1D37E26830}" id="{9C971BC8-B630-4062-8B21-00AD945C0670}">
    <text xml:space="preserve">Permet de passer les informations spécifiques à l' ARM sur le dossier </text>
  </threadedComment>
  <threadedComment ref="H86" dT="2023-09-20T13:13:53.48" personId="{ABFB0C52-AC18-4406-B6D7-B9BCF5A2A0D7}" id="{1045B670-B272-44B0-BDBC-183806654ACA}" done="1">
    <text>Un peu flou sur les valeurs autorisées pour le type canal, prévoir quelques grands types ? (style "tel", "mail", "other" etc)</text>
  </threadedComment>
  <threadedComment ref="H86" dT="2023-09-26T16:55:36.18" personId="{ABFB0C52-AC18-4406-B6D7-B9BCF5A2A0D7}" id="{E209311C-A599-460D-B95A-FD0D555846ED}" parentId="{1045B670-B272-44B0-BDBC-183806654ACA}">
    <text>Reprendre la nomenclature CHANNEL d'EMSI ?</text>
  </threadedComment>
  <threadedComment ref="H86" dT="2023-09-26T17:04:41.07" personId="{ABFB0C52-AC18-4406-B6D7-B9BCF5A2A0D7}" id="{51201774-5B67-4D66-A841-88BC6298DFB4}" parentId="{1045B670-B272-44B0-BDBC-183806654ACA}">
    <text>Pour aller au bout de la logique, le passer en objet CONTACT</text>
  </threadedComment>
  <threadedComment ref="U88" dT="2024-01-08T13:02:05.69" personId="{C9A89B3A-A5FD-6849-8E65-1CD4E6C7CFF2}" id="{564332DB-ADA6-844E-907A-3843E012B57E}">
    <text>N’autoriser que les n° de tel (PHNADD) et mettre la regex du n° de tel de l’interface : REGEX: tel:([#\+\*]|37000|00+)?[0-9]{2,15} ?</text>
  </threadedComment>
  <threadedComment ref="U88"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8" dT="2024-01-24T17:33:12.16" personId="{C9A89B3A-A5FD-6849-8E65-1CD4E6C7CFF2}" id="{216B13EB-ECF4-43F3-81A9-C97B25053F33}" parentId="{564332DB-ADA6-844E-907A-3843E012B57E}">
    <text>OK pas de souci, qui peut le plus peut le moins</text>
  </threadedComment>
  <threadedComment ref="H90" dT="2023-09-26T17:04:43.98" personId="{ABFB0C52-AC18-4406-B6D7-B9BCF5A2A0D7}" id="{50663E24-E8B2-4610-BB55-CDEDCB0AEBE2}" done="1">
    <text>Pour aller au bout de la logique, le passer en objet CONTACT</text>
  </threadedComment>
  <threadedComment ref="Q90" dT="2023-09-18T14:50:47.97" personId="{ABFB0C52-AC18-4406-B6D7-B9BCF5A2A0D7}" id="{449D854F-D1BC-4874-A270-C7FBD5C53315}">
    <text>A priori un seul appelant à l'origine mais potentiellement plusieurs données de contact en retour ?</text>
  </threadedComment>
  <threadedComment ref="Q90" dT="2023-11-08T14:07:11.17" personId="{ABFB0C52-AC18-4406-B6D7-B9BCF5A2A0D7}" id="{4E0EDB80-0D0C-450A-A95B-31415A9B0896}" parentId="{449D854F-D1BC-4874-A270-C7FBD5C53315}">
    <text>Passer à 0..n</text>
  </threadedComment>
  <threadedComment ref="Q90"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90"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90"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90"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91" dT="2023-09-21T09:55:48.46" personId="{ABFB0C52-AC18-4406-B6D7-B9BCF5A2A0D7}" id="{D22EB006-FD31-4905-A0BA-E809AB322C44}" done="1">
    <text>Demander en annexe côté NexSIS si ils mettent une nomenclature</text>
  </threadedComment>
  <threadedComment ref="H91" dT="2023-09-25T11:54:42.17" personId="{ABFB0C52-AC18-4406-B6D7-B9BCF5A2A0D7}" id="{897F4059-91E9-4A21-9A63-505005BA3B7B}" parentId="{D22EB006-FD31-4905-A0BA-E809AB322C44}">
    <text>=&gt; Utiliser le référentiel SI-SAMU pour les langues</text>
  </threadedComment>
  <threadedComment ref="H91" dT="2023-10-11T16:22:12.70" personId="{ABFB0C52-AC18-4406-B6D7-B9BCF5A2A0D7}" id="{146C9C91-4F95-4CAD-B7CF-0D1625D0D9F0}" parentId="{D22EB006-FD31-4905-A0BA-E809AB322C44}">
    <text>=&gt; Plutôt ISO finalement</text>
  </threadedComment>
  <threadedComment ref="U92" dT="2024-01-23T14:38:54.44" personId="{E9A6DF60-F9B3-4BD0-BB8A-DE1D37E26830}" id="{EC4CA26B-FA56-44B7-9485-D7650DC1B372}">
    <text xml:space="preserve">NOMENCLATURE: 
fichier Nomenclatures EDA, 
onglet Type de requérant
Nom de la nomenclature : TYPAPPLT
Nomenclatures EDA.xlsx </text>
    <extLst>
      <x:ext xmlns:xltc2="http://schemas.microsoft.com/office/spreadsheetml/2020/threadedcomments2" uri="{F7C98A9C-CBB3-438F-8F68-D28B6AF4A901}">
        <xltc2:checksum>1538094397</xltc2:checksum>
        <xltc2:hyperlink startIndex="102" length="22" url="https://esantegouv.sharepoint.com/:x:/r/sites/GED-Calypso/espace-projets/Espace%20Programme%20SISAMU/01%20-%20Equipe%20projet/07%20-%20Innovation%20et%20prospectif/12%20-%20Hub%20Sant%C3%A9/17%20-%20MDD/Nomenclatures/01%20-%20Base%20interne/Nomenclatures%20EDA.xlsx?d=w039d53fd3150471687447ecde70ec132&amp;csf=1&amp;web=1&amp;e=31QlwB"/>
      </x:ext>
    </extLst>
  </threadedComment>
  <threadedComment ref="U93" dT="2024-01-23T14:40:43.03" personId="{E9A6DF60-F9B3-4BD0-BB8A-DE1D37E26830}" id="{0EC36618-96EE-478D-81B9-54F0CAEE9F88}">
    <text>NOMENCLATURE: PBAPL_v1r01a.csv</text>
  </threadedComment>
  <threadedComment ref="D94" dT="2023-10-17T14:05:10.67" personId="{C9A89B3A-A5FD-6849-8E65-1CD4E6C7CFF2}" id="{0700921D-3E22-E44A-B10A-66139D58EFD3}" done="1">
    <text>Inetum a une codification ! Pas possible de faire concordance sur du texte libre… Avoir une nomenclature + libre ?</text>
  </threadedComment>
  <threadedComment ref="D94"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94" dT="2023-06-15T07:45:15.69" personId="{C9A89B3A-A5FD-6849-8E65-1CD4E6C7CFF2}" id="{8B70DA13-018B-4BE7-9D85-CAD41DEDE16B}" done="1">
    <text>Avoir une nomenclature ?</text>
  </threadedComment>
  <threadedComment ref="E94" dT="2023-06-16T08:45:22.06" personId="{6D908C62-98CE-5042-81E4-8ACAD1B880FE}" id="{12BEE0B6-53B7-4B84-A323-4525B9F070DD}" parentId="{8B70DA13-018B-4BE7-9D85-CAD41DEDE16B}">
    <text>Champs libre côté NexSIS</text>
  </threadedComment>
  <threadedComment ref="E94"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94" dT="2023-06-22T17:50:55.63" personId="{C9A89B3A-A5FD-6849-8E65-1CD4E6C7CFF2}" id="{2D2C7BD2-8228-41A1-A494-53F903F3574F}" parentId="{8B70DA13-018B-4BE7-9D85-CAD41DEDE16B}">
    <text>https://ansforge.github.io/SAMU-interface-LRM/DST%20SI%20SAMU%20Interfa%C3%A7age%20LRM_V1.2.pdf</text>
  </threadedComment>
  <threadedComment ref="E94" dT="2023-06-23T08:39:19.32" personId="{C9A89B3A-A5FD-6849-8E65-1CD4E6C7CFF2}" id="{EC8F23F2-468E-44A3-AE50-6327E2B06555}" parentId="{8B70DA13-018B-4BE7-9D85-CAD41DEDE16B}">
    <text>=&gt; OK pour une approche “nomenclature libre”</text>
  </threadedComment>
  <threadedComment ref="J94" dT="2023-09-21T09:56:11.24" personId="{C9A89B3A-A5FD-6849-8E65-1CD4E6C7CFF2}" id="{3343E777-8CBA-824D-A290-B18AD61B9129}" done="1">
    <text>freetext ?</text>
  </threadedComment>
  <threadedComment ref="E95" dT="2023-06-16T08:45:57.42" personId="{6D908C62-98CE-5042-81E4-8ACAD1B880FE}" id="{456C6261-46FE-47A3-ABE3-21780523066A}" done="1">
    <text>Réfléchir à une structure récursive / détaillée également</text>
  </threadedComment>
  <threadedComment ref="E95" dT="2023-06-22T17:55:16.22" personId="{C9A89B3A-A5FD-6849-8E65-1CD4E6C7CFF2}" id="{E99CE092-3BC0-4BC8-B207-43E0B20784D0}" parentId="{456C6261-46FE-47A3-ABE3-21780523066A}">
    <text>callerName 
- complete (basé sur un template {firstName} {lastName})
- firstName
- lastName</text>
  </threadedComment>
  <threadedComment ref="E95" dT="2023-06-23T08:42:43.54" personId="{C9A89B3A-A5FD-6849-8E65-1CD4E6C7CFF2}" id="{FAA64B8B-3383-4504-879B-0CFB30392649}" parentId="{456C6261-46FE-47A3-ABE3-21780523066A}">
    <text>Complete ? Aggregated ? Full ? 
-&gt; Nader regarde si le SitRep propose des trucs comme ça</text>
  </threadedComment>
  <threadedComment ref="E95" dT="2023-06-30T08:32:08.88" personId="{C9A89B3A-A5FD-6849-8E65-1CD4E6C7CFF2}" id="{26DEA5A2-F472-42AB-8F87-859012FF50F6}" parentId="{456C6261-46FE-47A3-ABE3-21780523066A}">
    <text>Ok de le présenter comme ça sur le 4 juillet, on avisera ensuite en fonction du SItrep</text>
  </threadedComment>
  <threadedComment ref="E98" dT="2023-09-25T11:56:28.41" personId="{ABFB0C52-AC18-4406-B6D7-B9BCF5A2A0D7}" id="{F862C684-B65A-4FC1-AEC4-870221995080}" done="1">
    <text>Règle sur les prénoms pour les prénoms composés</text>
  </threadedComment>
  <threadedComment ref="E98" dT="2023-10-11T14:32:18.84" personId="{E9A6DF60-F9B3-4BD0-BB8A-DE1D37E26830}" id="{B9E4C68E-9524-4FA5-84AF-6EF596D19BF3}" parentId="{F862C684-B65A-4FC1-AEC4-870221995080}">
    <text>De quelle règle parle-t-on ? 
Et pour les noms composés pas de règle ?</text>
  </threadedComment>
  <threadedComment ref="E98" dT="2023-10-11T16:23:17.75" personId="{ABFB0C52-AC18-4406-B6D7-B9BCF5A2A0D7}" id="{01379FDB-1840-4004-B244-23F1BA83A282}" parentId="{F862C684-B65A-4FC1-AEC4-870221995080}">
    <text>Pas de règle a date justement pour les prénoms composés =&gt; libre</text>
  </threadedComment>
  <threadedComment ref="F98" dT="2023-05-12T08:44:54.69" personId="{15E60E5B-8F12-4B01-8E2A-D3C877CDBAC1}" id="{6EB96170-F11A-4E55-BFF9-911EA46C448F}" done="1">
    <text>Pas possible de séparer dans l'interface. 
NexSIS regarde si la PFLAU envoie les 2 ensemble</text>
  </threadedComment>
  <threadedComment ref="C99" dT="2023-10-17T13:57:39.74" personId="{C9A89B3A-A5FD-6849-8E65-1CD4E6C7CFF2}" id="{F9DFBDFD-1215-9341-9E1E-3024F293D141}">
    <text>Localisation de l’appelant ? Ou d’intervention ?</text>
  </threadedComment>
  <threadedComment ref="C99" dT="2023-11-08T14:14:06.57" personId="{ABFB0C52-AC18-4406-B6D7-B9BCF5A2A0D7}" id="{EA2DA816-C4B8-4227-A75C-1BF943FC0D33}" parentId="{F9DFBDFD-1215-9341-9E1E-3024F293D141}">
    <text>Plutôt lieu ou se trouve l'appelant car lieu d'affaire renseigné en haut</text>
  </threadedComment>
  <threadedComment ref="D99" dT="2023-07-04T13:01:55.92" personId="{C9A89B3A-A5FD-6849-8E65-1CD4E6C7CFF2}" id="{A3B7AE35-2849-4423-8AE8-6B9911E6561D}" done="1">
    <text>Vont vraiment être différentes de la localisation de l’affaire ?</text>
  </threadedComment>
  <threadedComment ref="Q99" dT="2023-09-28T16:19:13.29" personId="{ABFB0C52-AC18-4406-B6D7-B9BCF5A2A0D7}" id="{902D6982-CF5B-4CB7-B9F4-E53F0BDFA27A}" done="1">
    <text>Obligatoire du coup vu qu'on a une location dans l'affaire ?</text>
  </threadedComment>
  <threadedComment ref="Q100" dT="2024-03-18T12:42:32.39" personId="{E9A6DF60-F9B3-4BD0-BB8A-DE1D37E26830}" id="{CC5C1D76-D97F-4BE5-B966-DD495B85204C}">
    <text>Retour de Philippe : peut-on le passer en optionnel, ce qui n'oblige pas les SAMU à répéter la qualification à chaque fois ?</text>
  </threadedComment>
  <threadedComment ref="D102" dT="2023-09-21T16:30:38.12" personId="{ABFB0C52-AC18-4406-B6D7-B9BCF5A2A0D7}" id="{663EEC70-25D1-4531-8E3C-8B803A28B6D5}" done="1">
    <text>Un concept emprunté au ROR est intéressant et transposable ici, parler d'unité de service pour décrire la plus petite maille</text>
  </threadedComment>
  <threadedComment ref="E102" dT="2023-06-15T07:50:06.13" personId="{C9A89B3A-A5FD-6849-8E65-1CD4E6C7CFF2}" id="{3BA75720-6FD7-4770-B19D-58D93FFDC9E8}" done="1">
    <text>Nomenclature sur ça ?</text>
  </threadedComment>
  <threadedComment ref="E102" dT="2023-06-22T21:24:05.20" personId="{C9A89B3A-A5FD-6849-8E65-1CD4E6C7CFF2}" id="{876E9C94-2532-4344-A05A-9DF2692B0ECD}" parentId="{3BA75720-6FD7-4770-B19D-58D93FFDC9E8}">
    <text>Juste réfléchir aux valeurs possibles : SDIS, SAMU, ... ?
Et les départements FRXXX en centre ?</text>
  </threadedComment>
  <threadedComment ref="D104"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4" dT="2023-12-20T16:55:28.15" personId="{9D129102-2382-4ACD-99FE-0A45F267AA1A}" id="{32F7371F-532E-4483-BA02-85ED2898A502}">
    <text>je retire la croix tant que la nomenclature n'existe pas</text>
  </threadedComment>
  <threadedComment ref="U104" dT="2023-12-21T09:37:15.19" personId="{9D129102-2382-4ACD-99FE-0A45F267AA1A}" id="{17677DF8-67EB-4AE7-861C-BE96B97E6CBC}">
    <text>NOMENCLATURE: PERSO (nomenclature SI-SAMU)</text>
  </threadedComment>
  <threadedComment ref="U104" dT="2024-04-22T23:31:35.38" personId="{C9A89B3A-A5FD-6849-8E65-1CD4E6C7CFF2}" id="{71BCEEEF-3F43-C64A-A806-645F4875E0E2}" parentId="{17677DF8-67EB-4AE7-861C-BE96B97E6CBC}">
    <text xml:space="preserve">Pas trouvée https://github.com/ansforge/SAMU-Hub-Modeles/tree/auto/model_tracker/nomenclature_parser/out/latest/csv </text>
    <extLst>
      <x:ext xmlns:xltc2="http://schemas.microsoft.com/office/spreadsheetml/2020/threadedcomments2" uri="{F7C98A9C-CBB3-438F-8F68-D28B6AF4A901}">
        <xltc2:checksum>1645120837</xltc2:checksum>
        <xltc2:hyperlink startIndex="12" length="103" url="https://github.com/ansforge/SAMU-Hub-Modeles/tree/auto/model_tracker/nomenclature_parser/out/latest/csv"/>
      </x:ext>
    </extLst>
  </threadedComment>
  <threadedComment ref="H105" dT="2023-09-21T10:18:27.87" personId="{ABFB0C52-AC18-4406-B6D7-B9BCF5A2A0D7}" id="{7A1ACB5D-9506-421C-B92B-1CBD98910C4E}" done="1">
    <text>Aligner en mode URI</text>
  </threadedComment>
  <threadedComment ref="H105" dT="2023-09-26T17:04:33.97" personId="{ABFB0C52-AC18-4406-B6D7-B9BCF5A2A0D7}" id="{5E5E6B8C-D443-4F6F-8E17-7C83800DF187}" parentId="{7A1ACB5D-9506-421C-B92B-1CBD98910C4E}">
    <text>Pour aller au bout de la logique, le passer en objet CONTACT</text>
  </threadedComment>
  <threadedComment ref="H105" dT="2023-09-28T12:51:10.37" personId="{ABFB0C52-AC18-4406-B6D7-B9BCF5A2A0D7}" id="{28964279-F625-4E18-9B3A-1F4416C1598C}" parentId="{7A1ACB5D-9506-421C-B92B-1CBD98910C4E}">
    <text>Mettre attachement</text>
  </threadedComment>
  <threadedComment ref="X107" dT="2024-05-23T16:12:48.80" personId="{15E60E5B-8F12-4B01-8E2A-D3C877CDBAC1}" id="{7364402D-5058-2242-A016-E8B1E4183D63}">
    <text>A priori, peut-être plutôt le mettre partout pour le moment !</text>
  </threadedComment>
  <threadedComment ref="X107" dT="2024-05-28T08:53:31.04" personId="{D6952652-30E5-479A-9FFE-AD0BC8CBB562}" id="{E46131B4-BC1A-4AB3-9DEE-A10E46089C25}" parentId="{7364402D-5058-2242-A016-E8B1E4183D63}">
    <text>OK</text>
  </threadedComment>
  <threadedComment ref="T108" dT="2023-09-19T08:50:44.73" personId="{ABFB0C52-AC18-4406-B6D7-B9BCF5A2A0D7}" id="{07B5D5D0-B502-47B6-A891-DAEF39BCC4D8}" done="1">
    <text>Impose-t-on une liste de type de ressource ou est-ce laissé libre pour les éditeurs ?</text>
  </threadedComment>
  <threadedComment ref="U108" dT="2024-02-13T10:24:23.28" personId="{15E60E5B-8F12-4B01-8E2A-D3C877CDBAC1}" id="{8BCB09BF-A48C-8242-B3C8-18F71F97C7AD}">
    <text xml:space="preserve">Impose-t-on une liste de type de ressource ou est-ce laissé libre pour les éditeurs ?
</text>
  </threadedComment>
  <threadedComment ref="D113" dT="2023-09-21T10:23:46.33" personId="{ABFB0C52-AC18-4406-B6D7-B9BCF5A2A0D7}" id="{F7E40DD6-D14F-4AC4-95ED-C43838656AE4}">
    <text>Indiquer comment on fait le Hash =&gt; pas évident comme on fait le contrôle d'intégrité</text>
  </threadedComment>
  <threadedComment ref="D113" dT="2023-11-08T14:21:20.60" personId="{ABFB0C52-AC18-4406-B6D7-B9BCF5A2A0D7}" id="{1634B54C-DE58-48BE-B1A8-B8DC14E63DD3}" parentId="{F7E40DD6-D14F-4AC4-95ED-C43838656AE4}">
    <text>Sha-256</text>
  </threadedComment>
  <threadedComment ref="U114" dT="2024-01-24T10:54:29.36" personId="{E9A6DF60-F9B3-4BD0-BB8A-DE1D37E26830}" id="{3A4DE914-B324-41EC-B1CE-789615C59923}">
    <text>Implémenter ici la liste des valeurs fr.health.samu possible.</text>
  </threadedComment>
  <threadedComment ref="B115" dT="2023-11-14T15:29:39.07" personId="{E9A6DF60-F9B3-4BD0-BB8A-DE1D37E26830}" id="{A9F8EF48-108A-4EAB-A6C9-DAA6E6A1C56C}">
    <text>Objet Agent qui existe dans la qualification de l'affaire : à réutiliser ici ? Doit on ajouter nom prénom à l'objet ?</text>
  </threadedComment>
  <threadedComment ref="X115" dT="2024-05-23T16:13:26.77" personId="{15E60E5B-8F12-4B01-8E2A-D3C877CDBAC1}" id="{BACFA223-4DEE-A546-BEB9-1FAFD40935A9}">
    <text>Pourquoi pas ne le passer en 15-SMUR ? Ca peut permettre de savoir quel médecin régulateur a traité le dossier donc pratique lors du bilan/demande</text>
  </threadedComment>
  <threadedComment ref="B119" dT="2024-02-13T09:55:48.02" personId="{D6952652-30E5-479A-9FFE-AD0BC8CBB562}" id="{E40A2F45-E340-487F-9FD6-2404E4F5A700}">
    <text>A renvoyer dans le SGV</text>
  </threadedComment>
  <threadedComment ref="B119"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9" dT="2023-07-06T14:47:40.47" personId="{ABFB0C52-AC18-4406-B6D7-B9BCF5A2A0D7}" id="{9EEB9362-90F5-494F-BB71-06EF0D54376B}" done="1">
    <text>Est-ce qu'il faut un objet Bilan qui incorpore les patients/victime ?</text>
  </threadedComment>
  <threadedComment ref="C119" dT="2023-07-12T08:35:36.42" personId="{ABFB0C52-AC18-4406-B6D7-B9BCF5A2A0D7}" id="{1D9D9BCA-BCEF-469D-983A-D2536F65A96C}" parentId="{9EEB9362-90F5-494F-BB71-06EF0D54376B}">
    <text>Il faudra à terme pouvoir faire le lien avec SGV</text>
  </threadedComment>
  <threadedComment ref="C119" dT="2023-11-14T20:28:23.68" personId="{E9A6DF60-F9B3-4BD0-BB8A-DE1D37E26830}" id="{8E067E92-BFB2-4B46-8AA0-21A22F61C7CC}" parentId="{9EEB9362-90F5-494F-BB71-06EF0D54376B}">
    <text>Le bilan se fait-il pour chaque patient/victime ? Si oui, le bilan est lié au patient</text>
  </threadedComment>
  <threadedComment ref="U123" dT="2023-07-04T15:19:48.30" personId="{C9A89B3A-A5FD-6849-8E65-1CD4E6C7CFF2}" id="{CB950F1D-7F07-43E1-850B-913CBE20F585}">
    <text>ENUM ?</text>
  </threadedComment>
  <threadedComment ref="U123" dT="2024-04-22T23:32:17.70" personId="{C9A89B3A-A5FD-6849-8E65-1CD4E6C7CFF2}" id="{A4261AF7-8ACA-E745-BB51-E7635EA12077}" parentId="{CB950F1D-7F07-43E1-850B-913CBE20F585}">
    <text>C’est quoi DOSSARD et PLACE ?</text>
  </threadedComment>
  <threadedComment ref="H125" dT="2023-09-20T13:13:53.48" personId="{ABFB0C52-AC18-4406-B6D7-B9BCF5A2A0D7}" id="{258F99A5-CCAC-44B3-9CB2-E5E5FB7A031F}" done="1">
    <text>Un peu flou sur les valeurs autorisées pour le type canal, prévoir quelques grands types ? (style "tel", "mail", "other" etc)</text>
  </threadedComment>
  <threadedComment ref="H125" dT="2023-09-26T16:55:36.18" personId="{ABFB0C52-AC18-4406-B6D7-B9BCF5A2A0D7}" id="{2429CD2E-1350-4C77-B1E7-D9BF95D0DE0F}" parentId="{258F99A5-CCAC-44B3-9CB2-E5E5FB7A031F}">
    <text>Reprendre la nomenclature CHANNEL d'EMSI ?</text>
  </threadedComment>
  <threadedComment ref="H125" dT="2023-09-26T17:04:41.07" personId="{ABFB0C52-AC18-4406-B6D7-B9BCF5A2A0D7}" id="{1586761D-C2A8-459D-A734-E7C93943C0A9}" parentId="{258F99A5-CCAC-44B3-9CB2-E5E5FB7A031F}">
    <text>Pour aller au bout de la logique, le passer en objet CONTACT</text>
  </threadedComment>
  <threadedComment ref="Q125"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5" dT="2024-01-23T14:49:31.14" personId="{E9A6DF60-F9B3-4BD0-BB8A-DE1D37E26830}" id="{10CBED9B-33B3-4F2D-9D08-CE6F15806504}" done="1">
    <text>Remettre la nomenclature EMSI complète dans l'objet contact qu'on réutilise ici</text>
  </threadedComment>
  <threadedComment ref="U125" dT="2024-04-22T23:32:39.38" personId="{C9A89B3A-A5FD-6849-8E65-1CD4E6C7CFF2}" id="{4C76ACFD-70EB-6446-826C-8BE47A11E3CC}" parentId="{10CBED9B-33B3-4F2D-9D08-CE6F15806504}">
    <text>Je n’ai pas compris</text>
  </threadedComment>
  <threadedComment ref="U125" dT="2024-04-23T08:00:14.48" personId="{DF4F572D-2211-4D3A-83E1-5495966E637E}" id="{A737CC8E-2E06-4B4D-AD2E-F9EB8DC8DD21}" parentId="{10CBED9B-33B3-4F2D-9D08-CE6F15806504}">
    <text>c'est le même type que contact, on a bien les même valeurs EMSI que dans le type contact. Il n'y a rien ç faire, c'était une note en séance avec Philippe.</text>
  </threadedComment>
  <threadedComment ref="U131" dT="2024-01-23T15:00:16.04" personId="{E9A6DF60-F9B3-4BD0-BB8A-DE1D37E26830}" id="{47F99561-A768-4B9A-96FB-A8753B229875}">
    <text>vérifier le format du numéro RPPS seulement, ne pas implémenter la nomenclature complète</text>
  </threadedComment>
  <threadedComment ref="H133" dT="2023-09-20T13:13:53.48" personId="{ABFB0C52-AC18-4406-B6D7-B9BCF5A2A0D7}" id="{647A8527-7AF1-45AA-BB58-53C964C0E6F0}" done="1">
    <text>Un peu flou sur les valeurs autorisées pour le type canal, prévoir quelques grands types ? (style "tel", "mail", "other" etc)</text>
  </threadedComment>
  <threadedComment ref="H133" dT="2023-09-26T16:55:36.18" personId="{ABFB0C52-AC18-4406-B6D7-B9BCF5A2A0D7}" id="{FECFF266-C864-428C-9966-9B138242FB95}" parentId="{647A8527-7AF1-45AA-BB58-53C964C0E6F0}">
    <text>Reprendre la nomenclature CHANNEL d'EMSI ?</text>
  </threadedComment>
  <threadedComment ref="H133" dT="2023-09-26T17:04:41.07" personId="{ABFB0C52-AC18-4406-B6D7-B9BCF5A2A0D7}" id="{72BF1BA8-2AFF-404A-9193-020D6474E505}" parentId="{647A8527-7AF1-45AA-BB58-53C964C0E6F0}">
    <text>Pour aller au bout de la logique, le passer en objet CONTACT</text>
  </threadedComment>
  <threadedComment ref="Q133"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8"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9"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9" dT="2024-01-23T15:05:32.39" personId="{E9A6DF60-F9B3-4BD0-BB8A-DE1D37E26830}" id="{63885E42-5898-4ECF-8108-E0BD8B826BE8}">
    <text>Vérifier uniquement le format du matricule INS : 13 caractères alphanumériques + une clé sur 2 chiffres</text>
  </threadedComment>
  <threadedComment ref="U139" dT="2024-04-22T23:33:31.78" personId="{C9A89B3A-A5FD-6849-8E65-1CD4E6C7CFF2}" id="{9001430A-1290-E045-AD12-FF39FE1F78E9}" parentId="{63885E42-5898-4ECF-8108-E0BD8B826BE8}">
    <text>Donc 15 chiffres ? Si oui: “REGEX: \d{15}”</text>
  </threadedComment>
  <threadedComment ref="E140"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40" dT="2024-01-23T15:06:28.79" personId="{E9A6DF60-F9B3-4BD0-BB8A-DE1D37E26830}" id="{B64AB07A-CA5D-41C4-905E-0AFD3F67254F}">
    <text>Voir pour implémenter une énum, ou une simple vérification de format</text>
  </threadedComment>
  <threadedComment ref="U140" dT="2024-04-22T23:34:37.40" personId="{C9A89B3A-A5FD-6849-8E65-1CD4E6C7CFF2}" id="{50164C3D-687B-DA4C-850A-1713FF9F382C}" parentId="{B64AB07A-CA5D-41C4-905E-0AFD3F67254F}">
    <text>Ce sont que les 7 valeurs du PDF ? Si oui, directement une ENUM non ?</text>
  </threadedComment>
  <threadedComment ref="D141"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1"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V142" dT="2024-05-23T16:14:45.84" personId="{15E60E5B-8F12-4B01-8E2A-D3C877CDBAC1}" id="{D6A4834D-81B9-1044-9BF4-F87F74ACF5B3}">
    <text>Donc on passe pas les nom / prénom des victimes en 15-NexSIS ?</text>
  </threadedComment>
  <threadedComment ref="X143" dT="2024-05-23T16:15:41.60" personId="{15E60E5B-8F12-4B01-8E2A-D3C877CDBAC1}" id="{3D102970-2CAE-5747-9D73-A1FBE73590AC}">
    <text>Pas le prénom ??</text>
  </threadedComment>
  <threadedComment ref="U146" dT="2024-01-23T15:10:58.58" personId="{E9A6DF60-F9B3-4BD0-BB8A-DE1D37E26830}" id="{014DE198-64E2-4507-A3FC-DF421F511779}">
    <text>Implémenter la nomenclature CISU (cf. Fichier transmis par Philippe)</text>
  </threadedComment>
  <threadedComment ref="E147"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7" dT="2024-01-23T15:12:26.27" personId="{E9A6DF60-F9B3-4BD0-BB8A-DE1D37E26830}" id="{BA91A5D4-B745-43C1-AD05-F9E9B9B84277}">
    <text>Trouver le format du code INSEE, et mettre une simple vérification</text>
  </threadedComment>
  <threadedComment ref="U147" dT="2024-04-22T23:35:57.74" personId="{C9A89B3A-A5FD-6849-8E65-1CD4E6C7CFF2}" id="{F03009A8-691E-5741-9602-77D12352F43D}" parentId="{BA91A5D4-B745-43C1-AD05-F9E9B9B84277}">
    <text>Juste 5 chiffres ou lettres non ? Si oui, “REGEX: \w{5}”</text>
  </threadedComment>
  <threadedComment ref="C149"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9" dT="2024-01-24T10:30:46.17" personId="{E9A6DF60-F9B3-4BD0-BB8A-DE1D37E26830}" id="{FFA7F0E1-3845-469A-B7CF-A4621D3089F0}">
    <text>Idem nomenclature 15-18 car exactement le même objet</text>
  </threadedComment>
  <threadedComment ref="D151"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3"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3"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4" dT="2024-01-24T11:06:36.27" personId="{E9A6DF60-F9B3-4BD0-BB8A-DE1D37E26830}" id="{2D9ECE82-3D73-4587-8C50-69F305FE6D3A}">
    <text>NOMENCLATURE: GRAVITE_SF21.csv</text>
  </threadedComment>
  <threadedComment ref="U156" dT="2024-01-24T10:39:46.13" personId="{E9A6DF60-F9B3-4BD0-BB8A-DE1D37E26830}" id="{000D1EF5-EA8D-4028-887E-09B730402CB5}">
    <text>CIM11 : récupérer le format des codes, et ne vérifier que le format</text>
  </threadedComment>
  <threadedComment ref="U156" dT="2024-04-22T23:42:27.41" personId="{C9A89B3A-A5FD-6849-8E65-1CD4E6C7CFF2}" id="{EDF59458-8D7A-764E-B370-2D1C00EFD2AA}" parentId="{000D1EF5-EA8D-4028-887E-09B730402CB5}">
    <text>A confirmer mais j’ai l’impression que c’est XXXX.X =&gt; “REGEX: \w{4}(\.\w)?”</text>
  </threadedComment>
  <threadedComment ref="Q157" dT="2023-06-15T08:43:45.62" personId="{C9A89B3A-A5FD-6849-8E65-1CD4E6C7CFF2}" id="{B2A46742-7986-49EC-BFF2-E5B137820840}" done="1">
    <text>Vraiment 0..n ??? Plutôt 0..1 !</text>
  </threadedComment>
  <threadedComment ref="Q157" dT="2023-06-15T08:44:13.57" personId="{C9A89B3A-A5FD-6849-8E65-1CD4E6C7CFF2}" id="{0A6061F6-9572-4E76-8A7E-B49B7B3754F0}" parentId="{B2A46742-7986-49EC-BFF2-E5B137820840}">
    <text>Quid des autres alertes ultérieures ? -&gt; pas ici ! Pas 0..n</text>
  </threadedComment>
  <threadedComment ref="Q157" dT="2023-06-15T08:47:32.60" personId="{C9A89B3A-A5FD-6849-8E65-1CD4E6C7CFF2}" id="{B4482AEB-107B-477C-8801-43834D34BA26}" parentId="{B2A46742-7986-49EC-BFF2-E5B137820840}">
    <text>Pourquoi faire initiale et nouvelle alerte ??? Juste partager une liste de n alertes non ?</text>
  </threadedComment>
  <threadedComment ref="Q157"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7" dT="2024-01-24T10:39:49.44" personId="{E9A6DF60-F9B3-4BD0-BB8A-DE1D37E26830}" id="{55DD76D7-71AA-4415-B5EF-4C960C6C5F04}">
    <text>CIM11 : récupérer le format des codes, et ne vérifier que le format</text>
  </threadedComment>
  <threadedComment ref="C158" dT="2023-11-28T10:26:59.01" personId="{E9A6DF60-F9B3-4BD0-BB8A-DE1D37E26830}" id="{DC749AE9-4EDB-4A7F-8A7B-0D009E03AED0}">
    <text xml:space="preserve">Quelle nomenclature  + est-ce un objet code + libellé ? </text>
  </threadedComment>
  <threadedComment ref="U158" dT="2024-01-24T10:40:00.12" personId="{E9A6DF60-F9B3-4BD0-BB8A-DE1D37E26830}" id="{522C021E-FCFD-4A22-8243-F9B9E8F1567F}">
    <text>CIM11 : récupérer le format des codes, et ne vérifier que le format</text>
  </threadedComment>
  <threadedComment ref="D162" dT="2023-11-14T15:29:39.07" personId="{E9A6DF60-F9B3-4BD0-BB8A-DE1D37E26830}" id="{A01A1601-D876-42A1-B7E1-CAFC7CAE43BD}">
    <text>Objet Agent qui existe dans la qualification de l'affaire : à réutiliser ici ? Doit on ajouter nom prénom à l'objet ?</text>
  </threadedComment>
  <threadedComment ref="B171" dT="2024-02-13T09:57:22.61" personId="{D6952652-30E5-479A-9FFE-AD0BC8CBB562}" id="{6542F462-2A54-48A5-9A62-7E7CFBDF2B9A}">
    <text>A envoyer au SGV (qui fait le lien vers la tablette du SIS)</text>
  </threadedComment>
  <threadedComment ref="B171" dT="2024-02-13T09:58:10.72" personId="{D6952652-30E5-479A-9FFE-AD0BC8CBB562}" id="{143643F3-D10F-401E-A876-4CA32200C2A3}" parentId="{6542F462-2A54-48A5-9A62-7E7CFBDF2B9A}">
    <text xml:space="preserve">Le véhicule en partant vers la destination, crée une mission fille dans le SGO </text>
  </threadedComment>
  <threadedComment ref="B171" dT="2024-04-02T12:06:44.16" personId="{D6952652-30E5-479A-9FFE-AD0BC8CBB562}" id="{649483CA-BA3D-46C0-A6F1-F3ED50DEAA09}" parentId="{6542F462-2A54-48A5-9A62-7E7CFBDF2B9A}">
    <text>Faut-il un ID technique par décision prise?</text>
  </threadedComment>
  <threadedComment ref="U174" dT="2024-01-24T10:43:18.99" personId="{E9A6DF60-F9B3-4BD0-BB8A-DE1D37E26830}" id="{4DB9FC1B-FE92-4AA7-B2F3-BFF17D976413}">
    <text>Implémenter nomenclature SI-SAMU : type_dec</text>
  </threadedComment>
  <threadedComment ref="D184" dT="2023-09-20T15:45:30.85" personId="{ABFB0C52-AC18-4406-B6D7-B9BCF5A2A0D7}" id="{35BA8B78-AE32-4EC9-9879-40019918450A}" done="1">
    <text>Y'a-t-il une nomenclature derrière ? Sinon mettre plutôt du freetext</text>
  </threadedComment>
  <threadedComment ref="U184" dT="2024-01-24T10:43:34.09" personId="{E9A6DF60-F9B3-4BD0-BB8A-DE1D37E26830}" id="{04411F78-544D-4A29-9486-C852BE16B4A1}">
    <text>A revoir</text>
  </threadedComment>
  <threadedComment ref="K186" dT="2023-11-24T17:15:01.30" personId="{E9A6DF60-F9B3-4BD0-BB8A-DE1D37E26830}" id="{6729E6ED-B0CD-41F4-BDE9-63A71C3B0080}">
    <text>Il faut que ce soit idem EMSI ?</text>
  </threadedComment>
  <threadedComment ref="D187" dT="2023-09-21T08:23:36.30" personId="{ABFB0C52-AC18-4406-B6D7-B9BCF5A2A0D7}" id="{D0DA69C0-CE9E-4870-BE12-1DC6165B5C02}" done="1">
    <text>Définir la nomenclature</text>
  </threadedComment>
  <threadedComment ref="D187" dT="2023-11-27T12:34:46.55" personId="{E9A6DF60-F9B3-4BD0-BB8A-DE1D37E26830}" id="{89CA25E8-3394-4662-8D61-19395B72A46C}" parentId="{D0DA69C0-CE9E-4870-BE12-1DC6165B5C02}">
    <text xml:space="preserve">Pas la même signification, que le "niveau de soins" d'engagement du vecteur. </text>
  </threadedComment>
  <threadedComment ref="D187" dT="2023-11-27T12:36:58.47" personId="{E9A6DF60-F9B3-4BD0-BB8A-DE1D37E26830}" id="{1FC397B0-8EA1-45C9-8769-5023FD45C80B}" parentId="{D0DA69C0-CE9E-4870-BE12-1DC6165B5C02}">
    <text>Dans le vecteur de transport : niveau de médicalisation du transport</text>
  </threadedComment>
  <threadedComment ref="D187" dT="2023-11-27T12:38:39.20" personId="{E9A6DF60-F9B3-4BD0-BB8A-DE1D37E26830}" id="{7EE0A798-A6E7-45B3-87B0-D6E37C4FF429}" parentId="{D0DA69C0-CE9E-4870-BE12-1DC6165B5C02}">
    <text>Pas de nomenclature</text>
  </threadedComment>
  <threadedComment ref="D187" dT="2024-02-13T10:04:00.09" personId="{D6952652-30E5-479A-9FFE-AD0BC8CBB562}" id="{B6DADED7-EC3D-4D68-BCCE-0771FAED0BB9}" parentId="{D0DA69C0-CE9E-4870-BE12-1DC6165B5C02}">
    <text>Niveau de prise en charge au lieu de médicalisation (si médicalisation, on implique qu'un médecin est déjà engagé)</text>
  </threadedComment>
  <threadedComment ref="D187" dT="2024-02-14T15:11:40.85" personId="{E9A6DF60-F9B3-4BD0-BB8A-DE1D37E26830}" id="{605E48B3-D6A1-460A-9F37-7F8B313BD6B8}" parentId="{D0DA69C0-CE9E-4870-BE12-1DC6165B5C02}">
    <text xml:space="preserve">A revoir avec Philippe : on est dans la régulation médicale, donc il y a bien un médecin qui a pris une décision.
Le niveau médical de l'équipe engagée en revanche peut être différent
</text>
  </threadedComment>
  <threadedComment ref="D187" dT="2024-02-14T15:16:07.60" personId="{E9A6DF60-F9B3-4BD0-BB8A-DE1D37E26830}" id="{CFB72019-13DD-4FCE-B4A3-CBA537D3863C}" parentId="{D0DA69C0-CE9E-4870-BE12-1DC6165B5C02}">
    <text xml:space="preserve">+ il y a certains samu qui considère que le type de vecteur demandé = quel type d'équipe doit être dedans
</text>
  </threadedComment>
  <threadedComment ref="U187" dT="2024-04-30T13:20:21.50" personId="{E9A6DF60-F9B3-4BD0-BB8A-DE1D37E26830}" id="{964987F5-BD33-4AED-972B-3B2857629C23}">
    <text>Implémenter la nomenclature correspondante</text>
  </threadedComment>
  <threadedComment ref="D188" dT="2023-09-21T08:23:20.98" personId="{ABFB0C52-AC18-4406-B6D7-B9BCF5A2A0D7}" id="{56A2AD22-1E72-4495-AF2F-6EFF0E07EC59}">
    <text>Reprendre un objet position du modèle adresse EMSI ?</text>
  </threadedComment>
  <threadedComment ref="D188" dT="2024-02-13T10:05:46.40" personId="{D6952652-30E5-479A-9FFE-AD0BC8CBB562}" id="{FDF9D6E3-C330-4AB0-B88E-AFEBCFEC5D85}" parentId="{56A2AD22-1E72-4495-AF2F-6EFF0E07EC59}">
    <text>Typer la destination : domicile, hôpital, établissement X, etc.</text>
  </threadedComment>
  <threadedComment ref="D188" dT="2024-02-14T15:12:00.47" personId="{E9A6DF60-F9B3-4BD0-BB8A-DE1D37E26830}" id="{3AA43BD2-BE25-4382-A84A-269F7DE0C0F6}" parentId="{56A2AD22-1E72-4495-AF2F-6EFF0E07EC59}">
    <text>Idem, en cours avec Philippe</text>
  </threadedComment>
  <threadedComment ref="D188" dT="2024-03-18T12:59:52.07" personId="{E9A6DF60-F9B3-4BD0-BB8A-DE1D37E26830}" id="{3731EEE7-CDB1-422E-A709-6AA398E993DA}" parentId="{56A2AD22-1E72-4495-AF2F-6EFF0E07EC59}">
    <text>Mettre un objet identique à l'adresse de localisation. Pour pouvoir amener les personnes à n'importe quel endroit (y compris à domicile).
+ ajouter un champ FINESS ?</text>
  </threadedComment>
  <threadedComment ref="E189" dT="2024-03-11T08:28:41.81" personId="{D6952652-30E5-479A-9FFE-AD0BC8CBB562}" id="{C8748D8D-BB3A-4C14-BADE-D16F62306724}">
    <text>Ajouté suite au retour de Philippe</text>
  </threadedComment>
  <threadedComment ref="C191" dT="2023-07-04T13:01:55.92" personId="{C9A89B3A-A5FD-6849-8E65-1CD4E6C7CFF2}" id="{3E4494E4-4D0B-482E-8C44-6CA902FCAA01}" done="1">
    <text>Vont vraiment être différentes de la localisation de l’affaire ?</text>
  </threadedComment>
  <threadedComment ref="Q191" dT="2023-06-15T08:43:45.62" personId="{C9A89B3A-A5FD-6849-8E65-1CD4E6C7CFF2}" id="{12397E16-0DD2-4B81-8BEC-31510D881B5D}" done="1">
    <text>Vraiment 0..n ??? Plutôt 0..1 !</text>
  </threadedComment>
  <threadedComment ref="Q191" dT="2023-06-15T08:44:13.57" personId="{C9A89B3A-A5FD-6849-8E65-1CD4E6C7CFF2}" id="{874C3690-704A-4135-9A27-9126AC7954EF}" parentId="{12397E16-0DD2-4B81-8BEC-31510D881B5D}">
    <text>Quid des autres alertes ultérieures ? -&gt; pas ici ! Pas 0..n</text>
  </threadedComment>
  <threadedComment ref="Q191" dT="2023-06-15T08:47:32.60" personId="{C9A89B3A-A5FD-6849-8E65-1CD4E6C7CFF2}" id="{C595C92E-EE11-44EA-80CE-6225C1299968}" parentId="{12397E16-0DD2-4B81-8BEC-31510D881B5D}">
    <text>Pourquoi faire initiale et nouvelle alerte ??? Juste partager une liste de n alertes non ?</text>
  </threadedComment>
  <threadedComment ref="Q191"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W191" dT="2024-05-23T16:16:17.17" personId="{15E60E5B-8F12-4B01-8E2A-D3C877CDBAC1}" id="{EC03513B-C463-ED45-B66B-DD6C50DF2248}">
    <text>@Elodie FALCIONI (EXT) A enlever non ?</text>
    <mentions>
      <mention mentionpersonId="{10AA01AE-01D7-784E-A4FB-B6D4F18B5232}" mentionId="{0AC7986A-637B-844C-BF50-74B6CAA9B2C5}" startIndex="0" length="22"/>
    </mentions>
  </threadedComment>
  <threadedComment ref="W191" dT="2024-05-23T16:37:51.46" personId="{DF4F572D-2211-4D3A-83E1-5495966E637E}" id="{73927F90-3775-48AF-AD24-88941B6366DD}" parentId="{EC03513B-C463-ED45-B66B-DD6C50DF2248}">
    <text xml:space="preserve">non : si le LRM gère plusieurs appel, on peut le laisser. De toute façon j'enlève plus rien, on verra à la prochaine publication.
On ne sait pas comment on gère les mises à jour, tant que ce sujet n'est pas réglé je laisse. 
</text>
  </threadedComment>
  <threadedComment ref="Q193" dT="2024-03-26T09:12:42.22" personId="{C9A89B3A-A5FD-6849-8E65-1CD4E6C7CFF2}" id="{56075946-9C3F-8345-89AE-75C567E0E491}">
    <text>Bien 0..3</text>
  </threadedComment>
  <threadedComment ref="A198" dT="2023-11-10T16:14:36.81" personId="{74379435-529A-4754-96FF-EF4318F87F1A}" id="{D6BBFD18-B7C3-44E9-AAAF-C0520A0384D3}">
    <text>doublon avec l'ID 5. Pourquoi ne pas avoir une donnée (niveau 2) "Informations supplémentaires" en freetext ?</text>
  </threadedComment>
  <threadedComment ref="B198" dT="2024-04-26T09:57:36.54" personId="{E9A6DF60-F9B3-4BD0-BB8A-DE1D37E26830}" id="{3792C7C2-9F65-4E58-AF0D-9CB49954D7C2}">
    <text>Différent en inter-force : contient des infos sur l'affaire de type 'la voiture est retourné', 'forcené sur les lieux'. C'est donc différent des info purement patient/victime.</text>
  </threadedComment>
</ThreadedComments>
</file>

<file path=xl/threadedComments/threadedComment6.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4FC34D19-52DE-449A-AEA2-BE9696950733}" done="1">
    <text>Valider avec NexSIS les noms des balises racines !! (message, createCase, emsi)</text>
  </threadedComment>
  <threadedComment ref="B8" dT="2023-10-17T14:10:14.10" personId="{C9A89B3A-A5FD-6849-8E65-1CD4E6C7CFF2}" id="{5C2C82CE-4819-4786-825F-A15C43C07BD1}">
    <text xml:space="preserve">Le champs de ‘signalement’ a été supprimé finalement ? </text>
  </threadedComment>
  <threadedComment ref="B8" dT="2023-10-23T11:26:27.60" personId="{C9A89B3A-A5FD-6849-8E65-1CD4E6C7CFF2}" id="{B499CCE7-666B-440C-962B-74F42F8F55DF}" parentId="{5C2C82CE-4819-4786-825F-A15C43C07BD1}">
    <text>Ajouter un champs de statut local global du dossier ? Ou message de clôture ? Ou règle "après 24h clôt" ?</text>
  </threadedComment>
  <threadedComment ref="B8" dT="2023-11-08T13:34:34.60" personId="{ABFB0C52-AC18-4406-B6D7-B9BCF5A2A0D7}" id="{BA038442-5879-4927-8D99-7E175119A7DD}" parentId="{5C2C82CE-4819-4786-825F-A15C43C07BD1}">
    <text>A traiter avec NexSIS. Pour l'instant obligé de passer par un RC-EDA pour la gestion du statut</text>
  </threadedComment>
  <threadedComment ref="B9" dT="2023-09-25T11:44:28.72" personId="{C9A89B3A-A5FD-6849-8E65-1CD4E6C7CFF2}" id="{2B8BB9CF-F24E-4529-8CF6-DE80AE8CF1AA}">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BA502C1A-1AD7-4549-83AD-6884A4B90E42}" parentId="{2B8BB9CF-F24E-4529-8CF6-DE80AE8CF1AA}">
    <text>=&gt; A traiter ultérieurement avec le sujet de rapprochement de dossier/affaire</text>
  </threadedComment>
  <threadedComment ref="H9" dT="2023-09-07T08:01:23.57" personId="{C9A89B3A-A5FD-6849-8E65-1CD4E6C7CFF2}" id="{953CCFA9-18F1-49C4-ABCE-A8F9A60BE853}" done="1">
    <text>Bien clarifier comment on identifie le SAMU émetteur (SAMU76A ou SAMU761)</text>
  </threadedComment>
  <threadedComment ref="H9" dT="2023-09-07T09:36:20.81" personId="{ABFB0C52-AC18-4406-B6D7-B9BCF5A2A0D7}" id="{3D054C53-AFC2-40BC-BEC8-2764EABCBF59}" parentId="{953CCFA9-18F1-49C4-ABCE-A8F9A60BE853}">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83BBC93-D5DB-4E23-9BE9-E752EFD02831}" parentId="{953CCFA9-18F1-49C4-ABCE-A8F9A60BE853}">
    <text>2 remarques : quand est-ce qu'on utilise AL ou AF ?
Id sur 4 digits, a priori ok vu le volume mais pas mega large =&gt; cout de passer à 6 digits par exemple ?</text>
  </threadedComment>
  <threadedComment ref="H9" dT="2023-09-18T13:00:04.67" personId="{C9A89B3A-A5FD-6849-8E65-1CD4E6C7CFF2}" id="{4A2526C3-58A5-4086-A656-F25B14C66687}" parentId="{953CCFA9-18F1-49C4-ABCE-A8F9A60BE853}">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DE57C21-B891-4AF6-928B-C8B67775C761}" parentId="{953CCFA9-18F1-49C4-ABCE-A8F9A60BE853}">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5517E1F1-A129-4E40-86DE-CC457FE65853}" parentId="{953CCFA9-18F1-49C4-ABCE-A8F9A60BE853}">
    <text>Voir avec NexSIS si c’est vraiment nécessaire où si on peut juste faire idStructure_idLocale ?</text>
  </threadedComment>
  <threadedComment ref="H9" dT="2023-09-21T14:49:44.43" personId="{ABFB0C52-AC18-4406-B6D7-B9BCF5A2A0D7}" id="{668BA10D-27E0-4CBD-9924-9009790708D1}" parentId="{953CCFA9-18F1-49C4-ABCE-A8F9A60BE853}">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2F15002A-8A36-478E-8C1F-598AE161CA0D}" parentId="{953CCFA9-18F1-49C4-ABCE-A8F9A60BE853}">
    <text>Remarque Olivier : contrainte sur le français</text>
  </threadedComment>
  <threadedComment ref="H9" dT="2023-09-22T08:30:01.21" personId="{ABFB0C52-AC18-4406-B6D7-B9BCF5A2A0D7}" id="{2E7546D8-5D75-4A70-A779-B3F1B01DD558}" parentId="{953CCFA9-18F1-49C4-ABCE-A8F9A60BE853}">
    <text>Ajouter une explication sur l'utilité de la clé unique et pourquoi elle doit être intelligible</text>
  </threadedComment>
  <threadedComment ref="H9" dT="2023-09-22T08:31:56.77" personId="{ABFB0C52-AC18-4406-B6D7-B9BCF5A2A0D7}" id="{97D6AEE3-EC69-40B8-8929-44F00A8C0D9D}" parentId="{953CCFA9-18F1-49C4-ABCE-A8F9A60BE853}">
    <text>Définir le concept de clé conventionnelle</text>
  </threadedComment>
  <threadedComment ref="B12" dT="2024-04-22T12:25:51.13" personId="{15E60E5B-8F12-4B01-8E2A-D3C877CDBAC1}" id="{22BD1288-E0C6-964D-8449-E8031744940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2" dT="2024-04-22T12:33:09.63" personId="{E9A6DF60-F9B3-4BD0-BB8A-DE1D37E26830}" id="{D9C249F5-C0BB-42BB-BD44-999027E6C8BB}" parentId="{22BD1288-E0C6-964D-8449-E80317449401}">
    <text xml:space="preserve">Oui mais là, je fais macro. Honnetement la marque, le modèle, etc ça interesse personne en 15-15. 
</text>
  </threadedComment>
  <threadedComment ref="B12" dT="2024-04-23T14:17:25.43" personId="{E9A6DF60-F9B3-4BD0-BB8A-DE1D37E26830}" id="{15658B98-5850-448A-BD56-04DD13A4C004}" parentId="{22BD1288-E0C6-964D-8449-E80317449401}">
    <text>J'ai ajouté la plupart des champs demandé par philippe. A part l'équipement supplémentaires, ou je pense que le commentaire freetext suffit</text>
  </threadedComment>
  <threadedComment ref="P42" dT="2024-01-08T13:02:05.69" personId="{C9A89B3A-A5FD-6849-8E65-1CD4E6C7CFF2}" id="{E2DB24A4-1E97-4CF6-8E77-B121328CAC25}">
    <text>N’autoriser que les n° de tel (PHNADD) et mettre la regex du n° de tel de l’interface : REGEX: tel:([#\+\*]|37000|00+)?[0-9]{2,15} ?</text>
  </threadedComment>
  <threadedComment ref="P42" dT="2024-01-23T14:51:41.35" personId="{E9A6DF60-F9B3-4BD0-BB8A-DE1D37E26830}" id="{0A225696-4C3D-414B-BBCA-FACA3145E45D}" parentId="{E2DB24A4-1E97-4CF6-8E77-B121328CAC25}">
    <text>@Daphné LECCIA (EXT) @Romain FOUILLAND : Philippe souhaite ici remettre la nomenclature EMSI complète correspondante (point 15-15 du 220124). Je reprends l'objet dans le 15-15.</text>
    <mentions>
      <mention mentionpersonId="{DF480BA0-C840-4713-8568-FE1A645D605C}" mentionId="{47A74A0F-28B1-47D4-BBD4-B4AA9EE1CE8D}" startIndex="0" length="20"/>
      <mention mentionpersonId="{8A877495-E9BF-4545-8586-47BB0F221908}" mentionId="{1B2D8DB4-4904-4531-8492-26E4B195EC0D}" startIndex="21" length="17"/>
    </mentions>
  </threadedComment>
  <threadedComment ref="P42" dT="2024-01-24T17:33:12.16" personId="{C9A89B3A-A5FD-6849-8E65-1CD4E6C7CFF2}" id="{7BD3D21C-E37E-4C72-8757-3A84AECF2C97}" parentId="{E2DB24A4-1E97-4CF6-8E77-B121328CAC25}">
    <text>OK pas de souci, qui peut le plus peut le moins</text>
  </threadedComment>
  <threadedComment ref="N48" dT="2023-10-06T15:52:24.74" personId="{6D908C62-98CE-5042-81E4-8ACAD1B880FE}" id="{EDD2F26A-0557-4900-A890-3DE1CD3F9206}" done="1">
    <text>Nader veut passer le nombre max de caractères de 80 à 255</text>
  </threadedComment>
  <threadedComment ref="P51" dT="2024-03-22T14:10:43.40" personId="{E9A6DF60-F9B3-4BD0-BB8A-DE1D37E26830}" id="{38F37FE5-9E0C-47D5-BA06-4AF938962624}">
    <text>Voir pour compléter cette liste ?</text>
  </threadedComment>
  <threadedComment ref="L76" dT="2023-10-26T21:36:55.27" personId="{C9A89B3A-A5FD-6849-8E65-1CD4E6C7CFF2}" id="{38D22A15-7BA4-4C71-9C64-E58F628C4E93}" done="1">
    <text>Nécessaire de le passer obligatoire pour NexSIS (retour Scriptal) ?</text>
  </threadedComment>
</ThreadedComments>
</file>

<file path=xl/threadedComments/threadedComment8.xml><?xml version="1.0" encoding="utf-8"?>
<ThreadedComments xmlns="http://schemas.microsoft.com/office/spreadsheetml/2018/threadedcomments" xmlns:x="http://schemas.openxmlformats.org/spreadsheetml/2006/main">
  <threadedComment ref="B8" dT="2023-10-17T14:10:14.10" personId="{C9A89B3A-A5FD-6849-8E65-1CD4E6C7CFF2}" id="{2A3E4B9B-5881-4B0A-8BC9-E70E8861F387}">
    <text xml:space="preserve">Le champs de ‘signalement’ a été supprimé finalement ? </text>
  </threadedComment>
  <threadedComment ref="B8" dT="2023-10-23T11:26:27.60" personId="{C9A89B3A-A5FD-6849-8E65-1CD4E6C7CFF2}" id="{33DFF6DA-9895-412B-916E-67AEA5C0797D}" parentId="{2A3E4B9B-5881-4B0A-8BC9-E70E8861F387}">
    <text>Ajouter un champs de statut local global du dossier ? Ou message de clôture ? Ou règle "après 24h clôt" ?</text>
  </threadedComment>
  <threadedComment ref="B8" dT="2023-11-08T13:34:34.60" personId="{ABFB0C52-AC18-4406-B6D7-B9BCF5A2A0D7}" id="{B3DC22AD-C07A-4DAA-AA5C-C0D6F3E37933}" parentId="{2A3E4B9B-5881-4B0A-8BC9-E70E8861F387}">
    <text>A traiter avec NexSIS. Pour l'instant obligé de passer par un RC-EDA pour la gestion du statut</text>
  </threadedComment>
  <threadedComment ref="B9" dT="2023-09-25T11:44:28.72" personId="{C9A89B3A-A5FD-6849-8E65-1CD4E6C7CFF2}" id="{0CF11431-BA27-4A08-A908-C5E8B2A17D25}">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FB8D0F-97AD-46BE-BD85-174D595A557C}" parentId="{0CF11431-BA27-4A08-A908-C5E8B2A17D25}">
    <text>=&gt; A traiter ultérieurement avec le sujet de rapprochement de dossier/affaire</text>
  </threadedComment>
  <threadedComment ref="N20" dT="2023-10-06T15:52:24.74" personId="{6D908C62-98CE-5042-81E4-8ACAD1B880FE}" id="{B34685CE-7E85-4538-A295-D11534BA03B8}" done="1">
    <text>Nader veut passer le nombre max de caractères de 80 à 255</text>
  </threadedComment>
  <threadedComment ref="P23" dT="2024-03-22T14:10:43.40" personId="{E9A6DF60-F9B3-4BD0-BB8A-DE1D37E26830}" id="{635B7789-0EF6-4625-9FAB-44AB86872C98}">
    <text>Voir pour compléter cette liste ?</text>
  </threadedComment>
  <threadedComment ref="L48" dT="2023-10-26T21:36:55.27" personId="{C9A89B3A-A5FD-6849-8E65-1CD4E6C7CFF2}" id="{4DA601C9-6AF5-499E-857A-82256D1E8538}" done="1">
    <text>Nécessaire de le passer obligatoire pour NexSIS (retour Scriptal) ?</text>
  </threadedComment>
</ThreadedComments>
</file>

<file path=xl/threadedComments/threadedComment9.xml><?xml version="1.0" encoding="utf-8"?>
<ThreadedComments xmlns="http://schemas.microsoft.com/office/spreadsheetml/2018/threadedcomments" xmlns:x="http://schemas.openxmlformats.org/spreadsheetml/2006/main">
  <threadedComment ref="H1" dT="2023-09-21T15:05:23.74" personId="{C9A89B3A-A5FD-6849-8E65-1CD4E6C7CFF2}" id="{6FE43FAC-640B-4B23-AE30-C5EC003889C6}" done="1">
    <text>Valider avec NexSIS les noms des balises racines !! (message, createCase, emsi)</text>
  </threadedComment>
  <threadedComment ref="B8" dT="2023-10-17T14:10:14.10" personId="{C9A89B3A-A5FD-6849-8E65-1CD4E6C7CFF2}" id="{F655AB1D-01D7-439F-A55F-44DB596DD0AC}">
    <text xml:space="preserve">Le champs de ‘signalement’ a été supprimé finalement ? </text>
  </threadedComment>
  <threadedComment ref="B8" dT="2023-10-23T11:26:27.60" personId="{C9A89B3A-A5FD-6849-8E65-1CD4E6C7CFF2}" id="{6B0AF44A-DE75-4662-B4E1-EA6A5474DA11}" parentId="{F655AB1D-01D7-439F-A55F-44DB596DD0AC}">
    <text>Ajouter un champs de statut local global du dossier ? Ou message de clôture ? Ou règle "après 24h clôt" ?</text>
  </threadedComment>
  <threadedComment ref="B8" dT="2023-11-08T13:34:34.60" personId="{ABFB0C52-AC18-4406-B6D7-B9BCF5A2A0D7}" id="{DC7E52F5-F5FF-4F87-9910-5CF9BADE28E9}" parentId="{F655AB1D-01D7-439F-A55F-44DB596DD0AC}">
    <text>A traiter avec NexSIS. Pour l'instant obligé de passer par un RC-EDA pour la gestion du statut</text>
  </threadedComment>
  <threadedComment ref="B9" dT="2023-09-25T11:44:28.72" personId="{C9A89B3A-A5FD-6849-8E65-1CD4E6C7CFF2}" id="{E48E6C14-8065-49AA-9716-94F0B7E75F37}">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7401A5FE-8648-4792-9EF7-6CF6B819FCC0}" parentId="{E48E6C14-8065-49AA-9716-94F0B7E75F37}">
    <text>=&gt; A traiter ultérieurement avec le sujet de rapprochement de dossier/affaire</text>
  </threadedComment>
  <threadedComment ref="P40" dT="2024-01-08T13:02:05.69" personId="{C9A89B3A-A5FD-6849-8E65-1CD4E6C7CFF2}" id="{DF2AA6CA-FC70-4347-B614-9ADC9E1E6905}">
    <text>N’autoriser que les n° de tel (PHNADD) et mettre la regex du n° de tel de l’interface : REGEX: tel:([#\+\*]|37000|00+)?[0-9]{2,15} ?</text>
  </threadedComment>
  <threadedComment ref="P40" dT="2024-01-23T14:51:41.35" personId="{E9A6DF60-F9B3-4BD0-BB8A-DE1D37E26830}" id="{E35D3C10-22C9-486B-A925-AA29092B25F9}" parentId="{DF2AA6CA-FC70-4347-B614-9ADC9E1E6905}">
    <text>@Daphné LECCIA (EXT) @Romain FOUILLAND : Philippe souhaite ici remettre la nomenclature EMSI complète correspondante (point 15-15 du 220124). Je reprends l'objet dans le 15-15.</text>
    <mentions>
      <mention mentionpersonId="{DF480BA0-C840-4713-8568-FE1A645D605C}" mentionId="{198DCAAA-6D1B-4B58-9078-E4161230EEBD}" startIndex="0" length="20"/>
      <mention mentionpersonId="{8A877495-E9BF-4545-8586-47BB0F221908}" mentionId="{5B359BC8-F619-4AA9-ADD6-77ED4E21F54B}" startIndex="21" length="17"/>
    </mentions>
  </threadedComment>
  <threadedComment ref="P40" dT="2024-01-24T17:33:12.16" personId="{C9A89B3A-A5FD-6849-8E65-1CD4E6C7CFF2}" id="{4074043F-CF5E-4B2A-9BDC-B16900668588}" parentId="{DF2AA6CA-FC70-4347-B614-9ADC9E1E6905}">
    <text>OK pas de souci, qui peut le plus peut le moins</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4.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0.vml"/><Relationship Id="rId1" Type="http://schemas.openxmlformats.org/officeDocument/2006/relationships/printerSettings" Target="../printerSettings/printerSettings5.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9.xml"/><Relationship Id="rId1" Type="http://schemas.openxmlformats.org/officeDocument/2006/relationships/vmlDrawing" Target="../drawings/vmlDrawing11.vml"/><Relationship Id="rId4" Type="http://schemas.microsoft.com/office/2017/10/relationships/threadedComment" Target="../threadedComments/threadedComment1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0.xml"/><Relationship Id="rId1" Type="http://schemas.openxmlformats.org/officeDocument/2006/relationships/vmlDrawing" Target="../drawings/vmlDrawing12.vml"/><Relationship Id="rId4" Type="http://schemas.microsoft.com/office/2017/10/relationships/threadedComment" Target="../threadedComments/threadedComment12.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3.vml"/><Relationship Id="rId1" Type="http://schemas.openxmlformats.org/officeDocument/2006/relationships/printerSettings" Target="../printerSettings/printerSettings6.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4.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15.vml"/><Relationship Id="rId1" Type="http://schemas.openxmlformats.org/officeDocument/2006/relationships/printerSettings" Target="../printerSettings/printerSettings7.bin"/><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798"/>
      <c r="K1" s="798"/>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49"/>
  <sheetViews>
    <sheetView zoomScaleNormal="100" workbookViewId="0">
      <pane xSplit="7" ySplit="8" topLeftCell="Q11" activePane="bottomRight" state="frozen"/>
      <selection pane="topRight" activeCell="H1" sqref="H1"/>
      <selection pane="bottomLeft" activeCell="A9" sqref="A9"/>
      <selection pane="bottomRight" activeCell="U27" sqref="U27"/>
    </sheetView>
  </sheetViews>
  <sheetFormatPr baseColWidth="10" defaultColWidth="9.5" defaultRowHeight="12" customHeight="1"/>
  <cols>
    <col min="1" max="1" width="4.62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29.125" style="96" customWidth="1"/>
    <col min="9" max="9" width="33.5" style="225" customWidth="1"/>
    <col min="10" max="10" width="12" style="96" customWidth="1"/>
    <col min="11" max="11" width="17.875" style="159" customWidth="1"/>
    <col min="12" max="13" width="4.875" style="96" hidden="1" customWidth="1"/>
    <col min="14" max="15" width="6.125" style="96" hidden="1" customWidth="1"/>
    <col min="16" max="16" width="6.625" style="173" hidden="1" customWidth="1"/>
    <col min="17" max="17" width="10.5" style="96" customWidth="1"/>
    <col min="18" max="18" width="6" style="96" customWidth="1"/>
    <col min="19" max="19" width="18.5" style="96" customWidth="1"/>
    <col min="20" max="20" width="12.625" style="277" customWidth="1"/>
    <col min="21" max="24" width="9.5" style="96" customWidth="1"/>
    <col min="25" max="25" width="2.375" customWidth="1"/>
    <col min="26" max="26" width="22.625" style="179" customWidth="1"/>
    <col min="27" max="27" width="24.375" style="96" customWidth="1"/>
    <col min="28" max="28" width="24.5" style="159" customWidth="1"/>
    <col min="29" max="29" width="17.5" style="96" customWidth="1"/>
    <col min="30" max="30" width="9.5" customWidth="1"/>
    <col min="31" max="31" width="8" style="96" customWidth="1"/>
    <col min="32" max="32" width="9"/>
    <col min="33" max="1013" width="9.5" style="128"/>
    <col min="1014" max="1014" width="9" style="128" customWidth="1"/>
    <col min="1015" max="1016" width="9" customWidth="1"/>
  </cols>
  <sheetData>
    <row r="1" spans="1:1014" ht="13.5" customHeight="1">
      <c r="A1" s="228" t="s">
        <v>1609</v>
      </c>
      <c r="C1" s="129" t="s">
        <v>812</v>
      </c>
      <c r="E1" s="150" t="s">
        <v>813</v>
      </c>
      <c r="F1" s="157">
        <f>createCase[[#Totals],[Métier]] / createCase[[#Totals],[ID]]</f>
        <v>0.98947368421052628</v>
      </c>
      <c r="G1" s="128"/>
      <c r="H1" s="812" t="s">
        <v>910</v>
      </c>
      <c r="I1" s="812"/>
      <c r="J1" s="812"/>
      <c r="O1" s="813" t="s">
        <v>815</v>
      </c>
      <c r="P1" s="813"/>
      <c r="AD1" s="96"/>
      <c r="AF1" s="128"/>
      <c r="ALZ1"/>
    </row>
    <row r="2" spans="1:1014" ht="13.5" customHeight="1">
      <c r="C2" s="141" t="s">
        <v>817</v>
      </c>
      <c r="D2" s="284"/>
      <c r="E2" s="152" t="s">
        <v>818</v>
      </c>
      <c r="F2" s="157">
        <f>createCase[[#Totals],[NexSIS]] / createCase[[#Totals],[ID]]</f>
        <v>0.42105263157894735</v>
      </c>
      <c r="G2" s="128"/>
      <c r="H2" s="812"/>
      <c r="I2" s="812"/>
      <c r="J2" s="812"/>
      <c r="AD2" s="96"/>
      <c r="AF2" s="128"/>
      <c r="ALZ2"/>
    </row>
    <row r="3" spans="1:1014" ht="13.5" customHeight="1">
      <c r="C3" s="142" t="s">
        <v>820</v>
      </c>
      <c r="E3" s="151" t="s">
        <v>821</v>
      </c>
      <c r="G3" s="128"/>
      <c r="AD3" s="96"/>
      <c r="AF3" s="128"/>
      <c r="ALZ3"/>
    </row>
    <row r="4" spans="1:1014" ht="13.5" customHeight="1">
      <c r="C4" s="143" t="s">
        <v>823</v>
      </c>
      <c r="E4" s="153" t="s">
        <v>824</v>
      </c>
      <c r="G4" s="137"/>
      <c r="AD4" s="96"/>
      <c r="AF4" s="128"/>
      <c r="ALZ4"/>
    </row>
    <row r="5" spans="1:1014" s="149" customFormat="1" ht="13.5" customHeight="1">
      <c r="A5" s="128"/>
      <c r="B5" s="128"/>
      <c r="C5" s="145" t="s">
        <v>825</v>
      </c>
      <c r="D5" s="146"/>
      <c r="E5" s="290" t="s">
        <v>911</v>
      </c>
      <c r="F5" s="146"/>
      <c r="G5" s="148"/>
      <c r="H5" s="148"/>
      <c r="I5" s="275"/>
      <c r="J5" s="148"/>
      <c r="K5" s="160"/>
      <c r="L5" s="148"/>
      <c r="M5" s="148"/>
      <c r="N5" s="148"/>
      <c r="O5" s="148"/>
      <c r="P5" s="186"/>
      <c r="Q5" s="148"/>
      <c r="R5" s="148"/>
      <c r="S5" s="148"/>
      <c r="T5" s="279"/>
      <c r="U5" s="148"/>
      <c r="V5" s="148"/>
      <c r="W5" s="148"/>
      <c r="X5" s="148"/>
      <c r="Y5"/>
      <c r="Z5" s="181"/>
      <c r="AA5" s="148"/>
      <c r="AB5" s="160"/>
      <c r="AC5" s="148"/>
      <c r="AD5" s="148"/>
      <c r="AE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826</v>
      </c>
      <c r="D6" s="138"/>
      <c r="F6" s="138"/>
      <c r="AD6" s="96"/>
      <c r="AF6" s="128"/>
      <c r="ALZ6"/>
    </row>
    <row r="7" spans="1:1014" ht="13.5" customHeight="1">
      <c r="A7"/>
      <c r="B7"/>
      <c r="C7" s="138"/>
      <c r="D7" s="377"/>
      <c r="E7" s="138"/>
      <c r="F7" s="138"/>
      <c r="L7" s="814" t="s">
        <v>827</v>
      </c>
      <c r="M7" s="814"/>
      <c r="N7" s="814"/>
      <c r="O7" s="814"/>
      <c r="V7" s="787" t="s">
        <v>828</v>
      </c>
      <c r="W7" s="787" t="s">
        <v>828</v>
      </c>
      <c r="X7" s="787" t="s">
        <v>828</v>
      </c>
      <c r="AD7" s="814" t="s">
        <v>829</v>
      </c>
      <c r="AE7" s="814"/>
      <c r="AF7" s="128"/>
      <c r="ALZ7"/>
    </row>
    <row r="8" spans="1:1014" s="238" customFormat="1" ht="55.5" customHeight="1">
      <c r="A8" s="233" t="s">
        <v>830</v>
      </c>
      <c r="B8" s="381" t="s">
        <v>831</v>
      </c>
      <c r="C8" s="278" t="s">
        <v>832</v>
      </c>
      <c r="D8" s="278" t="s">
        <v>833</v>
      </c>
      <c r="E8" s="278" t="s">
        <v>834</v>
      </c>
      <c r="F8" s="278" t="s">
        <v>835</v>
      </c>
      <c r="G8" s="278" t="s">
        <v>836</v>
      </c>
      <c r="H8" s="234" t="s">
        <v>9</v>
      </c>
      <c r="I8" s="234" t="s">
        <v>837</v>
      </c>
      <c r="J8" s="234" t="s">
        <v>840</v>
      </c>
      <c r="K8" s="234" t="s">
        <v>841</v>
      </c>
      <c r="L8" s="235" t="s">
        <v>842</v>
      </c>
      <c r="M8" s="235" t="s">
        <v>843</v>
      </c>
      <c r="N8" s="235" t="s">
        <v>844</v>
      </c>
      <c r="O8" s="235" t="s">
        <v>845</v>
      </c>
      <c r="P8" s="235" t="s">
        <v>846</v>
      </c>
      <c r="Q8" s="234" t="s">
        <v>677</v>
      </c>
      <c r="R8" s="234" t="s">
        <v>3</v>
      </c>
      <c r="S8" s="234" t="s">
        <v>912</v>
      </c>
      <c r="T8" s="283" t="s">
        <v>913</v>
      </c>
      <c r="U8" s="234" t="s">
        <v>848</v>
      </c>
      <c r="V8" s="229" t="s">
        <v>849</v>
      </c>
      <c r="W8" s="229" t="s">
        <v>850</v>
      </c>
      <c r="X8" s="229" t="s">
        <v>1610</v>
      </c>
      <c r="Y8" s="230" t="s">
        <v>851</v>
      </c>
      <c r="Z8" s="235" t="s">
        <v>852</v>
      </c>
      <c r="AA8" s="235" t="s">
        <v>853</v>
      </c>
      <c r="AB8" s="236" t="s">
        <v>854</v>
      </c>
      <c r="AC8" s="235" t="s">
        <v>855</v>
      </c>
      <c r="AD8" s="235" t="s">
        <v>856</v>
      </c>
      <c r="AE8" s="237" t="s">
        <v>914</v>
      </c>
    </row>
    <row r="9" spans="1:1014" s="224" customFormat="1" ht="13.5" customHeight="1">
      <c r="A9" s="225">
        <f>ROW()-8</f>
        <v>1</v>
      </c>
      <c r="B9" s="217" t="s">
        <v>915</v>
      </c>
      <c r="C9" s="240"/>
      <c r="D9" s="677"/>
      <c r="E9" s="677"/>
      <c r="F9" s="677"/>
      <c r="G9" s="677"/>
      <c r="H9" s="668" t="s">
        <v>949</v>
      </c>
      <c r="I9" s="316" t="s">
        <v>950</v>
      </c>
      <c r="J9" s="668" t="s">
        <v>951</v>
      </c>
      <c r="K9" s="666" t="s">
        <v>918</v>
      </c>
      <c r="L9" s="668" t="s">
        <v>952</v>
      </c>
      <c r="M9" s="668" t="s">
        <v>953</v>
      </c>
      <c r="N9" s="668"/>
      <c r="O9" s="668"/>
      <c r="P9" s="669">
        <v>1</v>
      </c>
      <c r="Q9" s="668" t="s">
        <v>819</v>
      </c>
      <c r="R9" s="668"/>
      <c r="S9" s="668" t="s">
        <v>862</v>
      </c>
      <c r="T9" s="670"/>
      <c r="U9" s="668"/>
      <c r="V9" s="667" t="s">
        <v>863</v>
      </c>
      <c r="W9" s="667" t="s">
        <v>863</v>
      </c>
      <c r="X9" s="667" t="s">
        <v>863</v>
      </c>
      <c r="Y9" s="232"/>
      <c r="Z9" s="671"/>
      <c r="AA9" s="668" t="s">
        <v>919</v>
      </c>
      <c r="AB9" s="672" t="s">
        <v>920</v>
      </c>
      <c r="AC9" s="668"/>
      <c r="AD9" s="670">
        <v>1</v>
      </c>
      <c r="AE9" s="670">
        <v>1</v>
      </c>
    </row>
    <row r="10" spans="1:1014" s="224" customFormat="1" ht="13.5" customHeight="1">
      <c r="A10" s="225">
        <f t="shared" ref="A10:A41" si="0">ROW()-8</f>
        <v>2</v>
      </c>
      <c r="B10" s="253" t="s">
        <v>954</v>
      </c>
      <c r="C10" s="221"/>
      <c r="D10" s="221"/>
      <c r="E10" s="221"/>
      <c r="F10" s="221"/>
      <c r="G10" s="221"/>
      <c r="H10" s="668" t="s">
        <v>955</v>
      </c>
      <c r="I10" s="131" t="s">
        <v>956</v>
      </c>
      <c r="J10" s="668"/>
      <c r="K10" s="666" t="s">
        <v>924</v>
      </c>
      <c r="L10" s="668" t="s">
        <v>925</v>
      </c>
      <c r="M10" s="668" t="s">
        <v>926</v>
      </c>
      <c r="N10" s="668"/>
      <c r="O10" s="668"/>
      <c r="P10" s="669"/>
      <c r="Q10" s="668" t="s">
        <v>816</v>
      </c>
      <c r="R10" s="668"/>
      <c r="S10" s="668" t="s">
        <v>862</v>
      </c>
      <c r="T10" s="670"/>
      <c r="U10" s="668"/>
      <c r="V10" s="667" t="s">
        <v>863</v>
      </c>
      <c r="W10" s="667" t="s">
        <v>863</v>
      </c>
      <c r="X10" s="667" t="s">
        <v>863</v>
      </c>
      <c r="Y10" s="232"/>
      <c r="Z10" s="671"/>
      <c r="AA10" s="668"/>
      <c r="AB10" s="672"/>
      <c r="AC10" s="668"/>
      <c r="AD10" s="670">
        <v>1</v>
      </c>
      <c r="AE10" s="670">
        <v>1</v>
      </c>
    </row>
    <row r="11" spans="1:1014" s="224" customFormat="1" ht="13.5" customHeight="1">
      <c r="A11" s="225">
        <f t="shared" si="0"/>
        <v>3</v>
      </c>
      <c r="B11" s="217" t="s">
        <v>957</v>
      </c>
      <c r="C11" s="240"/>
      <c r="D11" s="241"/>
      <c r="E11" s="241"/>
      <c r="F11" s="241"/>
      <c r="G11" s="241"/>
      <c r="H11" s="668" t="s">
        <v>958</v>
      </c>
      <c r="I11" s="666" t="s">
        <v>929</v>
      </c>
      <c r="J11" s="668" t="s">
        <v>959</v>
      </c>
      <c r="K11" s="666" t="s">
        <v>930</v>
      </c>
      <c r="L11" s="668"/>
      <c r="M11" s="668"/>
      <c r="N11" s="668"/>
      <c r="O11" s="668"/>
      <c r="P11" s="669">
        <v>1</v>
      </c>
      <c r="Q11" s="668" t="s">
        <v>819</v>
      </c>
      <c r="R11" s="668"/>
      <c r="S11" s="668" t="s">
        <v>878</v>
      </c>
      <c r="T11" s="670"/>
      <c r="U11" s="668" t="s">
        <v>931</v>
      </c>
      <c r="V11" s="667" t="s">
        <v>863</v>
      </c>
      <c r="W11" s="667" t="s">
        <v>863</v>
      </c>
      <c r="X11" s="667" t="s">
        <v>863</v>
      </c>
      <c r="Y11" s="232"/>
      <c r="Z11" s="671"/>
      <c r="AA11" s="668"/>
      <c r="AB11" s="672"/>
      <c r="AC11" s="668"/>
      <c r="AD11" s="670">
        <v>1</v>
      </c>
      <c r="AE11" s="670">
        <v>1</v>
      </c>
    </row>
    <row r="12" spans="1:1014" s="224" customFormat="1" ht="13.5" customHeight="1">
      <c r="A12" s="225">
        <f t="shared" si="0"/>
        <v>4</v>
      </c>
      <c r="B12" s="217" t="s">
        <v>1611</v>
      </c>
      <c r="C12" s="240"/>
      <c r="D12" s="241"/>
      <c r="E12" s="241"/>
      <c r="F12" s="241"/>
      <c r="G12" s="241"/>
      <c r="H12" s="668" t="s">
        <v>1612</v>
      </c>
      <c r="I12" s="666" t="s">
        <v>934</v>
      </c>
      <c r="J12" s="668" t="s">
        <v>1613</v>
      </c>
      <c r="K12" s="666" t="s">
        <v>1614</v>
      </c>
      <c r="L12" s="668"/>
      <c r="M12" s="668"/>
      <c r="N12" s="668"/>
      <c r="O12" s="668"/>
      <c r="P12" s="669"/>
      <c r="Q12" s="668" t="s">
        <v>819</v>
      </c>
      <c r="R12" s="668"/>
      <c r="S12" s="668" t="s">
        <v>862</v>
      </c>
      <c r="T12" s="670"/>
      <c r="U12" s="668"/>
      <c r="V12" s="667" t="s">
        <v>863</v>
      </c>
      <c r="W12" s="667" t="s">
        <v>863</v>
      </c>
      <c r="X12" s="702"/>
      <c r="Y12" s="232"/>
      <c r="Z12" s="671"/>
      <c r="AA12" s="668"/>
      <c r="AB12" s="672"/>
      <c r="AC12" s="668"/>
      <c r="AD12" s="670">
        <v>1</v>
      </c>
      <c r="AE12" s="670">
        <v>1</v>
      </c>
    </row>
    <row r="13" spans="1:1014" s="224" customFormat="1" ht="13.5" customHeight="1">
      <c r="A13" s="225">
        <f t="shared" si="0"/>
        <v>5</v>
      </c>
      <c r="B13" s="217" t="s">
        <v>960</v>
      </c>
      <c r="C13" s="240"/>
      <c r="D13" s="241"/>
      <c r="E13" s="241"/>
      <c r="F13" s="241"/>
      <c r="G13" s="241"/>
      <c r="H13" s="263" t="s">
        <v>961</v>
      </c>
      <c r="I13" s="264" t="s">
        <v>962</v>
      </c>
      <c r="J13" s="263"/>
      <c r="K13" s="264" t="s">
        <v>963</v>
      </c>
      <c r="L13" s="263"/>
      <c r="M13" s="263"/>
      <c r="N13" s="263"/>
      <c r="O13" s="263"/>
      <c r="P13" s="265"/>
      <c r="Q13" s="263" t="s">
        <v>816</v>
      </c>
      <c r="R13" s="263"/>
      <c r="S13" s="263" t="s">
        <v>862</v>
      </c>
      <c r="T13" s="268"/>
      <c r="U13" s="263" t="s">
        <v>1615</v>
      </c>
      <c r="V13" s="667"/>
      <c r="W13" s="667" t="s">
        <v>863</v>
      </c>
      <c r="X13" s="667"/>
      <c r="Y13" s="232"/>
      <c r="Z13" s="671"/>
      <c r="AA13" s="668"/>
      <c r="AB13" s="672"/>
      <c r="AC13" s="668"/>
      <c r="AD13" s="670"/>
      <c r="AE13" s="670">
        <v>1</v>
      </c>
    </row>
    <row r="14" spans="1:1014" s="224" customFormat="1" ht="13.5" customHeight="1">
      <c r="A14" s="225">
        <f t="shared" si="0"/>
        <v>6</v>
      </c>
      <c r="B14" s="217" t="s">
        <v>1616</v>
      </c>
      <c r="C14" s="240"/>
      <c r="D14" s="241"/>
      <c r="E14" s="241"/>
      <c r="F14" s="241"/>
      <c r="G14" s="241"/>
      <c r="H14" s="263" t="s">
        <v>967</v>
      </c>
      <c r="I14" s="264" t="s">
        <v>968</v>
      </c>
      <c r="J14" s="263"/>
      <c r="K14" s="264" t="s">
        <v>1617</v>
      </c>
      <c r="L14" s="263"/>
      <c r="M14" s="263"/>
      <c r="N14" s="263"/>
      <c r="O14" s="263"/>
      <c r="P14" s="265"/>
      <c r="Q14" s="263" t="s">
        <v>816</v>
      </c>
      <c r="R14" s="263"/>
      <c r="S14" s="263" t="s">
        <v>862</v>
      </c>
      <c r="T14" s="268"/>
      <c r="U14" s="263" t="s">
        <v>970</v>
      </c>
      <c r="V14" s="667"/>
      <c r="W14" s="667" t="s">
        <v>863</v>
      </c>
      <c r="X14" s="667"/>
      <c r="Y14" s="232"/>
      <c r="Z14" s="671"/>
      <c r="AA14" s="668"/>
      <c r="AB14" s="672"/>
      <c r="AC14" s="668"/>
      <c r="AD14" s="670"/>
      <c r="AE14" s="670">
        <v>1</v>
      </c>
    </row>
    <row r="15" spans="1:1014" s="224" customFormat="1" ht="13.5" customHeight="1">
      <c r="A15" s="225">
        <f t="shared" si="0"/>
        <v>7</v>
      </c>
      <c r="B15" s="217" t="s">
        <v>1618</v>
      </c>
      <c r="C15" s="677"/>
      <c r="D15" s="241"/>
      <c r="E15" s="241"/>
      <c r="F15" s="241"/>
      <c r="G15" s="241"/>
      <c r="H15" s="668" t="s">
        <v>1619</v>
      </c>
      <c r="I15" s="666"/>
      <c r="J15" s="668" t="s">
        <v>973</v>
      </c>
      <c r="K15" s="666" t="s">
        <v>974</v>
      </c>
      <c r="L15" s="668"/>
      <c r="M15" s="668"/>
      <c r="N15" s="668"/>
      <c r="O15" s="668"/>
      <c r="P15" s="669"/>
      <c r="Q15" s="668" t="s">
        <v>819</v>
      </c>
      <c r="R15" s="668" t="s">
        <v>863</v>
      </c>
      <c r="S15" s="243" t="s">
        <v>974</v>
      </c>
      <c r="T15" s="670"/>
      <c r="U15" s="263" t="s">
        <v>2682</v>
      </c>
      <c r="V15" s="667" t="s">
        <v>863</v>
      </c>
      <c r="W15" s="667" t="s">
        <v>863</v>
      </c>
      <c r="X15" s="667" t="s">
        <v>863</v>
      </c>
      <c r="Y15" s="232"/>
      <c r="Z15" s="671"/>
      <c r="AA15" s="668"/>
      <c r="AB15" s="672"/>
      <c r="AC15" s="668"/>
      <c r="AD15" s="670">
        <v>1</v>
      </c>
      <c r="AE15" s="670">
        <v>1</v>
      </c>
    </row>
    <row r="16" spans="1:1014" s="224" customFormat="1" ht="13.5" customHeight="1">
      <c r="A16" s="225">
        <f>ROW()-8</f>
        <v>8</v>
      </c>
      <c r="B16" s="217"/>
      <c r="C16" s="790" t="s">
        <v>1047</v>
      </c>
      <c r="D16" s="241"/>
      <c r="E16" s="241"/>
      <c r="F16" s="241"/>
      <c r="G16" s="241"/>
      <c r="H16" s="791" t="s">
        <v>2681</v>
      </c>
      <c r="I16" s="792">
        <v>15</v>
      </c>
      <c r="J16" s="791"/>
      <c r="K16" s="792" t="s">
        <v>1757</v>
      </c>
      <c r="L16" s="791"/>
      <c r="M16" s="791"/>
      <c r="N16" s="791"/>
      <c r="O16" s="791"/>
      <c r="P16" s="793"/>
      <c r="Q16" s="263" t="s">
        <v>816</v>
      </c>
      <c r="R16" s="791"/>
      <c r="S16" s="791"/>
      <c r="T16" s="794"/>
      <c r="U16" s="791"/>
      <c r="V16" s="795"/>
      <c r="W16" s="795" t="s">
        <v>863</v>
      </c>
      <c r="X16" s="795"/>
      <c r="Y16" s="232"/>
      <c r="Z16" s="796" t="s">
        <v>2683</v>
      </c>
      <c r="AA16" s="791"/>
      <c r="AB16" s="797"/>
      <c r="AC16" s="791"/>
      <c r="AD16" s="794"/>
      <c r="AE16" s="794">
        <v>1</v>
      </c>
    </row>
    <row r="17" spans="1:31" s="224" customFormat="1" ht="13.5" customHeight="1">
      <c r="A17" s="225">
        <f t="shared" si="0"/>
        <v>9</v>
      </c>
      <c r="B17" s="217"/>
      <c r="C17" s="677" t="s">
        <v>984</v>
      </c>
      <c r="D17" s="241"/>
      <c r="E17" s="241"/>
      <c r="F17" s="241"/>
      <c r="G17" s="241"/>
      <c r="H17" s="668" t="s">
        <v>993</v>
      </c>
      <c r="I17" s="666"/>
      <c r="J17" s="668" t="s">
        <v>987</v>
      </c>
      <c r="K17" s="666"/>
      <c r="L17" s="668" t="s">
        <v>995</v>
      </c>
      <c r="M17" s="668" t="s">
        <v>996</v>
      </c>
      <c r="N17" s="668"/>
      <c r="O17" s="668"/>
      <c r="P17" s="669">
        <v>1</v>
      </c>
      <c r="Q17" s="668" t="s">
        <v>819</v>
      </c>
      <c r="R17" s="668" t="s">
        <v>863</v>
      </c>
      <c r="S17" s="243" t="s">
        <v>1620</v>
      </c>
      <c r="T17" s="670"/>
      <c r="U17" s="668" t="s">
        <v>1621</v>
      </c>
      <c r="V17" s="667" t="s">
        <v>863</v>
      </c>
      <c r="W17" s="667" t="s">
        <v>863</v>
      </c>
      <c r="X17" s="667" t="s">
        <v>863</v>
      </c>
      <c r="Y17" s="232"/>
      <c r="Z17" s="671"/>
      <c r="AA17" s="668" t="s">
        <v>991</v>
      </c>
      <c r="AB17" s="672"/>
      <c r="AC17" s="668"/>
      <c r="AD17" s="670">
        <v>1</v>
      </c>
      <c r="AE17" s="670">
        <v>1</v>
      </c>
    </row>
    <row r="18" spans="1:31" s="224" customFormat="1" ht="12.95" customHeight="1">
      <c r="A18" s="225">
        <f t="shared" si="0"/>
        <v>10</v>
      </c>
      <c r="B18" s="217"/>
      <c r="C18" s="677"/>
      <c r="D18" s="241" t="s">
        <v>667</v>
      </c>
      <c r="E18" s="241"/>
      <c r="F18" s="241"/>
      <c r="G18" s="241"/>
      <c r="H18" s="668" t="s">
        <v>997</v>
      </c>
      <c r="I18" s="666" t="s">
        <v>998</v>
      </c>
      <c r="J18" s="668" t="s">
        <v>999</v>
      </c>
      <c r="K18" s="666"/>
      <c r="L18" s="668"/>
      <c r="M18" s="668"/>
      <c r="N18" s="668"/>
      <c r="O18" s="668"/>
      <c r="P18" s="669">
        <v>1</v>
      </c>
      <c r="Q18" s="668" t="s">
        <v>819</v>
      </c>
      <c r="R18" s="668"/>
      <c r="S18" s="668" t="s">
        <v>862</v>
      </c>
      <c r="T18" s="670"/>
      <c r="U18" s="668"/>
      <c r="V18" s="667" t="s">
        <v>863</v>
      </c>
      <c r="W18" s="667" t="s">
        <v>863</v>
      </c>
      <c r="X18" s="667" t="s">
        <v>863</v>
      </c>
      <c r="Y18" s="232"/>
      <c r="Z18" s="671"/>
      <c r="AA18" s="668" t="s">
        <v>991</v>
      </c>
      <c r="AB18" s="672"/>
      <c r="AC18" s="668"/>
      <c r="AD18" s="670">
        <v>1</v>
      </c>
      <c r="AE18" s="670">
        <v>1</v>
      </c>
    </row>
    <row r="19" spans="1:31" s="224" customFormat="1" ht="13.5" customHeight="1">
      <c r="A19" s="225">
        <f t="shared" si="0"/>
        <v>11</v>
      </c>
      <c r="B19" s="217"/>
      <c r="C19" s="677"/>
      <c r="D19" s="241" t="s">
        <v>1000</v>
      </c>
      <c r="E19" s="241"/>
      <c r="F19" s="241"/>
      <c r="G19" s="241"/>
      <c r="H19" s="668" t="s">
        <v>1001</v>
      </c>
      <c r="I19" s="666" t="s">
        <v>1002</v>
      </c>
      <c r="J19" s="668" t="s">
        <v>1003</v>
      </c>
      <c r="K19" s="666"/>
      <c r="L19" s="668"/>
      <c r="M19" s="668"/>
      <c r="N19" s="668"/>
      <c r="O19" s="668"/>
      <c r="P19" s="669">
        <v>1</v>
      </c>
      <c r="Q19" s="668" t="s">
        <v>819</v>
      </c>
      <c r="R19" s="668"/>
      <c r="S19" s="668" t="s">
        <v>862</v>
      </c>
      <c r="T19" s="670"/>
      <c r="U19" s="668"/>
      <c r="V19" s="667" t="s">
        <v>863</v>
      </c>
      <c r="W19" s="667" t="s">
        <v>863</v>
      </c>
      <c r="X19" s="667" t="s">
        <v>863</v>
      </c>
      <c r="Y19" s="232"/>
      <c r="Z19" s="671"/>
      <c r="AA19" s="668" t="s">
        <v>991</v>
      </c>
      <c r="AB19" s="672"/>
      <c r="AC19" s="668"/>
      <c r="AD19" s="670">
        <v>1</v>
      </c>
      <c r="AE19" s="670">
        <v>1</v>
      </c>
    </row>
    <row r="20" spans="1:31" s="224" customFormat="1" ht="13.5" customHeight="1">
      <c r="A20" s="225">
        <f t="shared" si="0"/>
        <v>12</v>
      </c>
      <c r="B20" s="217"/>
      <c r="C20" s="677" t="s">
        <v>992</v>
      </c>
      <c r="D20" s="241" t="s">
        <v>1622</v>
      </c>
      <c r="E20" s="241"/>
      <c r="F20" s="241"/>
      <c r="G20" s="241"/>
      <c r="H20" s="668" t="s">
        <v>986</v>
      </c>
      <c r="I20" s="666"/>
      <c r="J20" s="668" t="s">
        <v>994</v>
      </c>
      <c r="K20" s="666"/>
      <c r="L20" s="668" t="s">
        <v>988</v>
      </c>
      <c r="M20" s="668" t="s">
        <v>989</v>
      </c>
      <c r="N20" s="668"/>
      <c r="O20" s="668"/>
      <c r="P20" s="669">
        <v>1</v>
      </c>
      <c r="Q20" s="668" t="s">
        <v>816</v>
      </c>
      <c r="R20" s="668" t="s">
        <v>863</v>
      </c>
      <c r="S20" s="243" t="s">
        <v>1620</v>
      </c>
      <c r="T20" s="670"/>
      <c r="U20" s="668" t="s">
        <v>1623</v>
      </c>
      <c r="V20" s="667" t="s">
        <v>863</v>
      </c>
      <c r="W20" s="667" t="s">
        <v>863</v>
      </c>
      <c r="X20" s="667" t="s">
        <v>863</v>
      </c>
      <c r="Y20" s="232"/>
      <c r="Z20" s="671"/>
      <c r="AA20" s="668" t="s">
        <v>991</v>
      </c>
      <c r="AB20" s="672"/>
      <c r="AC20" s="668"/>
      <c r="AD20" s="670">
        <v>1</v>
      </c>
      <c r="AE20" s="670">
        <v>1</v>
      </c>
    </row>
    <row r="21" spans="1:31" s="224" customFormat="1" ht="13.5" customHeight="1">
      <c r="A21" s="225">
        <f t="shared" si="0"/>
        <v>13</v>
      </c>
      <c r="B21" s="217"/>
      <c r="C21" s="677" t="s">
        <v>1005</v>
      </c>
      <c r="D21" s="241" t="s">
        <v>1622</v>
      </c>
      <c r="E21" s="241"/>
      <c r="F21" s="241"/>
      <c r="G21" s="241"/>
      <c r="H21" s="668" t="s">
        <v>1006</v>
      </c>
      <c r="I21" s="666"/>
      <c r="J21" s="668" t="s">
        <v>1007</v>
      </c>
      <c r="K21" s="666"/>
      <c r="L21" s="668"/>
      <c r="M21" s="668"/>
      <c r="N21" s="668"/>
      <c r="O21" s="668"/>
      <c r="P21" s="669">
        <v>1</v>
      </c>
      <c r="Q21" s="668" t="s">
        <v>822</v>
      </c>
      <c r="R21" s="668" t="s">
        <v>863</v>
      </c>
      <c r="S21" s="243" t="s">
        <v>1620</v>
      </c>
      <c r="T21" s="670"/>
      <c r="U21" s="668" t="s">
        <v>1624</v>
      </c>
      <c r="V21" s="667" t="s">
        <v>863</v>
      </c>
      <c r="W21" s="667" t="s">
        <v>863</v>
      </c>
      <c r="X21" s="667" t="s">
        <v>863</v>
      </c>
      <c r="Y21" s="232"/>
      <c r="Z21" s="671"/>
      <c r="AA21" s="668" t="s">
        <v>991</v>
      </c>
      <c r="AB21" s="672"/>
      <c r="AC21" s="668"/>
      <c r="AD21" s="670">
        <v>1</v>
      </c>
      <c r="AE21" s="670">
        <v>1</v>
      </c>
    </row>
    <row r="22" spans="1:31" s="224" customFormat="1" ht="13.5" customHeight="1">
      <c r="A22" s="225">
        <f t="shared" si="0"/>
        <v>14</v>
      </c>
      <c r="B22" s="217"/>
      <c r="C22" s="677" t="s">
        <v>1008</v>
      </c>
      <c r="D22" s="241" t="s">
        <v>1622</v>
      </c>
      <c r="E22" s="241"/>
      <c r="F22" s="241"/>
      <c r="G22" s="241"/>
      <c r="H22" s="668" t="s">
        <v>1009</v>
      </c>
      <c r="I22" s="666"/>
      <c r="J22" s="668" t="s">
        <v>1010</v>
      </c>
      <c r="K22" s="666"/>
      <c r="L22" s="668"/>
      <c r="M22" s="668"/>
      <c r="N22" s="668"/>
      <c r="O22" s="668"/>
      <c r="P22" s="669">
        <v>1</v>
      </c>
      <c r="Q22" s="668" t="s">
        <v>816</v>
      </c>
      <c r="R22" s="668" t="s">
        <v>863</v>
      </c>
      <c r="S22" s="243" t="s">
        <v>1620</v>
      </c>
      <c r="T22" s="670"/>
      <c r="U22" s="263" t="s">
        <v>1625</v>
      </c>
      <c r="V22" s="667" t="s">
        <v>863</v>
      </c>
      <c r="W22" s="667" t="s">
        <v>863</v>
      </c>
      <c r="X22" s="667" t="s">
        <v>863</v>
      </c>
      <c r="Y22" s="232"/>
      <c r="Z22" s="671"/>
      <c r="AA22" s="668" t="s">
        <v>991</v>
      </c>
      <c r="AB22" s="672"/>
      <c r="AC22" s="668"/>
      <c r="AD22" s="670">
        <v>1</v>
      </c>
      <c r="AE22" s="670">
        <v>1</v>
      </c>
    </row>
    <row r="23" spans="1:31" s="224" customFormat="1" ht="13.5" customHeight="1">
      <c r="A23" s="225">
        <f t="shared" si="0"/>
        <v>15</v>
      </c>
      <c r="B23" s="217"/>
      <c r="C23" s="677" t="s">
        <v>1011</v>
      </c>
      <c r="D23" s="241"/>
      <c r="E23" s="241"/>
      <c r="F23" s="241"/>
      <c r="G23" s="241"/>
      <c r="H23" s="263"/>
      <c r="I23" s="666"/>
      <c r="J23" s="668"/>
      <c r="K23" s="668" t="s">
        <v>1012</v>
      </c>
      <c r="L23" s="668"/>
      <c r="M23" s="668"/>
      <c r="N23" s="668"/>
      <c r="O23" s="668"/>
      <c r="P23" s="669"/>
      <c r="Q23" s="668" t="s">
        <v>816</v>
      </c>
      <c r="R23" s="668" t="s">
        <v>863</v>
      </c>
      <c r="S23" s="243" t="s">
        <v>1013</v>
      </c>
      <c r="T23" s="670"/>
      <c r="U23" s="668"/>
      <c r="V23" s="667"/>
      <c r="W23" s="667" t="s">
        <v>863</v>
      </c>
      <c r="X23" s="667"/>
      <c r="Y23" s="232"/>
      <c r="Z23" s="671"/>
      <c r="AA23" s="668" t="s">
        <v>1014</v>
      </c>
      <c r="AB23" s="672"/>
      <c r="AC23" s="668"/>
      <c r="AD23" s="670"/>
      <c r="AE23" s="670">
        <v>1</v>
      </c>
    </row>
    <row r="24" spans="1:31" s="224" customFormat="1" ht="13.5" customHeight="1">
      <c r="A24" s="225">
        <f t="shared" si="0"/>
        <v>16</v>
      </c>
      <c r="B24" s="217"/>
      <c r="C24" s="677"/>
      <c r="D24" s="241" t="s">
        <v>495</v>
      </c>
      <c r="E24" s="241"/>
      <c r="F24" s="241"/>
      <c r="G24" s="241"/>
      <c r="H24" s="263" t="s">
        <v>1015</v>
      </c>
      <c r="I24" s="666"/>
      <c r="J24" s="668"/>
      <c r="K24" s="668" t="s">
        <v>887</v>
      </c>
      <c r="L24" s="668"/>
      <c r="M24" s="668"/>
      <c r="N24" s="668"/>
      <c r="O24" s="668"/>
      <c r="P24" s="669"/>
      <c r="Q24" s="668" t="s">
        <v>816</v>
      </c>
      <c r="R24" s="668"/>
      <c r="S24" s="668" t="s">
        <v>862</v>
      </c>
      <c r="T24" s="670" t="s">
        <v>863</v>
      </c>
      <c r="U24" s="668" t="s">
        <v>1016</v>
      </c>
      <c r="V24" s="667"/>
      <c r="W24" s="667" t="s">
        <v>863</v>
      </c>
      <c r="X24" s="667"/>
      <c r="Y24" s="232"/>
      <c r="Z24" s="671"/>
      <c r="AA24" s="266" t="s">
        <v>1017</v>
      </c>
      <c r="AB24" s="672"/>
      <c r="AC24" s="668"/>
      <c r="AD24" s="670"/>
      <c r="AE24" s="670">
        <v>1</v>
      </c>
    </row>
    <row r="25" spans="1:31" s="224" customFormat="1" ht="13.5" customHeight="1">
      <c r="A25" s="225">
        <f t="shared" si="0"/>
        <v>17</v>
      </c>
      <c r="B25" s="217"/>
      <c r="C25" s="677"/>
      <c r="D25" s="241" t="s">
        <v>966</v>
      </c>
      <c r="E25" s="241"/>
      <c r="F25" s="241"/>
      <c r="G25" s="241"/>
      <c r="H25" s="668" t="s">
        <v>1018</v>
      </c>
      <c r="I25" s="666" t="s">
        <v>1019</v>
      </c>
      <c r="J25" s="668"/>
      <c r="K25" s="668" t="s">
        <v>969</v>
      </c>
      <c r="L25" s="668"/>
      <c r="M25" s="668"/>
      <c r="N25" s="668"/>
      <c r="O25" s="668"/>
      <c r="P25" s="669"/>
      <c r="Q25" s="668" t="s">
        <v>816</v>
      </c>
      <c r="R25" s="668"/>
      <c r="S25" s="668" t="s">
        <v>862</v>
      </c>
      <c r="T25" s="670" t="s">
        <v>863</v>
      </c>
      <c r="U25" s="668" t="s">
        <v>1626</v>
      </c>
      <c r="V25" s="667"/>
      <c r="W25" s="667" t="s">
        <v>863</v>
      </c>
      <c r="X25" s="667"/>
      <c r="Y25" s="232"/>
      <c r="Z25" s="671"/>
      <c r="AA25" s="266" t="s">
        <v>1021</v>
      </c>
      <c r="AB25" s="672"/>
      <c r="AC25" s="668"/>
      <c r="AD25" s="670"/>
      <c r="AE25" s="670">
        <v>1</v>
      </c>
    </row>
    <row r="26" spans="1:31" s="224" customFormat="1" ht="13.5" customHeight="1">
      <c r="A26" s="225">
        <f t="shared" si="0"/>
        <v>18</v>
      </c>
      <c r="B26" s="217"/>
      <c r="C26" s="677"/>
      <c r="D26" s="761" t="s">
        <v>1022</v>
      </c>
      <c r="E26" s="241"/>
      <c r="F26" s="241"/>
      <c r="G26" s="241"/>
      <c r="H26" s="263" t="s">
        <v>1023</v>
      </c>
      <c r="I26" s="131" t="s">
        <v>1024</v>
      </c>
      <c r="J26" s="668"/>
      <c r="K26" s="666" t="s">
        <v>1025</v>
      </c>
      <c r="L26" s="668"/>
      <c r="M26" s="668"/>
      <c r="N26" s="668"/>
      <c r="O26" s="668"/>
      <c r="P26" s="669"/>
      <c r="Q26" s="668" t="s">
        <v>816</v>
      </c>
      <c r="R26" s="668"/>
      <c r="S26" s="668" t="s">
        <v>862</v>
      </c>
      <c r="T26" s="373"/>
      <c r="U26" s="831" t="s">
        <v>1627</v>
      </c>
      <c r="V26" s="667"/>
      <c r="W26" s="667" t="s">
        <v>863</v>
      </c>
      <c r="X26" s="667"/>
      <c r="Y26" s="232"/>
      <c r="Z26" s="386" t="s">
        <v>1026</v>
      </c>
      <c r="AA26" s="668" t="s">
        <v>1027</v>
      </c>
      <c r="AB26" s="672"/>
      <c r="AC26" s="668"/>
      <c r="AD26" s="670"/>
      <c r="AE26" s="670">
        <v>1</v>
      </c>
    </row>
    <row r="27" spans="1:31" s="224" customFormat="1" ht="13.5" customHeight="1">
      <c r="A27" s="225">
        <f t="shared" si="0"/>
        <v>19</v>
      </c>
      <c r="B27" s="217"/>
      <c r="C27" s="677"/>
      <c r="D27" s="677" t="s">
        <v>1028</v>
      </c>
      <c r="E27" s="241"/>
      <c r="F27" s="241"/>
      <c r="G27" s="241"/>
      <c r="H27" s="668" t="s">
        <v>979</v>
      </c>
      <c r="I27" s="666" t="s">
        <v>980</v>
      </c>
      <c r="J27" s="668"/>
      <c r="K27" s="666" t="s">
        <v>981</v>
      </c>
      <c r="L27" s="668"/>
      <c r="M27" s="668"/>
      <c r="N27" s="668"/>
      <c r="O27" s="668"/>
      <c r="P27" s="669"/>
      <c r="Q27" s="668" t="s">
        <v>816</v>
      </c>
      <c r="R27" s="668"/>
      <c r="S27" s="668" t="s">
        <v>862</v>
      </c>
      <c r="T27" s="670"/>
      <c r="U27" s="263" t="s">
        <v>1628</v>
      </c>
      <c r="V27" s="667"/>
      <c r="W27" s="667" t="s">
        <v>863</v>
      </c>
      <c r="X27" s="667"/>
      <c r="Y27" s="232"/>
      <c r="Z27" s="391" t="s">
        <v>982</v>
      </c>
      <c r="AA27" s="263" t="s">
        <v>983</v>
      </c>
      <c r="AB27" s="672"/>
      <c r="AC27" s="668"/>
      <c r="AD27" s="670"/>
      <c r="AE27" s="670">
        <v>1</v>
      </c>
    </row>
    <row r="28" spans="1:31" s="224" customFormat="1" ht="13.5" customHeight="1">
      <c r="A28" s="225">
        <f t="shared" si="0"/>
        <v>20</v>
      </c>
      <c r="B28" s="217"/>
      <c r="C28" s="677" t="s">
        <v>1029</v>
      </c>
      <c r="D28" s="241"/>
      <c r="E28" s="241"/>
      <c r="F28" s="241"/>
      <c r="G28" s="241"/>
      <c r="H28" s="668"/>
      <c r="I28" s="666"/>
      <c r="J28" s="668" t="s">
        <v>1030</v>
      </c>
      <c r="K28" s="666"/>
      <c r="L28" s="668"/>
      <c r="M28" s="668"/>
      <c r="N28" s="668"/>
      <c r="O28" s="668"/>
      <c r="P28" s="669"/>
      <c r="Q28" s="668" t="s">
        <v>816</v>
      </c>
      <c r="R28" s="668" t="s">
        <v>863</v>
      </c>
      <c r="S28" s="243" t="s">
        <v>1030</v>
      </c>
      <c r="T28" s="670"/>
      <c r="U28" s="668"/>
      <c r="V28" s="667" t="s">
        <v>863</v>
      </c>
      <c r="W28" s="667"/>
      <c r="X28" s="667" t="s">
        <v>863</v>
      </c>
      <c r="Y28" s="232"/>
      <c r="Z28" s="671"/>
      <c r="AA28" s="668"/>
      <c r="AB28" s="672"/>
      <c r="AC28" s="668"/>
      <c r="AD28" s="670">
        <v>1</v>
      </c>
      <c r="AE28" s="670">
        <v>1</v>
      </c>
    </row>
    <row r="29" spans="1:31" s="224" customFormat="1" ht="13.5" customHeight="1">
      <c r="A29" s="225">
        <f t="shared" si="0"/>
        <v>21</v>
      </c>
      <c r="B29" s="217"/>
      <c r="C29" s="677"/>
      <c r="D29" s="241" t="s">
        <v>1031</v>
      </c>
      <c r="E29" s="241"/>
      <c r="F29" s="241"/>
      <c r="G29" s="241"/>
      <c r="H29" s="668" t="s">
        <v>1032</v>
      </c>
      <c r="I29" s="666" t="s">
        <v>1033</v>
      </c>
      <c r="J29" s="668" t="s">
        <v>1034</v>
      </c>
      <c r="K29" s="666"/>
      <c r="L29" s="668" t="s">
        <v>1035</v>
      </c>
      <c r="M29" s="668" t="s">
        <v>1036</v>
      </c>
      <c r="N29" s="668"/>
      <c r="O29" s="668"/>
      <c r="P29" s="669"/>
      <c r="Q29" s="668" t="s">
        <v>816</v>
      </c>
      <c r="R29" s="668"/>
      <c r="S29" s="668" t="s">
        <v>862</v>
      </c>
      <c r="T29" s="670" t="s">
        <v>863</v>
      </c>
      <c r="U29" s="668" t="s">
        <v>1037</v>
      </c>
      <c r="V29" s="667" t="s">
        <v>863</v>
      </c>
      <c r="W29" s="667"/>
      <c r="X29" s="667" t="s">
        <v>863</v>
      </c>
      <c r="Y29" s="232"/>
      <c r="Z29" s="671"/>
      <c r="AA29" s="668"/>
      <c r="AB29" s="672"/>
      <c r="AC29" s="668"/>
      <c r="AD29" s="670">
        <v>1</v>
      </c>
      <c r="AE29" s="670">
        <v>1</v>
      </c>
    </row>
    <row r="30" spans="1:31" s="224" customFormat="1" ht="13.5" customHeight="1">
      <c r="A30" s="225">
        <f t="shared" si="0"/>
        <v>22</v>
      </c>
      <c r="B30" s="217"/>
      <c r="C30" s="677"/>
      <c r="D30" s="241" t="s">
        <v>1038</v>
      </c>
      <c r="E30" s="241"/>
      <c r="F30" s="241"/>
      <c r="G30" s="241"/>
      <c r="H30" s="668" t="s">
        <v>1039</v>
      </c>
      <c r="I30" s="666" t="s">
        <v>1040</v>
      </c>
      <c r="J30" s="668" t="s">
        <v>1041</v>
      </c>
      <c r="K30" s="666"/>
      <c r="L30" s="668"/>
      <c r="M30" s="668"/>
      <c r="N30" s="668"/>
      <c r="O30" s="668"/>
      <c r="P30" s="669"/>
      <c r="Q30" s="668" t="s">
        <v>816</v>
      </c>
      <c r="R30" s="668"/>
      <c r="S30" s="668" t="s">
        <v>862</v>
      </c>
      <c r="T30" s="670" t="s">
        <v>863</v>
      </c>
      <c r="U30" s="668" t="s">
        <v>1042</v>
      </c>
      <c r="V30" s="667" t="s">
        <v>863</v>
      </c>
      <c r="W30" s="667"/>
      <c r="X30" s="667"/>
      <c r="Y30" s="232"/>
      <c r="Z30" s="671"/>
      <c r="AA30" s="668"/>
      <c r="AB30" s="672" t="s">
        <v>1043</v>
      </c>
      <c r="AC30" s="668"/>
      <c r="AD30" s="670">
        <v>1</v>
      </c>
      <c r="AE30" s="670">
        <v>1</v>
      </c>
    </row>
    <row r="31" spans="1:31" s="224" customFormat="1" ht="13.5" customHeight="1">
      <c r="A31" s="225">
        <f t="shared" si="0"/>
        <v>23</v>
      </c>
      <c r="B31" s="217"/>
      <c r="C31" s="677"/>
      <c r="D31" s="241" t="s">
        <v>1044</v>
      </c>
      <c r="E31" s="241"/>
      <c r="F31" s="241"/>
      <c r="G31" s="241"/>
      <c r="H31" s="668" t="s">
        <v>1045</v>
      </c>
      <c r="I31" s="666" t="s">
        <v>1046</v>
      </c>
      <c r="J31" s="668" t="s">
        <v>938</v>
      </c>
      <c r="K31" s="666"/>
      <c r="L31" s="668"/>
      <c r="M31" s="668"/>
      <c r="N31" s="668"/>
      <c r="O31" s="668"/>
      <c r="P31" s="669"/>
      <c r="Q31" s="668" t="s">
        <v>816</v>
      </c>
      <c r="R31" s="668"/>
      <c r="S31" s="668" t="s">
        <v>862</v>
      </c>
      <c r="T31" s="670"/>
      <c r="U31" s="668"/>
      <c r="V31" s="667" t="s">
        <v>863</v>
      </c>
      <c r="W31" s="667"/>
      <c r="X31" s="667"/>
      <c r="Y31" s="232"/>
      <c r="Z31" s="671"/>
      <c r="AA31" s="668"/>
      <c r="AB31" s="672"/>
      <c r="AC31" s="668"/>
      <c r="AD31" s="670">
        <v>1</v>
      </c>
      <c r="AE31" s="670">
        <v>1</v>
      </c>
    </row>
    <row r="32" spans="1:31" s="224" customFormat="1" ht="13.5" customHeight="1">
      <c r="A32" s="225">
        <f t="shared" si="0"/>
        <v>24</v>
      </c>
      <c r="B32" s="217" t="s">
        <v>1629</v>
      </c>
      <c r="C32" s="216"/>
      <c r="D32" s="217"/>
      <c r="E32" s="217"/>
      <c r="F32" s="217"/>
      <c r="G32" s="217"/>
      <c r="H32" s="668" t="s">
        <v>1630</v>
      </c>
      <c r="I32" s="666"/>
      <c r="J32" s="668" t="s">
        <v>1052</v>
      </c>
      <c r="K32" s="666" t="s">
        <v>1053</v>
      </c>
      <c r="L32" s="668"/>
      <c r="M32" s="668"/>
      <c r="N32" s="668"/>
      <c r="O32" s="668"/>
      <c r="P32" s="669"/>
      <c r="Q32" s="668" t="s">
        <v>819</v>
      </c>
      <c r="R32" s="668" t="s">
        <v>863</v>
      </c>
      <c r="S32" s="243" t="s">
        <v>1053</v>
      </c>
      <c r="T32" s="280"/>
      <c r="U32" s="668"/>
      <c r="V32" s="667" t="s">
        <v>863</v>
      </c>
      <c r="W32" s="667" t="s">
        <v>863</v>
      </c>
      <c r="X32" s="667" t="s">
        <v>863</v>
      </c>
      <c r="Y32" s="232"/>
      <c r="Z32" s="671"/>
      <c r="AA32" s="668"/>
      <c r="AB32" s="672"/>
      <c r="AC32" s="668"/>
      <c r="AD32" s="670">
        <v>1</v>
      </c>
      <c r="AE32" s="670">
        <v>1</v>
      </c>
    </row>
    <row r="33" spans="1:1018" s="224" customFormat="1" ht="13.5" customHeight="1">
      <c r="A33" s="225">
        <f t="shared" si="0"/>
        <v>25</v>
      </c>
      <c r="B33" s="217"/>
      <c r="C33" s="217" t="s">
        <v>1054</v>
      </c>
      <c r="D33" s="217"/>
      <c r="E33" s="217"/>
      <c r="F33" s="217"/>
      <c r="G33" s="217"/>
      <c r="H33" s="668" t="s">
        <v>1055</v>
      </c>
      <c r="I33" s="666" t="s">
        <v>1056</v>
      </c>
      <c r="J33" s="668" t="s">
        <v>1057</v>
      </c>
      <c r="K33" s="666"/>
      <c r="L33" s="668"/>
      <c r="M33" s="668"/>
      <c r="N33" s="668"/>
      <c r="O33" s="668"/>
      <c r="P33" s="669"/>
      <c r="Q33" s="668" t="s">
        <v>819</v>
      </c>
      <c r="R33" s="668"/>
      <c r="S33" s="668" t="s">
        <v>862</v>
      </c>
      <c r="T33" s="670"/>
      <c r="U33" s="668"/>
      <c r="V33" s="667" t="s">
        <v>863</v>
      </c>
      <c r="W33" s="667" t="s">
        <v>863</v>
      </c>
      <c r="X33" s="667" t="s">
        <v>863</v>
      </c>
      <c r="Y33" s="232"/>
      <c r="Z33" s="671"/>
      <c r="AA33" s="668"/>
      <c r="AB33" s="672"/>
      <c r="AC33" s="668"/>
      <c r="AD33" s="670">
        <v>1</v>
      </c>
      <c r="AE33" s="670">
        <v>1</v>
      </c>
    </row>
    <row r="34" spans="1:1018" s="249" customFormat="1" ht="13.5" customHeight="1">
      <c r="A34" s="225">
        <f t="shared" si="0"/>
        <v>26</v>
      </c>
      <c r="B34" s="217"/>
      <c r="C34" s="219" t="s">
        <v>1058</v>
      </c>
      <c r="D34" s="219"/>
      <c r="E34" s="220"/>
      <c r="F34" s="220"/>
      <c r="G34" s="220"/>
      <c r="H34" s="668" t="s">
        <v>1631</v>
      </c>
      <c r="I34" s="666" t="s">
        <v>1060</v>
      </c>
      <c r="J34" s="668" t="s">
        <v>1061</v>
      </c>
      <c r="K34" s="666"/>
      <c r="L34" s="668"/>
      <c r="M34" s="668"/>
      <c r="N34" s="668"/>
      <c r="O34" s="668"/>
      <c r="P34" s="252"/>
      <c r="Q34" s="668" t="s">
        <v>816</v>
      </c>
      <c r="R34" s="668"/>
      <c r="S34" s="668" t="s">
        <v>862</v>
      </c>
      <c r="T34" s="670"/>
      <c r="U34" s="668"/>
      <c r="V34" s="667" t="s">
        <v>863</v>
      </c>
      <c r="W34" s="667" t="s">
        <v>863</v>
      </c>
      <c r="X34" s="667" t="s">
        <v>863</v>
      </c>
      <c r="Y34" s="232"/>
      <c r="Z34" s="671"/>
      <c r="AA34" s="668"/>
      <c r="AB34" s="672"/>
      <c r="AC34" s="668"/>
      <c r="AD34" s="670">
        <v>1</v>
      </c>
      <c r="AE34" s="670">
        <v>1</v>
      </c>
    </row>
    <row r="35" spans="1:1018" s="224" customFormat="1" ht="13.5" customHeight="1">
      <c r="A35" s="225">
        <f t="shared" si="0"/>
        <v>27</v>
      </c>
      <c r="B35" s="217"/>
      <c r="C35" s="217" t="s">
        <v>1062</v>
      </c>
      <c r="D35" s="217"/>
      <c r="E35" s="217"/>
      <c r="F35" s="217"/>
      <c r="G35" s="217"/>
      <c r="H35" s="263" t="s">
        <v>1063</v>
      </c>
      <c r="I35" s="666" t="s">
        <v>1064</v>
      </c>
      <c r="J35" s="668" t="s">
        <v>870</v>
      </c>
      <c r="K35" s="666"/>
      <c r="L35" s="668" t="s">
        <v>1065</v>
      </c>
      <c r="M35" s="668" t="s">
        <v>1066</v>
      </c>
      <c r="N35" s="668"/>
      <c r="O35" s="668"/>
      <c r="P35" s="252"/>
      <c r="Q35" s="668" t="s">
        <v>816</v>
      </c>
      <c r="R35" s="668"/>
      <c r="S35" s="668" t="s">
        <v>862</v>
      </c>
      <c r="T35" s="670"/>
      <c r="U35" s="668"/>
      <c r="V35" s="667" t="s">
        <v>863</v>
      </c>
      <c r="W35" s="667" t="s">
        <v>863</v>
      </c>
      <c r="X35" s="667" t="s">
        <v>863</v>
      </c>
      <c r="Y35" s="232"/>
      <c r="Z35" s="671"/>
      <c r="AA35" s="668"/>
      <c r="AB35" s="672"/>
      <c r="AC35" s="668"/>
      <c r="AD35" s="670">
        <v>1</v>
      </c>
      <c r="AE35" s="670">
        <v>1</v>
      </c>
    </row>
    <row r="36" spans="1:1018" s="224" customFormat="1" ht="13.5" customHeight="1">
      <c r="A36" s="225">
        <f t="shared" si="0"/>
        <v>28</v>
      </c>
      <c r="B36" s="217"/>
      <c r="C36" s="241" t="s">
        <v>1067</v>
      </c>
      <c r="D36" s="221"/>
      <c r="E36" s="221"/>
      <c r="F36" s="221"/>
      <c r="G36" s="221"/>
      <c r="H36" s="668" t="s">
        <v>1068</v>
      </c>
      <c r="I36" s="679"/>
      <c r="J36" s="668"/>
      <c r="K36" s="499" t="s">
        <v>1069</v>
      </c>
      <c r="L36" s="668"/>
      <c r="M36" s="668"/>
      <c r="N36" s="668"/>
      <c r="O36" s="668"/>
      <c r="P36" s="669"/>
      <c r="Q36" s="668" t="s">
        <v>822</v>
      </c>
      <c r="R36" s="668" t="s">
        <v>863</v>
      </c>
      <c r="S36" s="500" t="s">
        <v>1069</v>
      </c>
      <c r="T36" s="670"/>
      <c r="U36" s="670"/>
      <c r="V36" s="374" t="s">
        <v>863</v>
      </c>
      <c r="W36" s="260" t="s">
        <v>863</v>
      </c>
      <c r="X36" s="667" t="s">
        <v>863</v>
      </c>
      <c r="Y36" s="232"/>
      <c r="Z36" s="671"/>
      <c r="AA36" s="668"/>
      <c r="AB36" s="672"/>
      <c r="AC36" s="668"/>
      <c r="AD36" s="670"/>
      <c r="AE36" s="670">
        <v>1</v>
      </c>
    </row>
    <row r="37" spans="1:1018" s="224" customFormat="1" ht="13.5" customHeight="1">
      <c r="A37" s="225">
        <f t="shared" si="0"/>
        <v>29</v>
      </c>
      <c r="B37" s="217"/>
      <c r="C37" s="241"/>
      <c r="D37" s="241" t="s">
        <v>1070</v>
      </c>
      <c r="E37" s="241"/>
      <c r="F37" s="241"/>
      <c r="G37" s="241"/>
      <c r="H37" s="668" t="s">
        <v>1071</v>
      </c>
      <c r="I37" s="679" t="s">
        <v>1072</v>
      </c>
      <c r="J37" s="668"/>
      <c r="K37" s="666" t="s">
        <v>907</v>
      </c>
      <c r="L37" s="668"/>
      <c r="M37" s="668"/>
      <c r="N37" s="668"/>
      <c r="O37" s="668"/>
      <c r="P37" s="669"/>
      <c r="Q37" s="668" t="s">
        <v>819</v>
      </c>
      <c r="R37" s="668"/>
      <c r="S37" s="668" t="s">
        <v>862</v>
      </c>
      <c r="T37" s="670" t="s">
        <v>863</v>
      </c>
      <c r="U37" s="666" t="s">
        <v>1073</v>
      </c>
      <c r="V37" s="374" t="s">
        <v>863</v>
      </c>
      <c r="W37" s="260" t="s">
        <v>863</v>
      </c>
      <c r="X37" s="667" t="s">
        <v>863</v>
      </c>
      <c r="Y37" s="232"/>
      <c r="Z37" s="266" t="s">
        <v>1074</v>
      </c>
      <c r="AA37" s="668" t="s">
        <v>1075</v>
      </c>
      <c r="AB37" s="245"/>
      <c r="AC37" s="668"/>
      <c r="AD37" s="670"/>
      <c r="AE37" s="670">
        <v>1</v>
      </c>
    </row>
    <row r="38" spans="1:1018" s="224" customFormat="1" ht="13.5" customHeight="1">
      <c r="A38" s="225">
        <f t="shared" si="0"/>
        <v>30</v>
      </c>
      <c r="B38" s="217"/>
      <c r="C38" s="241"/>
      <c r="D38" s="241" t="s">
        <v>1076</v>
      </c>
      <c r="E38" s="241"/>
      <c r="F38" s="241"/>
      <c r="G38" s="241"/>
      <c r="H38" s="668" t="s">
        <v>1077</v>
      </c>
      <c r="I38" s="679" t="s">
        <v>1078</v>
      </c>
      <c r="J38" s="668"/>
      <c r="K38" s="666" t="s">
        <v>1079</v>
      </c>
      <c r="L38" s="668"/>
      <c r="M38" s="668"/>
      <c r="N38" s="668"/>
      <c r="O38" s="668"/>
      <c r="P38" s="669"/>
      <c r="Q38" s="668" t="s">
        <v>819</v>
      </c>
      <c r="R38" s="668"/>
      <c r="S38" s="668" t="s">
        <v>862</v>
      </c>
      <c r="T38" s="670"/>
      <c r="U38" s="670"/>
      <c r="V38" s="374" t="s">
        <v>863</v>
      </c>
      <c r="W38" s="260" t="s">
        <v>863</v>
      </c>
      <c r="X38" s="667" t="s">
        <v>863</v>
      </c>
      <c r="Y38" s="232"/>
      <c r="Z38" s="671"/>
      <c r="AA38" s="668"/>
      <c r="AB38" s="245"/>
      <c r="AC38" s="668"/>
      <c r="AD38" s="670"/>
      <c r="AE38" s="670">
        <v>1</v>
      </c>
    </row>
    <row r="39" spans="1:1018" s="224" customFormat="1" ht="13.5" customHeight="1">
      <c r="A39" s="225">
        <f t="shared" si="0"/>
        <v>31</v>
      </c>
      <c r="B39" s="217"/>
      <c r="C39" s="217" t="s">
        <v>1080</v>
      </c>
      <c r="D39" s="221"/>
      <c r="E39" s="221"/>
      <c r="F39" s="221"/>
      <c r="G39" s="221"/>
      <c r="H39" s="668"/>
      <c r="I39" s="666"/>
      <c r="J39" s="668"/>
      <c r="K39" s="666" t="s">
        <v>1081</v>
      </c>
      <c r="L39" s="668"/>
      <c r="M39" s="668"/>
      <c r="N39" s="668"/>
      <c r="O39" s="668"/>
      <c r="P39" s="669"/>
      <c r="Q39" s="668" t="s">
        <v>816</v>
      </c>
      <c r="R39" s="668" t="s">
        <v>863</v>
      </c>
      <c r="S39" s="243" t="s">
        <v>1081</v>
      </c>
      <c r="T39" s="670"/>
      <c r="U39" s="668"/>
      <c r="V39" s="667" t="s">
        <v>863</v>
      </c>
      <c r="W39" s="667" t="s">
        <v>863</v>
      </c>
      <c r="X39" s="667" t="s">
        <v>863</v>
      </c>
      <c r="Y39" s="232"/>
      <c r="Z39" s="671"/>
      <c r="AA39" s="668"/>
      <c r="AB39" s="672"/>
      <c r="AC39" s="668"/>
      <c r="AD39" s="670">
        <v>1</v>
      </c>
      <c r="AE39" s="670">
        <v>1</v>
      </c>
    </row>
    <row r="40" spans="1:1018" s="224" customFormat="1" ht="13.5" customHeight="1">
      <c r="A40" s="225">
        <f t="shared" si="0"/>
        <v>32</v>
      </c>
      <c r="B40" s="217"/>
      <c r="C40" s="217"/>
      <c r="D40" s="677" t="s">
        <v>1082</v>
      </c>
      <c r="E40" s="253"/>
      <c r="F40" s="239"/>
      <c r="G40" s="239"/>
      <c r="H40" s="668" t="s">
        <v>1632</v>
      </c>
      <c r="I40" s="666" t="s">
        <v>1084</v>
      </c>
      <c r="J40" s="668" t="s">
        <v>1085</v>
      </c>
      <c r="K40" s="666" t="s">
        <v>1086</v>
      </c>
      <c r="L40" s="668"/>
      <c r="M40" s="668"/>
      <c r="N40" s="668"/>
      <c r="O40" s="668"/>
      <c r="P40" s="669"/>
      <c r="Q40" s="668" t="s">
        <v>819</v>
      </c>
      <c r="R40" s="668"/>
      <c r="S40" s="668" t="s">
        <v>862</v>
      </c>
      <c r="T40" s="670"/>
      <c r="U40" s="668" t="s">
        <v>1087</v>
      </c>
      <c r="V40" s="667" t="s">
        <v>863</v>
      </c>
      <c r="W40" s="667" t="s">
        <v>863</v>
      </c>
      <c r="X40" s="667" t="s">
        <v>863</v>
      </c>
      <c r="Y40" s="232"/>
      <c r="Z40" s="671"/>
      <c r="AA40" s="668"/>
      <c r="AB40" s="672"/>
      <c r="AC40" s="668"/>
      <c r="AD40" s="670">
        <v>1</v>
      </c>
      <c r="AE40" s="670">
        <v>1</v>
      </c>
    </row>
    <row r="41" spans="1:1018" s="254" customFormat="1" ht="13.5" customHeight="1">
      <c r="A41" s="225">
        <f t="shared" si="0"/>
        <v>33</v>
      </c>
      <c r="B41" s="217"/>
      <c r="C41" s="222"/>
      <c r="D41" s="677" t="s">
        <v>1088</v>
      </c>
      <c r="E41" s="221"/>
      <c r="F41" s="221"/>
      <c r="G41" s="221"/>
      <c r="H41" s="668" t="s">
        <v>1089</v>
      </c>
      <c r="I41" s="666" t="s">
        <v>1090</v>
      </c>
      <c r="J41" s="668"/>
      <c r="K41" s="666" t="s">
        <v>1091</v>
      </c>
      <c r="L41" s="668" t="s">
        <v>1092</v>
      </c>
      <c r="M41" s="668" t="s">
        <v>254</v>
      </c>
      <c r="N41" s="668"/>
      <c r="O41" s="668"/>
      <c r="P41" s="669"/>
      <c r="Q41" s="668" t="s">
        <v>816</v>
      </c>
      <c r="R41" s="668"/>
      <c r="S41" s="668" t="s">
        <v>862</v>
      </c>
      <c r="T41" s="670"/>
      <c r="U41" s="668"/>
      <c r="V41" s="667" t="s">
        <v>863</v>
      </c>
      <c r="W41" s="667" t="s">
        <v>863</v>
      </c>
      <c r="X41" s="667" t="s">
        <v>863</v>
      </c>
      <c r="Y41" s="232"/>
      <c r="Z41" s="671"/>
      <c r="AA41" s="668"/>
      <c r="AB41" s="672"/>
      <c r="AC41" s="668"/>
      <c r="AD41" s="670">
        <v>1</v>
      </c>
      <c r="AE41" s="670">
        <v>1</v>
      </c>
    </row>
    <row r="42" spans="1:1018" s="254" customFormat="1" ht="13.5" customHeight="1">
      <c r="A42" s="225">
        <f t="shared" ref="A42:A73" si="1">ROW()-8</f>
        <v>34</v>
      </c>
      <c r="B42" s="217"/>
      <c r="C42" s="222"/>
      <c r="D42" s="677" t="s">
        <v>1093</v>
      </c>
      <c r="E42" s="221"/>
      <c r="F42" s="221"/>
      <c r="G42" s="221"/>
      <c r="H42" s="668"/>
      <c r="I42" s="666"/>
      <c r="J42" s="668"/>
      <c r="K42" s="666" t="s">
        <v>1094</v>
      </c>
      <c r="L42" s="668" t="s">
        <v>1095</v>
      </c>
      <c r="M42" s="668" t="s">
        <v>1096</v>
      </c>
      <c r="N42" s="668"/>
      <c r="O42" s="668"/>
      <c r="P42" s="669"/>
      <c r="Q42" s="668" t="s">
        <v>816</v>
      </c>
      <c r="R42" s="668" t="s">
        <v>863</v>
      </c>
      <c r="S42" s="243" t="s">
        <v>1094</v>
      </c>
      <c r="T42" s="670"/>
      <c r="U42" s="668"/>
      <c r="V42" s="667" t="s">
        <v>863</v>
      </c>
      <c r="W42" s="667" t="s">
        <v>863</v>
      </c>
      <c r="X42" s="667" t="s">
        <v>863</v>
      </c>
      <c r="Y42" s="232"/>
      <c r="Z42" s="671"/>
      <c r="AA42" s="668"/>
      <c r="AB42" s="672"/>
      <c r="AC42" s="668"/>
      <c r="AD42" s="670">
        <v>1</v>
      </c>
      <c r="AE42" s="670">
        <v>1</v>
      </c>
    </row>
    <row r="43" spans="1:1018" s="254" customFormat="1" ht="13.5" customHeight="1">
      <c r="A43" s="225">
        <f t="shared" si="1"/>
        <v>35</v>
      </c>
      <c r="B43" s="217"/>
      <c r="C43" s="222"/>
      <c r="D43" s="241"/>
      <c r="E43" s="241" t="s">
        <v>1097</v>
      </c>
      <c r="F43" s="241"/>
      <c r="G43" s="241"/>
      <c r="H43" s="668" t="s">
        <v>1098</v>
      </c>
      <c r="I43" s="666" t="s">
        <v>1099</v>
      </c>
      <c r="J43" s="668"/>
      <c r="K43" s="666" t="s">
        <v>1086</v>
      </c>
      <c r="L43" s="668"/>
      <c r="M43" s="668"/>
      <c r="N43" s="668"/>
      <c r="O43" s="668"/>
      <c r="P43" s="669"/>
      <c r="Q43" s="668" t="s">
        <v>819</v>
      </c>
      <c r="R43" s="668"/>
      <c r="S43" s="668" t="s">
        <v>862</v>
      </c>
      <c r="T43" s="670"/>
      <c r="U43" s="668" t="s">
        <v>1100</v>
      </c>
      <c r="V43" s="667" t="s">
        <v>863</v>
      </c>
      <c r="W43" s="667" t="s">
        <v>863</v>
      </c>
      <c r="X43" s="667" t="s">
        <v>863</v>
      </c>
      <c r="Y43" s="232"/>
      <c r="Z43" s="671"/>
      <c r="AA43" s="668"/>
      <c r="AB43" s="672"/>
      <c r="AC43" s="668"/>
      <c r="AD43" s="670">
        <v>1</v>
      </c>
      <c r="AE43" s="670">
        <v>1</v>
      </c>
    </row>
    <row r="44" spans="1:1018" s="224" customFormat="1" ht="13.5" customHeight="1">
      <c r="A44" s="225">
        <f t="shared" si="1"/>
        <v>36</v>
      </c>
      <c r="B44" s="217"/>
      <c r="C44" s="217"/>
      <c r="D44" s="241"/>
      <c r="E44" s="241" t="s">
        <v>1101</v>
      </c>
      <c r="F44" s="241"/>
      <c r="G44" s="241"/>
      <c r="H44" s="668" t="s">
        <v>1633</v>
      </c>
      <c r="I44" s="666" t="s">
        <v>1102</v>
      </c>
      <c r="J44" s="668"/>
      <c r="K44" s="666" t="s">
        <v>969</v>
      </c>
      <c r="L44" s="668"/>
      <c r="M44" s="668"/>
      <c r="N44" s="668"/>
      <c r="O44" s="668"/>
      <c r="P44" s="669"/>
      <c r="Q44" s="668" t="s">
        <v>816</v>
      </c>
      <c r="R44" s="668"/>
      <c r="S44" s="668" t="s">
        <v>862</v>
      </c>
      <c r="T44" s="670"/>
      <c r="U44" s="668"/>
      <c r="V44" s="667" t="s">
        <v>863</v>
      </c>
      <c r="W44" s="667" t="s">
        <v>863</v>
      </c>
      <c r="X44" s="667" t="s">
        <v>863</v>
      </c>
      <c r="Y44" s="232"/>
      <c r="Z44" s="671"/>
      <c r="AA44" s="668"/>
      <c r="AB44" s="672"/>
      <c r="AC44" s="668"/>
      <c r="AD44" s="670">
        <v>1</v>
      </c>
      <c r="AE44" s="670">
        <v>1</v>
      </c>
    </row>
    <row r="45" spans="1:1018" s="224" customFormat="1" ht="13.5" customHeight="1">
      <c r="A45" s="225">
        <f t="shared" si="1"/>
        <v>37</v>
      </c>
      <c r="B45" s="217"/>
      <c r="C45" s="217"/>
      <c r="D45" s="241"/>
      <c r="E45" s="241" t="s">
        <v>1103</v>
      </c>
      <c r="F45" s="241"/>
      <c r="G45" s="241"/>
      <c r="H45" s="668" t="s">
        <v>1634</v>
      </c>
      <c r="I45" s="666" t="s">
        <v>1104</v>
      </c>
      <c r="J45" s="668"/>
      <c r="K45" s="666" t="s">
        <v>870</v>
      </c>
      <c r="L45" s="668"/>
      <c r="M45" s="668"/>
      <c r="N45" s="668"/>
      <c r="O45" s="668"/>
      <c r="P45" s="669"/>
      <c r="Q45" s="668" t="s">
        <v>816</v>
      </c>
      <c r="R45" s="668"/>
      <c r="S45" s="668" t="s">
        <v>862</v>
      </c>
      <c r="T45" s="670"/>
      <c r="U45" s="668"/>
      <c r="V45" s="667" t="s">
        <v>863</v>
      </c>
      <c r="W45" s="667" t="s">
        <v>863</v>
      </c>
      <c r="X45" s="667" t="s">
        <v>863</v>
      </c>
      <c r="Y45" s="232"/>
      <c r="Z45" s="671"/>
      <c r="AA45" s="668"/>
      <c r="AB45" s="672"/>
      <c r="AC45" s="668"/>
      <c r="AD45" s="670">
        <v>1</v>
      </c>
      <c r="AE45" s="670">
        <v>1</v>
      </c>
    </row>
    <row r="46" spans="1:1018" s="224" customFormat="1" ht="13.5" customHeight="1">
      <c r="A46" s="225">
        <f t="shared" si="1"/>
        <v>38</v>
      </c>
      <c r="B46" s="217"/>
      <c r="C46" s="217" t="s">
        <v>1105</v>
      </c>
      <c r="D46" s="221"/>
      <c r="E46" s="221"/>
      <c r="F46" s="221"/>
      <c r="G46" s="221"/>
      <c r="H46" s="668"/>
      <c r="I46" s="666"/>
      <c r="J46" s="668"/>
      <c r="K46" s="666" t="s">
        <v>1106</v>
      </c>
      <c r="L46" s="668"/>
      <c r="M46" s="668"/>
      <c r="N46" s="668"/>
      <c r="O46" s="668"/>
      <c r="P46" s="669"/>
      <c r="Q46" s="668" t="s">
        <v>816</v>
      </c>
      <c r="R46" s="668" t="s">
        <v>863</v>
      </c>
      <c r="S46" s="243" t="s">
        <v>1106</v>
      </c>
      <c r="T46" s="670"/>
      <c r="U46" s="668"/>
      <c r="V46" s="667" t="s">
        <v>863</v>
      </c>
      <c r="W46" s="667" t="s">
        <v>863</v>
      </c>
      <c r="X46" s="667" t="s">
        <v>863</v>
      </c>
      <c r="Y46" s="232"/>
      <c r="Z46" s="671"/>
      <c r="AA46" s="668"/>
      <c r="AB46" s="672"/>
      <c r="AC46" s="668"/>
      <c r="AD46" s="670"/>
      <c r="AE46" s="670">
        <v>1</v>
      </c>
    </row>
    <row r="47" spans="1:1018" s="231" customFormat="1" ht="13.5" customHeight="1">
      <c r="A47" s="225">
        <f t="shared" si="1"/>
        <v>39</v>
      </c>
      <c r="B47" s="217"/>
      <c r="C47" s="217"/>
      <c r="D47" s="241" t="s">
        <v>388</v>
      </c>
      <c r="E47" s="217"/>
      <c r="F47" s="217"/>
      <c r="G47" s="217"/>
      <c r="H47" s="668" t="s">
        <v>1107</v>
      </c>
      <c r="I47" s="666" t="s">
        <v>1108</v>
      </c>
      <c r="J47" s="668" t="s">
        <v>1106</v>
      </c>
      <c r="K47" s="666" t="s">
        <v>870</v>
      </c>
      <c r="L47" s="668" t="s">
        <v>1109</v>
      </c>
      <c r="M47" s="668" t="s">
        <v>388</v>
      </c>
      <c r="N47" s="668"/>
      <c r="O47" s="668"/>
      <c r="P47" s="252"/>
      <c r="Q47" s="668" t="s">
        <v>816</v>
      </c>
      <c r="R47" s="668"/>
      <c r="S47" s="668" t="s">
        <v>862</v>
      </c>
      <c r="T47" s="670"/>
      <c r="U47" s="668"/>
      <c r="V47" s="667" t="s">
        <v>863</v>
      </c>
      <c r="W47" s="667" t="s">
        <v>863</v>
      </c>
      <c r="X47" s="667" t="s">
        <v>863</v>
      </c>
      <c r="Y47" s="232"/>
      <c r="Z47" s="671"/>
      <c r="AA47" s="255"/>
      <c r="AB47" s="245" t="s">
        <v>1110</v>
      </c>
      <c r="AC47" s="668"/>
      <c r="AD47" s="670">
        <v>1</v>
      </c>
      <c r="AE47" s="670">
        <v>1</v>
      </c>
      <c r="AF47" s="676"/>
      <c r="AG47" s="676"/>
      <c r="AH47" s="676"/>
      <c r="AI47" s="676"/>
      <c r="AJ47" s="676"/>
      <c r="AK47" s="676"/>
      <c r="AL47" s="676"/>
      <c r="AM47" s="676"/>
      <c r="AN47" s="676"/>
      <c r="AO47" s="676"/>
      <c r="AP47" s="676"/>
      <c r="AQ47" s="676"/>
      <c r="AR47" s="676"/>
      <c r="AS47" s="676"/>
      <c r="AT47" s="676"/>
      <c r="AU47" s="676"/>
      <c r="AV47" s="676"/>
      <c r="AW47" s="676"/>
      <c r="AX47" s="676"/>
      <c r="AY47" s="676"/>
      <c r="AZ47" s="676"/>
      <c r="BA47" s="676"/>
      <c r="BB47" s="676"/>
      <c r="BC47" s="676"/>
      <c r="BD47" s="676"/>
      <c r="BE47" s="676"/>
      <c r="BF47" s="676"/>
      <c r="BG47" s="676"/>
      <c r="BH47" s="676"/>
      <c r="BI47" s="676"/>
      <c r="BJ47" s="676"/>
      <c r="BK47" s="676"/>
      <c r="BL47" s="676"/>
      <c r="BM47" s="676"/>
      <c r="BN47" s="676"/>
      <c r="BO47" s="676"/>
      <c r="BP47" s="676"/>
      <c r="BQ47" s="676"/>
      <c r="BR47" s="676"/>
      <c r="BS47" s="676"/>
      <c r="BT47" s="676"/>
      <c r="BU47" s="676"/>
      <c r="BV47" s="676"/>
      <c r="BW47" s="676"/>
      <c r="BX47" s="676"/>
      <c r="BY47" s="676"/>
      <c r="BZ47" s="676"/>
      <c r="CA47" s="676"/>
      <c r="CB47" s="676"/>
      <c r="CC47" s="676"/>
      <c r="CD47" s="676"/>
      <c r="CE47" s="676"/>
      <c r="CF47" s="676"/>
      <c r="CG47" s="676"/>
      <c r="CH47" s="676"/>
      <c r="CI47" s="676"/>
      <c r="CJ47" s="676"/>
      <c r="CK47" s="676"/>
      <c r="CL47" s="676"/>
      <c r="CM47" s="676"/>
      <c r="CN47" s="676"/>
      <c r="CO47" s="676"/>
      <c r="CP47" s="676"/>
      <c r="CQ47" s="676"/>
      <c r="CR47" s="676"/>
      <c r="CS47" s="676"/>
      <c r="CT47" s="676"/>
      <c r="CU47" s="676"/>
      <c r="CV47" s="676"/>
      <c r="CW47" s="676"/>
      <c r="CX47" s="676"/>
      <c r="CY47" s="676"/>
      <c r="CZ47" s="676"/>
      <c r="DA47" s="676"/>
      <c r="DB47" s="676"/>
      <c r="DC47" s="676"/>
      <c r="DD47" s="676"/>
      <c r="DE47" s="676"/>
      <c r="DF47" s="676"/>
      <c r="DG47" s="676"/>
      <c r="DH47" s="676"/>
      <c r="DI47" s="676"/>
      <c r="DJ47" s="676"/>
      <c r="DK47" s="676"/>
      <c r="DL47" s="676"/>
      <c r="DM47" s="676"/>
      <c r="DN47" s="676"/>
      <c r="DO47" s="676"/>
      <c r="DP47" s="676"/>
      <c r="DQ47" s="676"/>
      <c r="DR47" s="676"/>
      <c r="DS47" s="676"/>
      <c r="DT47" s="676"/>
      <c r="DU47" s="676"/>
      <c r="DV47" s="676"/>
      <c r="DW47" s="676"/>
      <c r="DX47" s="676"/>
      <c r="DY47" s="676"/>
      <c r="DZ47" s="676"/>
      <c r="EA47" s="676"/>
      <c r="EB47" s="676"/>
      <c r="EC47" s="676"/>
      <c r="ED47" s="676"/>
      <c r="EE47" s="676"/>
      <c r="EF47" s="676"/>
      <c r="EG47" s="676"/>
      <c r="EH47" s="676"/>
      <c r="EI47" s="676"/>
      <c r="EJ47" s="676"/>
      <c r="EK47" s="676"/>
      <c r="EL47" s="676"/>
      <c r="EM47" s="676"/>
      <c r="EN47" s="676"/>
      <c r="EO47" s="676"/>
      <c r="EP47" s="676"/>
      <c r="EQ47" s="676"/>
      <c r="ER47" s="676"/>
      <c r="ES47" s="676"/>
      <c r="ET47" s="676"/>
      <c r="EU47" s="676"/>
      <c r="EV47" s="676"/>
      <c r="EW47" s="676"/>
      <c r="EX47" s="676"/>
      <c r="EY47" s="676"/>
      <c r="EZ47" s="676"/>
      <c r="FA47" s="676"/>
      <c r="FB47" s="676"/>
      <c r="FC47" s="676"/>
      <c r="FD47" s="676"/>
      <c r="FE47" s="676"/>
      <c r="FF47" s="676"/>
      <c r="FG47" s="676"/>
      <c r="FH47" s="676"/>
      <c r="FI47" s="676"/>
      <c r="FJ47" s="676"/>
      <c r="FK47" s="676"/>
      <c r="FL47" s="676"/>
      <c r="FM47" s="676"/>
      <c r="FN47" s="676"/>
      <c r="FO47" s="676"/>
      <c r="FP47" s="676"/>
      <c r="FQ47" s="676"/>
      <c r="FR47" s="676"/>
      <c r="FS47" s="676"/>
      <c r="FT47" s="676"/>
      <c r="FU47" s="676"/>
      <c r="FV47" s="676"/>
      <c r="FW47" s="676"/>
      <c r="FX47" s="676"/>
      <c r="FY47" s="676"/>
      <c r="FZ47" s="676"/>
      <c r="GA47" s="676"/>
      <c r="GB47" s="676"/>
      <c r="GC47" s="676"/>
      <c r="GD47" s="676"/>
      <c r="GE47" s="676"/>
      <c r="GF47" s="676"/>
      <c r="GG47" s="676"/>
      <c r="GH47" s="676"/>
      <c r="GI47" s="676"/>
      <c r="GJ47" s="676"/>
      <c r="GK47" s="676"/>
      <c r="GL47" s="676"/>
      <c r="GM47" s="676"/>
      <c r="GN47" s="676"/>
      <c r="GO47" s="676"/>
      <c r="GP47" s="676"/>
      <c r="GQ47" s="676"/>
      <c r="GR47" s="676"/>
      <c r="GS47" s="676"/>
      <c r="GT47" s="676"/>
      <c r="GU47" s="676"/>
      <c r="GV47" s="676"/>
      <c r="GW47" s="676"/>
      <c r="GX47" s="676"/>
      <c r="GY47" s="676"/>
      <c r="GZ47" s="676"/>
      <c r="HA47" s="676"/>
      <c r="HB47" s="676"/>
      <c r="HC47" s="676"/>
      <c r="HD47" s="676"/>
      <c r="HE47" s="676"/>
      <c r="HF47" s="676"/>
      <c r="HG47" s="676"/>
      <c r="HH47" s="676"/>
      <c r="HI47" s="676"/>
      <c r="HJ47" s="676"/>
      <c r="HK47" s="676"/>
      <c r="HL47" s="676"/>
      <c r="HM47" s="676"/>
      <c r="HN47" s="676"/>
      <c r="HO47" s="676"/>
      <c r="HP47" s="676"/>
      <c r="HQ47" s="676"/>
      <c r="HR47" s="676"/>
      <c r="HS47" s="676"/>
      <c r="HT47" s="676"/>
      <c r="HU47" s="676"/>
      <c r="HV47" s="676"/>
      <c r="HW47" s="676"/>
      <c r="HX47" s="676"/>
      <c r="HY47" s="676"/>
      <c r="HZ47" s="676"/>
      <c r="IA47" s="676"/>
      <c r="IB47" s="676"/>
      <c r="IC47" s="676"/>
      <c r="ID47" s="676"/>
      <c r="IE47" s="676"/>
      <c r="IF47" s="676"/>
      <c r="IG47" s="676"/>
      <c r="IH47" s="676"/>
      <c r="II47" s="676"/>
      <c r="IJ47" s="676"/>
      <c r="IK47" s="676"/>
      <c r="IL47" s="676"/>
      <c r="IM47" s="676"/>
      <c r="IN47" s="676"/>
      <c r="IO47" s="676"/>
      <c r="IP47" s="676"/>
      <c r="IQ47" s="676"/>
      <c r="IR47" s="676"/>
      <c r="IS47" s="676"/>
      <c r="IT47" s="676"/>
      <c r="IU47" s="676"/>
      <c r="IV47" s="676"/>
      <c r="IW47" s="676"/>
      <c r="IX47" s="676"/>
      <c r="IY47" s="676"/>
      <c r="IZ47" s="676"/>
      <c r="JA47" s="676"/>
      <c r="JB47" s="676"/>
      <c r="JC47" s="676"/>
      <c r="JD47" s="676"/>
      <c r="JE47" s="676"/>
      <c r="JF47" s="676"/>
      <c r="JG47" s="676"/>
      <c r="JH47" s="676"/>
      <c r="JI47" s="676"/>
      <c r="JJ47" s="676"/>
      <c r="JK47" s="676"/>
      <c r="JL47" s="676"/>
      <c r="JM47" s="676"/>
      <c r="JN47" s="676"/>
      <c r="JO47" s="676"/>
      <c r="JP47" s="676"/>
      <c r="JQ47" s="676"/>
      <c r="JR47" s="676"/>
      <c r="JS47" s="676"/>
      <c r="JT47" s="676"/>
      <c r="JU47" s="676"/>
      <c r="JV47" s="676"/>
      <c r="JW47" s="676"/>
      <c r="JX47" s="676"/>
      <c r="JY47" s="676"/>
      <c r="JZ47" s="676"/>
      <c r="KA47" s="676"/>
      <c r="KB47" s="676"/>
      <c r="KC47" s="676"/>
      <c r="KD47" s="676"/>
      <c r="KE47" s="676"/>
      <c r="KF47" s="676"/>
      <c r="KG47" s="676"/>
      <c r="KH47" s="676"/>
      <c r="KI47" s="676"/>
      <c r="KJ47" s="676"/>
      <c r="KK47" s="676"/>
      <c r="KL47" s="676"/>
      <c r="KM47" s="676"/>
      <c r="KN47" s="676"/>
      <c r="KO47" s="676"/>
      <c r="KP47" s="676"/>
      <c r="KQ47" s="676"/>
      <c r="KR47" s="676"/>
      <c r="KS47" s="676"/>
      <c r="KT47" s="676"/>
      <c r="KU47" s="676"/>
      <c r="KV47" s="676"/>
      <c r="KW47" s="676"/>
      <c r="KX47" s="676"/>
      <c r="KY47" s="676"/>
      <c r="KZ47" s="676"/>
      <c r="LA47" s="676"/>
      <c r="LB47" s="676"/>
      <c r="LC47" s="676"/>
      <c r="LD47" s="676"/>
      <c r="LE47" s="676"/>
      <c r="LF47" s="676"/>
      <c r="LG47" s="676"/>
      <c r="LH47" s="676"/>
      <c r="LI47" s="676"/>
      <c r="LJ47" s="676"/>
      <c r="LK47" s="676"/>
      <c r="LL47" s="676"/>
      <c r="LM47" s="676"/>
      <c r="LN47" s="676"/>
      <c r="LO47" s="676"/>
      <c r="LP47" s="676"/>
      <c r="LQ47" s="676"/>
      <c r="LR47" s="676"/>
      <c r="LS47" s="676"/>
      <c r="LT47" s="676"/>
      <c r="LU47" s="676"/>
      <c r="LV47" s="676"/>
      <c r="LW47" s="676"/>
      <c r="LX47" s="676"/>
      <c r="LY47" s="676"/>
      <c r="LZ47" s="676"/>
      <c r="MA47" s="676"/>
      <c r="MB47" s="676"/>
      <c r="MC47" s="676"/>
      <c r="MD47" s="676"/>
      <c r="ME47" s="676"/>
      <c r="MF47" s="676"/>
      <c r="MG47" s="676"/>
      <c r="MH47" s="676"/>
      <c r="MI47" s="676"/>
      <c r="MJ47" s="676"/>
      <c r="MK47" s="676"/>
      <c r="ML47" s="676"/>
      <c r="MM47" s="676"/>
      <c r="MN47" s="676"/>
      <c r="MO47" s="676"/>
      <c r="MP47" s="676"/>
      <c r="MQ47" s="676"/>
      <c r="MR47" s="676"/>
      <c r="MS47" s="676"/>
      <c r="MT47" s="676"/>
      <c r="MU47" s="676"/>
      <c r="MV47" s="676"/>
      <c r="MW47" s="676"/>
      <c r="MX47" s="676"/>
      <c r="MY47" s="676"/>
      <c r="MZ47" s="676"/>
      <c r="NA47" s="676"/>
      <c r="NB47" s="676"/>
      <c r="NC47" s="676"/>
      <c r="ND47" s="676"/>
      <c r="NE47" s="676"/>
      <c r="NF47" s="676"/>
      <c r="NG47" s="676"/>
      <c r="NH47" s="676"/>
      <c r="NI47" s="676"/>
      <c r="NJ47" s="676"/>
      <c r="NK47" s="676"/>
      <c r="NL47" s="676"/>
      <c r="NM47" s="676"/>
      <c r="NN47" s="676"/>
      <c r="NO47" s="676"/>
      <c r="NP47" s="676"/>
      <c r="NQ47" s="676"/>
      <c r="NR47" s="676"/>
      <c r="NS47" s="676"/>
      <c r="NT47" s="676"/>
      <c r="NU47" s="676"/>
      <c r="NV47" s="676"/>
      <c r="NW47" s="676"/>
      <c r="NX47" s="676"/>
      <c r="NY47" s="676"/>
      <c r="NZ47" s="676"/>
      <c r="OA47" s="676"/>
      <c r="OB47" s="676"/>
      <c r="OC47" s="676"/>
      <c r="OD47" s="676"/>
      <c r="OE47" s="676"/>
      <c r="OF47" s="676"/>
      <c r="OG47" s="676"/>
      <c r="OH47" s="676"/>
      <c r="OI47" s="676"/>
      <c r="OJ47" s="676"/>
      <c r="OK47" s="676"/>
      <c r="OL47" s="676"/>
      <c r="OM47" s="676"/>
      <c r="ON47" s="676"/>
      <c r="OO47" s="676"/>
      <c r="OP47" s="676"/>
      <c r="OQ47" s="676"/>
      <c r="OR47" s="676"/>
      <c r="OS47" s="676"/>
      <c r="OT47" s="676"/>
      <c r="OU47" s="676"/>
      <c r="OV47" s="676"/>
      <c r="OW47" s="676"/>
      <c r="OX47" s="676"/>
      <c r="OY47" s="676"/>
      <c r="OZ47" s="676"/>
      <c r="PA47" s="676"/>
      <c r="PB47" s="676"/>
      <c r="PC47" s="676"/>
      <c r="PD47" s="676"/>
      <c r="PE47" s="676"/>
      <c r="PF47" s="676"/>
      <c r="PG47" s="676"/>
      <c r="PH47" s="676"/>
      <c r="PI47" s="676"/>
      <c r="PJ47" s="676"/>
      <c r="PK47" s="676"/>
      <c r="PL47" s="676"/>
      <c r="PM47" s="676"/>
      <c r="PN47" s="676"/>
      <c r="PO47" s="676"/>
      <c r="PP47" s="676"/>
      <c r="PQ47" s="676"/>
      <c r="PR47" s="676"/>
      <c r="PS47" s="676"/>
      <c r="PT47" s="676"/>
      <c r="PU47" s="676"/>
      <c r="PV47" s="676"/>
      <c r="PW47" s="676"/>
      <c r="PX47" s="676"/>
      <c r="PY47" s="676"/>
      <c r="PZ47" s="676"/>
      <c r="QA47" s="676"/>
      <c r="QB47" s="676"/>
      <c r="QC47" s="676"/>
      <c r="QD47" s="676"/>
      <c r="QE47" s="676"/>
      <c r="QF47" s="676"/>
      <c r="QG47" s="676"/>
      <c r="QH47" s="676"/>
      <c r="QI47" s="676"/>
      <c r="QJ47" s="676"/>
      <c r="QK47" s="676"/>
      <c r="QL47" s="676"/>
      <c r="QM47" s="676"/>
      <c r="QN47" s="676"/>
      <c r="QO47" s="676"/>
      <c r="QP47" s="676"/>
      <c r="QQ47" s="676"/>
      <c r="QR47" s="676"/>
      <c r="QS47" s="676"/>
      <c r="QT47" s="676"/>
      <c r="QU47" s="676"/>
      <c r="QV47" s="676"/>
      <c r="QW47" s="676"/>
      <c r="QX47" s="676"/>
      <c r="QY47" s="676"/>
      <c r="QZ47" s="676"/>
      <c r="RA47" s="676"/>
      <c r="RB47" s="676"/>
      <c r="RC47" s="676"/>
      <c r="RD47" s="676"/>
      <c r="RE47" s="676"/>
      <c r="RF47" s="676"/>
      <c r="RG47" s="676"/>
      <c r="RH47" s="676"/>
      <c r="RI47" s="676"/>
      <c r="RJ47" s="676"/>
      <c r="RK47" s="676"/>
      <c r="RL47" s="676"/>
      <c r="RM47" s="676"/>
      <c r="RN47" s="676"/>
      <c r="RO47" s="676"/>
      <c r="RP47" s="676"/>
      <c r="RQ47" s="676"/>
      <c r="RR47" s="676"/>
      <c r="RS47" s="676"/>
      <c r="RT47" s="676"/>
      <c r="RU47" s="676"/>
      <c r="RV47" s="676"/>
      <c r="RW47" s="676"/>
      <c r="RX47" s="676"/>
      <c r="RY47" s="676"/>
      <c r="RZ47" s="676"/>
      <c r="SA47" s="676"/>
      <c r="SB47" s="676"/>
      <c r="SC47" s="676"/>
      <c r="SD47" s="676"/>
      <c r="SE47" s="676"/>
      <c r="SF47" s="676"/>
      <c r="SG47" s="676"/>
      <c r="SH47" s="676"/>
      <c r="SI47" s="676"/>
      <c r="SJ47" s="676"/>
      <c r="SK47" s="676"/>
      <c r="SL47" s="676"/>
      <c r="SM47" s="676"/>
      <c r="SN47" s="676"/>
      <c r="SO47" s="676"/>
      <c r="SP47" s="676"/>
      <c r="SQ47" s="676"/>
      <c r="SR47" s="676"/>
      <c r="SS47" s="676"/>
      <c r="ST47" s="676"/>
      <c r="SU47" s="676"/>
      <c r="SV47" s="676"/>
      <c r="SW47" s="676"/>
      <c r="SX47" s="676"/>
      <c r="SY47" s="676"/>
      <c r="SZ47" s="676"/>
      <c r="TA47" s="676"/>
      <c r="TB47" s="676"/>
      <c r="TC47" s="676"/>
      <c r="TD47" s="676"/>
      <c r="TE47" s="676"/>
      <c r="TF47" s="676"/>
      <c r="TG47" s="676"/>
      <c r="TH47" s="676"/>
      <c r="TI47" s="676"/>
      <c r="TJ47" s="676"/>
      <c r="TK47" s="676"/>
      <c r="TL47" s="676"/>
      <c r="TM47" s="676"/>
      <c r="TN47" s="676"/>
      <c r="TO47" s="676"/>
      <c r="TP47" s="676"/>
      <c r="TQ47" s="676"/>
      <c r="TR47" s="676"/>
      <c r="TS47" s="676"/>
      <c r="TT47" s="676"/>
      <c r="TU47" s="676"/>
      <c r="TV47" s="676"/>
      <c r="TW47" s="676"/>
      <c r="TX47" s="676"/>
      <c r="TY47" s="676"/>
      <c r="TZ47" s="676"/>
      <c r="UA47" s="676"/>
      <c r="UB47" s="676"/>
      <c r="UC47" s="676"/>
      <c r="UD47" s="676"/>
      <c r="UE47" s="676"/>
      <c r="UF47" s="676"/>
      <c r="UG47" s="676"/>
      <c r="UH47" s="676"/>
      <c r="UI47" s="676"/>
      <c r="UJ47" s="676"/>
      <c r="UK47" s="676"/>
      <c r="UL47" s="676"/>
      <c r="UM47" s="676"/>
      <c r="UN47" s="676"/>
      <c r="UO47" s="676"/>
      <c r="UP47" s="676"/>
      <c r="UQ47" s="676"/>
      <c r="UR47" s="676"/>
      <c r="US47" s="676"/>
      <c r="UT47" s="676"/>
      <c r="UU47" s="676"/>
      <c r="UV47" s="676"/>
      <c r="UW47" s="676"/>
      <c r="UX47" s="676"/>
      <c r="UY47" s="676"/>
      <c r="UZ47" s="676"/>
      <c r="VA47" s="676"/>
      <c r="VB47" s="676"/>
      <c r="VC47" s="676"/>
      <c r="VD47" s="676"/>
      <c r="VE47" s="676"/>
      <c r="VF47" s="676"/>
      <c r="VG47" s="676"/>
      <c r="VH47" s="676"/>
      <c r="VI47" s="676"/>
      <c r="VJ47" s="676"/>
      <c r="VK47" s="676"/>
      <c r="VL47" s="676"/>
      <c r="VM47" s="676"/>
      <c r="VN47" s="676"/>
      <c r="VO47" s="676"/>
      <c r="VP47" s="676"/>
      <c r="VQ47" s="676"/>
      <c r="VR47" s="676"/>
      <c r="VS47" s="676"/>
      <c r="VT47" s="676"/>
      <c r="VU47" s="676"/>
      <c r="VV47" s="676"/>
      <c r="VW47" s="676"/>
      <c r="VX47" s="676"/>
      <c r="VY47" s="676"/>
      <c r="VZ47" s="676"/>
      <c r="WA47" s="676"/>
      <c r="WB47" s="676"/>
      <c r="WC47" s="676"/>
      <c r="WD47" s="676"/>
      <c r="WE47" s="676"/>
      <c r="WF47" s="676"/>
      <c r="WG47" s="676"/>
      <c r="WH47" s="676"/>
      <c r="WI47" s="676"/>
      <c r="WJ47" s="676"/>
      <c r="WK47" s="676"/>
      <c r="WL47" s="676"/>
      <c r="WM47" s="676"/>
      <c r="WN47" s="676"/>
      <c r="WO47" s="676"/>
      <c r="WP47" s="676"/>
      <c r="WQ47" s="676"/>
      <c r="WR47" s="676"/>
      <c r="WS47" s="676"/>
      <c r="WT47" s="676"/>
      <c r="WU47" s="676"/>
      <c r="WV47" s="676"/>
      <c r="WW47" s="676"/>
      <c r="WX47" s="676"/>
      <c r="WY47" s="676"/>
      <c r="WZ47" s="676"/>
      <c r="XA47" s="676"/>
      <c r="XB47" s="676"/>
      <c r="XC47" s="676"/>
      <c r="XD47" s="676"/>
      <c r="XE47" s="676"/>
      <c r="XF47" s="676"/>
      <c r="XG47" s="676"/>
      <c r="XH47" s="676"/>
      <c r="XI47" s="676"/>
      <c r="XJ47" s="676"/>
      <c r="XK47" s="676"/>
      <c r="XL47" s="676"/>
      <c r="XM47" s="676"/>
      <c r="XN47" s="676"/>
      <c r="XO47" s="676"/>
      <c r="XP47" s="676"/>
      <c r="XQ47" s="676"/>
      <c r="XR47" s="676"/>
      <c r="XS47" s="676"/>
      <c r="XT47" s="676"/>
      <c r="XU47" s="676"/>
      <c r="XV47" s="676"/>
      <c r="XW47" s="676"/>
      <c r="XX47" s="676"/>
      <c r="XY47" s="676"/>
      <c r="XZ47" s="676"/>
      <c r="YA47" s="676"/>
      <c r="YB47" s="676"/>
      <c r="YC47" s="676"/>
      <c r="YD47" s="676"/>
      <c r="YE47" s="676"/>
      <c r="YF47" s="676"/>
      <c r="YG47" s="676"/>
      <c r="YH47" s="676"/>
      <c r="YI47" s="676"/>
      <c r="YJ47" s="676"/>
      <c r="YK47" s="676"/>
      <c r="YL47" s="676"/>
      <c r="YM47" s="676"/>
      <c r="YN47" s="676"/>
      <c r="YO47" s="676"/>
      <c r="YP47" s="676"/>
      <c r="YQ47" s="676"/>
      <c r="YR47" s="676"/>
      <c r="YS47" s="676"/>
      <c r="YT47" s="676"/>
      <c r="YU47" s="676"/>
      <c r="YV47" s="676"/>
      <c r="YW47" s="676"/>
      <c r="YX47" s="676"/>
      <c r="YY47" s="676"/>
      <c r="YZ47" s="676"/>
      <c r="ZA47" s="676"/>
      <c r="ZB47" s="676"/>
      <c r="ZC47" s="676"/>
      <c r="ZD47" s="676"/>
      <c r="ZE47" s="676"/>
      <c r="ZF47" s="676"/>
      <c r="ZG47" s="676"/>
      <c r="ZH47" s="676"/>
      <c r="ZI47" s="676"/>
      <c r="ZJ47" s="676"/>
      <c r="ZK47" s="676"/>
      <c r="ZL47" s="676"/>
      <c r="ZM47" s="676"/>
      <c r="ZN47" s="676"/>
      <c r="ZO47" s="676"/>
      <c r="ZP47" s="676"/>
      <c r="ZQ47" s="676"/>
      <c r="ZR47" s="676"/>
      <c r="ZS47" s="676"/>
      <c r="ZT47" s="676"/>
      <c r="ZU47" s="676"/>
      <c r="ZV47" s="676"/>
      <c r="ZW47" s="676"/>
      <c r="ZX47" s="676"/>
      <c r="ZY47" s="676"/>
      <c r="ZZ47" s="676"/>
      <c r="AAA47" s="676"/>
      <c r="AAB47" s="676"/>
      <c r="AAC47" s="676"/>
      <c r="AAD47" s="676"/>
      <c r="AAE47" s="676"/>
      <c r="AAF47" s="676"/>
      <c r="AAG47" s="676"/>
      <c r="AAH47" s="676"/>
      <c r="AAI47" s="676"/>
      <c r="AAJ47" s="676"/>
      <c r="AAK47" s="676"/>
      <c r="AAL47" s="676"/>
      <c r="AAM47" s="676"/>
      <c r="AAN47" s="676"/>
      <c r="AAO47" s="676"/>
      <c r="AAP47" s="676"/>
      <c r="AAQ47" s="676"/>
      <c r="AAR47" s="676"/>
      <c r="AAS47" s="676"/>
      <c r="AAT47" s="676"/>
      <c r="AAU47" s="676"/>
      <c r="AAV47" s="676"/>
      <c r="AAW47" s="676"/>
      <c r="AAX47" s="676"/>
      <c r="AAY47" s="676"/>
      <c r="AAZ47" s="676"/>
      <c r="ABA47" s="676"/>
      <c r="ABB47" s="676"/>
      <c r="ABC47" s="676"/>
      <c r="ABD47" s="676"/>
      <c r="ABE47" s="676"/>
      <c r="ABF47" s="676"/>
      <c r="ABG47" s="676"/>
      <c r="ABH47" s="676"/>
      <c r="ABI47" s="676"/>
      <c r="ABJ47" s="676"/>
      <c r="ABK47" s="676"/>
      <c r="ABL47" s="676"/>
      <c r="ABM47" s="676"/>
      <c r="ABN47" s="676"/>
      <c r="ABO47" s="676"/>
      <c r="ABP47" s="676"/>
      <c r="ABQ47" s="676"/>
      <c r="ABR47" s="676"/>
      <c r="ABS47" s="676"/>
      <c r="ABT47" s="676"/>
      <c r="ABU47" s="676"/>
      <c r="ABV47" s="676"/>
      <c r="ABW47" s="676"/>
      <c r="ABX47" s="676"/>
      <c r="ABY47" s="676"/>
      <c r="ABZ47" s="676"/>
      <c r="ACA47" s="676"/>
      <c r="ACB47" s="676"/>
      <c r="ACC47" s="676"/>
      <c r="ACD47" s="676"/>
      <c r="ACE47" s="676"/>
      <c r="ACF47" s="676"/>
      <c r="ACG47" s="676"/>
      <c r="ACH47" s="676"/>
      <c r="ACI47" s="676"/>
      <c r="ACJ47" s="676"/>
      <c r="ACK47" s="676"/>
      <c r="ACL47" s="676"/>
      <c r="ACM47" s="676"/>
      <c r="ACN47" s="676"/>
      <c r="ACO47" s="676"/>
      <c r="ACP47" s="676"/>
      <c r="ACQ47" s="676"/>
      <c r="ACR47" s="676"/>
      <c r="ACS47" s="676"/>
      <c r="ACT47" s="676"/>
      <c r="ACU47" s="676"/>
      <c r="ACV47" s="676"/>
      <c r="ACW47" s="676"/>
      <c r="ACX47" s="676"/>
      <c r="ACY47" s="676"/>
      <c r="ACZ47" s="676"/>
      <c r="ADA47" s="676"/>
      <c r="ADB47" s="676"/>
      <c r="ADC47" s="676"/>
      <c r="ADD47" s="676"/>
      <c r="ADE47" s="676"/>
      <c r="ADF47" s="676"/>
      <c r="ADG47" s="676"/>
      <c r="ADH47" s="676"/>
      <c r="ADI47" s="676"/>
      <c r="ADJ47" s="676"/>
      <c r="ADK47" s="676"/>
      <c r="ADL47" s="676"/>
      <c r="ADM47" s="676"/>
      <c r="ADN47" s="676"/>
      <c r="ADO47" s="676"/>
      <c r="ADP47" s="676"/>
      <c r="ADQ47" s="676"/>
      <c r="ADR47" s="676"/>
      <c r="ADS47" s="676"/>
      <c r="ADT47" s="676"/>
      <c r="ADU47" s="676"/>
      <c r="ADV47" s="676"/>
      <c r="ADW47" s="676"/>
      <c r="ADX47" s="676"/>
      <c r="ADY47" s="676"/>
      <c r="ADZ47" s="676"/>
      <c r="AEA47" s="676"/>
      <c r="AEB47" s="676"/>
      <c r="AEC47" s="676"/>
      <c r="AED47" s="676"/>
      <c r="AEE47" s="676"/>
      <c r="AEF47" s="676"/>
      <c r="AEG47" s="676"/>
      <c r="AEH47" s="676"/>
      <c r="AEI47" s="676"/>
      <c r="AEJ47" s="676"/>
      <c r="AEK47" s="676"/>
      <c r="AEL47" s="676"/>
      <c r="AEM47" s="676"/>
      <c r="AEN47" s="676"/>
      <c r="AEO47" s="676"/>
      <c r="AEP47" s="676"/>
      <c r="AEQ47" s="676"/>
      <c r="AER47" s="676"/>
      <c r="AES47" s="676"/>
      <c r="AET47" s="676"/>
      <c r="AEU47" s="676"/>
      <c r="AEV47" s="676"/>
      <c r="AEW47" s="676"/>
      <c r="AEX47" s="676"/>
      <c r="AEY47" s="676"/>
      <c r="AEZ47" s="676"/>
      <c r="AFA47" s="676"/>
      <c r="AFB47" s="676"/>
      <c r="AFC47" s="676"/>
      <c r="AFD47" s="676"/>
      <c r="AFE47" s="676"/>
      <c r="AFF47" s="676"/>
      <c r="AFG47" s="676"/>
      <c r="AFH47" s="676"/>
      <c r="AFI47" s="676"/>
      <c r="AFJ47" s="676"/>
      <c r="AFK47" s="676"/>
      <c r="AFL47" s="676"/>
      <c r="AFM47" s="676"/>
      <c r="AFN47" s="676"/>
      <c r="AFO47" s="676"/>
      <c r="AFP47" s="676"/>
      <c r="AFQ47" s="676"/>
      <c r="AFR47" s="676"/>
      <c r="AFS47" s="676"/>
      <c r="AFT47" s="676"/>
      <c r="AFU47" s="676"/>
      <c r="AFV47" s="676"/>
      <c r="AFW47" s="676"/>
      <c r="AFX47" s="676"/>
      <c r="AFY47" s="676"/>
      <c r="AFZ47" s="676"/>
      <c r="AGA47" s="676"/>
      <c r="AGB47" s="676"/>
      <c r="AGC47" s="676"/>
      <c r="AGD47" s="676"/>
      <c r="AGE47" s="676"/>
      <c r="AGF47" s="676"/>
      <c r="AGG47" s="676"/>
      <c r="AGH47" s="676"/>
      <c r="AGI47" s="676"/>
      <c r="AGJ47" s="676"/>
      <c r="AGK47" s="676"/>
      <c r="AGL47" s="676"/>
      <c r="AGM47" s="676"/>
      <c r="AGN47" s="676"/>
      <c r="AGO47" s="676"/>
      <c r="AGP47" s="676"/>
      <c r="AGQ47" s="676"/>
      <c r="AGR47" s="676"/>
      <c r="AGS47" s="676"/>
      <c r="AGT47" s="676"/>
      <c r="AGU47" s="676"/>
      <c r="AGV47" s="676"/>
      <c r="AGW47" s="676"/>
      <c r="AGX47" s="676"/>
      <c r="AGY47" s="676"/>
      <c r="AGZ47" s="676"/>
      <c r="AHA47" s="676"/>
      <c r="AHB47" s="676"/>
      <c r="AHC47" s="676"/>
      <c r="AHD47" s="676"/>
      <c r="AHE47" s="676"/>
      <c r="AHF47" s="676"/>
      <c r="AHG47" s="676"/>
      <c r="AHH47" s="676"/>
      <c r="AHI47" s="676"/>
      <c r="AHJ47" s="676"/>
      <c r="AHK47" s="676"/>
      <c r="AHL47" s="676"/>
      <c r="AHM47" s="676"/>
      <c r="AHN47" s="676"/>
      <c r="AHO47" s="676"/>
      <c r="AHP47" s="676"/>
      <c r="AHQ47" s="676"/>
      <c r="AHR47" s="676"/>
      <c r="AHS47" s="676"/>
      <c r="AHT47" s="676"/>
      <c r="AHU47" s="676"/>
      <c r="AHV47" s="676"/>
      <c r="AHW47" s="676"/>
      <c r="AHX47" s="676"/>
      <c r="AHY47" s="676"/>
      <c r="AHZ47" s="676"/>
      <c r="AIA47" s="676"/>
      <c r="AIB47" s="676"/>
      <c r="AIC47" s="676"/>
      <c r="AID47" s="676"/>
      <c r="AIE47" s="676"/>
      <c r="AIF47" s="676"/>
      <c r="AIG47" s="676"/>
      <c r="AIH47" s="676"/>
      <c r="AII47" s="676"/>
      <c r="AIJ47" s="676"/>
      <c r="AIK47" s="676"/>
      <c r="AIL47" s="676"/>
      <c r="AIM47" s="676"/>
      <c r="AIN47" s="676"/>
      <c r="AIO47" s="676"/>
      <c r="AIP47" s="676"/>
      <c r="AIQ47" s="676"/>
      <c r="AIR47" s="676"/>
      <c r="AIS47" s="676"/>
      <c r="AIT47" s="676"/>
      <c r="AIU47" s="676"/>
      <c r="AIV47" s="676"/>
      <c r="AIW47" s="676"/>
      <c r="AIX47" s="676"/>
      <c r="AIY47" s="676"/>
      <c r="AIZ47" s="676"/>
      <c r="AJA47" s="676"/>
      <c r="AJB47" s="676"/>
      <c r="AJC47" s="676"/>
      <c r="AJD47" s="676"/>
      <c r="AJE47" s="676"/>
      <c r="AJF47" s="676"/>
      <c r="AJG47" s="676"/>
      <c r="AJH47" s="676"/>
      <c r="AJI47" s="676"/>
      <c r="AJJ47" s="676"/>
      <c r="AJK47" s="676"/>
      <c r="AJL47" s="676"/>
      <c r="AJM47" s="676"/>
      <c r="AJN47" s="676"/>
      <c r="AJO47" s="676"/>
      <c r="AJP47" s="676"/>
      <c r="AJQ47" s="676"/>
      <c r="AJR47" s="676"/>
      <c r="AJS47" s="676"/>
      <c r="AJT47" s="676"/>
      <c r="AJU47" s="676"/>
      <c r="AJV47" s="676"/>
      <c r="AJW47" s="676"/>
      <c r="AJX47" s="676"/>
      <c r="AJY47" s="676"/>
      <c r="AJZ47" s="676"/>
      <c r="AKA47" s="676"/>
      <c r="AKB47" s="676"/>
      <c r="AKC47" s="676"/>
      <c r="AKD47" s="676"/>
      <c r="AKE47" s="676"/>
      <c r="AKF47" s="676"/>
      <c r="AKG47" s="676"/>
      <c r="AKH47" s="676"/>
      <c r="AKI47" s="676"/>
      <c r="AKJ47" s="676"/>
      <c r="AKK47" s="676"/>
      <c r="AKL47" s="676"/>
      <c r="AKM47" s="676"/>
      <c r="AKN47" s="676"/>
      <c r="AKO47" s="676"/>
      <c r="AKP47" s="676"/>
      <c r="AKQ47" s="676"/>
      <c r="AKR47" s="676"/>
      <c r="AKS47" s="676"/>
      <c r="AKT47" s="676"/>
      <c r="AKU47" s="676"/>
      <c r="AKV47" s="676"/>
      <c r="AKW47" s="676"/>
      <c r="AKX47" s="676"/>
      <c r="AKY47" s="676"/>
      <c r="AKZ47" s="676"/>
      <c r="ALA47" s="676"/>
      <c r="ALB47" s="676"/>
      <c r="ALC47" s="676"/>
      <c r="ALD47" s="676"/>
      <c r="ALE47" s="676"/>
      <c r="ALF47" s="676"/>
      <c r="ALG47" s="676"/>
      <c r="ALH47" s="676"/>
      <c r="ALI47" s="676"/>
      <c r="ALJ47" s="676"/>
      <c r="ALK47" s="676"/>
      <c r="ALL47" s="676"/>
      <c r="ALM47" s="676"/>
      <c r="ALN47" s="676"/>
      <c r="ALO47" s="676"/>
      <c r="ALP47" s="676"/>
      <c r="ALQ47" s="676"/>
      <c r="ALR47" s="676"/>
      <c r="ALS47" s="676"/>
      <c r="ALT47" s="676"/>
      <c r="ALU47" s="676"/>
      <c r="ALV47" s="676"/>
      <c r="ALW47" s="676"/>
      <c r="ALX47" s="676"/>
      <c r="ALY47" s="676"/>
      <c r="ALZ47" s="676"/>
      <c r="AMA47" s="676"/>
      <c r="AMB47" s="676"/>
      <c r="AMC47" s="676"/>
      <c r="AMD47" s="676"/>
    </row>
    <row r="48" spans="1:1018" s="224" customFormat="1" ht="13.5" customHeight="1">
      <c r="A48" s="225">
        <f t="shared" si="1"/>
        <v>40</v>
      </c>
      <c r="B48" s="217"/>
      <c r="C48" s="217"/>
      <c r="D48" s="241" t="s">
        <v>392</v>
      </c>
      <c r="E48" s="217"/>
      <c r="F48" s="217"/>
      <c r="G48" s="217"/>
      <c r="H48" s="668" t="s">
        <v>1111</v>
      </c>
      <c r="I48" s="666">
        <v>59350</v>
      </c>
      <c r="J48" s="668" t="s">
        <v>1112</v>
      </c>
      <c r="K48" s="666" t="s">
        <v>1113</v>
      </c>
      <c r="L48" s="668" t="s">
        <v>1114</v>
      </c>
      <c r="M48" s="668" t="s">
        <v>392</v>
      </c>
      <c r="N48" s="668"/>
      <c r="O48" s="668"/>
      <c r="P48" s="252"/>
      <c r="Q48" s="668" t="s">
        <v>816</v>
      </c>
      <c r="R48" s="668"/>
      <c r="S48" s="668" t="s">
        <v>862</v>
      </c>
      <c r="T48" s="670"/>
      <c r="U48" s="668" t="s">
        <v>1115</v>
      </c>
      <c r="V48" s="667" t="s">
        <v>863</v>
      </c>
      <c r="W48" s="667" t="s">
        <v>863</v>
      </c>
      <c r="X48" s="667" t="s">
        <v>863</v>
      </c>
      <c r="Y48" s="232"/>
      <c r="Z48" s="671"/>
      <c r="AA48" s="668"/>
      <c r="AB48" s="672"/>
      <c r="AC48" s="668"/>
      <c r="AD48" s="670">
        <v>1</v>
      </c>
      <c r="AE48" s="670">
        <v>1</v>
      </c>
    </row>
    <row r="49" spans="1:31" s="224" customFormat="1" ht="13.5" customHeight="1">
      <c r="A49" s="225">
        <f t="shared" si="1"/>
        <v>41</v>
      </c>
      <c r="B49" s="217"/>
      <c r="C49" s="217"/>
      <c r="D49" s="241" t="s">
        <v>1116</v>
      </c>
      <c r="E49" s="241"/>
      <c r="F49" s="241"/>
      <c r="G49" s="241"/>
      <c r="H49" s="263" t="s">
        <v>1635</v>
      </c>
      <c r="I49" s="666" t="s">
        <v>1118</v>
      </c>
      <c r="J49" s="668"/>
      <c r="K49" s="666" t="s">
        <v>1119</v>
      </c>
      <c r="L49" s="668"/>
      <c r="M49" s="668"/>
      <c r="N49" s="668"/>
      <c r="O49" s="668"/>
      <c r="P49" s="669"/>
      <c r="Q49" s="668" t="s">
        <v>816</v>
      </c>
      <c r="R49" s="668"/>
      <c r="S49" s="678" t="s">
        <v>862</v>
      </c>
      <c r="T49" s="281"/>
      <c r="U49" s="668"/>
      <c r="V49" s="667" t="s">
        <v>863</v>
      </c>
      <c r="W49" s="667" t="s">
        <v>863</v>
      </c>
      <c r="X49" s="667" t="s">
        <v>863</v>
      </c>
      <c r="Y49" s="232"/>
      <c r="Z49" s="671"/>
      <c r="AA49" s="668"/>
      <c r="AB49" s="672"/>
      <c r="AC49" s="668"/>
      <c r="AD49" s="670"/>
      <c r="AE49" s="670">
        <v>1</v>
      </c>
    </row>
    <row r="50" spans="1:31" s="256" customFormat="1" ht="12.75" customHeight="1">
      <c r="A50" s="225">
        <f t="shared" si="1"/>
        <v>42</v>
      </c>
      <c r="B50" s="217"/>
      <c r="C50" s="217" t="s">
        <v>1120</v>
      </c>
      <c r="D50" s="221"/>
      <c r="E50" s="221"/>
      <c r="F50" s="221"/>
      <c r="G50" s="221"/>
      <c r="H50" s="668" t="s">
        <v>1636</v>
      </c>
      <c r="I50" s="666"/>
      <c r="J50" s="668"/>
      <c r="K50" s="666" t="s">
        <v>1122</v>
      </c>
      <c r="L50" s="668"/>
      <c r="M50" s="668"/>
      <c r="N50" s="668"/>
      <c r="O50" s="668"/>
      <c r="P50" s="669"/>
      <c r="Q50" s="668" t="s">
        <v>816</v>
      </c>
      <c r="R50" s="668" t="s">
        <v>863</v>
      </c>
      <c r="S50" s="243" t="s">
        <v>1122</v>
      </c>
      <c r="T50" s="670"/>
      <c r="U50" s="668"/>
      <c r="V50" s="667" t="s">
        <v>863</v>
      </c>
      <c r="W50" s="667" t="s">
        <v>863</v>
      </c>
      <c r="X50" s="667" t="s">
        <v>863</v>
      </c>
      <c r="Y50" s="232"/>
      <c r="Z50" s="671"/>
      <c r="AA50" s="668"/>
      <c r="AB50" s="672"/>
      <c r="AC50" s="668"/>
      <c r="AD50" s="670">
        <v>1</v>
      </c>
      <c r="AE50" s="670">
        <v>1</v>
      </c>
    </row>
    <row r="51" spans="1:31" s="256" customFormat="1" ht="12.75" customHeight="1">
      <c r="A51" s="225">
        <f t="shared" si="1"/>
        <v>43</v>
      </c>
      <c r="B51" s="217"/>
      <c r="C51" s="217"/>
      <c r="D51" s="677" t="s">
        <v>415</v>
      </c>
      <c r="E51" s="221"/>
      <c r="F51" s="221"/>
      <c r="G51" s="221"/>
      <c r="H51" s="668" t="s">
        <v>1123</v>
      </c>
      <c r="I51" s="666" t="s">
        <v>1124</v>
      </c>
      <c r="J51" s="668"/>
      <c r="K51" s="666" t="s">
        <v>1125</v>
      </c>
      <c r="L51" s="668" t="s">
        <v>1126</v>
      </c>
      <c r="M51" s="668" t="s">
        <v>415</v>
      </c>
      <c r="N51" s="668"/>
      <c r="O51" s="668"/>
      <c r="P51" s="669"/>
      <c r="Q51" s="668" t="s">
        <v>816</v>
      </c>
      <c r="R51" s="668"/>
      <c r="S51" s="678" t="s">
        <v>862</v>
      </c>
      <c r="T51" s="281"/>
      <c r="U51" s="668"/>
      <c r="V51" s="667" t="s">
        <v>863</v>
      </c>
      <c r="W51" s="667" t="s">
        <v>863</v>
      </c>
      <c r="X51" s="667" t="s">
        <v>863</v>
      </c>
      <c r="Y51" s="232"/>
      <c r="Z51" s="671"/>
      <c r="AA51" s="668"/>
      <c r="AB51" s="672"/>
      <c r="AC51" s="668"/>
      <c r="AD51" s="670">
        <v>1</v>
      </c>
      <c r="AE51" s="670">
        <v>1</v>
      </c>
    </row>
    <row r="52" spans="1:31" s="256" customFormat="1" ht="12.75" customHeight="1">
      <c r="A52" s="225">
        <f t="shared" si="1"/>
        <v>44</v>
      </c>
      <c r="B52" s="217"/>
      <c r="C52" s="217"/>
      <c r="D52" s="677" t="s">
        <v>1127</v>
      </c>
      <c r="E52" s="221"/>
      <c r="F52" s="221"/>
      <c r="G52" s="221"/>
      <c r="H52" s="668" t="s">
        <v>1128</v>
      </c>
      <c r="I52" s="666" t="s">
        <v>1129</v>
      </c>
      <c r="J52" s="668"/>
      <c r="K52" s="666" t="s">
        <v>1130</v>
      </c>
      <c r="L52" s="668" t="s">
        <v>1131</v>
      </c>
      <c r="M52" s="668" t="s">
        <v>424</v>
      </c>
      <c r="N52" s="668"/>
      <c r="O52" s="668"/>
      <c r="P52" s="669"/>
      <c r="Q52" s="668" t="s">
        <v>816</v>
      </c>
      <c r="R52" s="668"/>
      <c r="S52" s="678" t="s">
        <v>862</v>
      </c>
      <c r="T52" s="281"/>
      <c r="U52" s="668"/>
      <c r="V52" s="667" t="s">
        <v>863</v>
      </c>
      <c r="W52" s="667" t="s">
        <v>863</v>
      </c>
      <c r="X52" s="667" t="s">
        <v>863</v>
      </c>
      <c r="Y52" s="232"/>
      <c r="Z52" s="671"/>
      <c r="AA52" s="668"/>
      <c r="AB52" s="672"/>
      <c r="AC52" s="668"/>
      <c r="AD52" s="670">
        <v>1</v>
      </c>
      <c r="AE52" s="670">
        <v>1</v>
      </c>
    </row>
    <row r="53" spans="1:31" s="244" customFormat="1" ht="12.75" customHeight="1">
      <c r="A53" s="225">
        <f t="shared" si="1"/>
        <v>45</v>
      </c>
      <c r="B53" s="217"/>
      <c r="C53" s="222"/>
      <c r="D53" s="677" t="s">
        <v>429</v>
      </c>
      <c r="E53" s="221"/>
      <c r="F53" s="221"/>
      <c r="G53" s="221"/>
      <c r="H53" s="668" t="s">
        <v>1132</v>
      </c>
      <c r="I53" s="666" t="s">
        <v>1133</v>
      </c>
      <c r="J53" s="668"/>
      <c r="K53" s="666" t="s">
        <v>1134</v>
      </c>
      <c r="L53" s="668"/>
      <c r="M53" s="668"/>
      <c r="N53" s="668"/>
      <c r="O53" s="668"/>
      <c r="P53" s="669"/>
      <c r="Q53" s="668" t="s">
        <v>816</v>
      </c>
      <c r="R53" s="668"/>
      <c r="S53" s="678" t="s">
        <v>862</v>
      </c>
      <c r="T53" s="281"/>
      <c r="U53" s="668"/>
      <c r="V53" s="667" t="s">
        <v>863</v>
      </c>
      <c r="W53" s="667" t="s">
        <v>863</v>
      </c>
      <c r="X53" s="667" t="s">
        <v>863</v>
      </c>
      <c r="Y53" s="232"/>
      <c r="Z53" s="671"/>
      <c r="AA53" s="668"/>
      <c r="AB53" s="672"/>
      <c r="AC53" s="668"/>
      <c r="AD53" s="670">
        <v>1</v>
      </c>
      <c r="AE53" s="670">
        <v>1</v>
      </c>
    </row>
    <row r="54" spans="1:31" s="244" customFormat="1" ht="12.75" customHeight="1">
      <c r="A54" s="225">
        <f t="shared" si="1"/>
        <v>46</v>
      </c>
      <c r="B54" s="217"/>
      <c r="C54" s="222"/>
      <c r="D54" s="677" t="s">
        <v>426</v>
      </c>
      <c r="E54" s="221"/>
      <c r="F54" s="221"/>
      <c r="G54" s="221"/>
      <c r="H54" s="668" t="s">
        <v>1135</v>
      </c>
      <c r="I54" s="666" t="s">
        <v>1136</v>
      </c>
      <c r="J54" s="668"/>
      <c r="K54" s="666" t="s">
        <v>1137</v>
      </c>
      <c r="L54" s="668" t="s">
        <v>1138</v>
      </c>
      <c r="M54" s="668" t="s">
        <v>426</v>
      </c>
      <c r="N54" s="668"/>
      <c r="O54" s="668"/>
      <c r="P54" s="669"/>
      <c r="Q54" s="668" t="s">
        <v>822</v>
      </c>
      <c r="R54" s="668"/>
      <c r="S54" s="678" t="s">
        <v>862</v>
      </c>
      <c r="T54" s="281"/>
      <c r="U54" s="668"/>
      <c r="V54" s="667" t="s">
        <v>863</v>
      </c>
      <c r="W54" s="667" t="s">
        <v>863</v>
      </c>
      <c r="X54" s="667" t="s">
        <v>863</v>
      </c>
      <c r="Y54" s="232"/>
      <c r="Z54" s="671"/>
      <c r="AA54" s="668"/>
      <c r="AB54" s="672"/>
      <c r="AC54" s="668"/>
      <c r="AD54" s="670">
        <v>1</v>
      </c>
      <c r="AE54" s="670">
        <v>1</v>
      </c>
    </row>
    <row r="55" spans="1:31" s="244" customFormat="1" ht="12.75" customHeight="1">
      <c r="A55" s="225">
        <f t="shared" si="1"/>
        <v>47</v>
      </c>
      <c r="B55" s="217"/>
      <c r="C55" s="222"/>
      <c r="D55" s="677" t="s">
        <v>1139</v>
      </c>
      <c r="E55" s="221"/>
      <c r="F55" s="221"/>
      <c r="G55" s="221"/>
      <c r="H55" s="668" t="s">
        <v>1140</v>
      </c>
      <c r="I55" s="666" t="s">
        <v>1141</v>
      </c>
      <c r="J55" s="668"/>
      <c r="K55" s="666" t="s">
        <v>1142</v>
      </c>
      <c r="L55" s="668"/>
      <c r="M55" s="668"/>
      <c r="N55" s="668"/>
      <c r="O55" s="668"/>
      <c r="P55" s="669"/>
      <c r="Q55" s="668" t="s">
        <v>816</v>
      </c>
      <c r="R55" s="668"/>
      <c r="S55" s="678" t="s">
        <v>862</v>
      </c>
      <c r="T55" s="281"/>
      <c r="U55" s="668"/>
      <c r="V55" s="667" t="s">
        <v>863</v>
      </c>
      <c r="W55" s="667" t="s">
        <v>863</v>
      </c>
      <c r="X55" s="667" t="s">
        <v>863</v>
      </c>
      <c r="Y55" s="232"/>
      <c r="Z55" s="671"/>
      <c r="AA55" s="668"/>
      <c r="AB55" s="672"/>
      <c r="AC55" s="668"/>
      <c r="AD55" s="670">
        <v>1</v>
      </c>
      <c r="AE55" s="670">
        <v>1</v>
      </c>
    </row>
    <row r="56" spans="1:31" s="257" customFormat="1" ht="12.75" customHeight="1">
      <c r="A56" s="225">
        <f t="shared" si="1"/>
        <v>48</v>
      </c>
      <c r="B56" s="217"/>
      <c r="C56" s="222"/>
      <c r="D56" s="677" t="s">
        <v>1143</v>
      </c>
      <c r="E56" s="221"/>
      <c r="F56" s="221"/>
      <c r="G56" s="221"/>
      <c r="H56" s="668" t="s">
        <v>410</v>
      </c>
      <c r="I56" s="666" t="s">
        <v>1144</v>
      </c>
      <c r="J56" s="668"/>
      <c r="K56" s="666" t="s">
        <v>1145</v>
      </c>
      <c r="L56" s="668"/>
      <c r="M56" s="668"/>
      <c r="N56" s="668"/>
      <c r="O56" s="668"/>
      <c r="P56" s="669"/>
      <c r="Q56" s="668" t="s">
        <v>816</v>
      </c>
      <c r="R56" s="668"/>
      <c r="S56" s="678" t="s">
        <v>862</v>
      </c>
      <c r="T56" s="281"/>
      <c r="U56" s="668"/>
      <c r="V56" s="667" t="s">
        <v>863</v>
      </c>
      <c r="W56" s="667" t="s">
        <v>863</v>
      </c>
      <c r="X56" s="667" t="s">
        <v>863</v>
      </c>
      <c r="Y56" s="232"/>
      <c r="Z56" s="671"/>
      <c r="AA56" s="668"/>
      <c r="AB56" s="672"/>
      <c r="AC56" s="668"/>
      <c r="AD56" s="670">
        <v>1</v>
      </c>
      <c r="AE56" s="670">
        <v>1</v>
      </c>
    </row>
    <row r="57" spans="1:31" s="258" customFormat="1" ht="12.75" customHeight="1">
      <c r="A57" s="225">
        <f t="shared" si="1"/>
        <v>49</v>
      </c>
      <c r="B57" s="217"/>
      <c r="C57" s="218"/>
      <c r="D57" s="677" t="s">
        <v>1146</v>
      </c>
      <c r="E57" s="221"/>
      <c r="F57" s="221"/>
      <c r="G57" s="221"/>
      <c r="H57" s="668"/>
      <c r="I57" s="666" t="s">
        <v>1147</v>
      </c>
      <c r="J57" s="668"/>
      <c r="K57" s="666" t="s">
        <v>1148</v>
      </c>
      <c r="L57" s="668"/>
      <c r="M57" s="668"/>
      <c r="N57" s="668"/>
      <c r="O57" s="668"/>
      <c r="P57" s="669"/>
      <c r="Q57" s="668" t="s">
        <v>816</v>
      </c>
      <c r="R57" s="668"/>
      <c r="S57" s="678" t="s">
        <v>862</v>
      </c>
      <c r="T57" s="281"/>
      <c r="U57" s="668"/>
      <c r="V57" s="667" t="s">
        <v>863</v>
      </c>
      <c r="W57" s="667" t="s">
        <v>863</v>
      </c>
      <c r="X57" s="667" t="s">
        <v>863</v>
      </c>
      <c r="Y57" s="232"/>
      <c r="Z57" s="671"/>
      <c r="AA57" s="668"/>
      <c r="AB57" s="672"/>
      <c r="AC57" s="668"/>
      <c r="AD57" s="670">
        <v>1</v>
      </c>
      <c r="AE57" s="670">
        <v>1</v>
      </c>
    </row>
    <row r="58" spans="1:31" s="256" customFormat="1" ht="12.95" customHeight="1">
      <c r="A58" s="225">
        <f t="shared" si="1"/>
        <v>50</v>
      </c>
      <c r="B58" s="217"/>
      <c r="C58" s="218"/>
      <c r="D58" s="677" t="s">
        <v>178</v>
      </c>
      <c r="E58" s="221"/>
      <c r="F58" s="221"/>
      <c r="G58" s="221"/>
      <c r="H58" s="668" t="s">
        <v>1149</v>
      </c>
      <c r="I58" s="666" t="s">
        <v>1150</v>
      </c>
      <c r="J58" s="668"/>
      <c r="K58" s="666" t="s">
        <v>1151</v>
      </c>
      <c r="L58" s="668"/>
      <c r="M58" s="668"/>
      <c r="N58" s="668"/>
      <c r="O58" s="668"/>
      <c r="P58" s="669"/>
      <c r="Q58" s="668" t="s">
        <v>816</v>
      </c>
      <c r="R58" s="668"/>
      <c r="S58" s="678" t="s">
        <v>862</v>
      </c>
      <c r="T58" s="281"/>
      <c r="U58" s="668"/>
      <c r="V58" s="667" t="s">
        <v>863</v>
      </c>
      <c r="W58" s="667" t="s">
        <v>863</v>
      </c>
      <c r="X58" s="667" t="s">
        <v>863</v>
      </c>
      <c r="Y58" s="232"/>
      <c r="Z58" s="671"/>
      <c r="AA58" s="668"/>
      <c r="AB58" s="672"/>
      <c r="AC58" s="668"/>
      <c r="AD58" s="670">
        <v>1</v>
      </c>
      <c r="AE58" s="670">
        <v>1</v>
      </c>
    </row>
    <row r="59" spans="1:31" s="256" customFormat="1" ht="12.95" customHeight="1">
      <c r="A59" s="225">
        <f t="shared" si="1"/>
        <v>51</v>
      </c>
      <c r="B59" s="217"/>
      <c r="C59" s="218"/>
      <c r="D59" s="241" t="s">
        <v>1152</v>
      </c>
      <c r="E59" s="241"/>
      <c r="F59" s="241"/>
      <c r="G59" s="241"/>
      <c r="H59" s="668" t="s">
        <v>1153</v>
      </c>
      <c r="I59" s="666">
        <v>33123452323</v>
      </c>
      <c r="J59" s="668"/>
      <c r="K59" s="666" t="s">
        <v>1154</v>
      </c>
      <c r="L59" s="668"/>
      <c r="M59" s="668"/>
      <c r="N59" s="668"/>
      <c r="O59" s="668"/>
      <c r="P59" s="669"/>
      <c r="Q59" s="668" t="s">
        <v>816</v>
      </c>
      <c r="R59" s="668"/>
      <c r="S59" s="668" t="s">
        <v>862</v>
      </c>
      <c r="T59" s="670"/>
      <c r="U59" s="668"/>
      <c r="V59" s="667" t="s">
        <v>863</v>
      </c>
      <c r="W59" s="667" t="s">
        <v>863</v>
      </c>
      <c r="X59" s="667" t="s">
        <v>863</v>
      </c>
      <c r="Y59" s="232"/>
      <c r="Z59" s="671"/>
      <c r="AA59" s="668" t="s">
        <v>1155</v>
      </c>
      <c r="AB59" s="672"/>
      <c r="AC59" s="668"/>
      <c r="AD59" s="670"/>
      <c r="AE59" s="670">
        <v>1</v>
      </c>
    </row>
    <row r="60" spans="1:31" s="224" customFormat="1" ht="13.5" customHeight="1">
      <c r="A60" s="225">
        <f t="shared" si="1"/>
        <v>52</v>
      </c>
      <c r="B60" s="217"/>
      <c r="C60" s="217" t="s">
        <v>1156</v>
      </c>
      <c r="D60" s="217"/>
      <c r="E60" s="217"/>
      <c r="F60" s="217"/>
      <c r="G60" s="217"/>
      <c r="H60" s="668"/>
      <c r="I60" s="666"/>
      <c r="J60" s="668" t="s">
        <v>1157</v>
      </c>
      <c r="K60" s="666" t="s">
        <v>1158</v>
      </c>
      <c r="L60" s="668"/>
      <c r="M60" s="668"/>
      <c r="N60" s="668"/>
      <c r="O60" s="668"/>
      <c r="P60" s="252"/>
      <c r="Q60" s="668" t="s">
        <v>816</v>
      </c>
      <c r="R60" s="668" t="s">
        <v>863</v>
      </c>
      <c r="S60" s="243" t="s">
        <v>1158</v>
      </c>
      <c r="T60" s="670"/>
      <c r="U60" s="668"/>
      <c r="V60" s="667" t="s">
        <v>863</v>
      </c>
      <c r="W60" s="667" t="s">
        <v>863</v>
      </c>
      <c r="X60" s="667" t="s">
        <v>863</v>
      </c>
      <c r="Y60" s="232"/>
      <c r="Z60" s="671"/>
      <c r="AA60" s="668"/>
      <c r="AB60" s="672"/>
      <c r="AC60" s="668"/>
      <c r="AD60" s="670">
        <v>1</v>
      </c>
      <c r="AE60" s="670"/>
    </row>
    <row r="61" spans="1:31" s="224" customFormat="1" ht="13.5" customHeight="1">
      <c r="A61" s="225">
        <f t="shared" si="1"/>
        <v>53</v>
      </c>
      <c r="B61" s="217"/>
      <c r="C61" s="217"/>
      <c r="D61" s="241" t="s">
        <v>1159</v>
      </c>
      <c r="E61" s="241"/>
      <c r="F61" s="241"/>
      <c r="G61" s="241"/>
      <c r="H61" s="668" t="s">
        <v>1160</v>
      </c>
      <c r="I61" s="666" t="s">
        <v>929</v>
      </c>
      <c r="J61" s="668"/>
      <c r="K61" s="666" t="s">
        <v>1161</v>
      </c>
      <c r="L61" s="668"/>
      <c r="M61" s="668"/>
      <c r="N61" s="668"/>
      <c r="O61" s="668"/>
      <c r="P61" s="669"/>
      <c r="Q61" s="668" t="s">
        <v>819</v>
      </c>
      <c r="R61" s="668"/>
      <c r="S61" s="668" t="s">
        <v>878</v>
      </c>
      <c r="T61" s="670"/>
      <c r="U61" s="668"/>
      <c r="V61" s="667" t="s">
        <v>863</v>
      </c>
      <c r="W61" s="667" t="s">
        <v>863</v>
      </c>
      <c r="X61" s="667" t="s">
        <v>863</v>
      </c>
      <c r="Y61" s="232"/>
      <c r="Z61" s="671"/>
      <c r="AA61" s="668" t="s">
        <v>1162</v>
      </c>
      <c r="AB61" s="672"/>
      <c r="AC61" s="668"/>
      <c r="AD61" s="670"/>
      <c r="AE61" s="670">
        <v>1</v>
      </c>
    </row>
    <row r="62" spans="1:31" s="224" customFormat="1" ht="13.5" customHeight="1">
      <c r="A62" s="225">
        <f t="shared" si="1"/>
        <v>54</v>
      </c>
      <c r="B62" s="217"/>
      <c r="C62" s="217"/>
      <c r="D62" s="217" t="s">
        <v>1163</v>
      </c>
      <c r="E62" s="217"/>
      <c r="F62" s="217"/>
      <c r="G62" s="217"/>
      <c r="H62" s="668" t="s">
        <v>1164</v>
      </c>
      <c r="I62" s="666"/>
      <c r="J62" s="668" t="s">
        <v>1165</v>
      </c>
      <c r="K62" s="666" t="s">
        <v>1165</v>
      </c>
      <c r="L62" s="668"/>
      <c r="M62" s="668"/>
      <c r="N62" s="668"/>
      <c r="O62" s="668"/>
      <c r="P62" s="252"/>
      <c r="Q62" s="668" t="s">
        <v>816</v>
      </c>
      <c r="R62" s="668" t="s">
        <v>863</v>
      </c>
      <c r="S62" s="243" t="s">
        <v>1165</v>
      </c>
      <c r="T62" s="670"/>
      <c r="U62" s="668"/>
      <c r="V62" s="667" t="s">
        <v>863</v>
      </c>
      <c r="W62" s="667" t="s">
        <v>863</v>
      </c>
      <c r="X62" s="667" t="s">
        <v>863</v>
      </c>
      <c r="Y62" s="232"/>
      <c r="Z62" s="671"/>
      <c r="AA62" s="668"/>
      <c r="AB62" s="672"/>
      <c r="AC62" s="668"/>
      <c r="AD62" s="670">
        <v>1</v>
      </c>
      <c r="AE62" s="670">
        <v>1</v>
      </c>
    </row>
    <row r="63" spans="1:31" s="224" customFormat="1" ht="13.5" customHeight="1">
      <c r="A63" s="225">
        <f t="shared" si="1"/>
        <v>55</v>
      </c>
      <c r="B63" s="217"/>
      <c r="C63" s="217"/>
      <c r="D63" s="217"/>
      <c r="E63" s="217" t="s">
        <v>1166</v>
      </c>
      <c r="F63" s="217"/>
      <c r="G63" s="217"/>
      <c r="H63" s="668" t="s">
        <v>1167</v>
      </c>
      <c r="I63" s="666"/>
      <c r="J63" s="668" t="s">
        <v>1168</v>
      </c>
      <c r="K63" s="666" t="s">
        <v>1168</v>
      </c>
      <c r="L63" s="668"/>
      <c r="M63" s="668"/>
      <c r="N63" s="668"/>
      <c r="O63" s="668"/>
      <c r="P63" s="252"/>
      <c r="Q63" s="668" t="s">
        <v>819</v>
      </c>
      <c r="R63" s="668" t="s">
        <v>863</v>
      </c>
      <c r="S63" s="243" t="s">
        <v>1168</v>
      </c>
      <c r="T63" s="670"/>
      <c r="U63" s="668"/>
      <c r="V63" s="667" t="s">
        <v>863</v>
      </c>
      <c r="W63" s="667" t="s">
        <v>863</v>
      </c>
      <c r="X63" s="667" t="s">
        <v>863</v>
      </c>
      <c r="Y63" s="232"/>
      <c r="Z63" s="671"/>
      <c r="AA63" s="668"/>
      <c r="AB63" s="672"/>
      <c r="AC63" s="668"/>
      <c r="AD63" s="670">
        <v>1</v>
      </c>
      <c r="AE63" s="670">
        <v>1</v>
      </c>
    </row>
    <row r="64" spans="1:31" s="224" customFormat="1" ht="13.5" customHeight="1">
      <c r="A64" s="225">
        <f t="shared" si="1"/>
        <v>56</v>
      </c>
      <c r="B64" s="217"/>
      <c r="C64" s="217"/>
      <c r="D64" s="217"/>
      <c r="E64" s="217"/>
      <c r="F64" s="217" t="s">
        <v>1169</v>
      </c>
      <c r="G64" s="217"/>
      <c r="H64" s="668" t="s">
        <v>1170</v>
      </c>
      <c r="I64" s="666" t="s">
        <v>1171</v>
      </c>
      <c r="J64" s="668" t="s">
        <v>1172</v>
      </c>
      <c r="K64" s="666" t="s">
        <v>1172</v>
      </c>
      <c r="L64" s="668"/>
      <c r="M64" s="668"/>
      <c r="N64" s="668"/>
      <c r="O64" s="668"/>
      <c r="P64" s="252"/>
      <c r="Q64" s="668" t="s">
        <v>819</v>
      </c>
      <c r="R64" s="668"/>
      <c r="S64" s="668" t="s">
        <v>1091</v>
      </c>
      <c r="T64" s="670"/>
      <c r="U64" s="668"/>
      <c r="V64" s="667" t="s">
        <v>863</v>
      </c>
      <c r="W64" s="667" t="s">
        <v>863</v>
      </c>
      <c r="X64" s="667" t="s">
        <v>863</v>
      </c>
      <c r="Y64" s="232"/>
      <c r="Z64" s="668" t="s">
        <v>1173</v>
      </c>
      <c r="AA64" s="668"/>
      <c r="AB64" s="245" t="s">
        <v>1174</v>
      </c>
      <c r="AC64" s="668"/>
      <c r="AD64" s="670">
        <v>1</v>
      </c>
      <c r="AE64" s="670">
        <v>1</v>
      </c>
    </row>
    <row r="65" spans="1:1018" s="256" customFormat="1" ht="13.5" customHeight="1">
      <c r="A65" s="225">
        <f t="shared" si="1"/>
        <v>57</v>
      </c>
      <c r="B65" s="217"/>
      <c r="C65" s="217"/>
      <c r="D65" s="217"/>
      <c r="E65" s="217"/>
      <c r="F65" s="217" t="s">
        <v>1175</v>
      </c>
      <c r="G65" s="217"/>
      <c r="H65" s="668" t="s">
        <v>1176</v>
      </c>
      <c r="I65" s="666" t="s">
        <v>1177</v>
      </c>
      <c r="J65" s="668" t="s">
        <v>1178</v>
      </c>
      <c r="K65" s="666" t="s">
        <v>1178</v>
      </c>
      <c r="L65" s="668"/>
      <c r="M65" s="668"/>
      <c r="N65" s="668"/>
      <c r="O65" s="668"/>
      <c r="P65" s="252"/>
      <c r="Q65" s="668" t="s">
        <v>819</v>
      </c>
      <c r="R65" s="668"/>
      <c r="S65" s="668" t="s">
        <v>1091</v>
      </c>
      <c r="T65" s="670"/>
      <c r="U65" s="668"/>
      <c r="V65" s="667" t="s">
        <v>863</v>
      </c>
      <c r="W65" s="667" t="s">
        <v>863</v>
      </c>
      <c r="X65" s="667" t="s">
        <v>863</v>
      </c>
      <c r="Y65" s="232"/>
      <c r="Z65" s="668" t="s">
        <v>1173</v>
      </c>
      <c r="AA65" s="668"/>
      <c r="AB65" s="245" t="s">
        <v>1174</v>
      </c>
      <c r="AC65" s="668"/>
      <c r="AD65" s="670">
        <v>1</v>
      </c>
      <c r="AE65" s="670">
        <v>1</v>
      </c>
    </row>
    <row r="66" spans="1:1018" s="244" customFormat="1" ht="13.5" customHeight="1">
      <c r="A66" s="225">
        <f t="shared" si="1"/>
        <v>58</v>
      </c>
      <c r="B66" s="217"/>
      <c r="C66" s="222"/>
      <c r="D66" s="222"/>
      <c r="E66" s="222"/>
      <c r="F66" s="222" t="s">
        <v>1179</v>
      </c>
      <c r="G66" s="221"/>
      <c r="H66" s="668" t="s">
        <v>1180</v>
      </c>
      <c r="I66" s="666">
        <v>120</v>
      </c>
      <c r="J66" s="668"/>
      <c r="K66" s="668" t="s">
        <v>1181</v>
      </c>
      <c r="L66" s="668"/>
      <c r="M66" s="668"/>
      <c r="N66" s="668"/>
      <c r="O66" s="668"/>
      <c r="P66" s="669"/>
      <c r="Q66" s="668" t="s">
        <v>816</v>
      </c>
      <c r="R66" s="668"/>
      <c r="S66" s="668" t="s">
        <v>1091</v>
      </c>
      <c r="T66" s="670"/>
      <c r="U66" s="668"/>
      <c r="V66" s="667" t="s">
        <v>863</v>
      </c>
      <c r="W66" s="667" t="s">
        <v>863</v>
      </c>
      <c r="X66" s="667" t="s">
        <v>863</v>
      </c>
      <c r="Y66" s="232"/>
      <c r="Z66" s="668" t="s">
        <v>1182</v>
      </c>
      <c r="AA66" s="668"/>
      <c r="AB66" s="672"/>
      <c r="AC66" s="668"/>
      <c r="AD66" s="670">
        <v>1</v>
      </c>
      <c r="AE66" s="670">
        <v>1</v>
      </c>
    </row>
    <row r="67" spans="1:1018" s="256" customFormat="1" ht="13.5" customHeight="1">
      <c r="A67" s="225">
        <f t="shared" si="1"/>
        <v>59</v>
      </c>
      <c r="B67" s="217"/>
      <c r="C67" s="217"/>
      <c r="D67" s="241"/>
      <c r="E67" s="241"/>
      <c r="F67" s="241" t="s">
        <v>1183</v>
      </c>
      <c r="G67" s="221"/>
      <c r="H67" s="668" t="s">
        <v>1184</v>
      </c>
      <c r="I67" s="666">
        <v>96</v>
      </c>
      <c r="J67" s="668"/>
      <c r="K67" s="668" t="s">
        <v>1185</v>
      </c>
      <c r="L67" s="668"/>
      <c r="M67" s="668"/>
      <c r="N67" s="668"/>
      <c r="O67" s="668"/>
      <c r="P67" s="669"/>
      <c r="Q67" s="668" t="s">
        <v>816</v>
      </c>
      <c r="R67" s="668"/>
      <c r="S67" s="668" t="s">
        <v>1091</v>
      </c>
      <c r="T67" s="670"/>
      <c r="U67" s="668"/>
      <c r="V67" s="667" t="s">
        <v>863</v>
      </c>
      <c r="W67" s="667"/>
      <c r="X67" s="667" t="s">
        <v>863</v>
      </c>
      <c r="Y67" s="232"/>
      <c r="Z67" s="668" t="s">
        <v>1186</v>
      </c>
      <c r="AA67" s="668"/>
      <c r="AB67" s="672"/>
      <c r="AC67" s="668"/>
      <c r="AD67" s="670">
        <v>1</v>
      </c>
      <c r="AE67" s="670">
        <v>1</v>
      </c>
    </row>
    <row r="68" spans="1:1018" s="256" customFormat="1" ht="13.5" customHeight="1">
      <c r="A68" s="225">
        <f t="shared" si="1"/>
        <v>60</v>
      </c>
      <c r="B68" s="217"/>
      <c r="C68" s="217"/>
      <c r="D68" s="241"/>
      <c r="E68" s="241"/>
      <c r="F68" s="241" t="s">
        <v>1187</v>
      </c>
      <c r="G68" s="221"/>
      <c r="H68" s="668" t="s">
        <v>1188</v>
      </c>
      <c r="I68" s="666">
        <v>34</v>
      </c>
      <c r="J68" s="668"/>
      <c r="K68" s="668" t="s">
        <v>1189</v>
      </c>
      <c r="L68" s="668"/>
      <c r="M68" s="668"/>
      <c r="N68" s="668"/>
      <c r="O68" s="668"/>
      <c r="P68" s="669"/>
      <c r="Q68" s="668" t="s">
        <v>816</v>
      </c>
      <c r="R68" s="668"/>
      <c r="S68" s="668" t="s">
        <v>1091</v>
      </c>
      <c r="T68" s="670"/>
      <c r="U68" s="668"/>
      <c r="V68" s="667" t="s">
        <v>863</v>
      </c>
      <c r="W68" s="667"/>
      <c r="X68" s="667" t="s">
        <v>863</v>
      </c>
      <c r="Y68" s="232"/>
      <c r="Z68" s="668" t="s">
        <v>1190</v>
      </c>
      <c r="AA68" s="668"/>
      <c r="AB68" s="672"/>
      <c r="AC68" s="668"/>
      <c r="AD68" s="670">
        <v>1</v>
      </c>
      <c r="AE68" s="670">
        <v>1</v>
      </c>
    </row>
    <row r="69" spans="1:1018" s="244" customFormat="1" ht="13.5" customHeight="1">
      <c r="A69" s="225">
        <f t="shared" si="1"/>
        <v>61</v>
      </c>
      <c r="B69" s="217"/>
      <c r="C69" s="222"/>
      <c r="D69" s="241"/>
      <c r="E69" s="241"/>
      <c r="F69" s="241" t="s">
        <v>1191</v>
      </c>
      <c r="G69" s="241"/>
      <c r="H69" s="668" t="s">
        <v>1192</v>
      </c>
      <c r="I69" s="666" t="s">
        <v>1193</v>
      </c>
      <c r="J69" s="668"/>
      <c r="K69" s="666" t="s">
        <v>1194</v>
      </c>
      <c r="L69" s="668"/>
      <c r="M69" s="668"/>
      <c r="N69" s="668"/>
      <c r="O69" s="668"/>
      <c r="P69" s="669"/>
      <c r="Q69" s="668" t="s">
        <v>819</v>
      </c>
      <c r="R69" s="668"/>
      <c r="S69" s="668" t="s">
        <v>862</v>
      </c>
      <c r="T69" s="670" t="s">
        <v>863</v>
      </c>
      <c r="U69" s="668" t="s">
        <v>1195</v>
      </c>
      <c r="V69" s="667" t="s">
        <v>863</v>
      </c>
      <c r="W69" s="667" t="s">
        <v>863</v>
      </c>
      <c r="X69" s="667" t="s">
        <v>863</v>
      </c>
      <c r="Y69" s="232"/>
      <c r="Z69" s="671"/>
      <c r="AA69" s="668"/>
      <c r="AB69" s="672"/>
      <c r="AC69" s="668"/>
      <c r="AD69" s="670"/>
      <c r="AE69" s="670">
        <v>1</v>
      </c>
    </row>
    <row r="70" spans="1:1018" s="256" customFormat="1" ht="13.5" customHeight="1">
      <c r="A70" s="225">
        <f t="shared" si="1"/>
        <v>62</v>
      </c>
      <c r="B70" s="217"/>
      <c r="C70" s="217"/>
      <c r="D70" s="217"/>
      <c r="E70" s="217" t="s">
        <v>1196</v>
      </c>
      <c r="F70" s="217"/>
      <c r="G70" s="217"/>
      <c r="H70" s="668" t="s">
        <v>1197</v>
      </c>
      <c r="I70" s="666" t="s">
        <v>1198</v>
      </c>
      <c r="J70" s="668" t="s">
        <v>1199</v>
      </c>
      <c r="K70" s="666" t="s">
        <v>1200</v>
      </c>
      <c r="L70" s="668"/>
      <c r="M70" s="668"/>
      <c r="N70" s="668"/>
      <c r="O70" s="668"/>
      <c r="P70" s="669">
        <v>1</v>
      </c>
      <c r="Q70" s="668" t="s">
        <v>816</v>
      </c>
      <c r="R70" s="668"/>
      <c r="S70" s="668" t="s">
        <v>862</v>
      </c>
      <c r="T70" s="670"/>
      <c r="U70" s="668"/>
      <c r="V70" s="667" t="s">
        <v>863</v>
      </c>
      <c r="W70" s="667" t="s">
        <v>863</v>
      </c>
      <c r="X70" s="667" t="s">
        <v>863</v>
      </c>
      <c r="Y70" s="232"/>
      <c r="Z70" s="671"/>
      <c r="AA70" s="668"/>
      <c r="AB70" s="672"/>
      <c r="AC70" s="668"/>
      <c r="AD70" s="670">
        <v>1</v>
      </c>
      <c r="AE70" s="670">
        <v>1</v>
      </c>
    </row>
    <row r="71" spans="1:1018" s="256" customFormat="1" ht="12.95" customHeight="1">
      <c r="A71" s="225">
        <f t="shared" si="1"/>
        <v>63</v>
      </c>
      <c r="B71" s="217"/>
      <c r="C71" s="217"/>
      <c r="D71" s="217" t="s">
        <v>1201</v>
      </c>
      <c r="E71" s="217"/>
      <c r="F71" s="217"/>
      <c r="G71" s="217"/>
      <c r="H71" s="668" t="s">
        <v>1202</v>
      </c>
      <c r="I71" s="666"/>
      <c r="J71" s="668" t="s">
        <v>1203</v>
      </c>
      <c r="K71" s="666" t="s">
        <v>1203</v>
      </c>
      <c r="L71" s="668"/>
      <c r="M71" s="668"/>
      <c r="N71" s="668"/>
      <c r="O71" s="668"/>
      <c r="P71" s="252"/>
      <c r="Q71" s="668" t="s">
        <v>816</v>
      </c>
      <c r="R71" s="668"/>
      <c r="S71" s="668" t="s">
        <v>862</v>
      </c>
      <c r="T71" s="670"/>
      <c r="U71" s="668"/>
      <c r="V71" s="667" t="s">
        <v>863</v>
      </c>
      <c r="W71" s="667" t="s">
        <v>863</v>
      </c>
      <c r="X71" s="667" t="s">
        <v>863</v>
      </c>
      <c r="Y71" s="232"/>
      <c r="Z71" s="671"/>
      <c r="AA71" s="668"/>
      <c r="AB71" s="672"/>
      <c r="AC71" s="668"/>
      <c r="AD71" s="670">
        <v>1</v>
      </c>
      <c r="AE71" s="670"/>
    </row>
    <row r="72" spans="1:1018" s="224" customFormat="1" ht="13.5" customHeight="1">
      <c r="A72" s="225">
        <f t="shared" si="1"/>
        <v>64</v>
      </c>
      <c r="B72" s="217"/>
      <c r="C72" s="217" t="s">
        <v>1204</v>
      </c>
      <c r="D72" s="217"/>
      <c r="E72" s="217"/>
      <c r="F72" s="217"/>
      <c r="G72" s="217"/>
      <c r="H72" s="668" t="s">
        <v>1205</v>
      </c>
      <c r="I72" s="666"/>
      <c r="J72" s="668" t="s">
        <v>941</v>
      </c>
      <c r="K72" s="666" t="s">
        <v>1206</v>
      </c>
      <c r="L72" s="668"/>
      <c r="M72" s="668"/>
      <c r="N72" s="668"/>
      <c r="O72" s="668"/>
      <c r="P72" s="252"/>
      <c r="Q72" s="668" t="s">
        <v>822</v>
      </c>
      <c r="R72" s="668" t="s">
        <v>863</v>
      </c>
      <c r="S72" s="243" t="s">
        <v>1206</v>
      </c>
      <c r="T72" s="670"/>
      <c r="U72" s="668"/>
      <c r="V72" s="667" t="s">
        <v>863</v>
      </c>
      <c r="W72" s="667" t="s">
        <v>863</v>
      </c>
      <c r="X72" s="667" t="s">
        <v>863</v>
      </c>
      <c r="Y72" s="232"/>
      <c r="Z72" s="671"/>
      <c r="AA72" s="668"/>
      <c r="AB72" s="672"/>
      <c r="AC72" s="668"/>
      <c r="AD72" s="670">
        <v>1</v>
      </c>
      <c r="AE72" s="670">
        <v>1</v>
      </c>
    </row>
    <row r="73" spans="1:1018" s="224" customFormat="1" ht="13.5" customHeight="1">
      <c r="A73" s="225">
        <f t="shared" si="1"/>
        <v>65</v>
      </c>
      <c r="B73" s="217"/>
      <c r="C73" s="217"/>
      <c r="D73" s="217" t="s">
        <v>1207</v>
      </c>
      <c r="E73" s="217"/>
      <c r="F73" s="217"/>
      <c r="G73" s="217"/>
      <c r="H73" s="668" t="s">
        <v>1208</v>
      </c>
      <c r="I73" s="666" t="s">
        <v>1209</v>
      </c>
      <c r="J73" s="668" t="s">
        <v>907</v>
      </c>
      <c r="K73" s="666" t="s">
        <v>938</v>
      </c>
      <c r="L73" s="668"/>
      <c r="M73" s="668"/>
      <c r="N73" s="668"/>
      <c r="O73" s="668"/>
      <c r="P73" s="252"/>
      <c r="Q73" s="668" t="s">
        <v>819</v>
      </c>
      <c r="R73" s="668"/>
      <c r="S73" s="668" t="s">
        <v>862</v>
      </c>
      <c r="T73" s="670" t="s">
        <v>863</v>
      </c>
      <c r="U73" s="668" t="s">
        <v>1210</v>
      </c>
      <c r="V73" s="667" t="s">
        <v>863</v>
      </c>
      <c r="W73" s="667" t="s">
        <v>863</v>
      </c>
      <c r="X73" s="667" t="s">
        <v>863</v>
      </c>
      <c r="Y73" s="232"/>
      <c r="Z73" s="671"/>
      <c r="AA73" s="668"/>
      <c r="AB73" s="672"/>
      <c r="AC73" s="668"/>
      <c r="AD73" s="670">
        <v>1</v>
      </c>
      <c r="AE73" s="670">
        <v>1</v>
      </c>
    </row>
    <row r="74" spans="1:1018" s="224" customFormat="1" ht="13.5" customHeight="1">
      <c r="A74" s="225">
        <f t="shared" ref="A74:A105" si="2">ROW()-8</f>
        <v>66</v>
      </c>
      <c r="B74" s="217"/>
      <c r="C74" s="217"/>
      <c r="D74" s="217" t="s">
        <v>1211</v>
      </c>
      <c r="E74" s="217"/>
      <c r="F74" s="217"/>
      <c r="G74" s="217"/>
      <c r="H74" s="668" t="s">
        <v>1212</v>
      </c>
      <c r="I74" s="666" t="s">
        <v>1213</v>
      </c>
      <c r="J74" s="668" t="s">
        <v>969</v>
      </c>
      <c r="K74" s="666" t="s">
        <v>969</v>
      </c>
      <c r="L74" s="668"/>
      <c r="M74" s="668"/>
      <c r="N74" s="668"/>
      <c r="O74" s="668"/>
      <c r="P74" s="252"/>
      <c r="Q74" s="668" t="s">
        <v>819</v>
      </c>
      <c r="R74" s="668"/>
      <c r="S74" s="668" t="s">
        <v>862</v>
      </c>
      <c r="T74" s="670" t="s">
        <v>863</v>
      </c>
      <c r="U74" s="668" t="s">
        <v>1214</v>
      </c>
      <c r="V74" s="667" t="s">
        <v>863</v>
      </c>
      <c r="W74" s="667" t="s">
        <v>863</v>
      </c>
      <c r="X74" s="667" t="s">
        <v>863</v>
      </c>
      <c r="Y74" s="232"/>
      <c r="Z74" s="671"/>
      <c r="AA74" s="668"/>
      <c r="AB74" s="672"/>
      <c r="AC74" s="668"/>
      <c r="AD74" s="670">
        <v>1</v>
      </c>
      <c r="AE74" s="670">
        <v>1</v>
      </c>
    </row>
    <row r="75" spans="1:1018" s="231" customFormat="1" ht="12.95" customHeight="1">
      <c r="A75" s="225">
        <f t="shared" si="2"/>
        <v>67</v>
      </c>
      <c r="B75" s="217"/>
      <c r="C75" s="217"/>
      <c r="D75" s="217" t="s">
        <v>1076</v>
      </c>
      <c r="E75" s="217"/>
      <c r="F75" s="217"/>
      <c r="G75" s="217"/>
      <c r="H75" s="668" t="s">
        <v>1215</v>
      </c>
      <c r="I75" s="666" t="s">
        <v>1216</v>
      </c>
      <c r="J75" s="668" t="s">
        <v>1217</v>
      </c>
      <c r="K75" s="666" t="s">
        <v>1218</v>
      </c>
      <c r="L75" s="668"/>
      <c r="M75" s="668"/>
      <c r="N75" s="668"/>
      <c r="O75" s="668"/>
      <c r="P75" s="252"/>
      <c r="Q75" s="668" t="s">
        <v>819</v>
      </c>
      <c r="R75" s="668"/>
      <c r="S75" s="678" t="s">
        <v>862</v>
      </c>
      <c r="T75" s="281"/>
      <c r="U75" s="668"/>
      <c r="V75" s="667" t="s">
        <v>863</v>
      </c>
      <c r="W75" s="667" t="s">
        <v>863</v>
      </c>
      <c r="X75" s="667" t="s">
        <v>863</v>
      </c>
      <c r="Y75" s="232"/>
      <c r="Z75" s="671"/>
      <c r="AA75" s="668"/>
      <c r="AB75" s="672"/>
      <c r="AC75" s="668"/>
      <c r="AD75" s="670">
        <v>1</v>
      </c>
      <c r="AE75" s="670">
        <v>1</v>
      </c>
      <c r="AF75" s="676"/>
      <c r="AG75" s="676"/>
      <c r="AH75" s="676"/>
      <c r="AI75" s="676"/>
      <c r="AJ75" s="676"/>
      <c r="AK75" s="676"/>
      <c r="AL75" s="676"/>
      <c r="AM75" s="676"/>
      <c r="AN75" s="676"/>
      <c r="AO75" s="676"/>
      <c r="AP75" s="676"/>
      <c r="AQ75" s="676"/>
      <c r="AR75" s="676"/>
      <c r="AS75" s="676"/>
      <c r="AT75" s="676"/>
      <c r="AU75" s="676"/>
      <c r="AV75" s="676"/>
      <c r="AW75" s="676"/>
      <c r="AX75" s="676"/>
      <c r="AY75" s="676"/>
      <c r="AZ75" s="676"/>
      <c r="BA75" s="676"/>
      <c r="BB75" s="676"/>
      <c r="BC75" s="676"/>
      <c r="BD75" s="676"/>
      <c r="BE75" s="676"/>
      <c r="BF75" s="676"/>
      <c r="BG75" s="676"/>
      <c r="BH75" s="676"/>
      <c r="BI75" s="676"/>
      <c r="BJ75" s="676"/>
      <c r="BK75" s="676"/>
      <c r="BL75" s="676"/>
      <c r="BM75" s="676"/>
      <c r="BN75" s="676"/>
      <c r="BO75" s="676"/>
      <c r="BP75" s="676"/>
      <c r="BQ75" s="676"/>
      <c r="BR75" s="676"/>
      <c r="BS75" s="676"/>
      <c r="BT75" s="676"/>
      <c r="BU75" s="676"/>
      <c r="BV75" s="676"/>
      <c r="BW75" s="676"/>
      <c r="BX75" s="676"/>
      <c r="BY75" s="676"/>
      <c r="BZ75" s="676"/>
      <c r="CA75" s="676"/>
      <c r="CB75" s="676"/>
      <c r="CC75" s="676"/>
      <c r="CD75" s="676"/>
      <c r="CE75" s="676"/>
      <c r="CF75" s="676"/>
      <c r="CG75" s="676"/>
      <c r="CH75" s="676"/>
      <c r="CI75" s="676"/>
      <c r="CJ75" s="676"/>
      <c r="CK75" s="676"/>
      <c r="CL75" s="676"/>
      <c r="CM75" s="676"/>
      <c r="CN75" s="676"/>
      <c r="CO75" s="676"/>
      <c r="CP75" s="676"/>
      <c r="CQ75" s="676"/>
      <c r="CR75" s="676"/>
      <c r="CS75" s="676"/>
      <c r="CT75" s="676"/>
      <c r="CU75" s="676"/>
      <c r="CV75" s="676"/>
      <c r="CW75" s="676"/>
      <c r="CX75" s="676"/>
      <c r="CY75" s="676"/>
      <c r="CZ75" s="676"/>
      <c r="DA75" s="676"/>
      <c r="DB75" s="676"/>
      <c r="DC75" s="676"/>
      <c r="DD75" s="676"/>
      <c r="DE75" s="676"/>
      <c r="DF75" s="676"/>
      <c r="DG75" s="676"/>
      <c r="DH75" s="676"/>
      <c r="DI75" s="676"/>
      <c r="DJ75" s="676"/>
      <c r="DK75" s="676"/>
      <c r="DL75" s="676"/>
      <c r="DM75" s="676"/>
      <c r="DN75" s="676"/>
      <c r="DO75" s="676"/>
      <c r="DP75" s="676"/>
      <c r="DQ75" s="676"/>
      <c r="DR75" s="676"/>
      <c r="DS75" s="676"/>
      <c r="DT75" s="676"/>
      <c r="DU75" s="676"/>
      <c r="DV75" s="676"/>
      <c r="DW75" s="676"/>
      <c r="DX75" s="676"/>
      <c r="DY75" s="676"/>
      <c r="DZ75" s="676"/>
      <c r="EA75" s="676"/>
      <c r="EB75" s="676"/>
      <c r="EC75" s="676"/>
      <c r="ED75" s="676"/>
      <c r="EE75" s="676"/>
      <c r="EF75" s="676"/>
      <c r="EG75" s="676"/>
      <c r="EH75" s="676"/>
      <c r="EI75" s="676"/>
      <c r="EJ75" s="676"/>
      <c r="EK75" s="676"/>
      <c r="EL75" s="676"/>
      <c r="EM75" s="676"/>
      <c r="EN75" s="676"/>
      <c r="EO75" s="676"/>
      <c r="EP75" s="676"/>
      <c r="EQ75" s="676"/>
      <c r="ER75" s="676"/>
      <c r="ES75" s="676"/>
      <c r="ET75" s="676"/>
      <c r="EU75" s="676"/>
      <c r="EV75" s="676"/>
      <c r="EW75" s="676"/>
      <c r="EX75" s="676"/>
      <c r="EY75" s="676"/>
      <c r="EZ75" s="676"/>
      <c r="FA75" s="676"/>
      <c r="FB75" s="676"/>
      <c r="FC75" s="676"/>
      <c r="FD75" s="676"/>
      <c r="FE75" s="676"/>
      <c r="FF75" s="676"/>
      <c r="FG75" s="676"/>
      <c r="FH75" s="676"/>
      <c r="FI75" s="676"/>
      <c r="FJ75" s="676"/>
      <c r="FK75" s="676"/>
      <c r="FL75" s="676"/>
      <c r="FM75" s="676"/>
      <c r="FN75" s="676"/>
      <c r="FO75" s="676"/>
      <c r="FP75" s="676"/>
      <c r="FQ75" s="676"/>
      <c r="FR75" s="676"/>
      <c r="FS75" s="676"/>
      <c r="FT75" s="676"/>
      <c r="FU75" s="676"/>
      <c r="FV75" s="676"/>
      <c r="FW75" s="676"/>
      <c r="FX75" s="676"/>
      <c r="FY75" s="676"/>
      <c r="FZ75" s="676"/>
      <c r="GA75" s="676"/>
      <c r="GB75" s="676"/>
      <c r="GC75" s="676"/>
      <c r="GD75" s="676"/>
      <c r="GE75" s="676"/>
      <c r="GF75" s="676"/>
      <c r="GG75" s="676"/>
      <c r="GH75" s="676"/>
      <c r="GI75" s="676"/>
      <c r="GJ75" s="676"/>
      <c r="GK75" s="676"/>
      <c r="GL75" s="676"/>
      <c r="GM75" s="676"/>
      <c r="GN75" s="676"/>
      <c r="GO75" s="676"/>
      <c r="GP75" s="676"/>
      <c r="GQ75" s="676"/>
      <c r="GR75" s="676"/>
      <c r="GS75" s="676"/>
      <c r="GT75" s="676"/>
      <c r="GU75" s="676"/>
      <c r="GV75" s="676"/>
      <c r="GW75" s="676"/>
      <c r="GX75" s="676"/>
      <c r="GY75" s="676"/>
      <c r="GZ75" s="676"/>
      <c r="HA75" s="676"/>
      <c r="HB75" s="676"/>
      <c r="HC75" s="676"/>
      <c r="HD75" s="676"/>
      <c r="HE75" s="676"/>
      <c r="HF75" s="676"/>
      <c r="HG75" s="676"/>
      <c r="HH75" s="676"/>
      <c r="HI75" s="676"/>
      <c r="HJ75" s="676"/>
      <c r="HK75" s="676"/>
      <c r="HL75" s="676"/>
      <c r="HM75" s="676"/>
      <c r="HN75" s="676"/>
      <c r="HO75" s="676"/>
      <c r="HP75" s="676"/>
      <c r="HQ75" s="676"/>
      <c r="HR75" s="676"/>
      <c r="HS75" s="676"/>
      <c r="HT75" s="676"/>
      <c r="HU75" s="676"/>
      <c r="HV75" s="676"/>
      <c r="HW75" s="676"/>
      <c r="HX75" s="676"/>
      <c r="HY75" s="676"/>
      <c r="HZ75" s="676"/>
      <c r="IA75" s="676"/>
      <c r="IB75" s="676"/>
      <c r="IC75" s="676"/>
      <c r="ID75" s="676"/>
      <c r="IE75" s="676"/>
      <c r="IF75" s="676"/>
      <c r="IG75" s="676"/>
      <c r="IH75" s="676"/>
      <c r="II75" s="676"/>
      <c r="IJ75" s="676"/>
      <c r="IK75" s="676"/>
      <c r="IL75" s="676"/>
      <c r="IM75" s="676"/>
      <c r="IN75" s="676"/>
      <c r="IO75" s="676"/>
      <c r="IP75" s="676"/>
      <c r="IQ75" s="676"/>
      <c r="IR75" s="676"/>
      <c r="IS75" s="676"/>
      <c r="IT75" s="676"/>
      <c r="IU75" s="676"/>
      <c r="IV75" s="676"/>
      <c r="IW75" s="676"/>
      <c r="IX75" s="676"/>
      <c r="IY75" s="676"/>
      <c r="IZ75" s="676"/>
      <c r="JA75" s="676"/>
      <c r="JB75" s="676"/>
      <c r="JC75" s="676"/>
      <c r="JD75" s="676"/>
      <c r="JE75" s="676"/>
      <c r="JF75" s="676"/>
      <c r="JG75" s="676"/>
      <c r="JH75" s="676"/>
      <c r="JI75" s="676"/>
      <c r="JJ75" s="676"/>
      <c r="JK75" s="676"/>
      <c r="JL75" s="676"/>
      <c r="JM75" s="676"/>
      <c r="JN75" s="676"/>
      <c r="JO75" s="676"/>
      <c r="JP75" s="676"/>
      <c r="JQ75" s="676"/>
      <c r="JR75" s="676"/>
      <c r="JS75" s="676"/>
      <c r="JT75" s="676"/>
      <c r="JU75" s="676"/>
      <c r="JV75" s="676"/>
      <c r="JW75" s="676"/>
      <c r="JX75" s="676"/>
      <c r="JY75" s="676"/>
      <c r="JZ75" s="676"/>
      <c r="KA75" s="676"/>
      <c r="KB75" s="676"/>
      <c r="KC75" s="676"/>
      <c r="KD75" s="676"/>
      <c r="KE75" s="676"/>
      <c r="KF75" s="676"/>
      <c r="KG75" s="676"/>
      <c r="KH75" s="676"/>
      <c r="KI75" s="676"/>
      <c r="KJ75" s="676"/>
      <c r="KK75" s="676"/>
      <c r="KL75" s="676"/>
      <c r="KM75" s="676"/>
      <c r="KN75" s="676"/>
      <c r="KO75" s="676"/>
      <c r="KP75" s="676"/>
      <c r="KQ75" s="676"/>
      <c r="KR75" s="676"/>
      <c r="KS75" s="676"/>
      <c r="KT75" s="676"/>
      <c r="KU75" s="676"/>
      <c r="KV75" s="676"/>
      <c r="KW75" s="676"/>
      <c r="KX75" s="676"/>
      <c r="KY75" s="676"/>
      <c r="KZ75" s="676"/>
      <c r="LA75" s="676"/>
      <c r="LB75" s="676"/>
      <c r="LC75" s="676"/>
      <c r="LD75" s="676"/>
      <c r="LE75" s="676"/>
      <c r="LF75" s="676"/>
      <c r="LG75" s="676"/>
      <c r="LH75" s="676"/>
      <c r="LI75" s="676"/>
      <c r="LJ75" s="676"/>
      <c r="LK75" s="676"/>
      <c r="LL75" s="676"/>
      <c r="LM75" s="676"/>
      <c r="LN75" s="676"/>
      <c r="LO75" s="676"/>
      <c r="LP75" s="676"/>
      <c r="LQ75" s="676"/>
      <c r="LR75" s="676"/>
      <c r="LS75" s="676"/>
      <c r="LT75" s="676"/>
      <c r="LU75" s="676"/>
      <c r="LV75" s="676"/>
      <c r="LW75" s="676"/>
      <c r="LX75" s="676"/>
      <c r="LY75" s="676"/>
      <c r="LZ75" s="676"/>
      <c r="MA75" s="676"/>
      <c r="MB75" s="676"/>
      <c r="MC75" s="676"/>
      <c r="MD75" s="676"/>
      <c r="ME75" s="676"/>
      <c r="MF75" s="676"/>
      <c r="MG75" s="676"/>
      <c r="MH75" s="676"/>
      <c r="MI75" s="676"/>
      <c r="MJ75" s="676"/>
      <c r="MK75" s="676"/>
      <c r="ML75" s="676"/>
      <c r="MM75" s="676"/>
      <c r="MN75" s="676"/>
      <c r="MO75" s="676"/>
      <c r="MP75" s="676"/>
      <c r="MQ75" s="676"/>
      <c r="MR75" s="676"/>
      <c r="MS75" s="676"/>
      <c r="MT75" s="676"/>
      <c r="MU75" s="676"/>
      <c r="MV75" s="676"/>
      <c r="MW75" s="676"/>
      <c r="MX75" s="676"/>
      <c r="MY75" s="676"/>
      <c r="MZ75" s="676"/>
      <c r="NA75" s="676"/>
      <c r="NB75" s="676"/>
      <c r="NC75" s="676"/>
      <c r="ND75" s="676"/>
      <c r="NE75" s="676"/>
      <c r="NF75" s="676"/>
      <c r="NG75" s="676"/>
      <c r="NH75" s="676"/>
      <c r="NI75" s="676"/>
      <c r="NJ75" s="676"/>
      <c r="NK75" s="676"/>
      <c r="NL75" s="676"/>
      <c r="NM75" s="676"/>
      <c r="NN75" s="676"/>
      <c r="NO75" s="676"/>
      <c r="NP75" s="676"/>
      <c r="NQ75" s="676"/>
      <c r="NR75" s="676"/>
      <c r="NS75" s="676"/>
      <c r="NT75" s="676"/>
      <c r="NU75" s="676"/>
      <c r="NV75" s="676"/>
      <c r="NW75" s="676"/>
      <c r="NX75" s="676"/>
      <c r="NY75" s="676"/>
      <c r="NZ75" s="676"/>
      <c r="OA75" s="676"/>
      <c r="OB75" s="676"/>
      <c r="OC75" s="676"/>
      <c r="OD75" s="676"/>
      <c r="OE75" s="676"/>
      <c r="OF75" s="676"/>
      <c r="OG75" s="676"/>
      <c r="OH75" s="676"/>
      <c r="OI75" s="676"/>
      <c r="OJ75" s="676"/>
      <c r="OK75" s="676"/>
      <c r="OL75" s="676"/>
      <c r="OM75" s="676"/>
      <c r="ON75" s="676"/>
      <c r="OO75" s="676"/>
      <c r="OP75" s="676"/>
      <c r="OQ75" s="676"/>
      <c r="OR75" s="676"/>
      <c r="OS75" s="676"/>
      <c r="OT75" s="676"/>
      <c r="OU75" s="676"/>
      <c r="OV75" s="676"/>
      <c r="OW75" s="676"/>
      <c r="OX75" s="676"/>
      <c r="OY75" s="676"/>
      <c r="OZ75" s="676"/>
      <c r="PA75" s="676"/>
      <c r="PB75" s="676"/>
      <c r="PC75" s="676"/>
      <c r="PD75" s="676"/>
      <c r="PE75" s="676"/>
      <c r="PF75" s="676"/>
      <c r="PG75" s="676"/>
      <c r="PH75" s="676"/>
      <c r="PI75" s="676"/>
      <c r="PJ75" s="676"/>
      <c r="PK75" s="676"/>
      <c r="PL75" s="676"/>
      <c r="PM75" s="676"/>
      <c r="PN75" s="676"/>
      <c r="PO75" s="676"/>
      <c r="PP75" s="676"/>
      <c r="PQ75" s="676"/>
      <c r="PR75" s="676"/>
      <c r="PS75" s="676"/>
      <c r="PT75" s="676"/>
      <c r="PU75" s="676"/>
      <c r="PV75" s="676"/>
      <c r="PW75" s="676"/>
      <c r="PX75" s="676"/>
      <c r="PY75" s="676"/>
      <c r="PZ75" s="676"/>
      <c r="QA75" s="676"/>
      <c r="QB75" s="676"/>
      <c r="QC75" s="676"/>
      <c r="QD75" s="676"/>
      <c r="QE75" s="676"/>
      <c r="QF75" s="676"/>
      <c r="QG75" s="676"/>
      <c r="QH75" s="676"/>
      <c r="QI75" s="676"/>
      <c r="QJ75" s="676"/>
      <c r="QK75" s="676"/>
      <c r="QL75" s="676"/>
      <c r="QM75" s="676"/>
      <c r="QN75" s="676"/>
      <c r="QO75" s="676"/>
      <c r="QP75" s="676"/>
      <c r="QQ75" s="676"/>
      <c r="QR75" s="676"/>
      <c r="QS75" s="676"/>
      <c r="QT75" s="676"/>
      <c r="QU75" s="676"/>
      <c r="QV75" s="676"/>
      <c r="QW75" s="676"/>
      <c r="QX75" s="676"/>
      <c r="QY75" s="676"/>
      <c r="QZ75" s="676"/>
      <c r="RA75" s="676"/>
      <c r="RB75" s="676"/>
      <c r="RC75" s="676"/>
      <c r="RD75" s="676"/>
      <c r="RE75" s="676"/>
      <c r="RF75" s="676"/>
      <c r="RG75" s="676"/>
      <c r="RH75" s="676"/>
      <c r="RI75" s="676"/>
      <c r="RJ75" s="676"/>
      <c r="RK75" s="676"/>
      <c r="RL75" s="676"/>
      <c r="RM75" s="676"/>
      <c r="RN75" s="676"/>
      <c r="RO75" s="676"/>
      <c r="RP75" s="676"/>
      <c r="RQ75" s="676"/>
      <c r="RR75" s="676"/>
      <c r="RS75" s="676"/>
      <c r="RT75" s="676"/>
      <c r="RU75" s="676"/>
      <c r="RV75" s="676"/>
      <c r="RW75" s="676"/>
      <c r="RX75" s="676"/>
      <c r="RY75" s="676"/>
      <c r="RZ75" s="676"/>
      <c r="SA75" s="676"/>
      <c r="SB75" s="676"/>
      <c r="SC75" s="676"/>
      <c r="SD75" s="676"/>
      <c r="SE75" s="676"/>
      <c r="SF75" s="676"/>
      <c r="SG75" s="676"/>
      <c r="SH75" s="676"/>
      <c r="SI75" s="676"/>
      <c r="SJ75" s="676"/>
      <c r="SK75" s="676"/>
      <c r="SL75" s="676"/>
      <c r="SM75" s="676"/>
      <c r="SN75" s="676"/>
      <c r="SO75" s="676"/>
      <c r="SP75" s="676"/>
      <c r="SQ75" s="676"/>
      <c r="SR75" s="676"/>
      <c r="SS75" s="676"/>
      <c r="ST75" s="676"/>
      <c r="SU75" s="676"/>
      <c r="SV75" s="676"/>
      <c r="SW75" s="676"/>
      <c r="SX75" s="676"/>
      <c r="SY75" s="676"/>
      <c r="SZ75" s="676"/>
      <c r="TA75" s="676"/>
      <c r="TB75" s="676"/>
      <c r="TC75" s="676"/>
      <c r="TD75" s="676"/>
      <c r="TE75" s="676"/>
      <c r="TF75" s="676"/>
      <c r="TG75" s="676"/>
      <c r="TH75" s="676"/>
      <c r="TI75" s="676"/>
      <c r="TJ75" s="676"/>
      <c r="TK75" s="676"/>
      <c r="TL75" s="676"/>
      <c r="TM75" s="676"/>
      <c r="TN75" s="676"/>
      <c r="TO75" s="676"/>
      <c r="TP75" s="676"/>
      <c r="TQ75" s="676"/>
      <c r="TR75" s="676"/>
      <c r="TS75" s="676"/>
      <c r="TT75" s="676"/>
      <c r="TU75" s="676"/>
      <c r="TV75" s="676"/>
      <c r="TW75" s="676"/>
      <c r="TX75" s="676"/>
      <c r="TY75" s="676"/>
      <c r="TZ75" s="676"/>
      <c r="UA75" s="676"/>
      <c r="UB75" s="676"/>
      <c r="UC75" s="676"/>
      <c r="UD75" s="676"/>
      <c r="UE75" s="676"/>
      <c r="UF75" s="676"/>
      <c r="UG75" s="676"/>
      <c r="UH75" s="676"/>
      <c r="UI75" s="676"/>
      <c r="UJ75" s="676"/>
      <c r="UK75" s="676"/>
      <c r="UL75" s="676"/>
      <c r="UM75" s="676"/>
      <c r="UN75" s="676"/>
      <c r="UO75" s="676"/>
      <c r="UP75" s="676"/>
      <c r="UQ75" s="676"/>
      <c r="UR75" s="676"/>
      <c r="US75" s="676"/>
      <c r="UT75" s="676"/>
      <c r="UU75" s="676"/>
      <c r="UV75" s="676"/>
      <c r="UW75" s="676"/>
      <c r="UX75" s="676"/>
      <c r="UY75" s="676"/>
      <c r="UZ75" s="676"/>
      <c r="VA75" s="676"/>
      <c r="VB75" s="676"/>
      <c r="VC75" s="676"/>
      <c r="VD75" s="676"/>
      <c r="VE75" s="676"/>
      <c r="VF75" s="676"/>
      <c r="VG75" s="676"/>
      <c r="VH75" s="676"/>
      <c r="VI75" s="676"/>
      <c r="VJ75" s="676"/>
      <c r="VK75" s="676"/>
      <c r="VL75" s="676"/>
      <c r="VM75" s="676"/>
      <c r="VN75" s="676"/>
      <c r="VO75" s="676"/>
      <c r="VP75" s="676"/>
      <c r="VQ75" s="676"/>
      <c r="VR75" s="676"/>
      <c r="VS75" s="676"/>
      <c r="VT75" s="676"/>
      <c r="VU75" s="676"/>
      <c r="VV75" s="676"/>
      <c r="VW75" s="676"/>
      <c r="VX75" s="676"/>
      <c r="VY75" s="676"/>
      <c r="VZ75" s="676"/>
      <c r="WA75" s="676"/>
      <c r="WB75" s="676"/>
      <c r="WC75" s="676"/>
      <c r="WD75" s="676"/>
      <c r="WE75" s="676"/>
      <c r="WF75" s="676"/>
      <c r="WG75" s="676"/>
      <c r="WH75" s="676"/>
      <c r="WI75" s="676"/>
      <c r="WJ75" s="676"/>
      <c r="WK75" s="676"/>
      <c r="WL75" s="676"/>
      <c r="WM75" s="676"/>
      <c r="WN75" s="676"/>
      <c r="WO75" s="676"/>
      <c r="WP75" s="676"/>
      <c r="WQ75" s="676"/>
      <c r="WR75" s="676"/>
      <c r="WS75" s="676"/>
      <c r="WT75" s="676"/>
      <c r="WU75" s="676"/>
      <c r="WV75" s="676"/>
      <c r="WW75" s="676"/>
      <c r="WX75" s="676"/>
      <c r="WY75" s="676"/>
      <c r="WZ75" s="676"/>
      <c r="XA75" s="676"/>
      <c r="XB75" s="676"/>
      <c r="XC75" s="676"/>
      <c r="XD75" s="676"/>
      <c r="XE75" s="676"/>
      <c r="XF75" s="676"/>
      <c r="XG75" s="676"/>
      <c r="XH75" s="676"/>
      <c r="XI75" s="676"/>
      <c r="XJ75" s="676"/>
      <c r="XK75" s="676"/>
      <c r="XL75" s="676"/>
      <c r="XM75" s="676"/>
      <c r="XN75" s="676"/>
      <c r="XO75" s="676"/>
      <c r="XP75" s="676"/>
      <c r="XQ75" s="676"/>
      <c r="XR75" s="676"/>
      <c r="XS75" s="676"/>
      <c r="XT75" s="676"/>
      <c r="XU75" s="676"/>
      <c r="XV75" s="676"/>
      <c r="XW75" s="676"/>
      <c r="XX75" s="676"/>
      <c r="XY75" s="676"/>
      <c r="XZ75" s="676"/>
      <c r="YA75" s="676"/>
      <c r="YB75" s="676"/>
      <c r="YC75" s="676"/>
      <c r="YD75" s="676"/>
      <c r="YE75" s="676"/>
      <c r="YF75" s="676"/>
      <c r="YG75" s="676"/>
      <c r="YH75" s="676"/>
      <c r="YI75" s="676"/>
      <c r="YJ75" s="676"/>
      <c r="YK75" s="676"/>
      <c r="YL75" s="676"/>
      <c r="YM75" s="676"/>
      <c r="YN75" s="676"/>
      <c r="YO75" s="676"/>
      <c r="YP75" s="676"/>
      <c r="YQ75" s="676"/>
      <c r="YR75" s="676"/>
      <c r="YS75" s="676"/>
      <c r="YT75" s="676"/>
      <c r="YU75" s="676"/>
      <c r="YV75" s="676"/>
      <c r="YW75" s="676"/>
      <c r="YX75" s="676"/>
      <c r="YY75" s="676"/>
      <c r="YZ75" s="676"/>
      <c r="ZA75" s="676"/>
      <c r="ZB75" s="676"/>
      <c r="ZC75" s="676"/>
      <c r="ZD75" s="676"/>
      <c r="ZE75" s="676"/>
      <c r="ZF75" s="676"/>
      <c r="ZG75" s="676"/>
      <c r="ZH75" s="676"/>
      <c r="ZI75" s="676"/>
      <c r="ZJ75" s="676"/>
      <c r="ZK75" s="676"/>
      <c r="ZL75" s="676"/>
      <c r="ZM75" s="676"/>
      <c r="ZN75" s="676"/>
      <c r="ZO75" s="676"/>
      <c r="ZP75" s="676"/>
      <c r="ZQ75" s="676"/>
      <c r="ZR75" s="676"/>
      <c r="ZS75" s="676"/>
      <c r="ZT75" s="676"/>
      <c r="ZU75" s="676"/>
      <c r="ZV75" s="676"/>
      <c r="ZW75" s="676"/>
      <c r="ZX75" s="676"/>
      <c r="ZY75" s="676"/>
      <c r="ZZ75" s="676"/>
      <c r="AAA75" s="676"/>
      <c r="AAB75" s="676"/>
      <c r="AAC75" s="676"/>
      <c r="AAD75" s="676"/>
      <c r="AAE75" s="676"/>
      <c r="AAF75" s="676"/>
      <c r="AAG75" s="676"/>
      <c r="AAH75" s="676"/>
      <c r="AAI75" s="676"/>
      <c r="AAJ75" s="676"/>
      <c r="AAK75" s="676"/>
      <c r="AAL75" s="676"/>
      <c r="AAM75" s="676"/>
      <c r="AAN75" s="676"/>
      <c r="AAO75" s="676"/>
      <c r="AAP75" s="676"/>
      <c r="AAQ75" s="676"/>
      <c r="AAR75" s="676"/>
      <c r="AAS75" s="676"/>
      <c r="AAT75" s="676"/>
      <c r="AAU75" s="676"/>
      <c r="AAV75" s="676"/>
      <c r="AAW75" s="676"/>
      <c r="AAX75" s="676"/>
      <c r="AAY75" s="676"/>
      <c r="AAZ75" s="676"/>
      <c r="ABA75" s="676"/>
      <c r="ABB75" s="676"/>
      <c r="ABC75" s="676"/>
      <c r="ABD75" s="676"/>
      <c r="ABE75" s="676"/>
      <c r="ABF75" s="676"/>
      <c r="ABG75" s="676"/>
      <c r="ABH75" s="676"/>
      <c r="ABI75" s="676"/>
      <c r="ABJ75" s="676"/>
      <c r="ABK75" s="676"/>
      <c r="ABL75" s="676"/>
      <c r="ABM75" s="676"/>
      <c r="ABN75" s="676"/>
      <c r="ABO75" s="676"/>
      <c r="ABP75" s="676"/>
      <c r="ABQ75" s="676"/>
      <c r="ABR75" s="676"/>
      <c r="ABS75" s="676"/>
      <c r="ABT75" s="676"/>
      <c r="ABU75" s="676"/>
      <c r="ABV75" s="676"/>
      <c r="ABW75" s="676"/>
      <c r="ABX75" s="676"/>
      <c r="ABY75" s="676"/>
      <c r="ABZ75" s="676"/>
      <c r="ACA75" s="676"/>
      <c r="ACB75" s="676"/>
      <c r="ACC75" s="676"/>
      <c r="ACD75" s="676"/>
      <c r="ACE75" s="676"/>
      <c r="ACF75" s="676"/>
      <c r="ACG75" s="676"/>
      <c r="ACH75" s="676"/>
      <c r="ACI75" s="676"/>
      <c r="ACJ75" s="676"/>
      <c r="ACK75" s="676"/>
      <c r="ACL75" s="676"/>
      <c r="ACM75" s="676"/>
      <c r="ACN75" s="676"/>
      <c r="ACO75" s="676"/>
      <c r="ACP75" s="676"/>
      <c r="ACQ75" s="676"/>
      <c r="ACR75" s="676"/>
      <c r="ACS75" s="676"/>
      <c r="ACT75" s="676"/>
      <c r="ACU75" s="676"/>
      <c r="ACV75" s="676"/>
      <c r="ACW75" s="676"/>
      <c r="ACX75" s="676"/>
      <c r="ACY75" s="676"/>
      <c r="ACZ75" s="676"/>
      <c r="ADA75" s="676"/>
      <c r="ADB75" s="676"/>
      <c r="ADC75" s="676"/>
      <c r="ADD75" s="676"/>
      <c r="ADE75" s="676"/>
      <c r="ADF75" s="676"/>
      <c r="ADG75" s="676"/>
      <c r="ADH75" s="676"/>
      <c r="ADI75" s="676"/>
      <c r="ADJ75" s="676"/>
      <c r="ADK75" s="676"/>
      <c r="ADL75" s="676"/>
      <c r="ADM75" s="676"/>
      <c r="ADN75" s="676"/>
      <c r="ADO75" s="676"/>
      <c r="ADP75" s="676"/>
      <c r="ADQ75" s="676"/>
      <c r="ADR75" s="676"/>
      <c r="ADS75" s="676"/>
      <c r="ADT75" s="676"/>
      <c r="ADU75" s="676"/>
      <c r="ADV75" s="676"/>
      <c r="ADW75" s="676"/>
      <c r="ADX75" s="676"/>
      <c r="ADY75" s="676"/>
      <c r="ADZ75" s="676"/>
      <c r="AEA75" s="676"/>
      <c r="AEB75" s="676"/>
      <c r="AEC75" s="676"/>
      <c r="AED75" s="676"/>
      <c r="AEE75" s="676"/>
      <c r="AEF75" s="676"/>
      <c r="AEG75" s="676"/>
      <c r="AEH75" s="676"/>
      <c r="AEI75" s="676"/>
      <c r="AEJ75" s="676"/>
      <c r="AEK75" s="676"/>
      <c r="AEL75" s="676"/>
      <c r="AEM75" s="676"/>
      <c r="AEN75" s="676"/>
      <c r="AEO75" s="676"/>
      <c r="AEP75" s="676"/>
      <c r="AEQ75" s="676"/>
      <c r="AER75" s="676"/>
      <c r="AES75" s="676"/>
      <c r="AET75" s="676"/>
      <c r="AEU75" s="676"/>
      <c r="AEV75" s="676"/>
      <c r="AEW75" s="676"/>
      <c r="AEX75" s="676"/>
      <c r="AEY75" s="676"/>
      <c r="AEZ75" s="676"/>
      <c r="AFA75" s="676"/>
      <c r="AFB75" s="676"/>
      <c r="AFC75" s="676"/>
      <c r="AFD75" s="676"/>
      <c r="AFE75" s="676"/>
      <c r="AFF75" s="676"/>
      <c r="AFG75" s="676"/>
      <c r="AFH75" s="676"/>
      <c r="AFI75" s="676"/>
      <c r="AFJ75" s="676"/>
      <c r="AFK75" s="676"/>
      <c r="AFL75" s="676"/>
      <c r="AFM75" s="676"/>
      <c r="AFN75" s="676"/>
      <c r="AFO75" s="676"/>
      <c r="AFP75" s="676"/>
      <c r="AFQ75" s="676"/>
      <c r="AFR75" s="676"/>
      <c r="AFS75" s="676"/>
      <c r="AFT75" s="676"/>
      <c r="AFU75" s="676"/>
      <c r="AFV75" s="676"/>
      <c r="AFW75" s="676"/>
      <c r="AFX75" s="676"/>
      <c r="AFY75" s="676"/>
      <c r="AFZ75" s="676"/>
      <c r="AGA75" s="676"/>
      <c r="AGB75" s="676"/>
      <c r="AGC75" s="676"/>
      <c r="AGD75" s="676"/>
      <c r="AGE75" s="676"/>
      <c r="AGF75" s="676"/>
      <c r="AGG75" s="676"/>
      <c r="AGH75" s="676"/>
      <c r="AGI75" s="676"/>
      <c r="AGJ75" s="676"/>
      <c r="AGK75" s="676"/>
      <c r="AGL75" s="676"/>
      <c r="AGM75" s="676"/>
      <c r="AGN75" s="676"/>
      <c r="AGO75" s="676"/>
      <c r="AGP75" s="676"/>
      <c r="AGQ75" s="676"/>
      <c r="AGR75" s="676"/>
      <c r="AGS75" s="676"/>
      <c r="AGT75" s="676"/>
      <c r="AGU75" s="676"/>
      <c r="AGV75" s="676"/>
      <c r="AGW75" s="676"/>
      <c r="AGX75" s="676"/>
      <c r="AGY75" s="676"/>
      <c r="AGZ75" s="676"/>
      <c r="AHA75" s="676"/>
      <c r="AHB75" s="676"/>
      <c r="AHC75" s="676"/>
      <c r="AHD75" s="676"/>
      <c r="AHE75" s="676"/>
      <c r="AHF75" s="676"/>
      <c r="AHG75" s="676"/>
      <c r="AHH75" s="676"/>
      <c r="AHI75" s="676"/>
      <c r="AHJ75" s="676"/>
      <c r="AHK75" s="676"/>
      <c r="AHL75" s="676"/>
      <c r="AHM75" s="676"/>
      <c r="AHN75" s="676"/>
      <c r="AHO75" s="676"/>
      <c r="AHP75" s="676"/>
      <c r="AHQ75" s="676"/>
      <c r="AHR75" s="676"/>
      <c r="AHS75" s="676"/>
      <c r="AHT75" s="676"/>
      <c r="AHU75" s="676"/>
      <c r="AHV75" s="676"/>
      <c r="AHW75" s="676"/>
      <c r="AHX75" s="676"/>
      <c r="AHY75" s="676"/>
      <c r="AHZ75" s="676"/>
      <c r="AIA75" s="676"/>
      <c r="AIB75" s="676"/>
      <c r="AIC75" s="676"/>
      <c r="AID75" s="676"/>
      <c r="AIE75" s="676"/>
      <c r="AIF75" s="676"/>
      <c r="AIG75" s="676"/>
      <c r="AIH75" s="676"/>
      <c r="AII75" s="676"/>
      <c r="AIJ75" s="676"/>
      <c r="AIK75" s="676"/>
      <c r="AIL75" s="676"/>
      <c r="AIM75" s="676"/>
      <c r="AIN75" s="676"/>
      <c r="AIO75" s="676"/>
      <c r="AIP75" s="676"/>
      <c r="AIQ75" s="676"/>
      <c r="AIR75" s="676"/>
      <c r="AIS75" s="676"/>
      <c r="AIT75" s="676"/>
      <c r="AIU75" s="676"/>
      <c r="AIV75" s="676"/>
      <c r="AIW75" s="676"/>
      <c r="AIX75" s="676"/>
      <c r="AIY75" s="676"/>
      <c r="AIZ75" s="676"/>
      <c r="AJA75" s="676"/>
      <c r="AJB75" s="676"/>
      <c r="AJC75" s="676"/>
      <c r="AJD75" s="676"/>
      <c r="AJE75" s="676"/>
      <c r="AJF75" s="676"/>
      <c r="AJG75" s="676"/>
      <c r="AJH75" s="676"/>
      <c r="AJI75" s="676"/>
      <c r="AJJ75" s="676"/>
      <c r="AJK75" s="676"/>
      <c r="AJL75" s="676"/>
      <c r="AJM75" s="676"/>
      <c r="AJN75" s="676"/>
      <c r="AJO75" s="676"/>
      <c r="AJP75" s="676"/>
      <c r="AJQ75" s="676"/>
      <c r="AJR75" s="676"/>
      <c r="AJS75" s="676"/>
      <c r="AJT75" s="676"/>
      <c r="AJU75" s="676"/>
      <c r="AJV75" s="676"/>
      <c r="AJW75" s="676"/>
      <c r="AJX75" s="676"/>
      <c r="AJY75" s="676"/>
      <c r="AJZ75" s="676"/>
      <c r="AKA75" s="676"/>
      <c r="AKB75" s="676"/>
      <c r="AKC75" s="676"/>
      <c r="AKD75" s="676"/>
      <c r="AKE75" s="676"/>
      <c r="AKF75" s="676"/>
      <c r="AKG75" s="676"/>
      <c r="AKH75" s="676"/>
      <c r="AKI75" s="676"/>
      <c r="AKJ75" s="676"/>
      <c r="AKK75" s="676"/>
      <c r="AKL75" s="676"/>
      <c r="AKM75" s="676"/>
      <c r="AKN75" s="676"/>
      <c r="AKO75" s="676"/>
      <c r="AKP75" s="676"/>
      <c r="AKQ75" s="676"/>
      <c r="AKR75" s="676"/>
      <c r="AKS75" s="676"/>
      <c r="AKT75" s="676"/>
      <c r="AKU75" s="676"/>
      <c r="AKV75" s="676"/>
      <c r="AKW75" s="676"/>
      <c r="AKX75" s="676"/>
      <c r="AKY75" s="676"/>
      <c r="AKZ75" s="676"/>
      <c r="ALA75" s="676"/>
      <c r="ALB75" s="676"/>
      <c r="ALC75" s="676"/>
      <c r="ALD75" s="676"/>
      <c r="ALE75" s="676"/>
      <c r="ALF75" s="676"/>
      <c r="ALG75" s="676"/>
      <c r="ALH75" s="676"/>
      <c r="ALI75" s="676"/>
      <c r="ALJ75" s="676"/>
      <c r="ALK75" s="676"/>
      <c r="ALL75" s="676"/>
      <c r="ALM75" s="676"/>
      <c r="ALN75" s="676"/>
      <c r="ALO75" s="676"/>
      <c r="ALP75" s="676"/>
      <c r="ALQ75" s="676"/>
      <c r="ALR75" s="676"/>
      <c r="ALS75" s="676"/>
      <c r="ALT75" s="676"/>
      <c r="ALU75" s="676"/>
      <c r="ALV75" s="676"/>
      <c r="ALW75" s="676"/>
      <c r="ALX75" s="676"/>
      <c r="ALY75" s="676"/>
      <c r="ALZ75" s="676"/>
      <c r="AMA75" s="676"/>
      <c r="AMB75" s="676"/>
      <c r="AMC75" s="676"/>
      <c r="AMD75" s="676"/>
    </row>
    <row r="76" spans="1:1018" s="224" customFormat="1" ht="13.5" customHeight="1">
      <c r="A76" s="225">
        <f t="shared" si="2"/>
        <v>68</v>
      </c>
      <c r="B76" s="217"/>
      <c r="C76" s="217" t="s">
        <v>264</v>
      </c>
      <c r="D76" s="217"/>
      <c r="E76" s="217"/>
      <c r="F76" s="217"/>
      <c r="G76" s="217"/>
      <c r="H76" s="668"/>
      <c r="I76" s="666" t="s">
        <v>1219</v>
      </c>
      <c r="J76" s="668" t="s">
        <v>1220</v>
      </c>
      <c r="K76" s="666"/>
      <c r="L76" s="668"/>
      <c r="M76" s="668"/>
      <c r="N76" s="668"/>
      <c r="O76" s="668"/>
      <c r="P76" s="252"/>
      <c r="Q76" s="668" t="s">
        <v>819</v>
      </c>
      <c r="R76" s="668"/>
      <c r="S76" s="678" t="s">
        <v>862</v>
      </c>
      <c r="T76" s="281" t="s">
        <v>863</v>
      </c>
      <c r="U76" s="668" t="s">
        <v>1221</v>
      </c>
      <c r="V76" s="667" t="s">
        <v>863</v>
      </c>
      <c r="W76" s="667" t="s">
        <v>863</v>
      </c>
      <c r="X76" s="667"/>
      <c r="Y76" s="232"/>
      <c r="Z76" s="671"/>
      <c r="AA76" s="668" t="s">
        <v>1222</v>
      </c>
      <c r="AB76" s="245" t="s">
        <v>1223</v>
      </c>
      <c r="AC76" s="668"/>
      <c r="AD76" s="670"/>
      <c r="AE76" s="670">
        <v>1</v>
      </c>
    </row>
    <row r="77" spans="1:1018" s="224" customFormat="1" ht="13.5" customHeight="1">
      <c r="A77" s="225">
        <f t="shared" si="2"/>
        <v>69</v>
      </c>
      <c r="B77" s="217"/>
      <c r="C77" s="217" t="s">
        <v>1637</v>
      </c>
      <c r="D77" s="217"/>
      <c r="E77" s="217"/>
      <c r="F77" s="217"/>
      <c r="G77" s="217"/>
      <c r="H77" s="668" t="s">
        <v>1224</v>
      </c>
      <c r="I77" s="666" t="s">
        <v>1225</v>
      </c>
      <c r="J77" s="668" t="s">
        <v>1226</v>
      </c>
      <c r="K77" s="666" t="s">
        <v>938</v>
      </c>
      <c r="L77" s="668" t="s">
        <v>1227</v>
      </c>
      <c r="M77" s="668" t="s">
        <v>1228</v>
      </c>
      <c r="N77" s="668"/>
      <c r="O77" s="668"/>
      <c r="P77" s="252"/>
      <c r="Q77" s="668" t="s">
        <v>816</v>
      </c>
      <c r="R77" s="668"/>
      <c r="S77" s="668" t="s">
        <v>862</v>
      </c>
      <c r="T77" s="670"/>
      <c r="U77" s="668"/>
      <c r="V77" s="667" t="s">
        <v>863</v>
      </c>
      <c r="W77" s="667" t="s">
        <v>863</v>
      </c>
      <c r="X77" s="667"/>
      <c r="Y77" s="232"/>
      <c r="Z77" s="671"/>
      <c r="AA77" s="668"/>
      <c r="AB77" s="672"/>
      <c r="AC77" s="668"/>
      <c r="AD77" s="670">
        <v>1</v>
      </c>
      <c r="AE77" s="670">
        <v>1</v>
      </c>
    </row>
    <row r="78" spans="1:1018" s="224" customFormat="1" ht="13.5" customHeight="1">
      <c r="A78" s="225">
        <f t="shared" si="2"/>
        <v>70</v>
      </c>
      <c r="B78" s="217" t="s">
        <v>1229</v>
      </c>
      <c r="C78" s="242"/>
      <c r="D78" s="241"/>
      <c r="E78" s="241"/>
      <c r="F78" s="241"/>
      <c r="G78" s="241"/>
      <c r="H78" s="668" t="s">
        <v>1638</v>
      </c>
      <c r="I78" s="666"/>
      <c r="J78" s="668" t="s">
        <v>1231</v>
      </c>
      <c r="K78" s="666" t="s">
        <v>1232</v>
      </c>
      <c r="L78" s="668"/>
      <c r="M78" s="668"/>
      <c r="N78" s="668"/>
      <c r="O78" s="668"/>
      <c r="P78" s="669"/>
      <c r="Q78" s="668" t="s">
        <v>816</v>
      </c>
      <c r="R78" s="668" t="s">
        <v>863</v>
      </c>
      <c r="S78" s="243" t="s">
        <v>1233</v>
      </c>
      <c r="T78" s="282"/>
      <c r="U78" s="668"/>
      <c r="V78" s="667" t="s">
        <v>863</v>
      </c>
      <c r="W78" s="667" t="s">
        <v>863</v>
      </c>
      <c r="X78" s="667" t="s">
        <v>863</v>
      </c>
      <c r="Y78" s="232"/>
      <c r="Z78" s="671"/>
      <c r="AA78" s="668"/>
      <c r="AB78" s="672"/>
      <c r="AC78" s="668"/>
      <c r="AD78" s="670">
        <v>1</v>
      </c>
      <c r="AE78" s="670">
        <v>1</v>
      </c>
    </row>
    <row r="79" spans="1:1018" s="231" customFormat="1" ht="13.5" customHeight="1">
      <c r="A79" s="225">
        <f t="shared" si="2"/>
        <v>71</v>
      </c>
      <c r="B79" s="217"/>
      <c r="C79" s="677" t="s">
        <v>1234</v>
      </c>
      <c r="D79" s="677"/>
      <c r="E79" s="677"/>
      <c r="F79" s="677"/>
      <c r="G79" s="677"/>
      <c r="H79" s="668" t="s">
        <v>1235</v>
      </c>
      <c r="I79" s="666" t="s">
        <v>1236</v>
      </c>
      <c r="J79" s="668" t="s">
        <v>1237</v>
      </c>
      <c r="K79" s="666" t="s">
        <v>1217</v>
      </c>
      <c r="L79" s="668"/>
      <c r="M79" s="668"/>
      <c r="N79" s="668"/>
      <c r="O79" s="668"/>
      <c r="P79" s="669">
        <v>1</v>
      </c>
      <c r="Q79" s="668" t="s">
        <v>819</v>
      </c>
      <c r="R79" s="668"/>
      <c r="S79" s="668" t="s">
        <v>862</v>
      </c>
      <c r="T79" s="670"/>
      <c r="U79" s="668"/>
      <c r="V79" s="667" t="s">
        <v>863</v>
      </c>
      <c r="W79" s="667" t="s">
        <v>863</v>
      </c>
      <c r="X79" s="667" t="s">
        <v>863</v>
      </c>
      <c r="Y79" s="232"/>
      <c r="Z79" s="671"/>
      <c r="AA79" s="668"/>
      <c r="AB79" s="672"/>
      <c r="AC79" s="668"/>
      <c r="AD79" s="670">
        <v>1</v>
      </c>
      <c r="AE79" s="670">
        <v>1</v>
      </c>
      <c r="AF79" s="676"/>
      <c r="AG79" s="676"/>
      <c r="AH79" s="676"/>
      <c r="AI79" s="676"/>
      <c r="AJ79" s="676"/>
      <c r="AK79" s="676"/>
      <c r="AL79" s="676"/>
      <c r="AM79" s="676"/>
      <c r="AN79" s="676"/>
      <c r="AO79" s="676"/>
      <c r="AP79" s="676"/>
      <c r="AQ79" s="676"/>
      <c r="AR79" s="676"/>
      <c r="AS79" s="676"/>
      <c r="AT79" s="676"/>
      <c r="AU79" s="676"/>
      <c r="AV79" s="676"/>
      <c r="AW79" s="676"/>
      <c r="AX79" s="676"/>
      <c r="AY79" s="676"/>
      <c r="AZ79" s="676"/>
      <c r="BA79" s="676"/>
      <c r="BB79" s="676"/>
      <c r="BC79" s="676"/>
      <c r="BD79" s="676"/>
      <c r="BE79" s="676"/>
      <c r="BF79" s="676"/>
      <c r="BG79" s="676"/>
      <c r="BH79" s="676"/>
      <c r="BI79" s="676"/>
      <c r="BJ79" s="676"/>
      <c r="BK79" s="676"/>
      <c r="BL79" s="676"/>
      <c r="BM79" s="676"/>
      <c r="BN79" s="676"/>
      <c r="BO79" s="676"/>
      <c r="BP79" s="676"/>
      <c r="BQ79" s="676"/>
      <c r="BR79" s="676"/>
      <c r="BS79" s="676"/>
      <c r="BT79" s="676"/>
      <c r="BU79" s="676"/>
      <c r="BV79" s="676"/>
      <c r="BW79" s="676"/>
      <c r="BX79" s="676"/>
      <c r="BY79" s="676"/>
      <c r="BZ79" s="676"/>
      <c r="CA79" s="676"/>
      <c r="CB79" s="676"/>
      <c r="CC79" s="676"/>
      <c r="CD79" s="676"/>
      <c r="CE79" s="676"/>
      <c r="CF79" s="676"/>
      <c r="CG79" s="676"/>
      <c r="CH79" s="676"/>
      <c r="CI79" s="676"/>
      <c r="CJ79" s="676"/>
      <c r="CK79" s="676"/>
      <c r="CL79" s="676"/>
      <c r="CM79" s="676"/>
      <c r="CN79" s="676"/>
      <c r="CO79" s="676"/>
      <c r="CP79" s="676"/>
      <c r="CQ79" s="676"/>
      <c r="CR79" s="676"/>
      <c r="CS79" s="676"/>
      <c r="CT79" s="676"/>
      <c r="CU79" s="676"/>
      <c r="CV79" s="676"/>
      <c r="CW79" s="676"/>
      <c r="CX79" s="676"/>
      <c r="CY79" s="676"/>
      <c r="CZ79" s="676"/>
      <c r="DA79" s="676"/>
      <c r="DB79" s="676"/>
      <c r="DC79" s="676"/>
      <c r="DD79" s="676"/>
      <c r="DE79" s="676"/>
      <c r="DF79" s="676"/>
      <c r="DG79" s="676"/>
      <c r="DH79" s="676"/>
      <c r="DI79" s="676"/>
      <c r="DJ79" s="676"/>
      <c r="DK79" s="676"/>
      <c r="DL79" s="676"/>
      <c r="DM79" s="676"/>
      <c r="DN79" s="676"/>
      <c r="DO79" s="676"/>
      <c r="DP79" s="676"/>
      <c r="DQ79" s="676"/>
      <c r="DR79" s="676"/>
      <c r="DS79" s="676"/>
      <c r="DT79" s="676"/>
      <c r="DU79" s="676"/>
      <c r="DV79" s="676"/>
      <c r="DW79" s="676"/>
      <c r="DX79" s="676"/>
      <c r="DY79" s="676"/>
      <c r="DZ79" s="676"/>
      <c r="EA79" s="676"/>
      <c r="EB79" s="676"/>
      <c r="EC79" s="676"/>
      <c r="ED79" s="676"/>
      <c r="EE79" s="676"/>
      <c r="EF79" s="676"/>
      <c r="EG79" s="676"/>
      <c r="EH79" s="676"/>
      <c r="EI79" s="676"/>
      <c r="EJ79" s="676"/>
      <c r="EK79" s="676"/>
      <c r="EL79" s="676"/>
      <c r="EM79" s="676"/>
      <c r="EN79" s="676"/>
      <c r="EO79" s="676"/>
      <c r="EP79" s="676"/>
      <c r="EQ79" s="676"/>
      <c r="ER79" s="676"/>
      <c r="ES79" s="676"/>
      <c r="ET79" s="676"/>
      <c r="EU79" s="676"/>
      <c r="EV79" s="676"/>
      <c r="EW79" s="676"/>
      <c r="EX79" s="676"/>
      <c r="EY79" s="676"/>
      <c r="EZ79" s="676"/>
      <c r="FA79" s="676"/>
      <c r="FB79" s="676"/>
      <c r="FC79" s="676"/>
      <c r="FD79" s="676"/>
      <c r="FE79" s="676"/>
      <c r="FF79" s="676"/>
      <c r="FG79" s="676"/>
      <c r="FH79" s="676"/>
      <c r="FI79" s="676"/>
      <c r="FJ79" s="676"/>
      <c r="FK79" s="676"/>
      <c r="FL79" s="676"/>
      <c r="FM79" s="676"/>
      <c r="FN79" s="676"/>
      <c r="FO79" s="676"/>
      <c r="FP79" s="676"/>
      <c r="FQ79" s="676"/>
      <c r="FR79" s="676"/>
      <c r="FS79" s="676"/>
      <c r="FT79" s="676"/>
      <c r="FU79" s="676"/>
      <c r="FV79" s="676"/>
      <c r="FW79" s="676"/>
      <c r="FX79" s="676"/>
      <c r="FY79" s="676"/>
      <c r="FZ79" s="676"/>
      <c r="GA79" s="676"/>
      <c r="GB79" s="676"/>
      <c r="GC79" s="676"/>
      <c r="GD79" s="676"/>
      <c r="GE79" s="676"/>
      <c r="GF79" s="676"/>
      <c r="GG79" s="676"/>
      <c r="GH79" s="676"/>
      <c r="GI79" s="676"/>
      <c r="GJ79" s="676"/>
      <c r="GK79" s="676"/>
      <c r="GL79" s="676"/>
      <c r="GM79" s="676"/>
      <c r="GN79" s="676"/>
      <c r="GO79" s="676"/>
      <c r="GP79" s="676"/>
      <c r="GQ79" s="676"/>
      <c r="GR79" s="676"/>
      <c r="GS79" s="676"/>
      <c r="GT79" s="676"/>
      <c r="GU79" s="676"/>
      <c r="GV79" s="676"/>
      <c r="GW79" s="676"/>
      <c r="GX79" s="676"/>
      <c r="GY79" s="676"/>
      <c r="GZ79" s="676"/>
      <c r="HA79" s="676"/>
      <c r="HB79" s="676"/>
      <c r="HC79" s="676"/>
      <c r="HD79" s="676"/>
      <c r="HE79" s="676"/>
      <c r="HF79" s="676"/>
      <c r="HG79" s="676"/>
      <c r="HH79" s="676"/>
      <c r="HI79" s="676"/>
      <c r="HJ79" s="676"/>
      <c r="HK79" s="676"/>
      <c r="HL79" s="676"/>
      <c r="HM79" s="676"/>
      <c r="HN79" s="676"/>
      <c r="HO79" s="676"/>
      <c r="HP79" s="676"/>
      <c r="HQ79" s="676"/>
      <c r="HR79" s="676"/>
      <c r="HS79" s="676"/>
      <c r="HT79" s="676"/>
      <c r="HU79" s="676"/>
      <c r="HV79" s="676"/>
      <c r="HW79" s="676"/>
      <c r="HX79" s="676"/>
      <c r="HY79" s="676"/>
      <c r="HZ79" s="676"/>
      <c r="IA79" s="676"/>
      <c r="IB79" s="676"/>
      <c r="IC79" s="676"/>
      <c r="ID79" s="676"/>
      <c r="IE79" s="676"/>
      <c r="IF79" s="676"/>
      <c r="IG79" s="676"/>
      <c r="IH79" s="676"/>
      <c r="II79" s="676"/>
      <c r="IJ79" s="676"/>
      <c r="IK79" s="676"/>
      <c r="IL79" s="676"/>
      <c r="IM79" s="676"/>
      <c r="IN79" s="676"/>
      <c r="IO79" s="676"/>
      <c r="IP79" s="676"/>
      <c r="IQ79" s="676"/>
      <c r="IR79" s="676"/>
      <c r="IS79" s="676"/>
      <c r="IT79" s="676"/>
      <c r="IU79" s="676"/>
      <c r="IV79" s="676"/>
      <c r="IW79" s="676"/>
      <c r="IX79" s="676"/>
      <c r="IY79" s="676"/>
      <c r="IZ79" s="676"/>
      <c r="JA79" s="676"/>
      <c r="JB79" s="676"/>
      <c r="JC79" s="676"/>
      <c r="JD79" s="676"/>
      <c r="JE79" s="676"/>
      <c r="JF79" s="676"/>
      <c r="JG79" s="676"/>
      <c r="JH79" s="676"/>
      <c r="JI79" s="676"/>
      <c r="JJ79" s="676"/>
      <c r="JK79" s="676"/>
      <c r="JL79" s="676"/>
      <c r="JM79" s="676"/>
      <c r="JN79" s="676"/>
      <c r="JO79" s="676"/>
      <c r="JP79" s="676"/>
      <c r="JQ79" s="676"/>
      <c r="JR79" s="676"/>
      <c r="JS79" s="676"/>
      <c r="JT79" s="676"/>
      <c r="JU79" s="676"/>
      <c r="JV79" s="676"/>
      <c r="JW79" s="676"/>
      <c r="JX79" s="676"/>
      <c r="JY79" s="676"/>
      <c r="JZ79" s="676"/>
      <c r="KA79" s="676"/>
      <c r="KB79" s="676"/>
      <c r="KC79" s="676"/>
      <c r="KD79" s="676"/>
      <c r="KE79" s="676"/>
      <c r="KF79" s="676"/>
      <c r="KG79" s="676"/>
      <c r="KH79" s="676"/>
      <c r="KI79" s="676"/>
      <c r="KJ79" s="676"/>
      <c r="KK79" s="676"/>
      <c r="KL79" s="676"/>
      <c r="KM79" s="676"/>
      <c r="KN79" s="676"/>
      <c r="KO79" s="676"/>
      <c r="KP79" s="676"/>
      <c r="KQ79" s="676"/>
      <c r="KR79" s="676"/>
      <c r="KS79" s="676"/>
      <c r="KT79" s="676"/>
      <c r="KU79" s="676"/>
      <c r="KV79" s="676"/>
      <c r="KW79" s="676"/>
      <c r="KX79" s="676"/>
      <c r="KY79" s="676"/>
      <c r="KZ79" s="676"/>
      <c r="LA79" s="676"/>
      <c r="LB79" s="676"/>
      <c r="LC79" s="676"/>
      <c r="LD79" s="676"/>
      <c r="LE79" s="676"/>
      <c r="LF79" s="676"/>
      <c r="LG79" s="676"/>
      <c r="LH79" s="676"/>
      <c r="LI79" s="676"/>
      <c r="LJ79" s="676"/>
      <c r="LK79" s="676"/>
      <c r="LL79" s="676"/>
      <c r="LM79" s="676"/>
      <c r="LN79" s="676"/>
      <c r="LO79" s="676"/>
      <c r="LP79" s="676"/>
      <c r="LQ79" s="676"/>
      <c r="LR79" s="676"/>
      <c r="LS79" s="676"/>
      <c r="LT79" s="676"/>
      <c r="LU79" s="676"/>
      <c r="LV79" s="676"/>
      <c r="LW79" s="676"/>
      <c r="LX79" s="676"/>
      <c r="LY79" s="676"/>
      <c r="LZ79" s="676"/>
      <c r="MA79" s="676"/>
      <c r="MB79" s="676"/>
      <c r="MC79" s="676"/>
      <c r="MD79" s="676"/>
      <c r="ME79" s="676"/>
      <c r="MF79" s="676"/>
      <c r="MG79" s="676"/>
      <c r="MH79" s="676"/>
      <c r="MI79" s="676"/>
      <c r="MJ79" s="676"/>
      <c r="MK79" s="676"/>
      <c r="ML79" s="676"/>
      <c r="MM79" s="676"/>
      <c r="MN79" s="676"/>
      <c r="MO79" s="676"/>
      <c r="MP79" s="676"/>
      <c r="MQ79" s="676"/>
      <c r="MR79" s="676"/>
      <c r="MS79" s="676"/>
      <c r="MT79" s="676"/>
      <c r="MU79" s="676"/>
      <c r="MV79" s="676"/>
      <c r="MW79" s="676"/>
      <c r="MX79" s="676"/>
      <c r="MY79" s="676"/>
      <c r="MZ79" s="676"/>
      <c r="NA79" s="676"/>
      <c r="NB79" s="676"/>
      <c r="NC79" s="676"/>
      <c r="ND79" s="676"/>
      <c r="NE79" s="676"/>
      <c r="NF79" s="676"/>
      <c r="NG79" s="676"/>
      <c r="NH79" s="676"/>
      <c r="NI79" s="676"/>
      <c r="NJ79" s="676"/>
      <c r="NK79" s="676"/>
      <c r="NL79" s="676"/>
      <c r="NM79" s="676"/>
      <c r="NN79" s="676"/>
      <c r="NO79" s="676"/>
      <c r="NP79" s="676"/>
      <c r="NQ79" s="676"/>
      <c r="NR79" s="676"/>
      <c r="NS79" s="676"/>
      <c r="NT79" s="676"/>
      <c r="NU79" s="676"/>
      <c r="NV79" s="676"/>
      <c r="NW79" s="676"/>
      <c r="NX79" s="676"/>
      <c r="NY79" s="676"/>
      <c r="NZ79" s="676"/>
      <c r="OA79" s="676"/>
      <c r="OB79" s="676"/>
      <c r="OC79" s="676"/>
      <c r="OD79" s="676"/>
      <c r="OE79" s="676"/>
      <c r="OF79" s="676"/>
      <c r="OG79" s="676"/>
      <c r="OH79" s="676"/>
      <c r="OI79" s="676"/>
      <c r="OJ79" s="676"/>
      <c r="OK79" s="676"/>
      <c r="OL79" s="676"/>
      <c r="OM79" s="676"/>
      <c r="ON79" s="676"/>
      <c r="OO79" s="676"/>
      <c r="OP79" s="676"/>
      <c r="OQ79" s="676"/>
      <c r="OR79" s="676"/>
      <c r="OS79" s="676"/>
      <c r="OT79" s="676"/>
      <c r="OU79" s="676"/>
      <c r="OV79" s="676"/>
      <c r="OW79" s="676"/>
      <c r="OX79" s="676"/>
      <c r="OY79" s="676"/>
      <c r="OZ79" s="676"/>
      <c r="PA79" s="676"/>
      <c r="PB79" s="676"/>
      <c r="PC79" s="676"/>
      <c r="PD79" s="676"/>
      <c r="PE79" s="676"/>
      <c r="PF79" s="676"/>
      <c r="PG79" s="676"/>
      <c r="PH79" s="676"/>
      <c r="PI79" s="676"/>
      <c r="PJ79" s="676"/>
      <c r="PK79" s="676"/>
      <c r="PL79" s="676"/>
      <c r="PM79" s="676"/>
      <c r="PN79" s="676"/>
      <c r="PO79" s="676"/>
      <c r="PP79" s="676"/>
      <c r="PQ79" s="676"/>
      <c r="PR79" s="676"/>
      <c r="PS79" s="676"/>
      <c r="PT79" s="676"/>
      <c r="PU79" s="676"/>
      <c r="PV79" s="676"/>
      <c r="PW79" s="676"/>
      <c r="PX79" s="676"/>
      <c r="PY79" s="676"/>
      <c r="PZ79" s="676"/>
      <c r="QA79" s="676"/>
      <c r="QB79" s="676"/>
      <c r="QC79" s="676"/>
      <c r="QD79" s="676"/>
      <c r="QE79" s="676"/>
      <c r="QF79" s="676"/>
      <c r="QG79" s="676"/>
      <c r="QH79" s="676"/>
      <c r="QI79" s="676"/>
      <c r="QJ79" s="676"/>
      <c r="QK79" s="676"/>
      <c r="QL79" s="676"/>
      <c r="QM79" s="676"/>
      <c r="QN79" s="676"/>
      <c r="QO79" s="676"/>
      <c r="QP79" s="676"/>
      <c r="QQ79" s="676"/>
      <c r="QR79" s="676"/>
      <c r="QS79" s="676"/>
      <c r="QT79" s="676"/>
      <c r="QU79" s="676"/>
      <c r="QV79" s="676"/>
      <c r="QW79" s="676"/>
      <c r="QX79" s="676"/>
      <c r="QY79" s="676"/>
      <c r="QZ79" s="676"/>
      <c r="RA79" s="676"/>
      <c r="RB79" s="676"/>
      <c r="RC79" s="676"/>
      <c r="RD79" s="676"/>
      <c r="RE79" s="676"/>
      <c r="RF79" s="676"/>
      <c r="RG79" s="676"/>
      <c r="RH79" s="676"/>
      <c r="RI79" s="676"/>
      <c r="RJ79" s="676"/>
      <c r="RK79" s="676"/>
      <c r="RL79" s="676"/>
      <c r="RM79" s="676"/>
      <c r="RN79" s="676"/>
      <c r="RO79" s="676"/>
      <c r="RP79" s="676"/>
      <c r="RQ79" s="676"/>
      <c r="RR79" s="676"/>
      <c r="RS79" s="676"/>
      <c r="RT79" s="676"/>
      <c r="RU79" s="676"/>
      <c r="RV79" s="676"/>
      <c r="RW79" s="676"/>
      <c r="RX79" s="676"/>
      <c r="RY79" s="676"/>
      <c r="RZ79" s="676"/>
      <c r="SA79" s="676"/>
      <c r="SB79" s="676"/>
      <c r="SC79" s="676"/>
      <c r="SD79" s="676"/>
      <c r="SE79" s="676"/>
      <c r="SF79" s="676"/>
      <c r="SG79" s="676"/>
      <c r="SH79" s="676"/>
      <c r="SI79" s="676"/>
      <c r="SJ79" s="676"/>
      <c r="SK79" s="676"/>
      <c r="SL79" s="676"/>
      <c r="SM79" s="676"/>
      <c r="SN79" s="676"/>
      <c r="SO79" s="676"/>
      <c r="SP79" s="676"/>
      <c r="SQ79" s="676"/>
      <c r="SR79" s="676"/>
      <c r="SS79" s="676"/>
      <c r="ST79" s="676"/>
      <c r="SU79" s="676"/>
      <c r="SV79" s="676"/>
      <c r="SW79" s="676"/>
      <c r="SX79" s="676"/>
      <c r="SY79" s="676"/>
      <c r="SZ79" s="676"/>
      <c r="TA79" s="676"/>
      <c r="TB79" s="676"/>
      <c r="TC79" s="676"/>
      <c r="TD79" s="676"/>
      <c r="TE79" s="676"/>
      <c r="TF79" s="676"/>
      <c r="TG79" s="676"/>
      <c r="TH79" s="676"/>
      <c r="TI79" s="676"/>
      <c r="TJ79" s="676"/>
      <c r="TK79" s="676"/>
      <c r="TL79" s="676"/>
      <c r="TM79" s="676"/>
      <c r="TN79" s="676"/>
      <c r="TO79" s="676"/>
      <c r="TP79" s="676"/>
      <c r="TQ79" s="676"/>
      <c r="TR79" s="676"/>
      <c r="TS79" s="676"/>
      <c r="TT79" s="676"/>
      <c r="TU79" s="676"/>
      <c r="TV79" s="676"/>
      <c r="TW79" s="676"/>
      <c r="TX79" s="676"/>
      <c r="TY79" s="676"/>
      <c r="TZ79" s="676"/>
      <c r="UA79" s="676"/>
      <c r="UB79" s="676"/>
      <c r="UC79" s="676"/>
      <c r="UD79" s="676"/>
      <c r="UE79" s="676"/>
      <c r="UF79" s="676"/>
      <c r="UG79" s="676"/>
      <c r="UH79" s="676"/>
      <c r="UI79" s="676"/>
      <c r="UJ79" s="676"/>
      <c r="UK79" s="676"/>
      <c r="UL79" s="676"/>
      <c r="UM79" s="676"/>
      <c r="UN79" s="676"/>
      <c r="UO79" s="676"/>
      <c r="UP79" s="676"/>
      <c r="UQ79" s="676"/>
      <c r="UR79" s="676"/>
      <c r="US79" s="676"/>
      <c r="UT79" s="676"/>
      <c r="UU79" s="676"/>
      <c r="UV79" s="676"/>
      <c r="UW79" s="676"/>
      <c r="UX79" s="676"/>
      <c r="UY79" s="676"/>
      <c r="UZ79" s="676"/>
      <c r="VA79" s="676"/>
      <c r="VB79" s="676"/>
      <c r="VC79" s="676"/>
      <c r="VD79" s="676"/>
      <c r="VE79" s="676"/>
      <c r="VF79" s="676"/>
      <c r="VG79" s="676"/>
      <c r="VH79" s="676"/>
      <c r="VI79" s="676"/>
      <c r="VJ79" s="676"/>
      <c r="VK79" s="676"/>
      <c r="VL79" s="676"/>
      <c r="VM79" s="676"/>
      <c r="VN79" s="676"/>
      <c r="VO79" s="676"/>
      <c r="VP79" s="676"/>
      <c r="VQ79" s="676"/>
      <c r="VR79" s="676"/>
      <c r="VS79" s="676"/>
      <c r="VT79" s="676"/>
      <c r="VU79" s="676"/>
      <c r="VV79" s="676"/>
      <c r="VW79" s="676"/>
      <c r="VX79" s="676"/>
      <c r="VY79" s="676"/>
      <c r="VZ79" s="676"/>
      <c r="WA79" s="676"/>
      <c r="WB79" s="676"/>
      <c r="WC79" s="676"/>
      <c r="WD79" s="676"/>
      <c r="WE79" s="676"/>
      <c r="WF79" s="676"/>
      <c r="WG79" s="676"/>
      <c r="WH79" s="676"/>
      <c r="WI79" s="676"/>
      <c r="WJ79" s="676"/>
      <c r="WK79" s="676"/>
      <c r="WL79" s="676"/>
      <c r="WM79" s="676"/>
      <c r="WN79" s="676"/>
      <c r="WO79" s="676"/>
      <c r="WP79" s="676"/>
      <c r="WQ79" s="676"/>
      <c r="WR79" s="676"/>
      <c r="WS79" s="676"/>
      <c r="WT79" s="676"/>
      <c r="WU79" s="676"/>
      <c r="WV79" s="676"/>
      <c r="WW79" s="676"/>
      <c r="WX79" s="676"/>
      <c r="WY79" s="676"/>
      <c r="WZ79" s="676"/>
      <c r="XA79" s="676"/>
      <c r="XB79" s="676"/>
      <c r="XC79" s="676"/>
      <c r="XD79" s="676"/>
      <c r="XE79" s="676"/>
      <c r="XF79" s="676"/>
      <c r="XG79" s="676"/>
      <c r="XH79" s="676"/>
      <c r="XI79" s="676"/>
      <c r="XJ79" s="676"/>
      <c r="XK79" s="676"/>
      <c r="XL79" s="676"/>
      <c r="XM79" s="676"/>
      <c r="XN79" s="676"/>
      <c r="XO79" s="676"/>
      <c r="XP79" s="676"/>
      <c r="XQ79" s="676"/>
      <c r="XR79" s="676"/>
      <c r="XS79" s="676"/>
      <c r="XT79" s="676"/>
      <c r="XU79" s="676"/>
      <c r="XV79" s="676"/>
      <c r="XW79" s="676"/>
      <c r="XX79" s="676"/>
      <c r="XY79" s="676"/>
      <c r="XZ79" s="676"/>
      <c r="YA79" s="676"/>
      <c r="YB79" s="676"/>
      <c r="YC79" s="676"/>
      <c r="YD79" s="676"/>
      <c r="YE79" s="676"/>
      <c r="YF79" s="676"/>
      <c r="YG79" s="676"/>
      <c r="YH79" s="676"/>
      <c r="YI79" s="676"/>
      <c r="YJ79" s="676"/>
      <c r="YK79" s="676"/>
      <c r="YL79" s="676"/>
      <c r="YM79" s="676"/>
      <c r="YN79" s="676"/>
      <c r="YO79" s="676"/>
      <c r="YP79" s="676"/>
      <c r="YQ79" s="676"/>
      <c r="YR79" s="676"/>
      <c r="YS79" s="676"/>
      <c r="YT79" s="676"/>
      <c r="YU79" s="676"/>
      <c r="YV79" s="676"/>
      <c r="YW79" s="676"/>
      <c r="YX79" s="676"/>
      <c r="YY79" s="676"/>
      <c r="YZ79" s="676"/>
      <c r="ZA79" s="676"/>
      <c r="ZB79" s="676"/>
      <c r="ZC79" s="676"/>
      <c r="ZD79" s="676"/>
      <c r="ZE79" s="676"/>
      <c r="ZF79" s="676"/>
      <c r="ZG79" s="676"/>
      <c r="ZH79" s="676"/>
      <c r="ZI79" s="676"/>
      <c r="ZJ79" s="676"/>
      <c r="ZK79" s="676"/>
      <c r="ZL79" s="676"/>
      <c r="ZM79" s="676"/>
      <c r="ZN79" s="676"/>
      <c r="ZO79" s="676"/>
      <c r="ZP79" s="676"/>
      <c r="ZQ79" s="676"/>
      <c r="ZR79" s="676"/>
      <c r="ZS79" s="676"/>
      <c r="ZT79" s="676"/>
      <c r="ZU79" s="676"/>
      <c r="ZV79" s="676"/>
      <c r="ZW79" s="676"/>
      <c r="ZX79" s="676"/>
      <c r="ZY79" s="676"/>
      <c r="ZZ79" s="676"/>
      <c r="AAA79" s="676"/>
      <c r="AAB79" s="676"/>
      <c r="AAC79" s="676"/>
      <c r="AAD79" s="676"/>
      <c r="AAE79" s="676"/>
      <c r="AAF79" s="676"/>
      <c r="AAG79" s="676"/>
      <c r="AAH79" s="676"/>
      <c r="AAI79" s="676"/>
      <c r="AAJ79" s="676"/>
      <c r="AAK79" s="676"/>
      <c r="AAL79" s="676"/>
      <c r="AAM79" s="676"/>
      <c r="AAN79" s="676"/>
      <c r="AAO79" s="676"/>
      <c r="AAP79" s="676"/>
      <c r="AAQ79" s="676"/>
      <c r="AAR79" s="676"/>
      <c r="AAS79" s="676"/>
      <c r="AAT79" s="676"/>
      <c r="AAU79" s="676"/>
      <c r="AAV79" s="676"/>
      <c r="AAW79" s="676"/>
      <c r="AAX79" s="676"/>
      <c r="AAY79" s="676"/>
      <c r="AAZ79" s="676"/>
      <c r="ABA79" s="676"/>
      <c r="ABB79" s="676"/>
      <c r="ABC79" s="676"/>
      <c r="ABD79" s="676"/>
      <c r="ABE79" s="676"/>
      <c r="ABF79" s="676"/>
      <c r="ABG79" s="676"/>
      <c r="ABH79" s="676"/>
      <c r="ABI79" s="676"/>
      <c r="ABJ79" s="676"/>
      <c r="ABK79" s="676"/>
      <c r="ABL79" s="676"/>
      <c r="ABM79" s="676"/>
      <c r="ABN79" s="676"/>
      <c r="ABO79" s="676"/>
      <c r="ABP79" s="676"/>
      <c r="ABQ79" s="676"/>
      <c r="ABR79" s="676"/>
      <c r="ABS79" s="676"/>
      <c r="ABT79" s="676"/>
      <c r="ABU79" s="676"/>
      <c r="ABV79" s="676"/>
      <c r="ABW79" s="676"/>
      <c r="ABX79" s="676"/>
      <c r="ABY79" s="676"/>
      <c r="ABZ79" s="676"/>
      <c r="ACA79" s="676"/>
      <c r="ACB79" s="676"/>
      <c r="ACC79" s="676"/>
      <c r="ACD79" s="676"/>
      <c r="ACE79" s="676"/>
      <c r="ACF79" s="676"/>
      <c r="ACG79" s="676"/>
      <c r="ACH79" s="676"/>
      <c r="ACI79" s="676"/>
      <c r="ACJ79" s="676"/>
      <c r="ACK79" s="676"/>
      <c r="ACL79" s="676"/>
      <c r="ACM79" s="676"/>
      <c r="ACN79" s="676"/>
      <c r="ACO79" s="676"/>
      <c r="ACP79" s="676"/>
      <c r="ACQ79" s="676"/>
      <c r="ACR79" s="676"/>
      <c r="ACS79" s="676"/>
      <c r="ACT79" s="676"/>
      <c r="ACU79" s="676"/>
      <c r="ACV79" s="676"/>
      <c r="ACW79" s="676"/>
      <c r="ACX79" s="676"/>
      <c r="ACY79" s="676"/>
      <c r="ACZ79" s="676"/>
      <c r="ADA79" s="676"/>
      <c r="ADB79" s="676"/>
      <c r="ADC79" s="676"/>
      <c r="ADD79" s="676"/>
      <c r="ADE79" s="676"/>
      <c r="ADF79" s="676"/>
      <c r="ADG79" s="676"/>
      <c r="ADH79" s="676"/>
      <c r="ADI79" s="676"/>
      <c r="ADJ79" s="676"/>
      <c r="ADK79" s="676"/>
      <c r="ADL79" s="676"/>
      <c r="ADM79" s="676"/>
      <c r="ADN79" s="676"/>
      <c r="ADO79" s="676"/>
      <c r="ADP79" s="676"/>
      <c r="ADQ79" s="676"/>
      <c r="ADR79" s="676"/>
      <c r="ADS79" s="676"/>
      <c r="ADT79" s="676"/>
      <c r="ADU79" s="676"/>
      <c r="ADV79" s="676"/>
      <c r="ADW79" s="676"/>
      <c r="ADX79" s="676"/>
      <c r="ADY79" s="676"/>
      <c r="ADZ79" s="676"/>
      <c r="AEA79" s="676"/>
      <c r="AEB79" s="676"/>
      <c r="AEC79" s="676"/>
      <c r="AED79" s="676"/>
      <c r="AEE79" s="676"/>
      <c r="AEF79" s="676"/>
      <c r="AEG79" s="676"/>
      <c r="AEH79" s="676"/>
      <c r="AEI79" s="676"/>
      <c r="AEJ79" s="676"/>
      <c r="AEK79" s="676"/>
      <c r="AEL79" s="676"/>
      <c r="AEM79" s="676"/>
      <c r="AEN79" s="676"/>
      <c r="AEO79" s="676"/>
      <c r="AEP79" s="676"/>
      <c r="AEQ79" s="676"/>
      <c r="AER79" s="676"/>
      <c r="AES79" s="676"/>
      <c r="AET79" s="676"/>
      <c r="AEU79" s="676"/>
      <c r="AEV79" s="676"/>
      <c r="AEW79" s="676"/>
      <c r="AEX79" s="676"/>
      <c r="AEY79" s="676"/>
      <c r="AEZ79" s="676"/>
      <c r="AFA79" s="676"/>
      <c r="AFB79" s="676"/>
      <c r="AFC79" s="676"/>
      <c r="AFD79" s="676"/>
      <c r="AFE79" s="676"/>
      <c r="AFF79" s="676"/>
      <c r="AFG79" s="676"/>
      <c r="AFH79" s="676"/>
      <c r="AFI79" s="676"/>
      <c r="AFJ79" s="676"/>
      <c r="AFK79" s="676"/>
      <c r="AFL79" s="676"/>
      <c r="AFM79" s="676"/>
      <c r="AFN79" s="676"/>
      <c r="AFO79" s="676"/>
      <c r="AFP79" s="676"/>
      <c r="AFQ79" s="676"/>
      <c r="AFR79" s="676"/>
      <c r="AFS79" s="676"/>
      <c r="AFT79" s="676"/>
      <c r="AFU79" s="676"/>
      <c r="AFV79" s="676"/>
      <c r="AFW79" s="676"/>
      <c r="AFX79" s="676"/>
      <c r="AFY79" s="676"/>
      <c r="AFZ79" s="676"/>
      <c r="AGA79" s="676"/>
      <c r="AGB79" s="676"/>
      <c r="AGC79" s="676"/>
      <c r="AGD79" s="676"/>
      <c r="AGE79" s="676"/>
      <c r="AGF79" s="676"/>
      <c r="AGG79" s="676"/>
      <c r="AGH79" s="676"/>
      <c r="AGI79" s="676"/>
      <c r="AGJ79" s="676"/>
      <c r="AGK79" s="676"/>
      <c r="AGL79" s="676"/>
      <c r="AGM79" s="676"/>
      <c r="AGN79" s="676"/>
      <c r="AGO79" s="676"/>
      <c r="AGP79" s="676"/>
      <c r="AGQ79" s="676"/>
      <c r="AGR79" s="676"/>
      <c r="AGS79" s="676"/>
      <c r="AGT79" s="676"/>
      <c r="AGU79" s="676"/>
      <c r="AGV79" s="676"/>
      <c r="AGW79" s="676"/>
      <c r="AGX79" s="676"/>
      <c r="AGY79" s="676"/>
      <c r="AGZ79" s="676"/>
      <c r="AHA79" s="676"/>
      <c r="AHB79" s="676"/>
      <c r="AHC79" s="676"/>
      <c r="AHD79" s="676"/>
      <c r="AHE79" s="676"/>
      <c r="AHF79" s="676"/>
      <c r="AHG79" s="676"/>
      <c r="AHH79" s="676"/>
      <c r="AHI79" s="676"/>
      <c r="AHJ79" s="676"/>
      <c r="AHK79" s="676"/>
      <c r="AHL79" s="676"/>
      <c r="AHM79" s="676"/>
      <c r="AHN79" s="676"/>
      <c r="AHO79" s="676"/>
      <c r="AHP79" s="676"/>
      <c r="AHQ79" s="676"/>
      <c r="AHR79" s="676"/>
      <c r="AHS79" s="676"/>
      <c r="AHT79" s="676"/>
      <c r="AHU79" s="676"/>
      <c r="AHV79" s="676"/>
      <c r="AHW79" s="676"/>
      <c r="AHX79" s="676"/>
      <c r="AHY79" s="676"/>
      <c r="AHZ79" s="676"/>
      <c r="AIA79" s="676"/>
      <c r="AIB79" s="676"/>
      <c r="AIC79" s="676"/>
      <c r="AID79" s="676"/>
      <c r="AIE79" s="676"/>
      <c r="AIF79" s="676"/>
      <c r="AIG79" s="676"/>
      <c r="AIH79" s="676"/>
      <c r="AII79" s="676"/>
      <c r="AIJ79" s="676"/>
      <c r="AIK79" s="676"/>
      <c r="AIL79" s="676"/>
      <c r="AIM79" s="676"/>
      <c r="AIN79" s="676"/>
      <c r="AIO79" s="676"/>
      <c r="AIP79" s="676"/>
      <c r="AIQ79" s="676"/>
      <c r="AIR79" s="676"/>
      <c r="AIS79" s="676"/>
      <c r="AIT79" s="676"/>
      <c r="AIU79" s="676"/>
      <c r="AIV79" s="676"/>
      <c r="AIW79" s="676"/>
      <c r="AIX79" s="676"/>
      <c r="AIY79" s="676"/>
      <c r="AIZ79" s="676"/>
      <c r="AJA79" s="676"/>
      <c r="AJB79" s="676"/>
      <c r="AJC79" s="676"/>
      <c r="AJD79" s="676"/>
      <c r="AJE79" s="676"/>
      <c r="AJF79" s="676"/>
      <c r="AJG79" s="676"/>
      <c r="AJH79" s="676"/>
      <c r="AJI79" s="676"/>
      <c r="AJJ79" s="676"/>
      <c r="AJK79" s="676"/>
      <c r="AJL79" s="676"/>
      <c r="AJM79" s="676"/>
      <c r="AJN79" s="676"/>
      <c r="AJO79" s="676"/>
      <c r="AJP79" s="676"/>
      <c r="AJQ79" s="676"/>
      <c r="AJR79" s="676"/>
      <c r="AJS79" s="676"/>
      <c r="AJT79" s="676"/>
      <c r="AJU79" s="676"/>
      <c r="AJV79" s="676"/>
      <c r="AJW79" s="676"/>
      <c r="AJX79" s="676"/>
      <c r="AJY79" s="676"/>
      <c r="AJZ79" s="676"/>
      <c r="AKA79" s="676"/>
      <c r="AKB79" s="676"/>
      <c r="AKC79" s="676"/>
      <c r="AKD79" s="676"/>
      <c r="AKE79" s="676"/>
      <c r="AKF79" s="676"/>
      <c r="AKG79" s="676"/>
      <c r="AKH79" s="676"/>
      <c r="AKI79" s="676"/>
      <c r="AKJ79" s="676"/>
      <c r="AKK79" s="676"/>
      <c r="AKL79" s="676"/>
      <c r="AKM79" s="676"/>
      <c r="AKN79" s="676"/>
      <c r="AKO79" s="676"/>
      <c r="AKP79" s="676"/>
      <c r="AKQ79" s="676"/>
      <c r="AKR79" s="676"/>
      <c r="AKS79" s="676"/>
      <c r="AKT79" s="676"/>
      <c r="AKU79" s="676"/>
      <c r="AKV79" s="676"/>
      <c r="AKW79" s="676"/>
      <c r="AKX79" s="676"/>
      <c r="AKY79" s="676"/>
      <c r="AKZ79" s="676"/>
      <c r="ALA79" s="676"/>
      <c r="ALB79" s="676"/>
      <c r="ALC79" s="676"/>
      <c r="ALD79" s="676"/>
      <c r="ALE79" s="676"/>
      <c r="ALF79" s="676"/>
      <c r="ALG79" s="676"/>
      <c r="ALH79" s="676"/>
      <c r="ALI79" s="676"/>
      <c r="ALJ79" s="676"/>
      <c r="ALK79" s="676"/>
      <c r="ALL79" s="676"/>
      <c r="ALM79" s="676"/>
      <c r="ALN79" s="676"/>
      <c r="ALO79" s="676"/>
      <c r="ALP79" s="676"/>
      <c r="ALQ79" s="676"/>
      <c r="ALR79" s="676"/>
      <c r="ALS79" s="676"/>
      <c r="ALT79" s="676"/>
      <c r="ALU79" s="676"/>
      <c r="ALV79" s="676"/>
      <c r="ALW79" s="676"/>
      <c r="ALX79" s="676"/>
      <c r="ALY79" s="676"/>
      <c r="ALZ79" s="676"/>
      <c r="AMA79" s="676"/>
      <c r="AMB79" s="676"/>
      <c r="AMC79" s="676"/>
      <c r="AMD79" s="676"/>
    </row>
    <row r="80" spans="1:1018" s="224" customFormat="1" ht="13.5" customHeight="1">
      <c r="A80" s="225">
        <f t="shared" si="2"/>
        <v>72</v>
      </c>
      <c r="B80" s="217"/>
      <c r="C80" s="241" t="s">
        <v>1238</v>
      </c>
      <c r="D80" s="217"/>
      <c r="E80" s="217"/>
      <c r="F80" s="217"/>
      <c r="G80" s="217"/>
      <c r="H80" s="668" t="s">
        <v>1239</v>
      </c>
      <c r="I80" s="666" t="s">
        <v>1240</v>
      </c>
      <c r="J80" s="668" t="s">
        <v>1241</v>
      </c>
      <c r="K80" s="666" t="s">
        <v>1242</v>
      </c>
      <c r="L80" s="668" t="s">
        <v>1243</v>
      </c>
      <c r="M80" s="703" t="s">
        <v>1244</v>
      </c>
      <c r="N80" s="703"/>
      <c r="O80" s="668"/>
      <c r="P80" s="669"/>
      <c r="Q80" s="668" t="s">
        <v>819</v>
      </c>
      <c r="R80" s="668"/>
      <c r="S80" s="668" t="s">
        <v>878</v>
      </c>
      <c r="T80" s="670"/>
      <c r="U80" s="668" t="s">
        <v>931</v>
      </c>
      <c r="V80" s="667" t="s">
        <v>863</v>
      </c>
      <c r="W80" s="667" t="s">
        <v>863</v>
      </c>
      <c r="X80" s="667" t="s">
        <v>863</v>
      </c>
      <c r="Y80" s="232"/>
      <c r="Z80" s="671"/>
      <c r="AA80" s="668" t="s">
        <v>1162</v>
      </c>
      <c r="AB80" s="672"/>
      <c r="AC80" s="668"/>
      <c r="AD80" s="670">
        <v>1</v>
      </c>
      <c r="AE80" s="670">
        <v>1</v>
      </c>
    </row>
    <row r="81" spans="1:32" s="244" customFormat="1" ht="13.5" customHeight="1">
      <c r="A81" s="225">
        <f t="shared" si="2"/>
        <v>73</v>
      </c>
      <c r="B81" s="217"/>
      <c r="C81" s="241" t="s">
        <v>1245</v>
      </c>
      <c r="D81" s="217"/>
      <c r="E81" s="221"/>
      <c r="F81" s="222"/>
      <c r="G81" s="222"/>
      <c r="H81" s="668" t="s">
        <v>1246</v>
      </c>
      <c r="I81" s="666" t="s">
        <v>1247</v>
      </c>
      <c r="J81" s="668"/>
      <c r="K81" s="666" t="s">
        <v>1248</v>
      </c>
      <c r="L81" s="668"/>
      <c r="M81" s="668"/>
      <c r="N81" s="668"/>
      <c r="O81" s="668"/>
      <c r="P81" s="669">
        <v>1</v>
      </c>
      <c r="Q81" s="668" t="s">
        <v>819</v>
      </c>
      <c r="R81" s="668"/>
      <c r="S81" s="668" t="s">
        <v>862</v>
      </c>
      <c r="T81" s="670" t="s">
        <v>863</v>
      </c>
      <c r="U81" s="668" t="s">
        <v>1249</v>
      </c>
      <c r="V81" s="667" t="s">
        <v>863</v>
      </c>
      <c r="W81" s="667" t="s">
        <v>863</v>
      </c>
      <c r="X81" s="667" t="s">
        <v>863</v>
      </c>
      <c r="Y81" s="232"/>
      <c r="Z81" s="671"/>
      <c r="AA81" s="668" t="s">
        <v>991</v>
      </c>
      <c r="AB81" s="672"/>
      <c r="AC81" s="668"/>
      <c r="AD81" s="670">
        <v>1</v>
      </c>
      <c r="AE81" s="670">
        <v>1</v>
      </c>
    </row>
    <row r="82" spans="1:32" s="224" customFormat="1" ht="13.5" customHeight="1">
      <c r="A82" s="225">
        <f t="shared" si="2"/>
        <v>74</v>
      </c>
      <c r="B82" s="217"/>
      <c r="C82" s="217" t="s">
        <v>1639</v>
      </c>
      <c r="D82" s="217"/>
      <c r="E82" s="217"/>
      <c r="F82" s="217"/>
      <c r="G82" s="217"/>
      <c r="H82" s="668" t="s">
        <v>1640</v>
      </c>
      <c r="I82" s="666" t="s">
        <v>1252</v>
      </c>
      <c r="J82" s="668" t="s">
        <v>1226</v>
      </c>
      <c r="K82" s="666" t="s">
        <v>1641</v>
      </c>
      <c r="L82" s="668" t="s">
        <v>1253</v>
      </c>
      <c r="M82" s="668" t="s">
        <v>1254</v>
      </c>
      <c r="N82" s="668"/>
      <c r="O82" s="668"/>
      <c r="P82" s="669">
        <v>1</v>
      </c>
      <c r="Q82" s="668" t="s">
        <v>822</v>
      </c>
      <c r="R82" s="668" t="s">
        <v>863</v>
      </c>
      <c r="S82" s="243" t="s">
        <v>1641</v>
      </c>
      <c r="T82" s="670"/>
      <c r="U82" s="668"/>
      <c r="V82" s="667" t="s">
        <v>863</v>
      </c>
      <c r="W82" s="667" t="s">
        <v>863</v>
      </c>
      <c r="X82" s="667"/>
      <c r="Y82" s="232"/>
      <c r="Z82" s="671"/>
      <c r="AA82" s="668"/>
      <c r="AB82" s="672"/>
      <c r="AC82" s="668"/>
      <c r="AD82" s="670">
        <v>1</v>
      </c>
      <c r="AE82" s="670">
        <v>1</v>
      </c>
    </row>
    <row r="83" spans="1:32" s="224" customFormat="1" ht="13.5" customHeight="1">
      <c r="A83" s="225">
        <f t="shared" si="2"/>
        <v>75</v>
      </c>
      <c r="B83" s="217"/>
      <c r="C83" s="217"/>
      <c r="D83" s="677" t="s">
        <v>1642</v>
      </c>
      <c r="E83" s="241"/>
      <c r="F83" s="241"/>
      <c r="G83" s="241"/>
      <c r="H83" s="668" t="s">
        <v>1643</v>
      </c>
      <c r="I83" s="666"/>
      <c r="J83" s="668"/>
      <c r="K83" s="666" t="s">
        <v>930</v>
      </c>
      <c r="L83" s="668"/>
      <c r="M83" s="668"/>
      <c r="N83" s="668"/>
      <c r="O83" s="668"/>
      <c r="P83" s="669"/>
      <c r="Q83" s="668" t="s">
        <v>816</v>
      </c>
      <c r="R83" s="668"/>
      <c r="S83" s="668" t="s">
        <v>878</v>
      </c>
      <c r="T83" s="670"/>
      <c r="U83" s="668" t="s">
        <v>931</v>
      </c>
      <c r="V83" s="667" t="s">
        <v>863</v>
      </c>
      <c r="W83" s="667" t="s">
        <v>863</v>
      </c>
      <c r="X83" s="667"/>
      <c r="Y83" s="232"/>
      <c r="Z83" s="671"/>
      <c r="AA83" s="668"/>
      <c r="AB83" s="672"/>
      <c r="AC83" s="668"/>
      <c r="AD83" s="670"/>
      <c r="AE83" s="670">
        <v>1</v>
      </c>
    </row>
    <row r="84" spans="1:32" s="224" customFormat="1" ht="13.5" customHeight="1">
      <c r="A84" s="225">
        <f t="shared" si="2"/>
        <v>76</v>
      </c>
      <c r="B84" s="217"/>
      <c r="C84" s="217"/>
      <c r="D84" s="677" t="s">
        <v>1644</v>
      </c>
      <c r="E84" s="241"/>
      <c r="F84" s="241"/>
      <c r="G84" s="241"/>
      <c r="H84" s="668" t="s">
        <v>1645</v>
      </c>
      <c r="I84" s="666" t="s">
        <v>1646</v>
      </c>
      <c r="J84" s="668"/>
      <c r="K84" s="666" t="s">
        <v>938</v>
      </c>
      <c r="L84" s="668"/>
      <c r="M84" s="668"/>
      <c r="N84" s="668"/>
      <c r="O84" s="668"/>
      <c r="P84" s="669"/>
      <c r="Q84" s="668" t="s">
        <v>816</v>
      </c>
      <c r="R84" s="668"/>
      <c r="S84" s="668" t="s">
        <v>862</v>
      </c>
      <c r="T84" s="670"/>
      <c r="U84" s="668"/>
      <c r="V84" s="667" t="s">
        <v>863</v>
      </c>
      <c r="W84" s="667" t="s">
        <v>863</v>
      </c>
      <c r="X84" s="667"/>
      <c r="Y84" s="232"/>
      <c r="Z84" s="671"/>
      <c r="AA84" s="668"/>
      <c r="AB84" s="672"/>
      <c r="AC84" s="668"/>
      <c r="AD84" s="670"/>
      <c r="AE84" s="670">
        <v>1</v>
      </c>
    </row>
    <row r="85" spans="1:32" s="224" customFormat="1" ht="13.5" customHeight="1">
      <c r="A85" s="225">
        <f t="shared" si="2"/>
        <v>77</v>
      </c>
      <c r="B85" s="217"/>
      <c r="C85" s="241" t="s">
        <v>1647</v>
      </c>
      <c r="D85" s="217"/>
      <c r="E85" s="217"/>
      <c r="F85" s="217"/>
      <c r="G85" s="217"/>
      <c r="H85" s="668" t="s">
        <v>1256</v>
      </c>
      <c r="I85" s="666"/>
      <c r="J85" s="668" t="s">
        <v>1257</v>
      </c>
      <c r="K85" s="666"/>
      <c r="L85" s="668"/>
      <c r="M85" s="668"/>
      <c r="N85" s="668"/>
      <c r="O85" s="668"/>
      <c r="P85" s="669"/>
      <c r="Q85" s="668" t="s">
        <v>819</v>
      </c>
      <c r="R85" s="668" t="s">
        <v>863</v>
      </c>
      <c r="S85" s="243" t="s">
        <v>1257</v>
      </c>
      <c r="T85" s="670"/>
      <c r="U85" s="668"/>
      <c r="V85" s="667" t="s">
        <v>863</v>
      </c>
      <c r="W85" s="667" t="s">
        <v>863</v>
      </c>
      <c r="X85" s="667" t="s">
        <v>863</v>
      </c>
      <c r="Y85" s="232"/>
      <c r="Z85" s="671"/>
      <c r="AA85" s="668"/>
      <c r="AB85" s="672"/>
      <c r="AC85" s="668"/>
      <c r="AD85" s="670"/>
      <c r="AE85" s="670">
        <v>1</v>
      </c>
    </row>
    <row r="86" spans="1:32" s="224" customFormat="1" ht="13.5" customHeight="1">
      <c r="A86" s="225">
        <f t="shared" si="2"/>
        <v>78</v>
      </c>
      <c r="B86" s="217"/>
      <c r="C86" s="677"/>
      <c r="D86" s="677" t="s">
        <v>1258</v>
      </c>
      <c r="E86" s="219"/>
      <c r="F86" s="677"/>
      <c r="G86" s="677"/>
      <c r="H86" s="668" t="s">
        <v>1259</v>
      </c>
      <c r="I86" s="666"/>
      <c r="J86" s="668" t="s">
        <v>1260</v>
      </c>
      <c r="K86" s="666" t="s">
        <v>1261</v>
      </c>
      <c r="L86" s="668" t="s">
        <v>1262</v>
      </c>
      <c r="M86" s="668" t="s">
        <v>262</v>
      </c>
      <c r="N86" s="668"/>
      <c r="O86" s="668"/>
      <c r="P86" s="669">
        <v>1</v>
      </c>
      <c r="Q86" s="668" t="s">
        <v>819</v>
      </c>
      <c r="R86" s="668" t="s">
        <v>863</v>
      </c>
      <c r="S86" s="243" t="s">
        <v>1263</v>
      </c>
      <c r="T86" s="670"/>
      <c r="U86" s="668"/>
      <c r="V86" s="667" t="s">
        <v>863</v>
      </c>
      <c r="W86" s="667" t="s">
        <v>863</v>
      </c>
      <c r="X86" s="667" t="s">
        <v>863</v>
      </c>
      <c r="Y86" s="232"/>
      <c r="Z86" s="671"/>
      <c r="AA86" s="668"/>
      <c r="AB86" s="245" t="s">
        <v>1264</v>
      </c>
      <c r="AC86" s="668"/>
      <c r="AD86" s="670"/>
      <c r="AE86" s="670">
        <v>1</v>
      </c>
    </row>
    <row r="87" spans="1:32" s="224" customFormat="1" ht="13.5" customHeight="1">
      <c r="A87" s="225">
        <f t="shared" si="2"/>
        <v>79</v>
      </c>
      <c r="B87" s="217"/>
      <c r="C87" s="241"/>
      <c r="D87" s="241"/>
      <c r="E87" s="241" t="s">
        <v>1319</v>
      </c>
      <c r="F87" s="241"/>
      <c r="G87" s="241"/>
      <c r="H87" s="668" t="s">
        <v>1320</v>
      </c>
      <c r="I87" s="666" t="s">
        <v>1321</v>
      </c>
      <c r="J87" s="668"/>
      <c r="K87" s="666" t="s">
        <v>1322</v>
      </c>
      <c r="L87" s="668"/>
      <c r="M87" s="668"/>
      <c r="N87" s="668"/>
      <c r="O87" s="668"/>
      <c r="P87" s="669"/>
      <c r="Q87" s="668" t="s">
        <v>819</v>
      </c>
      <c r="R87" s="668"/>
      <c r="S87" s="668" t="s">
        <v>862</v>
      </c>
      <c r="T87" s="670"/>
      <c r="U87" s="668"/>
      <c r="V87" s="667" t="s">
        <v>863</v>
      </c>
      <c r="W87" s="667" t="s">
        <v>863</v>
      </c>
      <c r="X87" s="667" t="s">
        <v>863</v>
      </c>
      <c r="Y87" s="232"/>
      <c r="Z87" s="671"/>
      <c r="AA87" s="668" t="s">
        <v>1075</v>
      </c>
      <c r="AB87" s="672"/>
      <c r="AC87" s="668"/>
      <c r="AD87" s="670">
        <v>1</v>
      </c>
      <c r="AE87" s="670">
        <v>1</v>
      </c>
    </row>
    <row r="88" spans="1:32" s="224" customFormat="1" ht="13.5" customHeight="1">
      <c r="A88" s="225">
        <f t="shared" si="2"/>
        <v>80</v>
      </c>
      <c r="B88" s="217"/>
      <c r="C88" s="677"/>
      <c r="D88" s="241"/>
      <c r="E88" s="241" t="s">
        <v>1265</v>
      </c>
      <c r="F88" s="241"/>
      <c r="G88" s="241"/>
      <c r="H88" s="668" t="s">
        <v>1266</v>
      </c>
      <c r="I88" s="666" t="s">
        <v>1267</v>
      </c>
      <c r="J88" s="668"/>
      <c r="K88" s="666" t="s">
        <v>969</v>
      </c>
      <c r="L88" s="668"/>
      <c r="M88" s="668"/>
      <c r="N88" s="668"/>
      <c r="O88" s="668"/>
      <c r="P88" s="669"/>
      <c r="Q88" s="668" t="s">
        <v>819</v>
      </c>
      <c r="R88" s="668"/>
      <c r="S88" s="668" t="s">
        <v>862</v>
      </c>
      <c r="T88" s="670" t="s">
        <v>863</v>
      </c>
      <c r="U88" s="668" t="s">
        <v>1268</v>
      </c>
      <c r="V88" s="667" t="s">
        <v>863</v>
      </c>
      <c r="W88" s="667" t="s">
        <v>863</v>
      </c>
      <c r="X88" s="667" t="s">
        <v>863</v>
      </c>
      <c r="Y88" s="232"/>
      <c r="Z88" s="671"/>
      <c r="AA88" s="390" t="s">
        <v>1269</v>
      </c>
      <c r="AB88" s="672"/>
      <c r="AC88" s="668"/>
      <c r="AD88" s="670"/>
      <c r="AE88" s="670">
        <v>1</v>
      </c>
    </row>
    <row r="89" spans="1:32" ht="12" customHeight="1">
      <c r="A89" s="225">
        <f t="shared" si="2"/>
        <v>81</v>
      </c>
      <c r="C89" s="224"/>
      <c r="D89" s="224"/>
      <c r="E89" s="224" t="s">
        <v>1270</v>
      </c>
      <c r="F89" s="224"/>
      <c r="G89" s="225"/>
      <c r="H89" s="225" t="s">
        <v>1271</v>
      </c>
      <c r="I89" s="273" t="s">
        <v>1272</v>
      </c>
      <c r="J89" s="225"/>
      <c r="K89" s="666" t="s">
        <v>1119</v>
      </c>
      <c r="L89" s="668"/>
      <c r="M89" s="668"/>
      <c r="N89" s="668"/>
      <c r="O89" s="668"/>
      <c r="P89" s="669"/>
      <c r="Q89" s="668" t="s">
        <v>819</v>
      </c>
      <c r="R89" s="668"/>
      <c r="S89" s="668" t="s">
        <v>862</v>
      </c>
      <c r="U89" s="668"/>
      <c r="V89" s="274" t="s">
        <v>863</v>
      </c>
      <c r="W89" s="274" t="s">
        <v>863</v>
      </c>
      <c r="X89" s="667" t="s">
        <v>863</v>
      </c>
      <c r="Y89" s="232"/>
      <c r="AE89" s="274">
        <v>1</v>
      </c>
    </row>
    <row r="90" spans="1:32" s="224" customFormat="1" ht="13.5" customHeight="1">
      <c r="A90" s="225">
        <f t="shared" si="2"/>
        <v>82</v>
      </c>
      <c r="B90" s="217"/>
      <c r="C90" s="677"/>
      <c r="D90" s="677" t="s">
        <v>1273</v>
      </c>
      <c r="E90" s="219" t="s">
        <v>1274</v>
      </c>
      <c r="F90" s="677"/>
      <c r="G90" s="677"/>
      <c r="H90" s="668" t="s">
        <v>1648</v>
      </c>
      <c r="I90" s="666"/>
      <c r="J90" s="668"/>
      <c r="K90" s="666" t="s">
        <v>1276</v>
      </c>
      <c r="L90" s="668" t="s">
        <v>1277</v>
      </c>
      <c r="M90" s="668" t="s">
        <v>1278</v>
      </c>
      <c r="N90" s="668"/>
      <c r="O90" s="668"/>
      <c r="P90" s="669">
        <v>1</v>
      </c>
      <c r="Q90" s="668" t="s">
        <v>816</v>
      </c>
      <c r="R90" s="668" t="s">
        <v>863</v>
      </c>
      <c r="S90" s="243" t="s">
        <v>1263</v>
      </c>
      <c r="T90" s="670"/>
      <c r="U90" s="668"/>
      <c r="V90" s="667" t="s">
        <v>863</v>
      </c>
      <c r="W90" s="667" t="s">
        <v>863</v>
      </c>
      <c r="X90" s="667" t="s">
        <v>863</v>
      </c>
      <c r="Y90" s="232"/>
      <c r="Z90" s="671"/>
      <c r="AA90" s="668"/>
      <c r="AB90" s="245" t="s">
        <v>1264</v>
      </c>
      <c r="AC90" s="668"/>
      <c r="AD90" s="670"/>
      <c r="AE90" s="670">
        <v>1</v>
      </c>
    </row>
    <row r="91" spans="1:32" s="224" customFormat="1" ht="13.5" customHeight="1">
      <c r="A91" s="225">
        <f t="shared" si="2"/>
        <v>83</v>
      </c>
      <c r="B91" s="217"/>
      <c r="C91" s="677"/>
      <c r="D91" s="677" t="s">
        <v>1279</v>
      </c>
      <c r="E91" s="677"/>
      <c r="F91" s="677"/>
      <c r="G91" s="677"/>
      <c r="H91" s="668" t="s">
        <v>1280</v>
      </c>
      <c r="I91" s="666" t="s">
        <v>1281</v>
      </c>
      <c r="J91" s="668" t="s">
        <v>1282</v>
      </c>
      <c r="K91" s="666" t="s">
        <v>1283</v>
      </c>
      <c r="L91" s="668"/>
      <c r="M91" s="668"/>
      <c r="N91" s="668"/>
      <c r="O91" s="668"/>
      <c r="P91" s="669"/>
      <c r="Q91" s="668" t="s">
        <v>816</v>
      </c>
      <c r="R91" s="668"/>
      <c r="S91" s="668" t="s">
        <v>862</v>
      </c>
      <c r="T91" s="670" t="s">
        <v>863</v>
      </c>
      <c r="U91" s="668" t="s">
        <v>1221</v>
      </c>
      <c r="V91" s="667" t="s">
        <v>863</v>
      </c>
      <c r="W91" s="667" t="s">
        <v>863</v>
      </c>
      <c r="X91" s="667" t="s">
        <v>863</v>
      </c>
      <c r="Y91" s="232"/>
      <c r="Z91" s="671"/>
      <c r="AA91" s="668"/>
      <c r="AB91" s="245" t="s">
        <v>1284</v>
      </c>
      <c r="AC91" s="668"/>
      <c r="AD91" s="670"/>
      <c r="AE91" s="670">
        <v>1</v>
      </c>
      <c r="AF91" s="246"/>
    </row>
    <row r="92" spans="1:32" s="224" customFormat="1" ht="13.5" customHeight="1">
      <c r="A92" s="225">
        <f t="shared" si="2"/>
        <v>84</v>
      </c>
      <c r="B92" s="217"/>
      <c r="C92" s="677"/>
      <c r="D92" s="241" t="s">
        <v>1649</v>
      </c>
      <c r="E92" s="241"/>
      <c r="F92" s="241"/>
      <c r="G92" s="241"/>
      <c r="H92" s="668" t="s">
        <v>1286</v>
      </c>
      <c r="I92" s="666" t="s">
        <v>1287</v>
      </c>
      <c r="J92" s="668"/>
      <c r="K92" s="666" t="s">
        <v>969</v>
      </c>
      <c r="L92" s="668"/>
      <c r="M92" s="668"/>
      <c r="N92" s="668"/>
      <c r="O92" s="668"/>
      <c r="P92" s="669"/>
      <c r="Q92" s="668" t="s">
        <v>816</v>
      </c>
      <c r="R92" s="668"/>
      <c r="S92" s="668" t="s">
        <v>862</v>
      </c>
      <c r="T92" s="373"/>
      <c r="U92" s="668" t="s">
        <v>1650</v>
      </c>
      <c r="V92" s="374" t="s">
        <v>863</v>
      </c>
      <c r="W92" s="667" t="s">
        <v>863</v>
      </c>
      <c r="X92" s="667" t="s">
        <v>863</v>
      </c>
      <c r="Y92" s="232"/>
      <c r="Z92" s="379" t="s">
        <v>1288</v>
      </c>
      <c r="AA92" s="668" t="s">
        <v>1289</v>
      </c>
      <c r="AB92" s="245" t="s">
        <v>1290</v>
      </c>
      <c r="AC92" s="668"/>
      <c r="AD92" s="670"/>
      <c r="AE92" s="670">
        <v>1</v>
      </c>
      <c r="AF92" s="246"/>
    </row>
    <row r="93" spans="1:32" s="224" customFormat="1" ht="13.5" customHeight="1">
      <c r="A93" s="225">
        <f t="shared" si="2"/>
        <v>85</v>
      </c>
      <c r="B93" s="217"/>
      <c r="C93" s="677"/>
      <c r="D93" s="241" t="s">
        <v>1291</v>
      </c>
      <c r="E93" s="241"/>
      <c r="F93" s="241"/>
      <c r="G93" s="241"/>
      <c r="H93" s="668" t="s">
        <v>1292</v>
      </c>
      <c r="I93" s="666" t="s">
        <v>1293</v>
      </c>
      <c r="J93" s="668"/>
      <c r="K93" s="666" t="s">
        <v>909</v>
      </c>
      <c r="L93" s="668"/>
      <c r="M93" s="668"/>
      <c r="N93" s="668"/>
      <c r="O93" s="668"/>
      <c r="P93" s="669"/>
      <c r="Q93" s="668" t="s">
        <v>816</v>
      </c>
      <c r="R93" s="668"/>
      <c r="S93" s="668" t="s">
        <v>862</v>
      </c>
      <c r="T93" s="373"/>
      <c r="U93" s="668" t="s">
        <v>1651</v>
      </c>
      <c r="V93" s="374" t="s">
        <v>863</v>
      </c>
      <c r="W93" s="667" t="s">
        <v>863</v>
      </c>
      <c r="X93" s="667" t="s">
        <v>863</v>
      </c>
      <c r="Y93" s="232"/>
      <c r="Z93" s="386" t="s">
        <v>1294</v>
      </c>
      <c r="AA93" s="668" t="s">
        <v>1289</v>
      </c>
      <c r="AB93" s="672"/>
      <c r="AC93" s="668"/>
      <c r="AD93" s="670"/>
      <c r="AE93" s="670">
        <v>1</v>
      </c>
      <c r="AF93" s="246"/>
    </row>
    <row r="94" spans="1:32" s="224" customFormat="1" ht="13.5" customHeight="1">
      <c r="A94" s="225">
        <f t="shared" si="2"/>
        <v>86</v>
      </c>
      <c r="B94" s="217"/>
      <c r="C94" s="677"/>
      <c r="D94" s="677" t="s">
        <v>1295</v>
      </c>
      <c r="E94" s="677"/>
      <c r="F94" s="677"/>
      <c r="G94" s="677"/>
      <c r="H94" s="668" t="s">
        <v>1296</v>
      </c>
      <c r="I94" s="666" t="s">
        <v>1297</v>
      </c>
      <c r="J94" s="668" t="s">
        <v>938</v>
      </c>
      <c r="K94" s="666" t="s">
        <v>938</v>
      </c>
      <c r="L94" s="668" t="s">
        <v>1298</v>
      </c>
      <c r="M94" s="668" t="s">
        <v>1299</v>
      </c>
      <c r="N94" s="668"/>
      <c r="O94" s="668"/>
      <c r="P94" s="669">
        <v>1</v>
      </c>
      <c r="Q94" s="668" t="s">
        <v>816</v>
      </c>
      <c r="R94" s="668"/>
      <c r="S94" s="668" t="s">
        <v>862</v>
      </c>
      <c r="T94" s="670"/>
      <c r="U94" s="255"/>
      <c r="V94" s="667" t="s">
        <v>863</v>
      </c>
      <c r="W94" s="667" t="s">
        <v>863</v>
      </c>
      <c r="X94" s="667" t="s">
        <v>863</v>
      </c>
      <c r="Y94" s="232"/>
      <c r="Z94" s="671"/>
      <c r="AA94" s="668"/>
      <c r="AB94" s="672"/>
      <c r="AC94" s="668"/>
      <c r="AD94" s="670"/>
      <c r="AE94" s="670">
        <v>1</v>
      </c>
    </row>
    <row r="95" spans="1:32" s="224" customFormat="1" ht="13.5" customHeight="1">
      <c r="A95" s="225">
        <f t="shared" si="2"/>
        <v>87</v>
      </c>
      <c r="B95" s="217"/>
      <c r="C95" s="677"/>
      <c r="D95" s="241" t="s">
        <v>1300</v>
      </c>
      <c r="E95" s="677"/>
      <c r="F95" s="241"/>
      <c r="G95" s="241"/>
      <c r="H95" s="668"/>
      <c r="I95" s="666"/>
      <c r="J95" s="668" t="s">
        <v>1301</v>
      </c>
      <c r="K95" s="666" t="s">
        <v>1302</v>
      </c>
      <c r="L95" s="668"/>
      <c r="M95" s="668"/>
      <c r="N95" s="668"/>
      <c r="O95" s="668"/>
      <c r="P95" s="669"/>
      <c r="Q95" s="668" t="s">
        <v>816</v>
      </c>
      <c r="R95" s="668" t="s">
        <v>863</v>
      </c>
      <c r="S95" s="668" t="s">
        <v>1302</v>
      </c>
      <c r="T95" s="670"/>
      <c r="U95" s="668"/>
      <c r="V95" s="667" t="s">
        <v>863</v>
      </c>
      <c r="W95" s="667" t="s">
        <v>863</v>
      </c>
      <c r="X95" s="667" t="s">
        <v>863</v>
      </c>
      <c r="Y95" s="232"/>
      <c r="Z95" s="671"/>
      <c r="AA95" s="668"/>
      <c r="AB95" s="672"/>
      <c r="AC95" s="668"/>
      <c r="AD95" s="670">
        <v>1</v>
      </c>
      <c r="AE95" s="670">
        <v>1</v>
      </c>
    </row>
    <row r="96" spans="1:32" s="224" customFormat="1" ht="13.5" customHeight="1">
      <c r="A96" s="225">
        <f t="shared" si="2"/>
        <v>88</v>
      </c>
      <c r="B96" s="217"/>
      <c r="C96" s="677"/>
      <c r="D96" s="677"/>
      <c r="E96" s="677" t="s">
        <v>1303</v>
      </c>
      <c r="F96" s="677"/>
      <c r="G96" s="677"/>
      <c r="H96" s="668" t="s">
        <v>1304</v>
      </c>
      <c r="I96" s="666" t="s">
        <v>1305</v>
      </c>
      <c r="J96" s="668"/>
      <c r="K96" s="666" t="s">
        <v>1086</v>
      </c>
      <c r="L96" s="668" t="s">
        <v>1306</v>
      </c>
      <c r="M96" s="668" t="s">
        <v>1307</v>
      </c>
      <c r="N96" s="668"/>
      <c r="O96" s="668"/>
      <c r="P96" s="669"/>
      <c r="Q96" s="668" t="s">
        <v>819</v>
      </c>
      <c r="R96" s="668"/>
      <c r="S96" s="668" t="s">
        <v>862</v>
      </c>
      <c r="T96" s="670"/>
      <c r="U96" s="668" t="s">
        <v>1308</v>
      </c>
      <c r="V96" s="667" t="s">
        <v>863</v>
      </c>
      <c r="W96" s="667" t="s">
        <v>863</v>
      </c>
      <c r="X96" s="667" t="s">
        <v>863</v>
      </c>
      <c r="Y96" s="232"/>
      <c r="Z96" s="671"/>
      <c r="AA96" s="668"/>
      <c r="AB96" s="672"/>
      <c r="AC96" s="668"/>
      <c r="AD96" s="670">
        <v>1</v>
      </c>
      <c r="AE96" s="670">
        <v>1</v>
      </c>
    </row>
    <row r="97" spans="1:1018" s="224" customFormat="1" ht="13.5" customHeight="1">
      <c r="A97" s="225">
        <f t="shared" si="2"/>
        <v>89</v>
      </c>
      <c r="B97" s="217"/>
      <c r="C97" s="677"/>
      <c r="D97" s="241"/>
      <c r="E97" s="677" t="s">
        <v>1103</v>
      </c>
      <c r="F97" s="221"/>
      <c r="G97" s="221"/>
      <c r="H97" s="668" t="s">
        <v>1309</v>
      </c>
      <c r="I97" s="668" t="s">
        <v>1133</v>
      </c>
      <c r="J97" s="668"/>
      <c r="K97" s="666" t="s">
        <v>1310</v>
      </c>
      <c r="L97" s="668"/>
      <c r="M97" s="668"/>
      <c r="N97" s="668"/>
      <c r="O97" s="668"/>
      <c r="P97" s="669"/>
      <c r="Q97" s="668" t="s">
        <v>816</v>
      </c>
      <c r="R97" s="668"/>
      <c r="S97" s="668" t="s">
        <v>862</v>
      </c>
      <c r="T97" s="670"/>
      <c r="U97" s="668"/>
      <c r="V97" s="667" t="s">
        <v>863</v>
      </c>
      <c r="W97" s="667" t="s">
        <v>863</v>
      </c>
      <c r="X97" s="667" t="s">
        <v>863</v>
      </c>
      <c r="Y97" s="232"/>
      <c r="Z97" s="671"/>
      <c r="AA97" s="668"/>
      <c r="AB97" s="672"/>
      <c r="AC97" s="668"/>
      <c r="AD97" s="670">
        <v>1</v>
      </c>
      <c r="AE97" s="670">
        <v>1</v>
      </c>
    </row>
    <row r="98" spans="1:1018" s="244" customFormat="1" ht="14.25" customHeight="1">
      <c r="A98" s="225">
        <f t="shared" si="2"/>
        <v>90</v>
      </c>
      <c r="B98" s="217"/>
      <c r="C98" s="221"/>
      <c r="D98" s="221"/>
      <c r="E98" s="677" t="s">
        <v>1311</v>
      </c>
      <c r="F98" s="221"/>
      <c r="G98" s="221"/>
      <c r="H98" s="668" t="s">
        <v>1312</v>
      </c>
      <c r="I98" s="666" t="s">
        <v>1313</v>
      </c>
      <c r="J98" s="668"/>
      <c r="K98" s="666" t="s">
        <v>1314</v>
      </c>
      <c r="L98" s="668"/>
      <c r="M98" s="668"/>
      <c r="N98" s="668"/>
      <c r="O98" s="668"/>
      <c r="P98" s="669"/>
      <c r="Q98" s="668" t="s">
        <v>816</v>
      </c>
      <c r="R98" s="668"/>
      <c r="S98" s="668" t="s">
        <v>862</v>
      </c>
      <c r="T98" s="670"/>
      <c r="U98" s="668"/>
      <c r="V98" s="667" t="s">
        <v>863</v>
      </c>
      <c r="W98" s="667" t="s">
        <v>863</v>
      </c>
      <c r="X98" s="667" t="s">
        <v>863</v>
      </c>
      <c r="Y98" s="232"/>
      <c r="Z98" s="671"/>
      <c r="AA98" s="668"/>
      <c r="AB98" s="672"/>
      <c r="AC98" s="668"/>
      <c r="AD98" s="670">
        <v>1</v>
      </c>
      <c r="AE98" s="670">
        <v>1</v>
      </c>
    </row>
    <row r="99" spans="1:1018" s="224" customFormat="1" ht="13.5" customHeight="1">
      <c r="A99" s="225">
        <f t="shared" si="2"/>
        <v>91</v>
      </c>
      <c r="B99" s="217"/>
      <c r="C99" s="241" t="s">
        <v>1327</v>
      </c>
      <c r="D99" s="217" t="s">
        <v>1328</v>
      </c>
      <c r="E99" s="247"/>
      <c r="F99" s="217"/>
      <c r="G99" s="217"/>
      <c r="H99" s="668" t="s">
        <v>1329</v>
      </c>
      <c r="I99" s="666"/>
      <c r="J99" s="668" t="s">
        <v>1330</v>
      </c>
      <c r="K99" s="666" t="s">
        <v>1053</v>
      </c>
      <c r="L99" s="668" t="s">
        <v>1331</v>
      </c>
      <c r="M99" s="668" t="s">
        <v>1332</v>
      </c>
      <c r="N99" s="668"/>
      <c r="O99" s="668"/>
      <c r="P99" s="669"/>
      <c r="Q99" s="668" t="s">
        <v>819</v>
      </c>
      <c r="R99" s="668" t="s">
        <v>863</v>
      </c>
      <c r="S99" s="243" t="s">
        <v>1053</v>
      </c>
      <c r="T99" s="282"/>
      <c r="U99" s="668"/>
      <c r="V99" s="667" t="s">
        <v>863</v>
      </c>
      <c r="W99" s="667"/>
      <c r="X99" s="667"/>
      <c r="Y99" s="232"/>
      <c r="Z99" s="248"/>
      <c r="AA99" s="668"/>
      <c r="AB99" s="672"/>
      <c r="AC99" s="668"/>
      <c r="AD99" s="670">
        <v>1</v>
      </c>
      <c r="AE99" s="670">
        <v>1</v>
      </c>
    </row>
    <row r="100" spans="1:1018" s="224" customFormat="1" ht="13.5" customHeight="1">
      <c r="A100" s="225">
        <f t="shared" si="2"/>
        <v>92</v>
      </c>
      <c r="B100" s="217"/>
      <c r="C100" s="241" t="s">
        <v>971</v>
      </c>
      <c r="D100" s="217" t="s">
        <v>1333</v>
      </c>
      <c r="E100" s="217"/>
      <c r="F100" s="217"/>
      <c r="G100" s="217"/>
      <c r="H100" s="668" t="s">
        <v>1334</v>
      </c>
      <c r="I100" s="666"/>
      <c r="J100" s="668" t="s">
        <v>973</v>
      </c>
      <c r="K100" s="666" t="s">
        <v>974</v>
      </c>
      <c r="L100" s="668"/>
      <c r="M100" s="668"/>
      <c r="N100" s="668"/>
      <c r="O100" s="668"/>
      <c r="P100" s="669"/>
      <c r="Q100" s="668" t="s">
        <v>819</v>
      </c>
      <c r="R100" s="668" t="s">
        <v>863</v>
      </c>
      <c r="S100" s="243" t="s">
        <v>974</v>
      </c>
      <c r="T100" s="670"/>
      <c r="U100" s="668"/>
      <c r="V100" s="667" t="s">
        <v>863</v>
      </c>
      <c r="W100" s="667"/>
      <c r="X100" s="667"/>
      <c r="Y100" s="232"/>
      <c r="Z100" s="671"/>
      <c r="AA100" s="668"/>
      <c r="AB100" s="672"/>
      <c r="AC100" s="668"/>
      <c r="AD100" s="670">
        <v>1</v>
      </c>
      <c r="AE100" s="670">
        <v>1</v>
      </c>
    </row>
    <row r="101" spans="1:1018" s="224" customFormat="1" ht="13.5" customHeight="1">
      <c r="A101" s="225">
        <f t="shared" si="2"/>
        <v>93</v>
      </c>
      <c r="B101" s="217"/>
      <c r="C101" s="241" t="s">
        <v>1335</v>
      </c>
      <c r="D101" s="217"/>
      <c r="E101" s="217"/>
      <c r="F101" s="217"/>
      <c r="G101" s="217"/>
      <c r="H101" s="668" t="s">
        <v>1336</v>
      </c>
      <c r="I101" s="666"/>
      <c r="J101" s="668" t="s">
        <v>1337</v>
      </c>
      <c r="K101" s="666" t="s">
        <v>1337</v>
      </c>
      <c r="L101" s="668"/>
      <c r="M101" s="668"/>
      <c r="N101" s="668"/>
      <c r="O101" s="668"/>
      <c r="P101" s="669"/>
      <c r="Q101" s="668" t="s">
        <v>819</v>
      </c>
      <c r="R101" s="668" t="s">
        <v>863</v>
      </c>
      <c r="S101" s="243" t="s">
        <v>1337</v>
      </c>
      <c r="T101" s="670"/>
      <c r="U101" s="668"/>
      <c r="V101" s="667" t="s">
        <v>863</v>
      </c>
      <c r="W101" s="667" t="s">
        <v>863</v>
      </c>
      <c r="X101" s="702"/>
      <c r="Y101" s="232"/>
      <c r="Z101" s="671"/>
      <c r="AA101" s="668"/>
      <c r="AB101" s="672"/>
      <c r="AC101" s="668"/>
      <c r="AD101" s="670">
        <v>1</v>
      </c>
      <c r="AE101" s="670">
        <v>1</v>
      </c>
    </row>
    <row r="102" spans="1:1018" s="224" customFormat="1" ht="13.5" customHeight="1">
      <c r="A102" s="225">
        <f t="shared" si="2"/>
        <v>94</v>
      </c>
      <c r="B102" s="217"/>
      <c r="C102" s="241"/>
      <c r="D102" s="217" t="s">
        <v>1338</v>
      </c>
      <c r="E102" s="217"/>
      <c r="F102" s="241"/>
      <c r="G102" s="241"/>
      <c r="H102" s="668" t="s">
        <v>1339</v>
      </c>
      <c r="I102" s="666" t="s">
        <v>1340</v>
      </c>
      <c r="J102" s="668" t="s">
        <v>1341</v>
      </c>
      <c r="K102" s="666"/>
      <c r="L102" s="668"/>
      <c r="M102" s="668"/>
      <c r="N102" s="668"/>
      <c r="O102" s="668"/>
      <c r="P102" s="669"/>
      <c r="Q102" s="668" t="s">
        <v>819</v>
      </c>
      <c r="R102" s="668"/>
      <c r="S102" s="668" t="s">
        <v>862</v>
      </c>
      <c r="T102" s="670"/>
      <c r="U102" s="668"/>
      <c r="V102" s="667" t="s">
        <v>863</v>
      </c>
      <c r="W102" s="667" t="s">
        <v>863</v>
      </c>
      <c r="X102" s="702"/>
      <c r="Y102" s="232"/>
      <c r="Z102" s="671"/>
      <c r="AA102" s="668" t="s">
        <v>1075</v>
      </c>
      <c r="AB102" s="672"/>
      <c r="AC102" s="668"/>
      <c r="AD102" s="670"/>
      <c r="AE102" s="670">
        <v>1</v>
      </c>
    </row>
    <row r="103" spans="1:1018" s="224" customFormat="1" ht="13.5" customHeight="1">
      <c r="A103" s="225">
        <f t="shared" si="2"/>
        <v>95</v>
      </c>
      <c r="B103" s="217"/>
      <c r="C103" s="241"/>
      <c r="D103" s="217" t="s">
        <v>1342</v>
      </c>
      <c r="E103" s="217"/>
      <c r="F103" s="241"/>
      <c r="G103" s="241"/>
      <c r="H103" s="668" t="s">
        <v>1343</v>
      </c>
      <c r="I103" s="666" t="s">
        <v>1344</v>
      </c>
      <c r="J103" s="668" t="s">
        <v>1345</v>
      </c>
      <c r="K103" s="666"/>
      <c r="L103" s="668"/>
      <c r="M103" s="668"/>
      <c r="N103" s="668"/>
      <c r="O103" s="668"/>
      <c r="P103" s="669"/>
      <c r="Q103" s="668" t="s">
        <v>819</v>
      </c>
      <c r="R103" s="668"/>
      <c r="S103" s="668" t="s">
        <v>862</v>
      </c>
      <c r="T103" s="670"/>
      <c r="U103" s="668"/>
      <c r="V103" s="667" t="s">
        <v>863</v>
      </c>
      <c r="W103" s="667" t="s">
        <v>863</v>
      </c>
      <c r="X103" s="702"/>
      <c r="Y103" s="232"/>
      <c r="Z103" s="671"/>
      <c r="AA103" s="668" t="s">
        <v>1346</v>
      </c>
      <c r="AB103" s="672"/>
      <c r="AC103" s="668"/>
      <c r="AD103" s="670"/>
      <c r="AE103" s="670">
        <v>1</v>
      </c>
    </row>
    <row r="104" spans="1:1018" s="224" customFormat="1" ht="13.5" customHeight="1">
      <c r="A104" s="225">
        <f t="shared" si="2"/>
        <v>96</v>
      </c>
      <c r="B104" s="217"/>
      <c r="C104" s="241"/>
      <c r="D104" s="241" t="s">
        <v>1347</v>
      </c>
      <c r="E104" s="241"/>
      <c r="F104" s="241"/>
      <c r="G104" s="241"/>
      <c r="H104" s="668" t="s">
        <v>1348</v>
      </c>
      <c r="I104" s="666" t="s">
        <v>1349</v>
      </c>
      <c r="J104" s="668" t="s">
        <v>1350</v>
      </c>
      <c r="K104" s="666" t="s">
        <v>1351</v>
      </c>
      <c r="L104" s="668"/>
      <c r="M104" s="668"/>
      <c r="N104" s="668"/>
      <c r="O104" s="668"/>
      <c r="P104" s="669"/>
      <c r="Q104" s="668" t="s">
        <v>816</v>
      </c>
      <c r="R104" s="668"/>
      <c r="S104" s="668" t="s">
        <v>862</v>
      </c>
      <c r="T104" s="670"/>
      <c r="U104" s="668"/>
      <c r="V104" s="667" t="s">
        <v>863</v>
      </c>
      <c r="W104" s="667" t="s">
        <v>863</v>
      </c>
      <c r="X104" s="667"/>
      <c r="Y104" s="232"/>
      <c r="Z104" s="671"/>
      <c r="AA104" s="668"/>
      <c r="AB104" s="672"/>
      <c r="AC104" s="668"/>
      <c r="AD104" s="670"/>
      <c r="AE104" s="670">
        <v>1</v>
      </c>
    </row>
    <row r="105" spans="1:1018" s="224" customFormat="1" ht="13.5" customHeight="1">
      <c r="A105" s="225">
        <f t="shared" si="2"/>
        <v>97</v>
      </c>
      <c r="B105" s="217"/>
      <c r="C105" s="241"/>
      <c r="D105" s="217" t="s">
        <v>1352</v>
      </c>
      <c r="E105" s="219" t="s">
        <v>1274</v>
      </c>
      <c r="F105" s="217"/>
      <c r="G105" s="217"/>
      <c r="H105" s="668" t="s">
        <v>1353</v>
      </c>
      <c r="I105" s="679"/>
      <c r="J105" s="668" t="s">
        <v>1354</v>
      </c>
      <c r="K105" s="666" t="s">
        <v>1355</v>
      </c>
      <c r="L105" s="668"/>
      <c r="M105" s="668"/>
      <c r="N105" s="668"/>
      <c r="O105" s="668"/>
      <c r="P105" s="669"/>
      <c r="Q105" s="668" t="s">
        <v>816</v>
      </c>
      <c r="R105" s="668" t="s">
        <v>863</v>
      </c>
      <c r="S105" s="243" t="s">
        <v>1263</v>
      </c>
      <c r="T105" s="670"/>
      <c r="U105" s="668"/>
      <c r="V105" s="667" t="s">
        <v>863</v>
      </c>
      <c r="W105" s="667" t="s">
        <v>863</v>
      </c>
      <c r="X105" s="667"/>
      <c r="Y105" s="232"/>
      <c r="Z105" s="671"/>
      <c r="AA105" s="668"/>
      <c r="AB105" s="672"/>
      <c r="AC105" s="668"/>
      <c r="AD105" s="670">
        <v>1</v>
      </c>
      <c r="AE105" s="670">
        <v>1</v>
      </c>
    </row>
    <row r="106" spans="1:1018" s="224" customFormat="1" ht="13.5" customHeight="1">
      <c r="A106" s="225">
        <f t="shared" ref="A106:A137" si="3">ROW()-8</f>
        <v>98</v>
      </c>
      <c r="B106" s="217"/>
      <c r="C106" s="241"/>
      <c r="D106" s="217" t="s">
        <v>1356</v>
      </c>
      <c r="E106" s="241"/>
      <c r="F106" s="241"/>
      <c r="G106" s="241"/>
      <c r="H106" s="668" t="s">
        <v>1357</v>
      </c>
      <c r="I106" s="666" t="s">
        <v>1358</v>
      </c>
      <c r="J106" s="668" t="s">
        <v>1359</v>
      </c>
      <c r="K106" s="666"/>
      <c r="L106" s="668" t="s">
        <v>1360</v>
      </c>
      <c r="M106" s="668" t="s">
        <v>1361</v>
      </c>
      <c r="N106" s="668"/>
      <c r="O106" s="668"/>
      <c r="P106" s="669"/>
      <c r="Q106" s="668" t="s">
        <v>816</v>
      </c>
      <c r="R106" s="668"/>
      <c r="S106" s="668" t="s">
        <v>862</v>
      </c>
      <c r="T106" s="670"/>
      <c r="U106" s="668"/>
      <c r="V106" s="667" t="s">
        <v>863</v>
      </c>
      <c r="W106" s="667" t="s">
        <v>863</v>
      </c>
      <c r="X106" s="667"/>
      <c r="Y106" s="232"/>
      <c r="Z106" s="671"/>
      <c r="AA106" s="668"/>
      <c r="AB106" s="672"/>
      <c r="AC106" s="668"/>
      <c r="AD106" s="670">
        <v>1</v>
      </c>
      <c r="AE106" s="670">
        <v>1</v>
      </c>
    </row>
    <row r="107" spans="1:1018" s="251" customFormat="1" ht="13.5" customHeight="1">
      <c r="A107" s="225">
        <f t="shared" si="3"/>
        <v>99</v>
      </c>
      <c r="B107" s="217"/>
      <c r="C107" s="241" t="s">
        <v>1362</v>
      </c>
      <c r="D107" s="677"/>
      <c r="E107" s="250"/>
      <c r="F107" s="250"/>
      <c r="G107" s="250"/>
      <c r="H107" s="668" t="s">
        <v>1363</v>
      </c>
      <c r="I107" s="666"/>
      <c r="J107" s="668" t="s">
        <v>1364</v>
      </c>
      <c r="K107" s="666" t="s">
        <v>1365</v>
      </c>
      <c r="L107" s="668"/>
      <c r="M107" s="668"/>
      <c r="N107" s="668"/>
      <c r="O107" s="668"/>
      <c r="P107" s="669"/>
      <c r="Q107" s="668" t="s">
        <v>822</v>
      </c>
      <c r="R107" s="668" t="s">
        <v>863</v>
      </c>
      <c r="S107" s="243" t="s">
        <v>1365</v>
      </c>
      <c r="T107" s="282"/>
      <c r="U107" s="668"/>
      <c r="V107" s="667" t="s">
        <v>863</v>
      </c>
      <c r="W107" s="667" t="s">
        <v>863</v>
      </c>
      <c r="X107" s="667" t="s">
        <v>863</v>
      </c>
      <c r="Y107" s="232"/>
      <c r="Z107" s="248"/>
      <c r="AA107" s="668"/>
      <c r="AB107" s="672"/>
      <c r="AC107" s="668"/>
      <c r="AD107" s="670">
        <v>1</v>
      </c>
      <c r="AE107" s="670">
        <v>1</v>
      </c>
      <c r="AMD107" s="224"/>
    </row>
    <row r="108" spans="1:1018" s="251" customFormat="1" ht="13.5" customHeight="1">
      <c r="A108" s="225">
        <f t="shared" si="3"/>
        <v>100</v>
      </c>
      <c r="B108" s="217"/>
      <c r="C108" s="241"/>
      <c r="D108" s="677" t="s">
        <v>1366</v>
      </c>
      <c r="E108" s="677"/>
      <c r="F108" s="241"/>
      <c r="G108" s="241"/>
      <c r="H108" s="668" t="s">
        <v>1367</v>
      </c>
      <c r="I108" s="666" t="s">
        <v>1368</v>
      </c>
      <c r="J108" s="668" t="s">
        <v>1369</v>
      </c>
      <c r="K108" s="666" t="s">
        <v>1370</v>
      </c>
      <c r="L108" s="668"/>
      <c r="M108" s="668"/>
      <c r="N108" s="668"/>
      <c r="O108" s="668"/>
      <c r="P108" s="669"/>
      <c r="Q108" s="668" t="s">
        <v>816</v>
      </c>
      <c r="R108" s="668"/>
      <c r="S108" s="668" t="s">
        <v>862</v>
      </c>
      <c r="T108" s="670" t="s">
        <v>863</v>
      </c>
      <c r="U108" s="668"/>
      <c r="V108" s="667" t="s">
        <v>863</v>
      </c>
      <c r="W108" s="667" t="s">
        <v>863</v>
      </c>
      <c r="X108" s="667" t="s">
        <v>863</v>
      </c>
      <c r="Y108" s="232"/>
      <c r="Z108" s="671"/>
      <c r="AA108" s="668" t="s">
        <v>1014</v>
      </c>
      <c r="AB108" s="672"/>
      <c r="AC108" s="668"/>
      <c r="AD108" s="670">
        <v>1</v>
      </c>
      <c r="AE108" s="670">
        <v>1</v>
      </c>
      <c r="AMD108" s="224"/>
    </row>
    <row r="109" spans="1:1018" s="251" customFormat="1" ht="13.5" customHeight="1">
      <c r="A109" s="225">
        <f t="shared" si="3"/>
        <v>101</v>
      </c>
      <c r="B109" s="217"/>
      <c r="C109" s="241"/>
      <c r="D109" s="677" t="s">
        <v>1371</v>
      </c>
      <c r="E109" s="677"/>
      <c r="F109" s="241"/>
      <c r="G109" s="241"/>
      <c r="H109" s="668" t="s">
        <v>1372</v>
      </c>
      <c r="I109" s="666" t="s">
        <v>1373</v>
      </c>
      <c r="J109" s="668" t="s">
        <v>1374</v>
      </c>
      <c r="K109" s="666"/>
      <c r="L109" s="668"/>
      <c r="M109" s="668"/>
      <c r="N109" s="668"/>
      <c r="O109" s="668"/>
      <c r="P109" s="669"/>
      <c r="Q109" s="668" t="s">
        <v>816</v>
      </c>
      <c r="R109" s="668"/>
      <c r="S109" s="668" t="s">
        <v>862</v>
      </c>
      <c r="T109" s="670"/>
      <c r="U109" s="668"/>
      <c r="V109" s="667" t="s">
        <v>863</v>
      </c>
      <c r="W109" s="667" t="s">
        <v>863</v>
      </c>
      <c r="X109" s="667" t="s">
        <v>863</v>
      </c>
      <c r="Y109" s="232"/>
      <c r="Z109" s="671"/>
      <c r="AA109" s="668"/>
      <c r="AB109" s="672"/>
      <c r="AC109" s="668"/>
      <c r="AD109" s="670">
        <v>1</v>
      </c>
      <c r="AE109" s="670">
        <v>1</v>
      </c>
      <c r="AMD109" s="224"/>
    </row>
    <row r="110" spans="1:1018" s="251" customFormat="1" ht="13.5" customHeight="1">
      <c r="A110" s="225">
        <f t="shared" si="3"/>
        <v>102</v>
      </c>
      <c r="B110" s="217"/>
      <c r="C110" s="241"/>
      <c r="D110" s="677" t="s">
        <v>1375</v>
      </c>
      <c r="E110" s="677"/>
      <c r="F110" s="241"/>
      <c r="G110" s="241"/>
      <c r="H110" s="668" t="s">
        <v>1376</v>
      </c>
      <c r="I110" s="666" t="s">
        <v>1377</v>
      </c>
      <c r="J110" s="668" t="s">
        <v>1378</v>
      </c>
      <c r="K110" s="666"/>
      <c r="L110" s="668"/>
      <c r="M110" s="668"/>
      <c r="N110" s="668"/>
      <c r="O110" s="668"/>
      <c r="P110" s="669"/>
      <c r="Q110" s="668" t="s">
        <v>816</v>
      </c>
      <c r="R110" s="668"/>
      <c r="S110" s="668" t="s">
        <v>1379</v>
      </c>
      <c r="T110" s="670"/>
      <c r="U110" s="668"/>
      <c r="V110" s="667" t="s">
        <v>863</v>
      </c>
      <c r="W110" s="667" t="s">
        <v>863</v>
      </c>
      <c r="X110" s="667" t="s">
        <v>863</v>
      </c>
      <c r="Y110" s="232"/>
      <c r="Z110" s="671"/>
      <c r="AA110" s="668"/>
      <c r="AB110" s="672"/>
      <c r="AC110" s="668"/>
      <c r="AD110" s="670">
        <v>1</v>
      </c>
      <c r="AE110" s="670">
        <v>1</v>
      </c>
      <c r="AMD110" s="224"/>
    </row>
    <row r="111" spans="1:1018" s="251" customFormat="1" ht="13.5" customHeight="1">
      <c r="A111" s="225">
        <f t="shared" si="3"/>
        <v>103</v>
      </c>
      <c r="B111" s="217"/>
      <c r="C111" s="241"/>
      <c r="D111" s="677" t="s">
        <v>874</v>
      </c>
      <c r="E111" s="677"/>
      <c r="F111" s="241"/>
      <c r="G111" s="241"/>
      <c r="H111" s="668" t="s">
        <v>1380</v>
      </c>
      <c r="I111" s="665" t="s">
        <v>1381</v>
      </c>
      <c r="J111" s="668" t="s">
        <v>874</v>
      </c>
      <c r="K111" s="666"/>
      <c r="L111" s="668"/>
      <c r="M111" s="668"/>
      <c r="N111" s="668"/>
      <c r="O111" s="668"/>
      <c r="P111" s="669"/>
      <c r="Q111" s="668" t="s">
        <v>819</v>
      </c>
      <c r="R111" s="668"/>
      <c r="S111" s="668" t="s">
        <v>862</v>
      </c>
      <c r="T111" s="670"/>
      <c r="U111" s="668"/>
      <c r="V111" s="667" t="s">
        <v>863</v>
      </c>
      <c r="W111" s="667" t="s">
        <v>863</v>
      </c>
      <c r="X111" s="667" t="s">
        <v>863</v>
      </c>
      <c r="Y111" s="232"/>
      <c r="Z111" s="671"/>
      <c r="AA111" s="668"/>
      <c r="AB111" s="672"/>
      <c r="AC111" s="668"/>
      <c r="AD111" s="670">
        <v>1</v>
      </c>
      <c r="AE111" s="670">
        <v>1</v>
      </c>
      <c r="AMD111" s="224"/>
    </row>
    <row r="112" spans="1:1018" s="251" customFormat="1" ht="13.5" customHeight="1">
      <c r="A112" s="225">
        <f t="shared" si="3"/>
        <v>104</v>
      </c>
      <c r="B112" s="217"/>
      <c r="C112" s="241"/>
      <c r="D112" s="677" t="s">
        <v>1382</v>
      </c>
      <c r="E112" s="677"/>
      <c r="F112" s="241"/>
      <c r="G112" s="241"/>
      <c r="H112" s="668" t="s">
        <v>1383</v>
      </c>
      <c r="I112" s="666"/>
      <c r="J112" s="668" t="s">
        <v>1384</v>
      </c>
      <c r="K112" s="666"/>
      <c r="L112" s="668"/>
      <c r="M112" s="668"/>
      <c r="N112" s="668"/>
      <c r="O112" s="668"/>
      <c r="P112" s="669"/>
      <c r="Q112" s="668" t="s">
        <v>816</v>
      </c>
      <c r="R112" s="668"/>
      <c r="S112" s="668" t="s">
        <v>862</v>
      </c>
      <c r="T112" s="670"/>
      <c r="U112" s="668"/>
      <c r="V112" s="667" t="s">
        <v>863</v>
      </c>
      <c r="W112" s="667" t="s">
        <v>863</v>
      </c>
      <c r="X112" s="667" t="s">
        <v>863</v>
      </c>
      <c r="Y112" s="232"/>
      <c r="Z112" s="671"/>
      <c r="AA112" s="668"/>
      <c r="AB112" s="672"/>
      <c r="AC112" s="668"/>
      <c r="AD112" s="670">
        <v>1</v>
      </c>
      <c r="AE112" s="670">
        <v>1</v>
      </c>
      <c r="AMD112" s="224"/>
    </row>
    <row r="113" spans="1:1018" s="251" customFormat="1" ht="12.95" customHeight="1">
      <c r="A113" s="225">
        <f t="shared" si="3"/>
        <v>105</v>
      </c>
      <c r="B113" s="217"/>
      <c r="C113" s="241"/>
      <c r="D113" s="677" t="s">
        <v>1385</v>
      </c>
      <c r="E113" s="677"/>
      <c r="F113" s="241"/>
      <c r="G113" s="241"/>
      <c r="H113" s="668" t="s">
        <v>1386</v>
      </c>
      <c r="I113" s="666"/>
      <c r="J113" s="668" t="s">
        <v>1387</v>
      </c>
      <c r="K113" s="666"/>
      <c r="L113" s="668"/>
      <c r="M113" s="668"/>
      <c r="N113" s="668"/>
      <c r="O113" s="668"/>
      <c r="P113" s="669"/>
      <c r="Q113" s="668" t="s">
        <v>816</v>
      </c>
      <c r="R113" s="668"/>
      <c r="S113" s="668" t="s">
        <v>862</v>
      </c>
      <c r="T113" s="670"/>
      <c r="U113" s="668"/>
      <c r="V113" s="667" t="s">
        <v>863</v>
      </c>
      <c r="W113" s="667" t="s">
        <v>863</v>
      </c>
      <c r="X113" s="667" t="s">
        <v>863</v>
      </c>
      <c r="Y113" s="232"/>
      <c r="Z113" s="671"/>
      <c r="AA113" s="668"/>
      <c r="AB113" s="672"/>
      <c r="AC113" s="668"/>
      <c r="AD113" s="670">
        <v>1</v>
      </c>
      <c r="AE113" s="670">
        <v>1</v>
      </c>
      <c r="AMD113" s="224"/>
    </row>
    <row r="114" spans="1:1018" s="224" customFormat="1" ht="13.5" customHeight="1">
      <c r="A114" s="225">
        <f t="shared" si="3"/>
        <v>106</v>
      </c>
      <c r="B114" s="217" t="s">
        <v>1388</v>
      </c>
      <c r="C114" s="216"/>
      <c r="D114" s="241"/>
      <c r="E114" s="241"/>
      <c r="F114" s="241"/>
      <c r="G114" s="241"/>
      <c r="H114" s="668" t="s">
        <v>1652</v>
      </c>
      <c r="I114" s="666" t="s">
        <v>1340</v>
      </c>
      <c r="J114" s="668"/>
      <c r="K114" s="666" t="s">
        <v>1390</v>
      </c>
      <c r="L114" s="668"/>
      <c r="M114" s="668"/>
      <c r="N114" s="668"/>
      <c r="O114" s="668"/>
      <c r="P114" s="669"/>
      <c r="Q114" s="668" t="s">
        <v>819</v>
      </c>
      <c r="R114" s="668"/>
      <c r="S114" s="668" t="s">
        <v>862</v>
      </c>
      <c r="T114" s="670"/>
      <c r="U114" s="678"/>
      <c r="V114" s="667"/>
      <c r="W114" s="667" t="s">
        <v>863</v>
      </c>
      <c r="X114" s="667" t="s">
        <v>863</v>
      </c>
      <c r="Y114" s="232"/>
      <c r="Z114" s="379" t="s">
        <v>1391</v>
      </c>
      <c r="AA114" s="385" t="s">
        <v>1346</v>
      </c>
      <c r="AB114" s="672"/>
      <c r="AC114" s="668"/>
      <c r="AD114" s="670"/>
      <c r="AE114" s="670">
        <v>1</v>
      </c>
    </row>
    <row r="115" spans="1:1018" s="224" customFormat="1" ht="13.5" customHeight="1">
      <c r="A115" s="225">
        <f t="shared" si="3"/>
        <v>107</v>
      </c>
      <c r="B115" s="217" t="s">
        <v>1392</v>
      </c>
      <c r="C115" s="216"/>
      <c r="D115" s="216"/>
      <c r="E115" s="216"/>
      <c r="F115" s="216"/>
      <c r="G115" s="216"/>
      <c r="H115" s="668" t="s">
        <v>1393</v>
      </c>
      <c r="I115" s="679"/>
      <c r="J115" s="668"/>
      <c r="K115" s="666" t="s">
        <v>1394</v>
      </c>
      <c r="L115" s="668"/>
      <c r="M115" s="668"/>
      <c r="N115" s="668"/>
      <c r="O115" s="668"/>
      <c r="P115" s="669"/>
      <c r="Q115" s="668" t="s">
        <v>822</v>
      </c>
      <c r="R115" s="668" t="s">
        <v>863</v>
      </c>
      <c r="S115" s="378" t="s">
        <v>1394</v>
      </c>
      <c r="T115" s="670"/>
      <c r="U115" s="704"/>
      <c r="V115" s="667"/>
      <c r="W115" s="260"/>
      <c r="X115" s="260"/>
      <c r="Y115" s="232"/>
      <c r="Z115" s="671"/>
      <c r="AA115" s="668"/>
      <c r="AB115" s="672"/>
      <c r="AC115" s="668"/>
      <c r="AD115" s="670"/>
      <c r="AE115" s="670">
        <v>1</v>
      </c>
    </row>
    <row r="116" spans="1:1018" s="224" customFormat="1" ht="13.5" customHeight="1">
      <c r="A116" s="225">
        <f t="shared" si="3"/>
        <v>108</v>
      </c>
      <c r="B116" s="216"/>
      <c r="C116" s="241" t="s">
        <v>1303</v>
      </c>
      <c r="D116" s="241"/>
      <c r="E116" s="241"/>
      <c r="F116" s="241"/>
      <c r="G116" s="241"/>
      <c r="H116" s="668" t="s">
        <v>1395</v>
      </c>
      <c r="I116" s="679"/>
      <c r="J116" s="668"/>
      <c r="K116" s="666" t="s">
        <v>1302</v>
      </c>
      <c r="L116" s="668"/>
      <c r="M116" s="668"/>
      <c r="N116" s="668"/>
      <c r="O116" s="668"/>
      <c r="P116" s="669"/>
      <c r="Q116" s="382" t="s">
        <v>816</v>
      </c>
      <c r="R116" s="668" t="s">
        <v>863</v>
      </c>
      <c r="S116" s="378" t="s">
        <v>1302</v>
      </c>
      <c r="T116" s="670"/>
      <c r="U116" s="670"/>
      <c r="V116" s="667"/>
      <c r="W116" s="260"/>
      <c r="X116" s="260"/>
      <c r="Y116" s="232"/>
      <c r="Z116" s="384" t="s">
        <v>1396</v>
      </c>
      <c r="AA116" s="668"/>
      <c r="AB116" s="672"/>
      <c r="AC116" s="668"/>
      <c r="AD116" s="670"/>
      <c r="AE116" s="670">
        <v>1</v>
      </c>
    </row>
    <row r="117" spans="1:1018" s="224" customFormat="1" ht="13.5" customHeight="1">
      <c r="A117" s="225">
        <f t="shared" si="3"/>
        <v>109</v>
      </c>
      <c r="B117" s="216"/>
      <c r="C117" s="241" t="s">
        <v>830</v>
      </c>
      <c r="D117" s="241"/>
      <c r="E117" s="241"/>
      <c r="F117" s="241"/>
      <c r="G117" s="241"/>
      <c r="H117" s="668" t="s">
        <v>1397</v>
      </c>
      <c r="I117" s="679"/>
      <c r="J117" s="668"/>
      <c r="K117" s="666" t="s">
        <v>1217</v>
      </c>
      <c r="L117" s="668"/>
      <c r="M117" s="668"/>
      <c r="N117" s="668"/>
      <c r="O117" s="668"/>
      <c r="P117" s="669"/>
      <c r="Q117" s="668" t="s">
        <v>816</v>
      </c>
      <c r="R117" s="668"/>
      <c r="S117" s="668" t="s">
        <v>862</v>
      </c>
      <c r="T117" s="670"/>
      <c r="U117" s="704"/>
      <c r="V117" s="667"/>
      <c r="W117" s="260"/>
      <c r="X117" s="260"/>
      <c r="Y117" s="232"/>
      <c r="Z117" s="671"/>
      <c r="AA117" s="668"/>
      <c r="AB117" s="672"/>
      <c r="AC117" s="668"/>
      <c r="AD117" s="670"/>
      <c r="AE117" s="670">
        <v>1</v>
      </c>
    </row>
    <row r="118" spans="1:1018" s="224" customFormat="1" ht="13.5" customHeight="1">
      <c r="A118" s="225">
        <f t="shared" si="3"/>
        <v>110</v>
      </c>
      <c r="B118" s="217"/>
      <c r="C118" s="241" t="s">
        <v>1398</v>
      </c>
      <c r="D118" s="241"/>
      <c r="E118" s="241"/>
      <c r="F118" s="241"/>
      <c r="G118" s="241"/>
      <c r="H118" s="668" t="s">
        <v>1399</v>
      </c>
      <c r="I118" s="679" t="s">
        <v>1400</v>
      </c>
      <c r="J118" s="668"/>
      <c r="K118" s="666" t="s">
        <v>1351</v>
      </c>
      <c r="L118" s="668"/>
      <c r="M118" s="668"/>
      <c r="N118" s="668"/>
      <c r="O118" s="668"/>
      <c r="P118" s="669"/>
      <c r="Q118" s="668" t="s">
        <v>819</v>
      </c>
      <c r="R118" s="668"/>
      <c r="S118" s="668" t="s">
        <v>862</v>
      </c>
      <c r="T118" s="670"/>
      <c r="U118" s="670"/>
      <c r="V118" s="667"/>
      <c r="W118" s="667"/>
      <c r="X118" s="667"/>
      <c r="Y118" s="232"/>
      <c r="Z118" s="671"/>
      <c r="AA118" s="668"/>
      <c r="AB118" s="672"/>
      <c r="AC118" s="668"/>
      <c r="AD118" s="670"/>
      <c r="AE118" s="670">
        <v>1</v>
      </c>
    </row>
    <row r="119" spans="1:1018" s="224" customFormat="1" ht="14.25" customHeight="1">
      <c r="A119" s="225">
        <f t="shared" si="3"/>
        <v>111</v>
      </c>
      <c r="B119" s="217" t="s">
        <v>1653</v>
      </c>
      <c r="C119" s="217"/>
      <c r="D119" s="217"/>
      <c r="E119" s="217"/>
      <c r="F119" s="217"/>
      <c r="G119" s="217"/>
      <c r="H119" s="668" t="s">
        <v>1401</v>
      </c>
      <c r="I119" s="679"/>
      <c r="J119" s="668"/>
      <c r="K119" s="666" t="s">
        <v>1402</v>
      </c>
      <c r="L119" s="668"/>
      <c r="M119" s="668"/>
      <c r="N119" s="668"/>
      <c r="O119" s="668"/>
      <c r="P119" s="669"/>
      <c r="Q119" s="668" t="s">
        <v>822</v>
      </c>
      <c r="R119" s="668" t="s">
        <v>863</v>
      </c>
      <c r="S119" s="378" t="s">
        <v>1402</v>
      </c>
      <c r="T119" s="670"/>
      <c r="U119" s="259"/>
      <c r="V119" s="260" t="s">
        <v>863</v>
      </c>
      <c r="W119" s="260" t="s">
        <v>863</v>
      </c>
      <c r="X119" s="260" t="s">
        <v>863</v>
      </c>
      <c r="Y119" s="232"/>
      <c r="Z119" s="671"/>
      <c r="AA119" s="668"/>
      <c r="AB119" s="245"/>
      <c r="AC119" s="668"/>
      <c r="AD119" s="670"/>
      <c r="AE119" s="670">
        <v>1</v>
      </c>
    </row>
    <row r="120" spans="1:1018" s="224" customFormat="1" ht="13.5" customHeight="1">
      <c r="A120" s="225">
        <f t="shared" si="3"/>
        <v>112</v>
      </c>
      <c r="B120" s="217"/>
      <c r="C120" s="217" t="s">
        <v>1403</v>
      </c>
      <c r="D120" s="241"/>
      <c r="E120" s="219"/>
      <c r="F120" s="241"/>
      <c r="G120" s="241"/>
      <c r="H120" s="668" t="s">
        <v>1404</v>
      </c>
      <c r="I120" s="679" t="s">
        <v>1654</v>
      </c>
      <c r="J120" s="668"/>
      <c r="K120" s="666" t="s">
        <v>1217</v>
      </c>
      <c r="L120" s="668"/>
      <c r="M120" s="668"/>
      <c r="N120" s="668"/>
      <c r="O120" s="668"/>
      <c r="P120" s="669"/>
      <c r="Q120" s="668" t="s">
        <v>819</v>
      </c>
      <c r="R120" s="668"/>
      <c r="S120" s="666" t="s">
        <v>862</v>
      </c>
      <c r="T120" s="670"/>
      <c r="U120" s="670"/>
      <c r="V120" s="667" t="s">
        <v>863</v>
      </c>
      <c r="W120" s="260" t="s">
        <v>863</v>
      </c>
      <c r="X120" s="260" t="s">
        <v>863</v>
      </c>
      <c r="Y120" s="232"/>
      <c r="Z120" s="266" t="s">
        <v>1405</v>
      </c>
      <c r="AA120" s="668" t="s">
        <v>1406</v>
      </c>
      <c r="AB120" s="672"/>
      <c r="AC120" s="668"/>
      <c r="AD120" s="670"/>
      <c r="AE120" s="670">
        <v>1</v>
      </c>
    </row>
    <row r="121" spans="1:1018" s="224" customFormat="1" ht="13.5" customHeight="1">
      <c r="A121" s="225">
        <f t="shared" si="3"/>
        <v>113</v>
      </c>
      <c r="B121" s="217"/>
      <c r="C121" s="217" t="s">
        <v>1407</v>
      </c>
      <c r="D121" s="219"/>
      <c r="E121" s="219"/>
      <c r="F121" s="219"/>
      <c r="G121" s="219"/>
      <c r="H121" s="668"/>
      <c r="I121" s="679"/>
      <c r="J121" s="668"/>
      <c r="K121" s="666" t="s">
        <v>1655</v>
      </c>
      <c r="L121" s="668"/>
      <c r="M121" s="668"/>
      <c r="N121" s="668"/>
      <c r="O121" s="668"/>
      <c r="P121" s="669"/>
      <c r="Q121" s="668" t="s">
        <v>816</v>
      </c>
      <c r="R121" s="668" t="s">
        <v>863</v>
      </c>
      <c r="S121" s="243" t="s">
        <v>1655</v>
      </c>
      <c r="T121" s="670"/>
      <c r="U121" s="670"/>
      <c r="V121" s="260"/>
      <c r="W121" s="260" t="s">
        <v>863</v>
      </c>
      <c r="X121" s="260" t="s">
        <v>863</v>
      </c>
      <c r="Y121" s="232"/>
      <c r="Z121" s="671"/>
      <c r="AA121" s="668"/>
      <c r="AB121" s="245"/>
      <c r="AC121" s="668"/>
      <c r="AD121" s="670"/>
      <c r="AE121" s="670">
        <v>1</v>
      </c>
    </row>
    <row r="122" spans="1:1018" s="224" customFormat="1" ht="13.5" customHeight="1">
      <c r="A122" s="225">
        <f t="shared" si="3"/>
        <v>114</v>
      </c>
      <c r="B122" s="217"/>
      <c r="C122" s="217"/>
      <c r="D122" s="241" t="s">
        <v>1409</v>
      </c>
      <c r="E122" s="219"/>
      <c r="F122" s="219"/>
      <c r="G122" s="219"/>
      <c r="H122" s="668" t="s">
        <v>1410</v>
      </c>
      <c r="I122" s="679"/>
      <c r="J122" s="668"/>
      <c r="K122" s="666" t="s">
        <v>1411</v>
      </c>
      <c r="L122" s="668"/>
      <c r="M122" s="668"/>
      <c r="N122" s="668"/>
      <c r="O122" s="668"/>
      <c r="P122" s="669"/>
      <c r="Q122" s="668" t="s">
        <v>822</v>
      </c>
      <c r="R122" s="668" t="s">
        <v>863</v>
      </c>
      <c r="S122" s="378" t="s">
        <v>1411</v>
      </c>
      <c r="T122" s="670"/>
      <c r="U122" s="670"/>
      <c r="V122" s="667"/>
      <c r="W122" s="260" t="s">
        <v>863</v>
      </c>
      <c r="X122" s="260" t="s">
        <v>863</v>
      </c>
      <c r="Y122" s="232"/>
      <c r="Z122" s="671"/>
      <c r="AA122" s="668"/>
      <c r="AB122" s="672"/>
      <c r="AC122" s="668"/>
      <c r="AD122" s="670"/>
      <c r="AE122" s="670">
        <v>1</v>
      </c>
    </row>
    <row r="123" spans="1:1018" s="224" customFormat="1" ht="13.5" customHeight="1">
      <c r="A123" s="225">
        <f t="shared" si="3"/>
        <v>115</v>
      </c>
      <c r="B123" s="217"/>
      <c r="C123" s="217"/>
      <c r="D123" s="241"/>
      <c r="E123" s="241" t="s">
        <v>1070</v>
      </c>
      <c r="F123" s="241"/>
      <c r="G123" s="241"/>
      <c r="H123" s="668" t="s">
        <v>1071</v>
      </c>
      <c r="I123" s="679" t="s">
        <v>1412</v>
      </c>
      <c r="J123" s="668"/>
      <c r="K123" s="666" t="s">
        <v>907</v>
      </c>
      <c r="L123" s="668"/>
      <c r="M123" s="668"/>
      <c r="N123" s="668"/>
      <c r="O123" s="668"/>
      <c r="P123" s="669"/>
      <c r="Q123" s="668" t="s">
        <v>819</v>
      </c>
      <c r="R123" s="668"/>
      <c r="S123" s="668" t="s">
        <v>862</v>
      </c>
      <c r="T123" s="670" t="s">
        <v>863</v>
      </c>
      <c r="U123" s="670" t="s">
        <v>1413</v>
      </c>
      <c r="V123" s="260"/>
      <c r="W123" s="260" t="s">
        <v>863</v>
      </c>
      <c r="X123" s="260" t="s">
        <v>863</v>
      </c>
      <c r="Y123" s="232"/>
      <c r="Z123" s="266" t="s">
        <v>1074</v>
      </c>
      <c r="AA123" s="668" t="s">
        <v>1075</v>
      </c>
      <c r="AB123" s="245"/>
      <c r="AC123" s="668"/>
      <c r="AD123" s="670"/>
      <c r="AE123" s="670">
        <v>1</v>
      </c>
    </row>
    <row r="124" spans="1:1018" s="224" customFormat="1" ht="13.5" customHeight="1">
      <c r="A124" s="225">
        <f t="shared" si="3"/>
        <v>116</v>
      </c>
      <c r="B124" s="217"/>
      <c r="C124" s="217"/>
      <c r="D124" s="241"/>
      <c r="E124" s="241" t="s">
        <v>1076</v>
      </c>
      <c r="F124" s="241"/>
      <c r="G124" s="241"/>
      <c r="H124" s="668" t="s">
        <v>1077</v>
      </c>
      <c r="I124" s="679" t="s">
        <v>1358</v>
      </c>
      <c r="J124" s="668"/>
      <c r="K124" s="666" t="s">
        <v>1079</v>
      </c>
      <c r="L124" s="668"/>
      <c r="M124" s="668"/>
      <c r="N124" s="668"/>
      <c r="O124" s="668"/>
      <c r="P124" s="669"/>
      <c r="Q124" s="668" t="s">
        <v>819</v>
      </c>
      <c r="R124" s="668"/>
      <c r="S124" s="668" t="s">
        <v>862</v>
      </c>
      <c r="T124" s="670"/>
      <c r="U124" s="670"/>
      <c r="V124" s="260"/>
      <c r="W124" s="260" t="s">
        <v>863</v>
      </c>
      <c r="X124" s="260" t="s">
        <v>863</v>
      </c>
      <c r="Y124" s="232"/>
      <c r="Z124" s="671"/>
      <c r="AA124" s="668"/>
      <c r="AB124" s="245"/>
      <c r="AC124" s="668"/>
      <c r="AD124" s="670"/>
      <c r="AE124" s="670">
        <v>1</v>
      </c>
    </row>
    <row r="125" spans="1:1018" s="224" customFormat="1" ht="13.5" customHeight="1">
      <c r="A125" s="225">
        <f t="shared" si="3"/>
        <v>117</v>
      </c>
      <c r="B125" s="217"/>
      <c r="C125" s="217"/>
      <c r="D125" s="217" t="s">
        <v>1258</v>
      </c>
      <c r="E125" s="219" t="s">
        <v>1274</v>
      </c>
      <c r="F125" s="241"/>
      <c r="G125" s="241"/>
      <c r="H125" s="668" t="s">
        <v>1414</v>
      </c>
      <c r="I125" s="679"/>
      <c r="J125" s="668"/>
      <c r="K125" s="666" t="s">
        <v>1263</v>
      </c>
      <c r="L125" s="668"/>
      <c r="M125" s="668"/>
      <c r="N125" s="668"/>
      <c r="O125" s="668"/>
      <c r="P125" s="669"/>
      <c r="Q125" s="668" t="s">
        <v>822</v>
      </c>
      <c r="R125" s="668" t="s">
        <v>863</v>
      </c>
      <c r="S125" s="243" t="s">
        <v>1263</v>
      </c>
      <c r="T125" s="670"/>
      <c r="U125" s="670"/>
      <c r="V125" s="260"/>
      <c r="W125" s="260" t="s">
        <v>863</v>
      </c>
      <c r="X125" s="260" t="s">
        <v>863</v>
      </c>
      <c r="Y125" s="232"/>
      <c r="Z125" s="383" t="s">
        <v>1415</v>
      </c>
      <c r="AA125" s="389" t="s">
        <v>1416</v>
      </c>
      <c r="AB125" s="245" t="s">
        <v>1264</v>
      </c>
      <c r="AC125" s="668"/>
      <c r="AD125" s="670"/>
      <c r="AE125" s="670">
        <v>1</v>
      </c>
    </row>
    <row r="126" spans="1:1018" s="224" customFormat="1" ht="13.5" customHeight="1">
      <c r="A126" s="225">
        <f t="shared" si="3"/>
        <v>118</v>
      </c>
      <c r="B126" s="217"/>
      <c r="C126" s="217"/>
      <c r="D126" s="217" t="s">
        <v>1050</v>
      </c>
      <c r="E126" s="241"/>
      <c r="F126" s="241"/>
      <c r="G126" s="241"/>
      <c r="H126" s="668" t="s">
        <v>1417</v>
      </c>
      <c r="I126" s="679"/>
      <c r="J126" s="668"/>
      <c r="K126" s="666" t="s">
        <v>1418</v>
      </c>
      <c r="L126" s="668"/>
      <c r="M126" s="668"/>
      <c r="N126" s="668"/>
      <c r="O126" s="668"/>
      <c r="P126" s="669"/>
      <c r="Q126" s="668" t="s">
        <v>816</v>
      </c>
      <c r="R126" s="668" t="s">
        <v>863</v>
      </c>
      <c r="S126" s="378" t="s">
        <v>1418</v>
      </c>
      <c r="T126" s="670"/>
      <c r="U126" s="670"/>
      <c r="V126" s="260"/>
      <c r="W126" s="260" t="s">
        <v>863</v>
      </c>
      <c r="X126" s="260" t="s">
        <v>863</v>
      </c>
      <c r="Y126" s="232"/>
      <c r="Z126" s="671"/>
      <c r="AA126" s="668"/>
      <c r="AB126" s="245"/>
      <c r="AC126" s="668"/>
      <c r="AD126" s="670"/>
      <c r="AE126" s="670">
        <v>1</v>
      </c>
    </row>
    <row r="127" spans="1:1018" s="224" customFormat="1" ht="13.5" customHeight="1">
      <c r="A127" s="225">
        <f t="shared" si="3"/>
        <v>119</v>
      </c>
      <c r="B127" s="217"/>
      <c r="C127" s="217"/>
      <c r="D127" s="217"/>
      <c r="E127" s="217" t="s">
        <v>1080</v>
      </c>
      <c r="F127" s="219" t="s">
        <v>1419</v>
      </c>
      <c r="G127" s="241"/>
      <c r="H127" s="668"/>
      <c r="I127" s="679"/>
      <c r="J127" s="668"/>
      <c r="K127" s="666" t="s">
        <v>1081</v>
      </c>
      <c r="L127" s="668"/>
      <c r="M127" s="668"/>
      <c r="N127" s="668"/>
      <c r="O127" s="668"/>
      <c r="P127" s="669"/>
      <c r="Q127" s="668" t="s">
        <v>816</v>
      </c>
      <c r="R127" s="668" t="s">
        <v>863</v>
      </c>
      <c r="S127" s="243" t="s">
        <v>1081</v>
      </c>
      <c r="T127" s="670"/>
      <c r="U127" s="670"/>
      <c r="V127" s="260"/>
      <c r="W127" s="260" t="s">
        <v>863</v>
      </c>
      <c r="X127" s="260" t="s">
        <v>863</v>
      </c>
      <c r="Y127" s="232"/>
      <c r="Z127" s="671"/>
      <c r="AA127" s="668"/>
      <c r="AB127" s="245"/>
      <c r="AC127" s="668"/>
      <c r="AD127" s="670"/>
      <c r="AE127" s="670">
        <v>1</v>
      </c>
    </row>
    <row r="128" spans="1:1018" s="224" customFormat="1" ht="13.5" customHeight="1">
      <c r="A128" s="225">
        <f t="shared" si="3"/>
        <v>120</v>
      </c>
      <c r="B128" s="217"/>
      <c r="C128" s="217"/>
      <c r="D128" s="217"/>
      <c r="E128" s="217" t="s">
        <v>1105</v>
      </c>
      <c r="F128" s="219" t="s">
        <v>1420</v>
      </c>
      <c r="G128" s="241"/>
      <c r="H128" s="668"/>
      <c r="I128" s="679"/>
      <c r="J128" s="668"/>
      <c r="K128" s="666" t="s">
        <v>1106</v>
      </c>
      <c r="L128" s="668"/>
      <c r="M128" s="668"/>
      <c r="N128" s="668"/>
      <c r="O128" s="668"/>
      <c r="P128" s="669"/>
      <c r="Q128" s="668" t="s">
        <v>816</v>
      </c>
      <c r="R128" s="668" t="s">
        <v>863</v>
      </c>
      <c r="S128" s="243" t="s">
        <v>1106</v>
      </c>
      <c r="T128" s="670"/>
      <c r="U128" s="670"/>
      <c r="V128" s="260"/>
      <c r="W128" s="260" t="s">
        <v>863</v>
      </c>
      <c r="X128" s="260" t="s">
        <v>863</v>
      </c>
      <c r="Y128" s="232"/>
      <c r="Z128" s="671"/>
      <c r="AA128" s="668"/>
      <c r="AB128" s="245"/>
      <c r="AC128" s="668"/>
      <c r="AD128" s="670"/>
      <c r="AE128" s="670">
        <v>1</v>
      </c>
    </row>
    <row r="129" spans="1:31" s="224" customFormat="1" ht="13.5" customHeight="1">
      <c r="A129" s="225">
        <f t="shared" si="3"/>
        <v>121</v>
      </c>
      <c r="B129" s="217"/>
      <c r="C129" s="217"/>
      <c r="D129" s="217" t="s">
        <v>1421</v>
      </c>
      <c r="E129" s="241"/>
      <c r="F129" s="241"/>
      <c r="G129" s="241"/>
      <c r="H129" s="668"/>
      <c r="I129" s="679"/>
      <c r="J129" s="668"/>
      <c r="K129" s="666" t="s">
        <v>1422</v>
      </c>
      <c r="L129" s="668"/>
      <c r="M129" s="668"/>
      <c r="N129" s="668"/>
      <c r="O129" s="668"/>
      <c r="P129" s="669"/>
      <c r="Q129" s="668" t="s">
        <v>816</v>
      </c>
      <c r="R129" s="668" t="s">
        <v>863</v>
      </c>
      <c r="S129" s="378" t="s">
        <v>1422</v>
      </c>
      <c r="T129" s="670"/>
      <c r="U129" s="670"/>
      <c r="V129" s="260"/>
      <c r="W129" s="260" t="s">
        <v>863</v>
      </c>
      <c r="X129" s="260" t="s">
        <v>863</v>
      </c>
      <c r="Y129" s="232"/>
      <c r="Z129" s="671"/>
      <c r="AA129" s="671" t="s">
        <v>1423</v>
      </c>
      <c r="AB129" s="245"/>
      <c r="AC129" s="668"/>
      <c r="AD129" s="670"/>
      <c r="AE129" s="670">
        <v>1</v>
      </c>
    </row>
    <row r="130" spans="1:31" s="224" customFormat="1" ht="13.5" customHeight="1">
      <c r="A130" s="225">
        <f t="shared" si="3"/>
        <v>122</v>
      </c>
      <c r="B130" s="217"/>
      <c r="C130" s="217"/>
      <c r="D130" s="217"/>
      <c r="E130" s="241" t="s">
        <v>1303</v>
      </c>
      <c r="F130" s="241"/>
      <c r="G130" s="241"/>
      <c r="H130" s="668" t="s">
        <v>1424</v>
      </c>
      <c r="I130" s="679"/>
      <c r="J130" s="668"/>
      <c r="K130" s="666" t="s">
        <v>1302</v>
      </c>
      <c r="L130" s="668"/>
      <c r="M130" s="668"/>
      <c r="N130" s="668"/>
      <c r="O130" s="668"/>
      <c r="P130" s="669"/>
      <c r="Q130" s="668" t="s">
        <v>819</v>
      </c>
      <c r="R130" s="668" t="s">
        <v>863</v>
      </c>
      <c r="S130" s="243" t="s">
        <v>1302</v>
      </c>
      <c r="T130" s="670"/>
      <c r="U130" s="670"/>
      <c r="V130" s="260"/>
      <c r="W130" s="260" t="s">
        <v>863</v>
      </c>
      <c r="X130" s="260" t="s">
        <v>863</v>
      </c>
      <c r="Y130" s="232"/>
      <c r="Z130" s="671"/>
      <c r="AA130" s="668"/>
      <c r="AB130" s="245"/>
      <c r="AC130" s="668"/>
      <c r="AD130" s="670"/>
      <c r="AE130" s="670">
        <v>1</v>
      </c>
    </row>
    <row r="131" spans="1:31" s="224" customFormat="1" ht="13.5" customHeight="1">
      <c r="A131" s="225">
        <f t="shared" si="3"/>
        <v>123</v>
      </c>
      <c r="B131" s="217"/>
      <c r="C131" s="217"/>
      <c r="D131" s="217"/>
      <c r="E131" s="241" t="s">
        <v>1425</v>
      </c>
      <c r="F131" s="241"/>
      <c r="G131" s="241"/>
      <c r="H131" s="668" t="s">
        <v>1426</v>
      </c>
      <c r="I131" s="679">
        <v>10000668540</v>
      </c>
      <c r="J131" s="668"/>
      <c r="K131" s="666" t="s">
        <v>1217</v>
      </c>
      <c r="L131" s="668"/>
      <c r="M131" s="668"/>
      <c r="N131" s="668"/>
      <c r="O131" s="668"/>
      <c r="P131" s="669"/>
      <c r="Q131" s="668" t="s">
        <v>816</v>
      </c>
      <c r="R131" s="668"/>
      <c r="S131" s="668" t="s">
        <v>862</v>
      </c>
      <c r="T131" s="670"/>
      <c r="U131" s="373"/>
      <c r="V131" s="260"/>
      <c r="W131" s="260" t="s">
        <v>863</v>
      </c>
      <c r="X131" s="260" t="s">
        <v>863</v>
      </c>
      <c r="Y131" s="232"/>
      <c r="Z131" s="379" t="s">
        <v>1427</v>
      </c>
      <c r="AA131" s="668" t="s">
        <v>1428</v>
      </c>
      <c r="AB131" s="245"/>
      <c r="AC131" s="668"/>
      <c r="AD131" s="670"/>
      <c r="AE131" s="670">
        <v>1</v>
      </c>
    </row>
    <row r="132" spans="1:31" s="224" customFormat="1" ht="13.5" customHeight="1">
      <c r="A132" s="225">
        <f t="shared" si="3"/>
        <v>124</v>
      </c>
      <c r="B132" s="217"/>
      <c r="C132" s="217"/>
      <c r="D132" s="241"/>
      <c r="E132" s="241" t="s">
        <v>1429</v>
      </c>
      <c r="F132" s="219" t="s">
        <v>1430</v>
      </c>
      <c r="G132" s="241"/>
      <c r="H132" s="668"/>
      <c r="I132" s="679"/>
      <c r="J132" s="668"/>
      <c r="K132" s="666" t="s">
        <v>1418</v>
      </c>
      <c r="L132" s="668"/>
      <c r="M132" s="668"/>
      <c r="N132" s="668"/>
      <c r="O132" s="668"/>
      <c r="P132" s="669"/>
      <c r="Q132" s="668" t="s">
        <v>816</v>
      </c>
      <c r="R132" s="668" t="s">
        <v>863</v>
      </c>
      <c r="S132" s="378" t="s">
        <v>1418</v>
      </c>
      <c r="T132" s="670"/>
      <c r="U132" s="670"/>
      <c r="V132" s="667"/>
      <c r="W132" s="667" t="s">
        <v>863</v>
      </c>
      <c r="X132" s="667" t="s">
        <v>863</v>
      </c>
      <c r="Y132" s="232"/>
      <c r="Z132" s="671"/>
      <c r="AA132" s="668"/>
      <c r="AB132" s="672"/>
      <c r="AC132" s="668"/>
      <c r="AD132" s="670"/>
      <c r="AE132" s="670">
        <v>1</v>
      </c>
    </row>
    <row r="133" spans="1:31" s="224" customFormat="1" ht="13.5" customHeight="1">
      <c r="A133" s="225">
        <f t="shared" si="3"/>
        <v>125</v>
      </c>
      <c r="B133" s="217"/>
      <c r="C133" s="217"/>
      <c r="D133" s="217"/>
      <c r="E133" s="217" t="s">
        <v>1431</v>
      </c>
      <c r="F133" s="219" t="s">
        <v>1274</v>
      </c>
      <c r="G133" s="241"/>
      <c r="H133" s="668" t="s">
        <v>1414</v>
      </c>
      <c r="I133" s="679"/>
      <c r="J133" s="668"/>
      <c r="K133" s="666" t="s">
        <v>1263</v>
      </c>
      <c r="L133" s="668"/>
      <c r="M133" s="668"/>
      <c r="N133" s="668"/>
      <c r="O133" s="668"/>
      <c r="P133" s="669"/>
      <c r="Q133" s="668" t="s">
        <v>822</v>
      </c>
      <c r="R133" s="668" t="s">
        <v>863</v>
      </c>
      <c r="S133" s="243" t="s">
        <v>1263</v>
      </c>
      <c r="T133" s="670"/>
      <c r="U133" s="259"/>
      <c r="V133" s="260"/>
      <c r="W133" s="260" t="s">
        <v>863</v>
      </c>
      <c r="X133" s="260" t="s">
        <v>863</v>
      </c>
      <c r="Y133" s="232"/>
      <c r="Z133" s="671"/>
      <c r="AA133" s="668"/>
      <c r="AB133" s="245" t="s">
        <v>1264</v>
      </c>
      <c r="AC133" s="668"/>
      <c r="AD133" s="670"/>
      <c r="AE133" s="670">
        <v>1</v>
      </c>
    </row>
    <row r="134" spans="1:31" s="224" customFormat="1" ht="13.5" customHeight="1">
      <c r="A134" s="225">
        <f t="shared" si="3"/>
        <v>126</v>
      </c>
      <c r="B134" s="217"/>
      <c r="C134" s="217" t="s">
        <v>1432</v>
      </c>
      <c r="D134" s="241"/>
      <c r="E134" s="241"/>
      <c r="F134" s="241"/>
      <c r="G134" s="241"/>
      <c r="H134" s="668" t="s">
        <v>1433</v>
      </c>
      <c r="I134" s="679"/>
      <c r="J134" s="668"/>
      <c r="K134" s="666" t="s">
        <v>1434</v>
      </c>
      <c r="L134" s="668"/>
      <c r="M134" s="668"/>
      <c r="N134" s="668"/>
      <c r="O134" s="668"/>
      <c r="P134" s="669"/>
      <c r="Q134" s="668" t="s">
        <v>816</v>
      </c>
      <c r="R134" s="668" t="s">
        <v>863</v>
      </c>
      <c r="S134" s="243" t="s">
        <v>1435</v>
      </c>
      <c r="T134" s="670"/>
      <c r="U134" s="670"/>
      <c r="V134" s="260" t="s">
        <v>863</v>
      </c>
      <c r="W134" s="260" t="s">
        <v>863</v>
      </c>
      <c r="X134" s="260" t="s">
        <v>863</v>
      </c>
      <c r="Y134" s="232"/>
      <c r="Z134" s="671"/>
      <c r="AA134" s="668"/>
      <c r="AB134" s="245"/>
      <c r="AC134" s="668"/>
      <c r="AD134" s="670"/>
      <c r="AE134" s="670">
        <v>1</v>
      </c>
    </row>
    <row r="135" spans="1:31" s="224" customFormat="1" ht="13.5" customHeight="1">
      <c r="A135" s="225">
        <f t="shared" si="3"/>
        <v>127</v>
      </c>
      <c r="B135" s="217"/>
      <c r="C135" s="217"/>
      <c r="D135" s="217" t="s">
        <v>1436</v>
      </c>
      <c r="E135" s="241"/>
      <c r="F135" s="241"/>
      <c r="G135" s="241"/>
      <c r="H135" s="668" t="s">
        <v>1437</v>
      </c>
      <c r="I135" s="679"/>
      <c r="J135" s="668"/>
      <c r="K135" s="666" t="s">
        <v>1438</v>
      </c>
      <c r="L135" s="668"/>
      <c r="M135" s="668"/>
      <c r="N135" s="668"/>
      <c r="O135" s="668"/>
      <c r="P135" s="669"/>
      <c r="Q135" s="668" t="s">
        <v>816</v>
      </c>
      <c r="R135" s="668" t="s">
        <v>863</v>
      </c>
      <c r="S135" s="243" t="s">
        <v>1439</v>
      </c>
      <c r="T135" s="670"/>
      <c r="U135" s="259"/>
      <c r="V135" s="260"/>
      <c r="W135" s="260" t="s">
        <v>863</v>
      </c>
      <c r="X135" s="260"/>
      <c r="Y135" s="232"/>
      <c r="Z135" s="671"/>
      <c r="AA135" s="668"/>
      <c r="AB135" s="245"/>
      <c r="AC135" s="668"/>
      <c r="AD135" s="670"/>
      <c r="AE135" s="670">
        <v>1</v>
      </c>
    </row>
    <row r="136" spans="1:31" s="224" customFormat="1" ht="13.5" customHeight="1">
      <c r="A136" s="225">
        <f t="shared" si="3"/>
        <v>128</v>
      </c>
      <c r="B136" s="217"/>
      <c r="C136" s="217"/>
      <c r="D136" s="217"/>
      <c r="E136" s="241" t="s">
        <v>1440</v>
      </c>
      <c r="F136" s="241"/>
      <c r="G136" s="241"/>
      <c r="H136" s="668" t="s">
        <v>1437</v>
      </c>
      <c r="I136" s="679"/>
      <c r="J136" s="668"/>
      <c r="K136" s="666" t="s">
        <v>887</v>
      </c>
      <c r="L136" s="668"/>
      <c r="M136" s="668"/>
      <c r="N136" s="668"/>
      <c r="O136" s="668"/>
      <c r="P136" s="669"/>
      <c r="Q136" s="668" t="s">
        <v>816</v>
      </c>
      <c r="R136" s="668"/>
      <c r="S136" s="668" t="s">
        <v>862</v>
      </c>
      <c r="T136" s="670" t="s">
        <v>863</v>
      </c>
      <c r="U136" s="261" t="s">
        <v>1441</v>
      </c>
      <c r="V136" s="667"/>
      <c r="W136" s="260" t="s">
        <v>863</v>
      </c>
      <c r="X136" s="260"/>
      <c r="Y136" s="232"/>
      <c r="Z136" s="266" t="s">
        <v>1442</v>
      </c>
      <c r="AA136" s="385" t="s">
        <v>1443</v>
      </c>
      <c r="AB136" s="245"/>
      <c r="AC136" s="668"/>
      <c r="AD136" s="670"/>
      <c r="AE136" s="670">
        <v>1</v>
      </c>
    </row>
    <row r="137" spans="1:31" s="224" customFormat="1" ht="13.5" customHeight="1">
      <c r="A137" s="225">
        <f t="shared" si="3"/>
        <v>129</v>
      </c>
      <c r="B137" s="217"/>
      <c r="C137" s="217"/>
      <c r="D137" s="217"/>
      <c r="E137" s="241" t="s">
        <v>1444</v>
      </c>
      <c r="F137" s="241"/>
      <c r="G137" s="241"/>
      <c r="H137" s="668" t="s">
        <v>1445</v>
      </c>
      <c r="I137" s="679"/>
      <c r="J137" s="668"/>
      <c r="K137" s="666" t="s">
        <v>1446</v>
      </c>
      <c r="L137" s="668"/>
      <c r="M137" s="668"/>
      <c r="N137" s="668"/>
      <c r="O137" s="668"/>
      <c r="P137" s="669"/>
      <c r="Q137" s="668" t="s">
        <v>816</v>
      </c>
      <c r="R137" s="668"/>
      <c r="S137" s="668" t="s">
        <v>862</v>
      </c>
      <c r="T137" s="670" t="s">
        <v>863</v>
      </c>
      <c r="U137" s="261" t="s">
        <v>1447</v>
      </c>
      <c r="V137" s="667"/>
      <c r="W137" s="260" t="s">
        <v>863</v>
      </c>
      <c r="X137" s="260"/>
      <c r="Y137" s="232"/>
      <c r="Z137" s="266" t="s">
        <v>1448</v>
      </c>
      <c r="AA137" s="668"/>
      <c r="AB137" s="245"/>
      <c r="AC137" s="668"/>
      <c r="AD137" s="670"/>
      <c r="AE137" s="670">
        <v>1</v>
      </c>
    </row>
    <row r="138" spans="1:31" s="224" customFormat="1" ht="13.5" customHeight="1">
      <c r="A138" s="225">
        <f t="shared" ref="A138:A169" si="4">ROW()-8</f>
        <v>130</v>
      </c>
      <c r="B138" s="217"/>
      <c r="C138" s="217"/>
      <c r="D138" s="217" t="s">
        <v>1449</v>
      </c>
      <c r="E138" s="241"/>
      <c r="F138" s="241"/>
      <c r="G138" s="241"/>
      <c r="H138" s="668" t="s">
        <v>1450</v>
      </c>
      <c r="I138" s="679"/>
      <c r="J138" s="668"/>
      <c r="K138" s="666" t="s">
        <v>1091</v>
      </c>
      <c r="L138" s="668"/>
      <c r="M138" s="668"/>
      <c r="N138" s="668"/>
      <c r="O138" s="668"/>
      <c r="P138" s="669"/>
      <c r="Q138" s="668" t="s">
        <v>816</v>
      </c>
      <c r="R138" s="668" t="s">
        <v>863</v>
      </c>
      <c r="S138" s="378" t="s">
        <v>1451</v>
      </c>
      <c r="T138" s="670"/>
      <c r="U138" s="670"/>
      <c r="V138" s="260"/>
      <c r="W138" s="260" t="s">
        <v>863</v>
      </c>
      <c r="X138" s="260"/>
      <c r="Y138" s="232"/>
      <c r="Z138" s="671"/>
      <c r="AA138" s="668"/>
      <c r="AB138" s="245"/>
      <c r="AC138" s="668"/>
      <c r="AD138" s="670"/>
      <c r="AE138" s="670">
        <v>1</v>
      </c>
    </row>
    <row r="139" spans="1:31" s="224" customFormat="1" ht="13.5" customHeight="1">
      <c r="A139" s="225">
        <f t="shared" si="4"/>
        <v>131</v>
      </c>
      <c r="B139" s="217"/>
      <c r="C139" s="217"/>
      <c r="D139" s="217"/>
      <c r="E139" s="241" t="s">
        <v>1452</v>
      </c>
      <c r="F139" s="241"/>
      <c r="G139" s="241"/>
      <c r="H139" s="668" t="s">
        <v>1450</v>
      </c>
      <c r="I139" s="679" t="s">
        <v>1453</v>
      </c>
      <c r="J139" s="668"/>
      <c r="K139" s="666" t="s">
        <v>1079</v>
      </c>
      <c r="L139" s="668"/>
      <c r="M139" s="668"/>
      <c r="N139" s="668"/>
      <c r="O139" s="668"/>
      <c r="P139" s="669"/>
      <c r="Q139" s="668" t="s">
        <v>816</v>
      </c>
      <c r="R139" s="668"/>
      <c r="S139" s="668" t="s">
        <v>862</v>
      </c>
      <c r="T139" s="670"/>
      <c r="U139" s="670"/>
      <c r="V139" s="260"/>
      <c r="W139" s="260" t="s">
        <v>863</v>
      </c>
      <c r="X139" s="260"/>
      <c r="Y139" s="232"/>
      <c r="Z139" s="379" t="s">
        <v>1454</v>
      </c>
      <c r="AA139" s="668"/>
      <c r="AB139" s="245"/>
      <c r="AC139" s="668"/>
      <c r="AD139" s="670"/>
      <c r="AE139" s="670">
        <v>1</v>
      </c>
    </row>
    <row r="140" spans="1:31" s="224" customFormat="1" ht="13.5" customHeight="1">
      <c r="A140" s="225">
        <f t="shared" si="4"/>
        <v>132</v>
      </c>
      <c r="B140" s="217"/>
      <c r="C140" s="217"/>
      <c r="D140" s="217"/>
      <c r="E140" s="241" t="s">
        <v>1455</v>
      </c>
      <c r="F140" s="241"/>
      <c r="G140" s="241"/>
      <c r="H140" s="668" t="s">
        <v>1456</v>
      </c>
      <c r="I140" s="679" t="s">
        <v>1457</v>
      </c>
      <c r="J140" s="668"/>
      <c r="K140" s="666" t="s">
        <v>1458</v>
      </c>
      <c r="L140" s="668"/>
      <c r="M140" s="668"/>
      <c r="N140" s="668"/>
      <c r="O140" s="668"/>
      <c r="P140" s="669"/>
      <c r="Q140" s="668" t="s">
        <v>816</v>
      </c>
      <c r="R140" s="668"/>
      <c r="S140" s="668" t="s">
        <v>862</v>
      </c>
      <c r="T140" s="670" t="s">
        <v>863</v>
      </c>
      <c r="U140" s="670"/>
      <c r="V140" s="260"/>
      <c r="W140" s="260" t="s">
        <v>863</v>
      </c>
      <c r="X140" s="260"/>
      <c r="Y140" s="232"/>
      <c r="Z140" s="379" t="s">
        <v>1459</v>
      </c>
      <c r="AA140" s="668"/>
      <c r="AB140" s="245"/>
      <c r="AC140" s="668"/>
      <c r="AD140" s="670"/>
      <c r="AE140" s="670">
        <v>1</v>
      </c>
    </row>
    <row r="141" spans="1:31" s="224" customFormat="1" ht="13.5" customHeight="1">
      <c r="A141" s="225">
        <f t="shared" si="4"/>
        <v>133</v>
      </c>
      <c r="B141" s="217"/>
      <c r="C141" s="217"/>
      <c r="D141" s="217" t="s">
        <v>1460</v>
      </c>
      <c r="E141" s="241"/>
      <c r="F141" s="241"/>
      <c r="G141" s="241"/>
      <c r="H141" s="668" t="s">
        <v>1461</v>
      </c>
      <c r="I141" s="679"/>
      <c r="J141" s="668"/>
      <c r="K141" s="666" t="s">
        <v>1462</v>
      </c>
      <c r="L141" s="668"/>
      <c r="M141" s="668"/>
      <c r="N141" s="668"/>
      <c r="O141" s="668"/>
      <c r="P141" s="669"/>
      <c r="Q141" s="668" t="s">
        <v>816</v>
      </c>
      <c r="R141" s="668" t="s">
        <v>863</v>
      </c>
      <c r="S141" s="243" t="s">
        <v>1463</v>
      </c>
      <c r="T141" s="670"/>
      <c r="U141" s="259"/>
      <c r="V141" s="260" t="s">
        <v>863</v>
      </c>
      <c r="W141" s="260" t="s">
        <v>863</v>
      </c>
      <c r="X141" s="260" t="s">
        <v>863</v>
      </c>
      <c r="Y141" s="232"/>
      <c r="Z141" s="671"/>
      <c r="AA141" s="668"/>
      <c r="AB141" s="245"/>
      <c r="AC141" s="668"/>
      <c r="AD141" s="670"/>
      <c r="AE141" s="670">
        <v>1</v>
      </c>
    </row>
    <row r="142" spans="1:31" s="224" customFormat="1" ht="13.5" customHeight="1">
      <c r="A142" s="225">
        <f t="shared" si="4"/>
        <v>134</v>
      </c>
      <c r="B142" s="217"/>
      <c r="C142" s="217"/>
      <c r="D142" s="217"/>
      <c r="E142" s="241" t="s">
        <v>1464</v>
      </c>
      <c r="F142" s="241"/>
      <c r="G142" s="241"/>
      <c r="H142" s="668" t="s">
        <v>1465</v>
      </c>
      <c r="I142" s="679" t="s">
        <v>1133</v>
      </c>
      <c r="J142" s="668"/>
      <c r="K142" s="666" t="s">
        <v>1466</v>
      </c>
      <c r="L142" s="668"/>
      <c r="M142" s="668"/>
      <c r="N142" s="668"/>
      <c r="O142" s="668"/>
      <c r="P142" s="669"/>
      <c r="Q142" s="668" t="s">
        <v>816</v>
      </c>
      <c r="R142" s="668"/>
      <c r="S142" s="668" t="s">
        <v>862</v>
      </c>
      <c r="T142" s="670"/>
      <c r="U142" s="670"/>
      <c r="V142" s="260"/>
      <c r="W142" s="260" t="s">
        <v>863</v>
      </c>
      <c r="X142" s="260" t="s">
        <v>863</v>
      </c>
      <c r="Y142" s="232"/>
      <c r="Z142" s="671"/>
      <c r="AA142" s="668"/>
      <c r="AB142" s="245"/>
      <c r="AC142" s="668"/>
      <c r="AD142" s="670"/>
      <c r="AE142" s="670">
        <v>1</v>
      </c>
    </row>
    <row r="143" spans="1:31" s="224" customFormat="1" ht="13.5" customHeight="1">
      <c r="A143" s="225">
        <f t="shared" si="4"/>
        <v>135</v>
      </c>
      <c r="B143" s="217"/>
      <c r="C143" s="217"/>
      <c r="D143" s="217"/>
      <c r="E143" s="241" t="s">
        <v>1467</v>
      </c>
      <c r="F143" s="241"/>
      <c r="G143" s="241"/>
      <c r="H143" s="668" t="s">
        <v>1468</v>
      </c>
      <c r="I143" s="679"/>
      <c r="J143" s="668"/>
      <c r="K143" s="666" t="s">
        <v>1469</v>
      </c>
      <c r="L143" s="668"/>
      <c r="M143" s="668"/>
      <c r="N143" s="668"/>
      <c r="O143" s="668"/>
      <c r="P143" s="669"/>
      <c r="Q143" s="668" t="s">
        <v>816</v>
      </c>
      <c r="R143" s="668"/>
      <c r="S143" s="668" t="s">
        <v>862</v>
      </c>
      <c r="T143" s="670"/>
      <c r="U143" s="670"/>
      <c r="V143" s="260"/>
      <c r="W143" s="260" t="s">
        <v>863</v>
      </c>
      <c r="X143" s="260"/>
      <c r="Y143" s="232"/>
      <c r="Z143" s="671"/>
      <c r="AA143" s="668"/>
      <c r="AB143" s="245"/>
      <c r="AC143" s="668"/>
      <c r="AD143" s="670"/>
      <c r="AE143" s="670">
        <v>1</v>
      </c>
    </row>
    <row r="144" spans="1:31" s="224" customFormat="1" ht="13.5" customHeight="1">
      <c r="A144" s="225">
        <f t="shared" si="4"/>
        <v>136</v>
      </c>
      <c r="B144" s="217"/>
      <c r="C144" s="217"/>
      <c r="D144" s="217"/>
      <c r="E144" s="241" t="s">
        <v>1470</v>
      </c>
      <c r="F144" s="241"/>
      <c r="G144" s="241"/>
      <c r="H144" s="668" t="s">
        <v>1471</v>
      </c>
      <c r="I144" s="679"/>
      <c r="J144" s="668"/>
      <c r="K144" s="666" t="s">
        <v>1472</v>
      </c>
      <c r="L144" s="668"/>
      <c r="M144" s="668"/>
      <c r="N144" s="668"/>
      <c r="O144" s="668"/>
      <c r="P144" s="669"/>
      <c r="Q144" s="668" t="s">
        <v>816</v>
      </c>
      <c r="R144" s="668"/>
      <c r="S144" s="668" t="s">
        <v>862</v>
      </c>
      <c r="T144" s="670"/>
      <c r="U144" s="670"/>
      <c r="V144" s="260"/>
      <c r="W144" s="260" t="s">
        <v>863</v>
      </c>
      <c r="X144" s="260"/>
      <c r="Y144" s="232"/>
      <c r="Z144" s="671"/>
      <c r="AA144" s="668"/>
      <c r="AB144" s="245"/>
      <c r="AC144" s="668"/>
      <c r="AD144" s="670"/>
      <c r="AE144" s="670">
        <v>1</v>
      </c>
    </row>
    <row r="145" spans="1:31" s="224" customFormat="1" ht="13.5" customHeight="1">
      <c r="A145" s="225">
        <f t="shared" si="4"/>
        <v>137</v>
      </c>
      <c r="B145" s="217"/>
      <c r="C145" s="217"/>
      <c r="D145" s="217"/>
      <c r="E145" s="241" t="s">
        <v>1478</v>
      </c>
      <c r="F145" s="241"/>
      <c r="G145" s="241"/>
      <c r="H145" s="668" t="s">
        <v>1479</v>
      </c>
      <c r="I145" s="679"/>
      <c r="J145" s="668"/>
      <c r="K145" s="666" t="s">
        <v>1480</v>
      </c>
      <c r="L145" s="668"/>
      <c r="M145" s="668"/>
      <c r="N145" s="668"/>
      <c r="O145" s="668"/>
      <c r="P145" s="669"/>
      <c r="Q145" s="668" t="s">
        <v>816</v>
      </c>
      <c r="R145" s="668"/>
      <c r="S145" s="668" t="s">
        <v>1481</v>
      </c>
      <c r="T145" s="670"/>
      <c r="U145" s="259"/>
      <c r="V145" s="260" t="s">
        <v>863</v>
      </c>
      <c r="W145" s="260" t="s">
        <v>863</v>
      </c>
      <c r="X145" s="260" t="s">
        <v>863</v>
      </c>
      <c r="Y145" s="232"/>
      <c r="Z145" s="671"/>
      <c r="AA145" s="668"/>
      <c r="AB145" s="245"/>
      <c r="AC145" s="668"/>
      <c r="AD145" s="670"/>
      <c r="AE145" s="670">
        <v>1</v>
      </c>
    </row>
    <row r="146" spans="1:31" s="224" customFormat="1" ht="13.5" customHeight="1">
      <c r="A146" s="225">
        <f t="shared" si="4"/>
        <v>138</v>
      </c>
      <c r="B146" s="217"/>
      <c r="C146" s="217"/>
      <c r="D146" s="217"/>
      <c r="E146" s="241" t="s">
        <v>1482</v>
      </c>
      <c r="F146" s="241"/>
      <c r="G146" s="241"/>
      <c r="H146" s="668" t="s">
        <v>1483</v>
      </c>
      <c r="I146" s="679" t="s">
        <v>698</v>
      </c>
      <c r="J146" s="668"/>
      <c r="K146" s="666" t="s">
        <v>1484</v>
      </c>
      <c r="L146" s="668"/>
      <c r="M146" s="668"/>
      <c r="N146" s="668"/>
      <c r="O146" s="668"/>
      <c r="P146" s="669"/>
      <c r="Q146" s="668" t="s">
        <v>816</v>
      </c>
      <c r="R146" s="668"/>
      <c r="S146" s="668" t="s">
        <v>862</v>
      </c>
      <c r="T146" s="670" t="s">
        <v>863</v>
      </c>
      <c r="U146" s="666" t="s">
        <v>1656</v>
      </c>
      <c r="V146" s="260" t="s">
        <v>863</v>
      </c>
      <c r="W146" s="260" t="s">
        <v>863</v>
      </c>
      <c r="X146" s="260" t="s">
        <v>863</v>
      </c>
      <c r="Y146" s="232"/>
      <c r="Z146" s="386" t="s">
        <v>1485</v>
      </c>
      <c r="AA146" s="668"/>
      <c r="AB146" s="245"/>
      <c r="AC146" s="668"/>
      <c r="AD146" s="670"/>
      <c r="AE146" s="670">
        <v>1</v>
      </c>
    </row>
    <row r="147" spans="1:31" s="224" customFormat="1" ht="13.5" customHeight="1">
      <c r="A147" s="225">
        <f t="shared" si="4"/>
        <v>139</v>
      </c>
      <c r="B147" s="217"/>
      <c r="C147" s="217"/>
      <c r="D147" s="217"/>
      <c r="E147" s="241" t="s">
        <v>1473</v>
      </c>
      <c r="F147" s="241"/>
      <c r="G147" s="241"/>
      <c r="H147" s="668" t="s">
        <v>1474</v>
      </c>
      <c r="I147" s="679"/>
      <c r="J147" s="668"/>
      <c r="K147" s="666" t="s">
        <v>1475</v>
      </c>
      <c r="L147" s="668"/>
      <c r="M147" s="668"/>
      <c r="N147" s="668"/>
      <c r="O147" s="668"/>
      <c r="P147" s="669"/>
      <c r="Q147" s="668" t="s">
        <v>816</v>
      </c>
      <c r="R147" s="668"/>
      <c r="S147" s="668" t="s">
        <v>1091</v>
      </c>
      <c r="T147" s="670"/>
      <c r="U147" s="380"/>
      <c r="V147" s="260"/>
      <c r="W147" s="260" t="s">
        <v>863</v>
      </c>
      <c r="X147" s="260"/>
      <c r="Y147" s="232"/>
      <c r="Z147" s="379" t="s">
        <v>1476</v>
      </c>
      <c r="AA147" s="668" t="s">
        <v>1477</v>
      </c>
      <c r="AB147" s="245"/>
      <c r="AC147" s="668"/>
      <c r="AD147" s="670"/>
      <c r="AE147" s="670">
        <v>1</v>
      </c>
    </row>
    <row r="148" spans="1:31" s="224" customFormat="1" ht="13.5" customHeight="1">
      <c r="A148" s="225">
        <f t="shared" si="4"/>
        <v>140</v>
      </c>
      <c r="B148" s="217"/>
      <c r="C148" s="217"/>
      <c r="D148" s="217" t="s">
        <v>1657</v>
      </c>
      <c r="E148" s="241" t="s">
        <v>1486</v>
      </c>
      <c r="F148" s="241"/>
      <c r="G148" s="241"/>
      <c r="H148" s="668" t="s">
        <v>1487</v>
      </c>
      <c r="I148" s="679"/>
      <c r="J148" s="668"/>
      <c r="K148" s="666" t="s">
        <v>1488</v>
      </c>
      <c r="L148" s="668"/>
      <c r="M148" s="668"/>
      <c r="N148" s="668"/>
      <c r="O148" s="668"/>
      <c r="P148" s="669"/>
      <c r="Q148" s="668" t="s">
        <v>816</v>
      </c>
      <c r="R148" s="668" t="s">
        <v>863</v>
      </c>
      <c r="S148" s="243" t="s">
        <v>1302</v>
      </c>
      <c r="T148" s="670"/>
      <c r="U148" s="670"/>
      <c r="V148" s="260" t="s">
        <v>863</v>
      </c>
      <c r="W148" s="260" t="s">
        <v>863</v>
      </c>
      <c r="X148" s="260" t="s">
        <v>863</v>
      </c>
      <c r="Y148" s="232"/>
      <c r="Z148" s="671"/>
      <c r="AA148" s="668"/>
      <c r="AB148" s="245"/>
      <c r="AC148" s="668"/>
      <c r="AD148" s="670"/>
      <c r="AE148" s="670">
        <v>1</v>
      </c>
    </row>
    <row r="149" spans="1:31" s="224" customFormat="1" ht="13.5" customHeight="1">
      <c r="A149" s="225">
        <f t="shared" si="4"/>
        <v>141</v>
      </c>
      <c r="B149" s="217"/>
      <c r="C149" s="219" t="s">
        <v>1008</v>
      </c>
      <c r="D149" s="241" t="s">
        <v>1622</v>
      </c>
      <c r="E149" s="241"/>
      <c r="F149" s="241"/>
      <c r="G149" s="241"/>
      <c r="H149" s="668" t="s">
        <v>1489</v>
      </c>
      <c r="I149" s="666"/>
      <c r="J149" s="668"/>
      <c r="K149" s="668" t="s">
        <v>1010</v>
      </c>
      <c r="L149" s="668"/>
      <c r="M149" s="668"/>
      <c r="N149" s="668"/>
      <c r="O149" s="668"/>
      <c r="P149" s="669"/>
      <c r="Q149" s="668" t="s">
        <v>816</v>
      </c>
      <c r="R149" s="668" t="s">
        <v>863</v>
      </c>
      <c r="S149" s="243" t="s">
        <v>1620</v>
      </c>
      <c r="T149" s="670"/>
      <c r="U149" s="668" t="s">
        <v>1625</v>
      </c>
      <c r="V149" s="667"/>
      <c r="W149" s="260" t="s">
        <v>863</v>
      </c>
      <c r="X149" s="260"/>
      <c r="Y149" s="232"/>
      <c r="Z149" s="386" t="s">
        <v>1490</v>
      </c>
      <c r="AA149" s="668" t="s">
        <v>991</v>
      </c>
      <c r="AB149" s="672"/>
      <c r="AC149" s="668"/>
      <c r="AD149" s="670"/>
      <c r="AE149" s="670">
        <v>1</v>
      </c>
    </row>
    <row r="150" spans="1:31" s="158" customFormat="1" ht="12.75" customHeight="1">
      <c r="A150" s="225">
        <f t="shared" si="4"/>
        <v>142</v>
      </c>
      <c r="B150" s="217"/>
      <c r="C150" s="219" t="s">
        <v>1491</v>
      </c>
      <c r="D150" s="241"/>
      <c r="E150" s="241"/>
      <c r="F150" s="241"/>
      <c r="G150" s="241"/>
      <c r="H150" s="263"/>
      <c r="I150" s="264"/>
      <c r="J150" s="263"/>
      <c r="K150" s="666" t="s">
        <v>1119</v>
      </c>
      <c r="L150" s="668"/>
      <c r="M150" s="668"/>
      <c r="N150" s="668"/>
      <c r="O150" s="668"/>
      <c r="P150" s="669"/>
      <c r="Q150" s="668" t="s">
        <v>816</v>
      </c>
      <c r="R150" s="668" t="s">
        <v>863</v>
      </c>
      <c r="S150" s="378" t="s">
        <v>1492</v>
      </c>
      <c r="T150" s="268"/>
      <c r="U150" s="263"/>
      <c r="V150" s="265"/>
      <c r="W150" s="260" t="s">
        <v>863</v>
      </c>
      <c r="X150" s="260" t="s">
        <v>863</v>
      </c>
      <c r="Y150" s="232"/>
      <c r="Z150" s="379" t="s">
        <v>1493</v>
      </c>
      <c r="AA150" s="263"/>
      <c r="AB150" s="267" t="s">
        <v>1494</v>
      </c>
      <c r="AC150" s="263"/>
      <c r="AD150" s="670"/>
      <c r="AE150" s="670">
        <v>1</v>
      </c>
    </row>
    <row r="151" spans="1:31" s="224" customFormat="1" ht="13.5" customHeight="1">
      <c r="A151" s="225">
        <f t="shared" si="4"/>
        <v>143</v>
      </c>
      <c r="B151" s="217"/>
      <c r="C151" s="219"/>
      <c r="D151" s="241" t="s">
        <v>1495</v>
      </c>
      <c r="E151" s="241"/>
      <c r="F151" s="241"/>
      <c r="G151" s="241"/>
      <c r="H151" s="668" t="s">
        <v>1496</v>
      </c>
      <c r="I151" s="666">
        <v>31</v>
      </c>
      <c r="J151" s="668"/>
      <c r="K151" s="666" t="s">
        <v>1497</v>
      </c>
      <c r="L151" s="668"/>
      <c r="M151" s="668"/>
      <c r="N151" s="668"/>
      <c r="O151" s="668"/>
      <c r="P151" s="669"/>
      <c r="Q151" s="668" t="s">
        <v>816</v>
      </c>
      <c r="R151" s="668"/>
      <c r="S151" s="668" t="s">
        <v>1379</v>
      </c>
      <c r="T151" s="670"/>
      <c r="U151" s="668"/>
      <c r="V151" s="667"/>
      <c r="W151" s="260" t="s">
        <v>863</v>
      </c>
      <c r="X151" s="260" t="s">
        <v>863</v>
      </c>
      <c r="Y151" s="232"/>
      <c r="Z151" s="671"/>
      <c r="AA151" s="668"/>
      <c r="AB151" s="672"/>
      <c r="AC151" s="668"/>
      <c r="AD151" s="670"/>
      <c r="AE151" s="670">
        <v>1</v>
      </c>
    </row>
    <row r="152" spans="1:31" s="224" customFormat="1" ht="13.5" customHeight="1">
      <c r="A152" s="225">
        <f t="shared" si="4"/>
        <v>144</v>
      </c>
      <c r="B152" s="217"/>
      <c r="C152" s="219"/>
      <c r="D152" s="241" t="s">
        <v>1498</v>
      </c>
      <c r="E152" s="241"/>
      <c r="F152" s="241"/>
      <c r="G152" s="241"/>
      <c r="H152" s="668" t="s">
        <v>1499</v>
      </c>
      <c r="I152" s="666">
        <v>109</v>
      </c>
      <c r="J152" s="668"/>
      <c r="K152" s="666" t="s">
        <v>1181</v>
      </c>
      <c r="L152" s="668"/>
      <c r="M152" s="668"/>
      <c r="N152" s="668"/>
      <c r="O152" s="668"/>
      <c r="P152" s="669"/>
      <c r="Q152" s="668" t="s">
        <v>816</v>
      </c>
      <c r="R152" s="668"/>
      <c r="S152" s="668" t="s">
        <v>1379</v>
      </c>
      <c r="T152" s="670"/>
      <c r="U152" s="668"/>
      <c r="V152" s="667"/>
      <c r="W152" s="260" t="s">
        <v>863</v>
      </c>
      <c r="X152" s="260" t="s">
        <v>863</v>
      </c>
      <c r="Y152" s="232"/>
      <c r="Z152" s="671"/>
      <c r="AA152" s="668"/>
      <c r="AB152" s="672"/>
      <c r="AC152" s="668"/>
      <c r="AD152" s="670"/>
      <c r="AE152" s="670">
        <v>1</v>
      </c>
    </row>
    <row r="153" spans="1:31" s="224" customFormat="1" ht="12.75" customHeight="1">
      <c r="A153" s="225">
        <f t="shared" si="4"/>
        <v>145</v>
      </c>
      <c r="B153" s="217"/>
      <c r="C153" s="219"/>
      <c r="D153" s="241" t="s">
        <v>1500</v>
      </c>
      <c r="E153" s="241"/>
      <c r="F153" s="241"/>
      <c r="G153" s="241"/>
      <c r="H153" s="668" t="s">
        <v>1501</v>
      </c>
      <c r="I153" s="666" t="s">
        <v>1502</v>
      </c>
      <c r="J153" s="668"/>
      <c r="K153" s="666" t="s">
        <v>1503</v>
      </c>
      <c r="L153" s="668"/>
      <c r="M153" s="668"/>
      <c r="N153" s="668"/>
      <c r="O153" s="668"/>
      <c r="P153" s="669"/>
      <c r="Q153" s="668" t="s">
        <v>816</v>
      </c>
      <c r="R153" s="668"/>
      <c r="S153" s="678" t="s">
        <v>862</v>
      </c>
      <c r="T153" s="281"/>
      <c r="U153" s="668" t="s">
        <v>1658</v>
      </c>
      <c r="V153" s="667"/>
      <c r="W153" s="260" t="s">
        <v>863</v>
      </c>
      <c r="X153" s="260" t="s">
        <v>863</v>
      </c>
      <c r="Y153" s="232"/>
      <c r="Z153" s="379"/>
      <c r="AA153" s="668"/>
      <c r="AB153" s="672"/>
      <c r="AC153" s="668"/>
      <c r="AD153" s="670"/>
      <c r="AE153" s="670">
        <v>1</v>
      </c>
    </row>
    <row r="154" spans="1:31" s="224" customFormat="1" ht="13.5" customHeight="1">
      <c r="A154" s="225">
        <f t="shared" si="4"/>
        <v>146</v>
      </c>
      <c r="B154" s="217"/>
      <c r="C154" s="239"/>
      <c r="D154" s="241" t="s">
        <v>1505</v>
      </c>
      <c r="E154" s="241"/>
      <c r="F154" s="241"/>
      <c r="G154" s="241"/>
      <c r="H154" s="668"/>
      <c r="I154" s="666" t="s">
        <v>1506</v>
      </c>
      <c r="J154" s="668"/>
      <c r="K154" s="666" t="s">
        <v>1507</v>
      </c>
      <c r="L154" s="668"/>
      <c r="M154" s="668"/>
      <c r="N154" s="668"/>
      <c r="O154" s="668"/>
      <c r="P154" s="669"/>
      <c r="Q154" s="668" t="s">
        <v>816</v>
      </c>
      <c r="R154" s="668"/>
      <c r="S154" s="668" t="s">
        <v>862</v>
      </c>
      <c r="T154" s="670" t="s">
        <v>863</v>
      </c>
      <c r="U154" s="668" t="s">
        <v>1659</v>
      </c>
      <c r="V154" s="667"/>
      <c r="W154" s="260" t="s">
        <v>863</v>
      </c>
      <c r="X154" s="260"/>
      <c r="Y154" s="232"/>
      <c r="Z154" s="386" t="s">
        <v>1508</v>
      </c>
      <c r="AA154" s="668"/>
      <c r="AB154" s="672"/>
      <c r="AC154" s="668"/>
      <c r="AD154" s="670"/>
      <c r="AE154" s="670">
        <v>1</v>
      </c>
    </row>
    <row r="155" spans="1:31" s="224" customFormat="1" ht="13.5" customHeight="1">
      <c r="A155" s="225">
        <f t="shared" si="4"/>
        <v>147</v>
      </c>
      <c r="B155" s="217"/>
      <c r="C155" s="219" t="s">
        <v>1509</v>
      </c>
      <c r="D155" s="241"/>
      <c r="E155" s="241"/>
      <c r="F155" s="241"/>
      <c r="G155" s="241"/>
      <c r="H155" s="668"/>
      <c r="I155" s="666"/>
      <c r="J155" s="668"/>
      <c r="K155" s="666" t="s">
        <v>1510</v>
      </c>
      <c r="L155" s="668"/>
      <c r="M155" s="668"/>
      <c r="N155" s="668"/>
      <c r="O155" s="668"/>
      <c r="P155" s="669"/>
      <c r="Q155" s="668" t="s">
        <v>816</v>
      </c>
      <c r="R155" s="668" t="s">
        <v>863</v>
      </c>
      <c r="S155" s="378" t="s">
        <v>1510</v>
      </c>
      <c r="T155" s="670"/>
      <c r="U155" s="668"/>
      <c r="V155" s="667"/>
      <c r="W155" s="260" t="s">
        <v>863</v>
      </c>
      <c r="X155" s="260" t="s">
        <v>863</v>
      </c>
      <c r="Y155" s="232"/>
      <c r="Z155" s="671"/>
      <c r="AA155" s="668"/>
      <c r="AB155" s="672"/>
      <c r="AC155" s="668"/>
      <c r="AD155" s="670"/>
      <c r="AE155" s="670">
        <v>1</v>
      </c>
    </row>
    <row r="156" spans="1:31" s="224" customFormat="1" ht="13.5" customHeight="1">
      <c r="A156" s="225">
        <f t="shared" si="4"/>
        <v>148</v>
      </c>
      <c r="B156" s="217"/>
      <c r="C156" s="219"/>
      <c r="D156" s="241" t="s">
        <v>1511</v>
      </c>
      <c r="E156" s="241" t="s">
        <v>1622</v>
      </c>
      <c r="F156" s="241"/>
      <c r="G156" s="241"/>
      <c r="H156" s="668" t="s">
        <v>1512</v>
      </c>
      <c r="I156" s="666"/>
      <c r="J156" s="668"/>
      <c r="K156" s="666" t="s">
        <v>1513</v>
      </c>
      <c r="L156" s="668"/>
      <c r="M156" s="668"/>
      <c r="N156" s="668"/>
      <c r="O156" s="668"/>
      <c r="P156" s="669"/>
      <c r="Q156" s="668" t="s">
        <v>816</v>
      </c>
      <c r="R156" s="668" t="s">
        <v>863</v>
      </c>
      <c r="S156" s="378" t="s">
        <v>1620</v>
      </c>
      <c r="T156" s="670" t="s">
        <v>863</v>
      </c>
      <c r="U156" s="668"/>
      <c r="V156" s="667"/>
      <c r="W156" s="260" t="s">
        <v>863</v>
      </c>
      <c r="X156" s="260" t="s">
        <v>863</v>
      </c>
      <c r="Y156" s="232"/>
      <c r="Z156" s="671" t="s">
        <v>1514</v>
      </c>
      <c r="AA156" s="668"/>
      <c r="AB156" s="672"/>
      <c r="AC156" s="668"/>
      <c r="AD156" s="670"/>
      <c r="AE156" s="670">
        <v>1</v>
      </c>
    </row>
    <row r="157" spans="1:31" s="224" customFormat="1" ht="14.25" customHeight="1">
      <c r="A157" s="225">
        <f t="shared" si="4"/>
        <v>149</v>
      </c>
      <c r="B157" s="217"/>
      <c r="C157" s="219"/>
      <c r="D157" s="241" t="s">
        <v>1515</v>
      </c>
      <c r="E157" s="241" t="s">
        <v>1622</v>
      </c>
      <c r="F157" s="241"/>
      <c r="G157" s="241"/>
      <c r="H157" s="668" t="s">
        <v>1516</v>
      </c>
      <c r="I157" s="666"/>
      <c r="J157" s="668"/>
      <c r="K157" s="666" t="s">
        <v>1517</v>
      </c>
      <c r="L157" s="668"/>
      <c r="M157" s="668"/>
      <c r="N157" s="668"/>
      <c r="O157" s="668"/>
      <c r="P157" s="669"/>
      <c r="Q157" s="668" t="s">
        <v>822</v>
      </c>
      <c r="R157" s="668" t="s">
        <v>863</v>
      </c>
      <c r="S157" s="378" t="s">
        <v>1620</v>
      </c>
      <c r="T157" s="268" t="s">
        <v>863</v>
      </c>
      <c r="U157" s="255"/>
      <c r="V157" s="667"/>
      <c r="W157" s="260" t="s">
        <v>863</v>
      </c>
      <c r="X157" s="260" t="s">
        <v>863</v>
      </c>
      <c r="Y157" s="232"/>
      <c r="Z157" s="671" t="s">
        <v>1514</v>
      </c>
      <c r="AA157" s="668"/>
      <c r="AB157" s="672"/>
      <c r="AC157" s="668"/>
      <c r="AD157" s="670"/>
      <c r="AE157" s="670">
        <v>1</v>
      </c>
    </row>
    <row r="158" spans="1:31" s="224" customFormat="1" ht="13.5" customHeight="1">
      <c r="A158" s="225">
        <f t="shared" si="4"/>
        <v>150</v>
      </c>
      <c r="B158" s="217"/>
      <c r="C158" s="219" t="s">
        <v>1518</v>
      </c>
      <c r="D158" s="241" t="s">
        <v>1622</v>
      </c>
      <c r="E158" s="241"/>
      <c r="F158" s="241"/>
      <c r="G158" s="241"/>
      <c r="H158" s="668" t="s">
        <v>1519</v>
      </c>
      <c r="I158" s="666"/>
      <c r="J158" s="668"/>
      <c r="K158" s="666" t="s">
        <v>1520</v>
      </c>
      <c r="L158" s="668"/>
      <c r="M158" s="668"/>
      <c r="N158" s="668"/>
      <c r="O158" s="668"/>
      <c r="P158" s="669"/>
      <c r="Q158" s="668" t="s">
        <v>816</v>
      </c>
      <c r="R158" s="668" t="s">
        <v>863</v>
      </c>
      <c r="S158" s="378" t="s">
        <v>1620</v>
      </c>
      <c r="T158" s="268" t="s">
        <v>863</v>
      </c>
      <c r="U158" s="668"/>
      <c r="V158" s="667"/>
      <c r="W158" s="667"/>
      <c r="X158" s="667"/>
      <c r="Y158" s="232"/>
      <c r="Z158" s="671" t="s">
        <v>1514</v>
      </c>
      <c r="AA158" s="668"/>
      <c r="AB158" s="672"/>
      <c r="AC158" s="668"/>
      <c r="AD158" s="670"/>
      <c r="AE158" s="670">
        <v>1</v>
      </c>
    </row>
    <row r="159" spans="1:31" s="224" customFormat="1" ht="13.5" customHeight="1">
      <c r="A159" s="225">
        <f t="shared" si="4"/>
        <v>151</v>
      </c>
      <c r="B159" s="217"/>
      <c r="C159" s="219" t="s">
        <v>1660</v>
      </c>
      <c r="D159" s="241"/>
      <c r="E159" s="241"/>
      <c r="F159" s="241"/>
      <c r="G159" s="241"/>
      <c r="H159" s="668" t="s">
        <v>1661</v>
      </c>
      <c r="I159" s="666"/>
      <c r="J159" s="668"/>
      <c r="K159" s="666" t="s">
        <v>938</v>
      </c>
      <c r="L159" s="668"/>
      <c r="M159" s="668"/>
      <c r="N159" s="668"/>
      <c r="O159" s="668"/>
      <c r="P159" s="669"/>
      <c r="Q159" s="701" t="s">
        <v>822</v>
      </c>
      <c r="R159" s="668"/>
      <c r="S159" s="668" t="s">
        <v>862</v>
      </c>
      <c r="T159" s="670"/>
      <c r="U159" s="668"/>
      <c r="V159" s="667" t="s">
        <v>863</v>
      </c>
      <c r="W159" s="667" t="s">
        <v>863</v>
      </c>
      <c r="X159" s="667" t="s">
        <v>863</v>
      </c>
      <c r="Y159" s="232"/>
      <c r="Z159" s="671"/>
      <c r="AA159" s="668"/>
      <c r="AB159" s="672"/>
      <c r="AC159" s="668"/>
      <c r="AD159" s="670"/>
      <c r="AE159" s="670">
        <v>1</v>
      </c>
    </row>
    <row r="160" spans="1:31" s="224" customFormat="1" ht="13.5" customHeight="1">
      <c r="A160" s="225">
        <f t="shared" si="4"/>
        <v>152</v>
      </c>
      <c r="B160" s="219" t="s">
        <v>1662</v>
      </c>
      <c r="C160" s="241"/>
      <c r="D160" s="241"/>
      <c r="E160" s="241"/>
      <c r="F160" s="241"/>
      <c r="G160" s="241"/>
      <c r="H160" s="668" t="s">
        <v>1522</v>
      </c>
      <c r="I160" s="666"/>
      <c r="J160" s="668"/>
      <c r="K160" s="666" t="s">
        <v>1523</v>
      </c>
      <c r="L160" s="668"/>
      <c r="M160" s="668"/>
      <c r="N160" s="668"/>
      <c r="O160" s="668"/>
      <c r="P160" s="669"/>
      <c r="Q160" s="701" t="s">
        <v>822</v>
      </c>
      <c r="R160" s="668" t="s">
        <v>863</v>
      </c>
      <c r="S160" s="378" t="s">
        <v>1523</v>
      </c>
      <c r="T160" s="670"/>
      <c r="U160" s="668"/>
      <c r="V160" s="667"/>
      <c r="W160" s="260" t="s">
        <v>863</v>
      </c>
      <c r="X160" s="260" t="s">
        <v>863</v>
      </c>
      <c r="Y160" s="232"/>
      <c r="Z160" s="671" t="s">
        <v>1524</v>
      </c>
      <c r="AA160" s="668"/>
      <c r="AB160" s="672"/>
      <c r="AC160" s="668"/>
      <c r="AD160" s="670"/>
      <c r="AE160" s="670">
        <v>1</v>
      </c>
    </row>
    <row r="161" spans="1:31" s="224" customFormat="1" ht="13.5" customHeight="1">
      <c r="A161" s="225">
        <f t="shared" si="4"/>
        <v>153</v>
      </c>
      <c r="B161" s="217"/>
      <c r="C161" s="217" t="s">
        <v>1403</v>
      </c>
      <c r="D161" s="241"/>
      <c r="E161" s="241"/>
      <c r="F161" s="241"/>
      <c r="G161" s="241"/>
      <c r="H161" s="668" t="s">
        <v>1525</v>
      </c>
      <c r="I161" s="666"/>
      <c r="J161" s="668"/>
      <c r="K161" s="666" t="s">
        <v>1217</v>
      </c>
      <c r="L161" s="668"/>
      <c r="M161" s="668"/>
      <c r="N161" s="668"/>
      <c r="O161" s="668"/>
      <c r="P161" s="669"/>
      <c r="Q161" s="668" t="s">
        <v>816</v>
      </c>
      <c r="R161" s="668"/>
      <c r="S161" s="668" t="s">
        <v>862</v>
      </c>
      <c r="T161" s="670"/>
      <c r="U161" s="668"/>
      <c r="V161" s="667"/>
      <c r="W161" s="260" t="s">
        <v>863</v>
      </c>
      <c r="X161" s="260" t="s">
        <v>863</v>
      </c>
      <c r="Y161" s="232"/>
      <c r="Z161" s="671"/>
      <c r="AA161" s="263"/>
      <c r="AB161" s="672"/>
      <c r="AC161" s="668"/>
      <c r="AD161" s="670"/>
      <c r="AE161" s="670">
        <v>1</v>
      </c>
    </row>
    <row r="162" spans="1:31" s="224" customFormat="1" ht="13.5" customHeight="1">
      <c r="A162" s="225">
        <f t="shared" si="4"/>
        <v>154</v>
      </c>
      <c r="B162" s="219"/>
      <c r="C162" s="241" t="s">
        <v>1526</v>
      </c>
      <c r="D162" s="241"/>
      <c r="E162" s="241"/>
      <c r="F162" s="241"/>
      <c r="G162" s="241"/>
      <c r="H162" s="668" t="s">
        <v>1528</v>
      </c>
      <c r="I162" s="666"/>
      <c r="J162" s="668"/>
      <c r="K162" s="666" t="s">
        <v>1394</v>
      </c>
      <c r="L162" s="668"/>
      <c r="M162" s="668"/>
      <c r="N162" s="668"/>
      <c r="O162" s="668"/>
      <c r="P162" s="669"/>
      <c r="Q162" s="668" t="s">
        <v>816</v>
      </c>
      <c r="R162" s="668" t="s">
        <v>863</v>
      </c>
      <c r="S162" s="378" t="s">
        <v>1394</v>
      </c>
      <c r="T162" s="670"/>
      <c r="U162" s="668"/>
      <c r="V162" s="667"/>
      <c r="W162" s="260" t="s">
        <v>863</v>
      </c>
      <c r="X162" s="260" t="s">
        <v>863</v>
      </c>
      <c r="Y162" s="232"/>
      <c r="Z162" s="671"/>
      <c r="AA162" s="668"/>
      <c r="AB162" s="672"/>
      <c r="AC162" s="668"/>
      <c r="AD162" s="670"/>
      <c r="AE162" s="670">
        <v>1</v>
      </c>
    </row>
    <row r="163" spans="1:31" s="224" customFormat="1" ht="13.5" customHeight="1">
      <c r="A163" s="225">
        <f t="shared" si="4"/>
        <v>155</v>
      </c>
      <c r="B163" s="216"/>
      <c r="C163" s="216"/>
      <c r="D163" s="241" t="s">
        <v>1303</v>
      </c>
      <c r="E163" s="241"/>
      <c r="F163" s="241"/>
      <c r="G163" s="241"/>
      <c r="H163" s="668" t="s">
        <v>1395</v>
      </c>
      <c r="I163" s="679"/>
      <c r="J163" s="668"/>
      <c r="K163" s="666" t="s">
        <v>1302</v>
      </c>
      <c r="L163" s="668"/>
      <c r="M163" s="668"/>
      <c r="N163" s="668"/>
      <c r="O163" s="668"/>
      <c r="P163" s="669"/>
      <c r="Q163" s="382" t="s">
        <v>816</v>
      </c>
      <c r="R163" s="668" t="s">
        <v>863</v>
      </c>
      <c r="S163" s="378" t="s">
        <v>1302</v>
      </c>
      <c r="T163" s="670"/>
      <c r="U163" s="670"/>
      <c r="V163" s="667"/>
      <c r="W163" s="260" t="s">
        <v>863</v>
      </c>
      <c r="X163" s="260" t="s">
        <v>863</v>
      </c>
      <c r="Y163" s="232"/>
      <c r="Z163" s="384" t="s">
        <v>1396</v>
      </c>
      <c r="AA163" s="668"/>
      <c r="AB163" s="672"/>
      <c r="AC163" s="668"/>
      <c r="AD163" s="670"/>
      <c r="AE163" s="670">
        <v>1</v>
      </c>
    </row>
    <row r="164" spans="1:31" s="224" customFormat="1" ht="13.5" customHeight="1">
      <c r="A164" s="225">
        <f t="shared" si="4"/>
        <v>156</v>
      </c>
      <c r="B164" s="216"/>
      <c r="C164" s="216"/>
      <c r="D164" s="241" t="s">
        <v>830</v>
      </c>
      <c r="E164" s="241"/>
      <c r="F164" s="241"/>
      <c r="G164" s="241"/>
      <c r="H164" s="668" t="s">
        <v>1397</v>
      </c>
      <c r="I164" s="679"/>
      <c r="J164" s="668"/>
      <c r="K164" s="666" t="s">
        <v>1217</v>
      </c>
      <c r="L164" s="668"/>
      <c r="M164" s="668"/>
      <c r="N164" s="668"/>
      <c r="O164" s="668"/>
      <c r="P164" s="669"/>
      <c r="Q164" s="668" t="s">
        <v>816</v>
      </c>
      <c r="R164" s="668"/>
      <c r="S164" s="668" t="s">
        <v>862</v>
      </c>
      <c r="T164" s="670"/>
      <c r="U164" s="704"/>
      <c r="V164" s="667"/>
      <c r="W164" s="260" t="s">
        <v>863</v>
      </c>
      <c r="X164" s="260" t="s">
        <v>863</v>
      </c>
      <c r="Y164" s="232"/>
      <c r="Z164" s="671"/>
      <c r="AA164" s="668"/>
      <c r="AB164" s="672"/>
      <c r="AC164" s="668"/>
      <c r="AD164" s="670"/>
      <c r="AE164" s="670">
        <v>1</v>
      </c>
    </row>
    <row r="165" spans="1:31" s="224" customFormat="1" ht="13.5" customHeight="1">
      <c r="A165" s="225">
        <f t="shared" si="4"/>
        <v>157</v>
      </c>
      <c r="B165" s="217"/>
      <c r="C165" s="217"/>
      <c r="D165" s="241" t="s">
        <v>1398</v>
      </c>
      <c r="E165" s="241"/>
      <c r="F165" s="241"/>
      <c r="G165" s="241"/>
      <c r="H165" s="668" t="s">
        <v>1399</v>
      </c>
      <c r="I165" s="679" t="s">
        <v>1400</v>
      </c>
      <c r="J165" s="668"/>
      <c r="K165" s="666" t="s">
        <v>1351</v>
      </c>
      <c r="L165" s="668"/>
      <c r="M165" s="668"/>
      <c r="N165" s="668"/>
      <c r="O165" s="668"/>
      <c r="P165" s="669"/>
      <c r="Q165" s="668" t="s">
        <v>819</v>
      </c>
      <c r="R165" s="668"/>
      <c r="S165" s="668" t="s">
        <v>862</v>
      </c>
      <c r="T165" s="670"/>
      <c r="U165" s="670"/>
      <c r="V165" s="667"/>
      <c r="W165" s="260" t="s">
        <v>863</v>
      </c>
      <c r="X165" s="260" t="s">
        <v>863</v>
      </c>
      <c r="Y165" s="232"/>
      <c r="Z165" s="671"/>
      <c r="AA165" s="668"/>
      <c r="AB165" s="672"/>
      <c r="AC165" s="668"/>
      <c r="AD165" s="670"/>
      <c r="AE165" s="670">
        <v>1</v>
      </c>
    </row>
    <row r="166" spans="1:31" s="224" customFormat="1" ht="13.5" customHeight="1">
      <c r="A166" s="225">
        <f t="shared" si="4"/>
        <v>158</v>
      </c>
      <c r="B166" s="219"/>
      <c r="C166" s="239" t="s">
        <v>1529</v>
      </c>
      <c r="D166" s="241"/>
      <c r="E166" s="241"/>
      <c r="F166" s="241"/>
      <c r="G166" s="241"/>
      <c r="H166" s="668" t="s">
        <v>1530</v>
      </c>
      <c r="I166" s="666" t="s">
        <v>929</v>
      </c>
      <c r="J166" s="668"/>
      <c r="K166" s="666" t="s">
        <v>930</v>
      </c>
      <c r="L166" s="668"/>
      <c r="M166" s="668"/>
      <c r="N166" s="668"/>
      <c r="O166" s="668"/>
      <c r="P166" s="669"/>
      <c r="Q166" s="668" t="s">
        <v>819</v>
      </c>
      <c r="R166" s="668"/>
      <c r="S166" s="668" t="s">
        <v>878</v>
      </c>
      <c r="T166" s="670"/>
      <c r="U166" s="668"/>
      <c r="V166" s="667"/>
      <c r="W166" s="667" t="s">
        <v>863</v>
      </c>
      <c r="X166" s="667" t="s">
        <v>863</v>
      </c>
      <c r="Y166" s="232"/>
      <c r="Z166" s="671"/>
      <c r="AA166" s="668"/>
      <c r="AB166" s="672"/>
      <c r="AC166" s="668"/>
      <c r="AD166" s="670"/>
      <c r="AE166" s="670">
        <v>1</v>
      </c>
    </row>
    <row r="167" spans="1:31" s="224" customFormat="1" ht="13.5" customHeight="1">
      <c r="A167" s="225">
        <f t="shared" si="4"/>
        <v>159</v>
      </c>
      <c r="B167" s="219"/>
      <c r="C167" s="241" t="s">
        <v>1531</v>
      </c>
      <c r="D167" s="241"/>
      <c r="E167" s="241"/>
      <c r="F167" s="241"/>
      <c r="G167" s="241"/>
      <c r="H167" s="668" t="s">
        <v>1532</v>
      </c>
      <c r="I167" s="666"/>
      <c r="J167" s="668"/>
      <c r="K167" s="666" t="s">
        <v>938</v>
      </c>
      <c r="L167" s="668"/>
      <c r="M167" s="668"/>
      <c r="N167" s="668"/>
      <c r="O167" s="668"/>
      <c r="P167" s="669"/>
      <c r="Q167" s="668" t="s">
        <v>819</v>
      </c>
      <c r="R167" s="668"/>
      <c r="S167" s="668" t="s">
        <v>862</v>
      </c>
      <c r="T167" s="670"/>
      <c r="U167" s="668"/>
      <c r="V167" s="667"/>
      <c r="W167" s="260" t="s">
        <v>863</v>
      </c>
      <c r="X167" s="260" t="s">
        <v>863</v>
      </c>
      <c r="Y167" s="232"/>
      <c r="Z167" s="671"/>
      <c r="AA167" s="668"/>
      <c r="AB167" s="672"/>
      <c r="AC167" s="668"/>
      <c r="AD167" s="670"/>
      <c r="AE167" s="670">
        <v>1</v>
      </c>
    </row>
    <row r="168" spans="1:31" s="224" customFormat="1" ht="13.5" customHeight="1">
      <c r="A168" s="225">
        <f t="shared" si="4"/>
        <v>160</v>
      </c>
      <c r="B168" s="219"/>
      <c r="C168" s="241" t="s">
        <v>1533</v>
      </c>
      <c r="D168" s="241"/>
      <c r="E168" s="241"/>
      <c r="F168" s="241"/>
      <c r="G168" s="241"/>
      <c r="H168" s="668" t="s">
        <v>1534</v>
      </c>
      <c r="I168" s="666"/>
      <c r="J168" s="668"/>
      <c r="K168" s="666" t="s">
        <v>1535</v>
      </c>
      <c r="L168" s="668"/>
      <c r="M168" s="668"/>
      <c r="N168" s="668"/>
      <c r="O168" s="668"/>
      <c r="P168" s="669"/>
      <c r="Q168" s="668" t="s">
        <v>816</v>
      </c>
      <c r="R168" s="668"/>
      <c r="S168" s="668" t="s">
        <v>862</v>
      </c>
      <c r="T168" s="670"/>
      <c r="U168" s="668"/>
      <c r="V168" s="667"/>
      <c r="W168" s="260" t="s">
        <v>863</v>
      </c>
      <c r="X168" s="260" t="s">
        <v>863</v>
      </c>
      <c r="Y168" s="232"/>
      <c r="Z168" s="671"/>
      <c r="AA168" s="668"/>
      <c r="AB168" s="672"/>
      <c r="AC168" s="668"/>
      <c r="AD168" s="670"/>
      <c r="AE168" s="670">
        <v>1</v>
      </c>
    </row>
    <row r="169" spans="1:31" s="224" customFormat="1" ht="13.5" customHeight="1">
      <c r="A169" s="225">
        <f t="shared" si="4"/>
        <v>161</v>
      </c>
      <c r="B169" s="219"/>
      <c r="C169" s="241" t="s">
        <v>1536</v>
      </c>
      <c r="D169" s="241"/>
      <c r="E169" s="241"/>
      <c r="F169" s="241"/>
      <c r="G169" s="241"/>
      <c r="H169" s="668" t="s">
        <v>1537</v>
      </c>
      <c r="I169" s="666"/>
      <c r="J169" s="668"/>
      <c r="K169" s="666" t="s">
        <v>1538</v>
      </c>
      <c r="L169" s="668"/>
      <c r="M169" s="668"/>
      <c r="N169" s="668"/>
      <c r="O169" s="668"/>
      <c r="P169" s="669"/>
      <c r="Q169" s="668" t="s">
        <v>816</v>
      </c>
      <c r="R169" s="668"/>
      <c r="S169" s="668" t="s">
        <v>862</v>
      </c>
      <c r="T169" s="670"/>
      <c r="U169" s="668"/>
      <c r="V169" s="667"/>
      <c r="W169" s="260" t="s">
        <v>863</v>
      </c>
      <c r="X169" s="260" t="s">
        <v>863</v>
      </c>
      <c r="Y169" s="232"/>
      <c r="Z169" s="671"/>
      <c r="AA169" s="668"/>
      <c r="AB169" s="672"/>
      <c r="AC169" s="668"/>
      <c r="AD169" s="670"/>
      <c r="AE169" s="670">
        <v>1</v>
      </c>
    </row>
    <row r="170" spans="1:31" s="224" customFormat="1" ht="13.5" customHeight="1">
      <c r="A170" s="225">
        <f t="shared" ref="A170:A198" si="5">ROW()-8</f>
        <v>162</v>
      </c>
      <c r="B170" s="219"/>
      <c r="C170" s="241" t="s">
        <v>1539</v>
      </c>
      <c r="D170" s="241"/>
      <c r="E170" s="241"/>
      <c r="F170" s="241"/>
      <c r="G170" s="241"/>
      <c r="H170" s="668" t="s">
        <v>1540</v>
      </c>
      <c r="I170" s="666"/>
      <c r="J170" s="668"/>
      <c r="K170" s="666" t="s">
        <v>1541</v>
      </c>
      <c r="L170" s="668"/>
      <c r="M170" s="668"/>
      <c r="N170" s="668"/>
      <c r="O170" s="668"/>
      <c r="P170" s="669"/>
      <c r="Q170" s="668" t="s">
        <v>816</v>
      </c>
      <c r="R170" s="668"/>
      <c r="S170" s="668" t="s">
        <v>862</v>
      </c>
      <c r="T170" s="670"/>
      <c r="U170" s="668"/>
      <c r="V170" s="667"/>
      <c r="W170" s="260" t="s">
        <v>863</v>
      </c>
      <c r="X170" s="260" t="s">
        <v>863</v>
      </c>
      <c r="Y170" s="232"/>
      <c r="Z170" s="671"/>
      <c r="AA170" s="668"/>
      <c r="AB170" s="672"/>
      <c r="AC170" s="668"/>
      <c r="AD170" s="670"/>
      <c r="AE170" s="670">
        <v>1</v>
      </c>
    </row>
    <row r="171" spans="1:31" s="224" customFormat="1" ht="13.5" customHeight="1">
      <c r="A171" s="225">
        <f t="shared" si="5"/>
        <v>163</v>
      </c>
      <c r="B171" s="217" t="s">
        <v>1542</v>
      </c>
      <c r="C171" s="219"/>
      <c r="D171" s="241"/>
      <c r="E171" s="241"/>
      <c r="F171" s="241"/>
      <c r="G171" s="241"/>
      <c r="H171" s="269" t="s">
        <v>1543</v>
      </c>
      <c r="I171" s="666"/>
      <c r="J171" s="668"/>
      <c r="K171" s="666" t="s">
        <v>1544</v>
      </c>
      <c r="L171" s="668"/>
      <c r="M171" s="668"/>
      <c r="N171" s="668"/>
      <c r="O171" s="668"/>
      <c r="P171" s="669"/>
      <c r="Q171" s="668" t="s">
        <v>822</v>
      </c>
      <c r="R171" s="668" t="s">
        <v>863</v>
      </c>
      <c r="S171" s="243" t="s">
        <v>1544</v>
      </c>
      <c r="T171" s="670"/>
      <c r="U171" s="668"/>
      <c r="V171" s="667" t="s">
        <v>863</v>
      </c>
      <c r="W171" s="260" t="s">
        <v>863</v>
      </c>
      <c r="X171" s="260" t="s">
        <v>863</v>
      </c>
      <c r="Y171" s="232"/>
      <c r="Z171" s="266" t="s">
        <v>1545</v>
      </c>
      <c r="AA171" s="263" t="s">
        <v>1546</v>
      </c>
      <c r="AB171" s="672"/>
      <c r="AC171" s="668"/>
      <c r="AD171" s="670"/>
      <c r="AE171" s="670">
        <v>1</v>
      </c>
    </row>
    <row r="172" spans="1:31" s="224" customFormat="1" ht="13.5" customHeight="1">
      <c r="A172" s="225">
        <f t="shared" si="5"/>
        <v>164</v>
      </c>
      <c r="B172" s="217"/>
      <c r="C172" s="217" t="s">
        <v>1403</v>
      </c>
      <c r="D172" s="241"/>
      <c r="E172" s="241"/>
      <c r="F172" s="241"/>
      <c r="G172" s="241"/>
      <c r="H172" s="668" t="s">
        <v>1663</v>
      </c>
      <c r="I172" s="666"/>
      <c r="J172" s="668"/>
      <c r="K172" s="666" t="s">
        <v>1217</v>
      </c>
      <c r="L172" s="668"/>
      <c r="M172" s="668"/>
      <c r="N172" s="668"/>
      <c r="O172" s="668"/>
      <c r="P172" s="669"/>
      <c r="Q172" s="668" t="s">
        <v>816</v>
      </c>
      <c r="R172" s="668"/>
      <c r="S172" s="668" t="s">
        <v>862</v>
      </c>
      <c r="T172" s="670"/>
      <c r="U172" s="668"/>
      <c r="V172" s="667" t="s">
        <v>863</v>
      </c>
      <c r="W172" s="260" t="s">
        <v>863</v>
      </c>
      <c r="X172" s="260" t="s">
        <v>863</v>
      </c>
      <c r="Y172" s="232"/>
      <c r="Z172" s="671"/>
      <c r="AA172" s="263"/>
      <c r="AB172" s="672"/>
      <c r="AC172" s="668"/>
      <c r="AD172" s="670"/>
      <c r="AE172" s="670">
        <v>1</v>
      </c>
    </row>
    <row r="173" spans="1:31" s="158" customFormat="1" ht="12.75" customHeight="1">
      <c r="A173" s="225">
        <f t="shared" si="5"/>
        <v>165</v>
      </c>
      <c r="B173" s="217"/>
      <c r="C173" s="241" t="s">
        <v>1547</v>
      </c>
      <c r="D173" s="241"/>
      <c r="E173" s="241"/>
      <c r="F173" s="241"/>
      <c r="G173" s="241"/>
      <c r="H173" s="668" t="s">
        <v>1548</v>
      </c>
      <c r="I173" s="666" t="s">
        <v>929</v>
      </c>
      <c r="J173" s="668"/>
      <c r="K173" s="666" t="s">
        <v>930</v>
      </c>
      <c r="L173" s="668"/>
      <c r="M173" s="668"/>
      <c r="N173" s="668"/>
      <c r="O173" s="668"/>
      <c r="P173" s="669"/>
      <c r="Q173" s="668" t="s">
        <v>819</v>
      </c>
      <c r="R173" s="668"/>
      <c r="S173" s="668" t="s">
        <v>878</v>
      </c>
      <c r="T173" s="670"/>
      <c r="U173" s="668"/>
      <c r="V173" s="667" t="s">
        <v>863</v>
      </c>
      <c r="W173" s="667" t="s">
        <v>863</v>
      </c>
      <c r="X173" s="667" t="s">
        <v>863</v>
      </c>
      <c r="Y173" s="232"/>
      <c r="Z173" s="671"/>
      <c r="AA173" s="263"/>
      <c r="AB173" s="672"/>
      <c r="AC173" s="668"/>
      <c r="AD173" s="670"/>
      <c r="AE173" s="670">
        <v>1</v>
      </c>
    </row>
    <row r="174" spans="1:31" s="158" customFormat="1" ht="12.75" customHeight="1">
      <c r="A174" s="225">
        <f t="shared" si="5"/>
        <v>166</v>
      </c>
      <c r="B174" s="217"/>
      <c r="C174" s="241" t="s">
        <v>1549</v>
      </c>
      <c r="D174" s="241"/>
      <c r="E174" s="241"/>
      <c r="F174" s="241"/>
      <c r="G174" s="241"/>
      <c r="H174" s="705" t="s">
        <v>1550</v>
      </c>
      <c r="I174" s="666" t="s">
        <v>1551</v>
      </c>
      <c r="J174" s="668"/>
      <c r="K174" s="666" t="s">
        <v>969</v>
      </c>
      <c r="L174" s="668"/>
      <c r="M174" s="668"/>
      <c r="N174" s="668"/>
      <c r="O174" s="668"/>
      <c r="P174" s="669"/>
      <c r="Q174" s="668" t="s">
        <v>819</v>
      </c>
      <c r="R174" s="668"/>
      <c r="S174" s="668" t="s">
        <v>862</v>
      </c>
      <c r="T174" s="670" t="s">
        <v>863</v>
      </c>
      <c r="U174" s="666" t="s">
        <v>1664</v>
      </c>
      <c r="V174" s="667" t="s">
        <v>863</v>
      </c>
      <c r="W174" s="260" t="s">
        <v>863</v>
      </c>
      <c r="X174" s="260" t="s">
        <v>863</v>
      </c>
      <c r="Y174" s="232"/>
      <c r="Z174" s="386" t="s">
        <v>1552</v>
      </c>
      <c r="AA174" s="389" t="s">
        <v>1553</v>
      </c>
      <c r="AB174" s="672" t="s">
        <v>1554</v>
      </c>
      <c r="AC174" s="668"/>
      <c r="AD174" s="670"/>
      <c r="AE174" s="670">
        <v>1</v>
      </c>
    </row>
    <row r="175" spans="1:31" s="158" customFormat="1" ht="12.75" customHeight="1">
      <c r="A175" s="225">
        <f>ROW()-8</f>
        <v>167</v>
      </c>
      <c r="B175" s="217"/>
      <c r="C175" s="241" t="s">
        <v>2660</v>
      </c>
      <c r="D175" s="241"/>
      <c r="E175" s="241"/>
      <c r="F175" s="241"/>
      <c r="G175" s="241"/>
      <c r="H175" s="784"/>
      <c r="I175" s="778"/>
      <c r="J175" s="775"/>
      <c r="K175" s="778" t="s">
        <v>2661</v>
      </c>
      <c r="L175" s="775"/>
      <c r="M175" s="775"/>
      <c r="N175" s="775"/>
      <c r="O175" s="775"/>
      <c r="P175" s="779"/>
      <c r="Q175" s="775" t="s">
        <v>816</v>
      </c>
      <c r="R175" s="775" t="s">
        <v>863</v>
      </c>
      <c r="S175" s="378" t="s">
        <v>2661</v>
      </c>
      <c r="T175" s="780"/>
      <c r="U175" s="775"/>
      <c r="V175" s="781"/>
      <c r="W175" s="781" t="s">
        <v>863</v>
      </c>
      <c r="X175" s="781" t="s">
        <v>863</v>
      </c>
      <c r="Y175" s="232"/>
      <c r="Z175" s="782"/>
      <c r="AA175" s="775"/>
      <c r="AB175" s="783"/>
      <c r="AC175" s="775"/>
      <c r="AD175" s="780"/>
      <c r="AE175" s="780">
        <v>1</v>
      </c>
    </row>
    <row r="176" spans="1:31" s="158" customFormat="1" ht="12.75" customHeight="1">
      <c r="A176" s="225">
        <f>ROW()-8</f>
        <v>168</v>
      </c>
      <c r="B176" s="217"/>
      <c r="C176" s="241"/>
      <c r="D176" s="241" t="s">
        <v>830</v>
      </c>
      <c r="E176" s="241"/>
      <c r="F176" s="241"/>
      <c r="G176" s="241"/>
      <c r="H176" s="775" t="s">
        <v>1397</v>
      </c>
      <c r="I176" s="778"/>
      <c r="J176" s="775"/>
      <c r="K176" s="778" t="s">
        <v>1217</v>
      </c>
      <c r="L176" s="775"/>
      <c r="M176" s="775"/>
      <c r="N176" s="775"/>
      <c r="O176" s="775"/>
      <c r="P176" s="779"/>
      <c r="Q176" s="775" t="s">
        <v>816</v>
      </c>
      <c r="R176" s="775"/>
      <c r="S176" s="775" t="s">
        <v>862</v>
      </c>
      <c r="T176" s="780"/>
      <c r="U176" s="785"/>
      <c r="V176" s="781"/>
      <c r="W176" s="260"/>
      <c r="X176" s="260"/>
      <c r="Y176" s="232"/>
      <c r="Z176" s="782"/>
      <c r="AA176" s="775"/>
      <c r="AB176" s="783"/>
      <c r="AC176" s="775"/>
      <c r="AD176" s="780"/>
      <c r="AE176" s="780">
        <v>1</v>
      </c>
    </row>
    <row r="177" spans="1:31" s="158" customFormat="1" ht="12.75" customHeight="1">
      <c r="A177" s="225">
        <f>ROW()-8</f>
        <v>169</v>
      </c>
      <c r="B177" s="217"/>
      <c r="C177" s="241"/>
      <c r="D177" s="241" t="s">
        <v>1398</v>
      </c>
      <c r="E177" s="241"/>
      <c r="F177" s="241"/>
      <c r="G177" s="241"/>
      <c r="H177" s="775" t="s">
        <v>1399</v>
      </c>
      <c r="I177" s="786" t="s">
        <v>1400</v>
      </c>
      <c r="J177" s="775"/>
      <c r="K177" s="778" t="s">
        <v>1351</v>
      </c>
      <c r="L177" s="775"/>
      <c r="M177" s="775"/>
      <c r="N177" s="775"/>
      <c r="O177" s="775"/>
      <c r="P177" s="779"/>
      <c r="Q177" s="775" t="s">
        <v>819</v>
      </c>
      <c r="R177" s="775"/>
      <c r="S177" s="775" t="s">
        <v>862</v>
      </c>
      <c r="T177" s="780"/>
      <c r="U177" s="780"/>
      <c r="V177" s="781"/>
      <c r="W177" s="781"/>
      <c r="X177" s="781"/>
      <c r="Y177" s="232"/>
      <c r="Z177" s="782"/>
      <c r="AA177" s="775"/>
      <c r="AB177" s="783"/>
      <c r="AC177" s="775"/>
      <c r="AD177" s="780"/>
      <c r="AE177" s="780">
        <v>1</v>
      </c>
    </row>
    <row r="178" spans="1:31" s="158" customFormat="1" ht="12.75" customHeight="1">
      <c r="A178" s="225">
        <f t="shared" si="5"/>
        <v>170</v>
      </c>
      <c r="B178" s="217"/>
      <c r="C178" s="241" t="s">
        <v>1665</v>
      </c>
      <c r="D178" s="241"/>
      <c r="E178" s="241"/>
      <c r="F178" s="241"/>
      <c r="G178" s="241"/>
      <c r="H178" s="705" t="s">
        <v>1666</v>
      </c>
      <c r="I178" s="666"/>
      <c r="J178" s="668"/>
      <c r="K178" s="666" t="s">
        <v>1667</v>
      </c>
      <c r="L178" s="668"/>
      <c r="M178" s="668"/>
      <c r="N178" s="668"/>
      <c r="O178" s="668"/>
      <c r="P178" s="669"/>
      <c r="Q178" s="668" t="s">
        <v>816</v>
      </c>
      <c r="R178" s="668" t="s">
        <v>863</v>
      </c>
      <c r="S178" s="378" t="s">
        <v>1667</v>
      </c>
      <c r="T178" s="670"/>
      <c r="U178" s="668"/>
      <c r="V178" s="667"/>
      <c r="W178" s="667" t="s">
        <v>863</v>
      </c>
      <c r="X178" s="260" t="s">
        <v>863</v>
      </c>
      <c r="Y178" s="232"/>
      <c r="Z178" s="671"/>
      <c r="AA178" s="668"/>
      <c r="AB178" s="672"/>
      <c r="AC178" s="668"/>
      <c r="AD178" s="670"/>
      <c r="AE178" s="670">
        <v>1</v>
      </c>
    </row>
    <row r="179" spans="1:31" s="158" customFormat="1" ht="12.75" customHeight="1">
      <c r="A179" s="225">
        <f t="shared" si="5"/>
        <v>171</v>
      </c>
      <c r="B179" s="217"/>
      <c r="C179" s="241"/>
      <c r="D179" s="241" t="s">
        <v>1668</v>
      </c>
      <c r="E179" s="241"/>
      <c r="F179" s="241"/>
      <c r="G179" s="241"/>
      <c r="H179" s="705" t="s">
        <v>1669</v>
      </c>
      <c r="I179" s="666" t="s">
        <v>1670</v>
      </c>
      <c r="J179" s="668"/>
      <c r="K179" s="666" t="s">
        <v>1671</v>
      </c>
      <c r="L179" s="668"/>
      <c r="M179" s="668"/>
      <c r="N179" s="668"/>
      <c r="O179" s="668"/>
      <c r="P179" s="669"/>
      <c r="Q179" s="668" t="s">
        <v>819</v>
      </c>
      <c r="R179" s="668"/>
      <c r="S179" s="668" t="s">
        <v>862</v>
      </c>
      <c r="T179" s="670" t="s">
        <v>863</v>
      </c>
      <c r="U179" s="668" t="s">
        <v>1672</v>
      </c>
      <c r="V179" s="667"/>
      <c r="W179" s="667" t="s">
        <v>863</v>
      </c>
      <c r="X179" s="260" t="s">
        <v>863</v>
      </c>
      <c r="Y179" s="232"/>
      <c r="Z179" s="671"/>
      <c r="AA179" s="668"/>
      <c r="AB179" s="672"/>
      <c r="AC179" s="668"/>
      <c r="AD179" s="670"/>
      <c r="AE179" s="670">
        <v>1</v>
      </c>
    </row>
    <row r="180" spans="1:31" s="158" customFormat="1" ht="12.75" customHeight="1">
      <c r="A180" s="225">
        <f t="shared" si="5"/>
        <v>172</v>
      </c>
      <c r="B180" s="217"/>
      <c r="C180" s="241"/>
      <c r="D180" s="241" t="s">
        <v>1673</v>
      </c>
      <c r="E180" s="241"/>
      <c r="F180" s="241"/>
      <c r="G180" s="241"/>
      <c r="H180" s="705" t="s">
        <v>1674</v>
      </c>
      <c r="I180" s="666" t="s">
        <v>1675</v>
      </c>
      <c r="J180" s="668"/>
      <c r="K180" s="666" t="s">
        <v>1676</v>
      </c>
      <c r="L180" s="668"/>
      <c r="M180" s="668"/>
      <c r="N180" s="668"/>
      <c r="O180" s="668"/>
      <c r="P180" s="669"/>
      <c r="Q180" s="668" t="s">
        <v>816</v>
      </c>
      <c r="R180" s="668"/>
      <c r="S180" s="668" t="s">
        <v>862</v>
      </c>
      <c r="T180" s="670" t="s">
        <v>863</v>
      </c>
      <c r="U180" s="668" t="s">
        <v>1677</v>
      </c>
      <c r="V180" s="667"/>
      <c r="W180" s="667" t="s">
        <v>863</v>
      </c>
      <c r="X180" s="260" t="s">
        <v>863</v>
      </c>
      <c r="Y180" s="232"/>
      <c r="Z180" s="671"/>
      <c r="AA180" s="668"/>
      <c r="AB180" s="672"/>
      <c r="AC180" s="668"/>
      <c r="AD180" s="670"/>
      <c r="AE180" s="670">
        <v>1</v>
      </c>
    </row>
    <row r="181" spans="1:31" s="158" customFormat="1" ht="12.75" customHeight="1">
      <c r="A181" s="225">
        <f t="shared" si="5"/>
        <v>173</v>
      </c>
      <c r="B181" s="217"/>
      <c r="C181" s="241"/>
      <c r="D181" s="241" t="s">
        <v>1678</v>
      </c>
      <c r="E181" s="241"/>
      <c r="F181" s="241"/>
      <c r="G181" s="241"/>
      <c r="H181" s="705"/>
      <c r="I181" s="666"/>
      <c r="J181" s="668"/>
      <c r="K181" s="666" t="s">
        <v>1679</v>
      </c>
      <c r="L181" s="668"/>
      <c r="M181" s="668"/>
      <c r="N181" s="668"/>
      <c r="O181" s="668"/>
      <c r="P181" s="669"/>
      <c r="Q181" s="668" t="s">
        <v>816</v>
      </c>
      <c r="R181" s="668"/>
      <c r="S181" s="668" t="s">
        <v>862</v>
      </c>
      <c r="T181" s="670"/>
      <c r="U181" s="668"/>
      <c r="V181" s="667"/>
      <c r="W181" s="667" t="s">
        <v>863</v>
      </c>
      <c r="X181" s="260" t="s">
        <v>863</v>
      </c>
      <c r="Y181" s="232"/>
      <c r="Z181" s="671"/>
      <c r="AA181" s="668"/>
      <c r="AB181" s="672"/>
      <c r="AC181" s="668"/>
      <c r="AD181" s="670"/>
      <c r="AE181" s="670">
        <v>1</v>
      </c>
    </row>
    <row r="182" spans="1:31" s="158" customFormat="1" ht="12.75" customHeight="1">
      <c r="A182" s="225">
        <f t="shared" si="5"/>
        <v>174</v>
      </c>
      <c r="B182" s="217"/>
      <c r="C182" s="241"/>
      <c r="D182" s="241" t="s">
        <v>1571</v>
      </c>
      <c r="E182" s="241"/>
      <c r="F182" s="241"/>
      <c r="G182" s="241"/>
      <c r="H182" s="269" t="s">
        <v>1572</v>
      </c>
      <c r="I182" s="264" t="s">
        <v>1573</v>
      </c>
      <c r="J182" s="668"/>
      <c r="K182" s="666" t="s">
        <v>1680</v>
      </c>
      <c r="L182" s="668"/>
      <c r="M182" s="668"/>
      <c r="N182" s="668"/>
      <c r="O182" s="668"/>
      <c r="P182" s="669"/>
      <c r="Q182" s="668" t="s">
        <v>819</v>
      </c>
      <c r="R182" s="668"/>
      <c r="S182" s="668" t="s">
        <v>862</v>
      </c>
      <c r="T182" s="670"/>
      <c r="U182" s="668" t="s">
        <v>1681</v>
      </c>
      <c r="V182" s="667"/>
      <c r="W182" s="667" t="s">
        <v>863</v>
      </c>
      <c r="X182" s="260" t="s">
        <v>863</v>
      </c>
      <c r="Y182" s="232"/>
      <c r="Z182" s="671"/>
      <c r="AA182" s="668"/>
      <c r="AB182" s="672"/>
      <c r="AC182" s="668"/>
      <c r="AD182" s="670"/>
      <c r="AE182" s="670">
        <v>1</v>
      </c>
    </row>
    <row r="183" spans="1:31" s="158" customFormat="1" ht="12.75" customHeight="1">
      <c r="A183" s="225">
        <f t="shared" si="5"/>
        <v>175</v>
      </c>
      <c r="B183" s="217"/>
      <c r="C183" s="241" t="s">
        <v>1682</v>
      </c>
      <c r="D183" s="241"/>
      <c r="E183" s="241"/>
      <c r="F183" s="241"/>
      <c r="G183" s="241"/>
      <c r="H183" s="705"/>
      <c r="I183" s="666"/>
      <c r="J183" s="668"/>
      <c r="K183" s="666" t="s">
        <v>1683</v>
      </c>
      <c r="L183" s="668"/>
      <c r="M183" s="668"/>
      <c r="N183" s="668"/>
      <c r="O183" s="668"/>
      <c r="P183" s="669"/>
      <c r="Q183" s="668" t="s">
        <v>816</v>
      </c>
      <c r="R183" s="668" t="s">
        <v>863</v>
      </c>
      <c r="S183" s="378" t="s">
        <v>1683</v>
      </c>
      <c r="T183" s="670"/>
      <c r="U183" s="668"/>
      <c r="V183" s="667" t="s">
        <v>863</v>
      </c>
      <c r="W183" s="667" t="s">
        <v>863</v>
      </c>
      <c r="X183" s="260" t="s">
        <v>863</v>
      </c>
      <c r="Y183" s="232"/>
      <c r="Z183" s="671"/>
      <c r="AA183" s="668"/>
      <c r="AB183" s="672"/>
      <c r="AC183" s="668"/>
      <c r="AD183" s="670"/>
      <c r="AE183" s="670">
        <v>1</v>
      </c>
    </row>
    <row r="184" spans="1:31" s="158" customFormat="1" ht="12.75" customHeight="1">
      <c r="A184" s="225">
        <f t="shared" si="5"/>
        <v>176</v>
      </c>
      <c r="B184" s="217"/>
      <c r="C184" s="241"/>
      <c r="D184" s="241" t="s">
        <v>1684</v>
      </c>
      <c r="E184" s="241"/>
      <c r="F184" s="241"/>
      <c r="G184" s="241"/>
      <c r="H184" s="266" t="s">
        <v>1556</v>
      </c>
      <c r="I184" s="264" t="s">
        <v>1557</v>
      </c>
      <c r="J184" s="263"/>
      <c r="K184" s="666" t="s">
        <v>1558</v>
      </c>
      <c r="L184" s="668"/>
      <c r="M184" s="668"/>
      <c r="N184" s="668"/>
      <c r="O184" s="668"/>
      <c r="P184" s="669"/>
      <c r="Q184" s="668" t="s">
        <v>819</v>
      </c>
      <c r="R184" s="668"/>
      <c r="S184" s="668" t="s">
        <v>862</v>
      </c>
      <c r="T184" s="670" t="s">
        <v>863</v>
      </c>
      <c r="U184" s="373"/>
      <c r="V184" s="265" t="s">
        <v>863</v>
      </c>
      <c r="W184" s="260" t="s">
        <v>863</v>
      </c>
      <c r="X184" s="260" t="s">
        <v>863</v>
      </c>
      <c r="Y184" s="232"/>
      <c r="Z184" s="387" t="s">
        <v>1559</v>
      </c>
      <c r="AA184" s="389" t="s">
        <v>1553</v>
      </c>
      <c r="AB184" s="267" t="s">
        <v>1560</v>
      </c>
      <c r="AC184" s="263"/>
      <c r="AD184" s="670"/>
      <c r="AE184" s="670">
        <v>1</v>
      </c>
    </row>
    <row r="185" spans="1:31" s="512" customFormat="1" ht="12.75" customHeight="1">
      <c r="A185" s="225">
        <f t="shared" si="5"/>
        <v>177</v>
      </c>
      <c r="B185" s="217"/>
      <c r="C185" s="218"/>
      <c r="D185" s="218" t="s">
        <v>1685</v>
      </c>
      <c r="E185" s="241"/>
      <c r="F185" s="241"/>
      <c r="G185" s="241"/>
      <c r="H185" s="705" t="s">
        <v>1686</v>
      </c>
      <c r="I185" s="666"/>
      <c r="J185" s="668"/>
      <c r="K185" s="666" t="s">
        <v>1687</v>
      </c>
      <c r="L185" s="668"/>
      <c r="M185" s="668"/>
      <c r="N185" s="668"/>
      <c r="O185" s="668"/>
      <c r="P185" s="669"/>
      <c r="Q185" s="255" t="s">
        <v>816</v>
      </c>
      <c r="R185" s="255"/>
      <c r="S185" s="255" t="s">
        <v>862</v>
      </c>
      <c r="T185" s="670"/>
      <c r="U185" s="668"/>
      <c r="V185" s="667" t="s">
        <v>863</v>
      </c>
      <c r="W185" s="667" t="s">
        <v>863</v>
      </c>
      <c r="X185" s="511"/>
      <c r="Y185" s="232"/>
      <c r="Z185" s="706"/>
      <c r="AA185" s="668"/>
      <c r="AB185" s="672"/>
      <c r="AC185" s="668"/>
      <c r="AD185" s="670"/>
      <c r="AE185" s="670">
        <v>1</v>
      </c>
    </row>
    <row r="186" spans="1:31" s="249" customFormat="1" ht="12.75" customHeight="1">
      <c r="A186" s="225">
        <f t="shared" si="5"/>
        <v>178</v>
      </c>
      <c r="B186" s="218"/>
      <c r="C186" s="218"/>
      <c r="D186" s="218" t="s">
        <v>1567</v>
      </c>
      <c r="E186" s="218"/>
      <c r="F186" s="218"/>
      <c r="G186" s="218"/>
      <c r="H186" s="501" t="s">
        <v>1688</v>
      </c>
      <c r="I186" s="499"/>
      <c r="J186" s="255"/>
      <c r="K186" s="499" t="s">
        <v>1569</v>
      </c>
      <c r="L186" s="255"/>
      <c r="M186" s="255"/>
      <c r="N186" s="255"/>
      <c r="O186" s="255"/>
      <c r="P186" s="376"/>
      <c r="Q186" s="255" t="s">
        <v>816</v>
      </c>
      <c r="R186" s="255"/>
      <c r="S186" s="255" t="s">
        <v>862</v>
      </c>
      <c r="T186" s="373"/>
      <c r="U186" s="255"/>
      <c r="V186" s="374" t="s">
        <v>863</v>
      </c>
      <c r="W186" s="374" t="s">
        <v>863</v>
      </c>
      <c r="X186" s="374" t="s">
        <v>863</v>
      </c>
      <c r="Y186" s="502"/>
      <c r="Z186" s="503" t="s">
        <v>1570</v>
      </c>
      <c r="AA186" s="255"/>
      <c r="AB186" s="245"/>
      <c r="AC186" s="255"/>
      <c r="AD186" s="373"/>
      <c r="AE186" s="373">
        <v>1</v>
      </c>
    </row>
    <row r="187" spans="1:31" s="158" customFormat="1" ht="12.75" customHeight="1">
      <c r="A187" s="225">
        <f t="shared" si="5"/>
        <v>179</v>
      </c>
      <c r="B187" s="217"/>
      <c r="C187" s="241"/>
      <c r="D187" s="241" t="s">
        <v>1571</v>
      </c>
      <c r="E187" s="241"/>
      <c r="F187" s="241"/>
      <c r="G187" s="241"/>
      <c r="H187" s="269" t="s">
        <v>1572</v>
      </c>
      <c r="I187" s="264" t="s">
        <v>1573</v>
      </c>
      <c r="J187" s="263"/>
      <c r="K187" s="666" t="s">
        <v>1574</v>
      </c>
      <c r="L187" s="668"/>
      <c r="M187" s="668"/>
      <c r="N187" s="668"/>
      <c r="O187" s="668"/>
      <c r="P187" s="669"/>
      <c r="Q187" s="668" t="s">
        <v>819</v>
      </c>
      <c r="R187" s="668"/>
      <c r="S187" s="668" t="s">
        <v>862</v>
      </c>
      <c r="T187" s="268"/>
      <c r="U187" s="668" t="s">
        <v>1681</v>
      </c>
      <c r="V187" s="265" t="s">
        <v>863</v>
      </c>
      <c r="W187" s="260" t="s">
        <v>863</v>
      </c>
      <c r="X187" s="260" t="s">
        <v>863</v>
      </c>
      <c r="Y187" s="232"/>
      <c r="Z187" s="388" t="s">
        <v>1575</v>
      </c>
      <c r="AA187" s="389" t="s">
        <v>1553</v>
      </c>
      <c r="AB187" s="267"/>
      <c r="AC187" s="263"/>
      <c r="AD187" s="670"/>
      <c r="AE187" s="670">
        <v>1</v>
      </c>
    </row>
    <row r="188" spans="1:31" s="158" customFormat="1" ht="12.75" customHeight="1">
      <c r="A188" s="225">
        <f t="shared" si="5"/>
        <v>180</v>
      </c>
      <c r="B188" s="217"/>
      <c r="C188" s="241"/>
      <c r="D188" s="241" t="s">
        <v>1576</v>
      </c>
      <c r="E188" s="241"/>
      <c r="F188" s="241"/>
      <c r="G188" s="241"/>
      <c r="H188" s="269"/>
      <c r="I188" s="264"/>
      <c r="J188" s="263"/>
      <c r="K188" s="666" t="s">
        <v>1577</v>
      </c>
      <c r="L188" s="668"/>
      <c r="M188" s="668"/>
      <c r="N188" s="668"/>
      <c r="O188" s="668"/>
      <c r="P188" s="669"/>
      <c r="Q188" s="701" t="s">
        <v>816</v>
      </c>
      <c r="R188" s="668" t="s">
        <v>863</v>
      </c>
      <c r="S188" s="378" t="s">
        <v>1577</v>
      </c>
      <c r="T188" s="268"/>
      <c r="U188" s="263"/>
      <c r="V188" s="265" t="s">
        <v>863</v>
      </c>
      <c r="W188" s="260" t="s">
        <v>863</v>
      </c>
      <c r="X188" s="260" t="s">
        <v>863</v>
      </c>
      <c r="Y188" s="232"/>
      <c r="Z188" s="266" t="s">
        <v>1578</v>
      </c>
      <c r="AA188" s="263"/>
      <c r="AB188" s="261"/>
      <c r="AC188" s="263"/>
      <c r="AD188" s="670"/>
      <c r="AE188" s="670">
        <v>1</v>
      </c>
    </row>
    <row r="189" spans="1:31" s="158" customFormat="1" ht="12.75" customHeight="1">
      <c r="A189" s="225">
        <f t="shared" si="5"/>
        <v>181</v>
      </c>
      <c r="B189" s="217"/>
      <c r="C189" s="241"/>
      <c r="D189" s="241"/>
      <c r="E189" s="241" t="s">
        <v>1579</v>
      </c>
      <c r="F189" s="241"/>
      <c r="G189" s="241"/>
      <c r="H189" s="269" t="s">
        <v>1580</v>
      </c>
      <c r="I189" s="264"/>
      <c r="J189" s="263"/>
      <c r="K189" s="666" t="s">
        <v>969</v>
      </c>
      <c r="L189" s="668"/>
      <c r="M189" s="668"/>
      <c r="N189" s="668"/>
      <c r="O189" s="668"/>
      <c r="P189" s="669"/>
      <c r="Q189" s="701" t="s">
        <v>816</v>
      </c>
      <c r="R189" s="668"/>
      <c r="S189" s="668" t="s">
        <v>862</v>
      </c>
      <c r="T189" s="268" t="s">
        <v>863</v>
      </c>
      <c r="U189" s="263" t="s">
        <v>1581</v>
      </c>
      <c r="V189" s="265" t="s">
        <v>863</v>
      </c>
      <c r="W189" s="260" t="s">
        <v>863</v>
      </c>
      <c r="X189" s="260" t="s">
        <v>863</v>
      </c>
      <c r="Y189" s="232"/>
      <c r="Z189" s="266"/>
      <c r="AA189" s="263"/>
      <c r="AB189" s="261"/>
      <c r="AC189" s="263"/>
      <c r="AD189" s="670"/>
      <c r="AE189" s="670">
        <v>1</v>
      </c>
    </row>
    <row r="190" spans="1:31" s="158" customFormat="1" ht="12.75" customHeight="1">
      <c r="A190" s="225">
        <f t="shared" si="5"/>
        <v>182</v>
      </c>
      <c r="B190" s="497"/>
      <c r="C190" s="498"/>
      <c r="D190" s="498"/>
      <c r="E190" s="498" t="s">
        <v>1582</v>
      </c>
      <c r="F190" s="217" t="s">
        <v>1583</v>
      </c>
      <c r="G190" s="217"/>
      <c r="H190" s="705"/>
      <c r="I190" s="666"/>
      <c r="J190" s="668"/>
      <c r="K190" s="666" t="s">
        <v>1584</v>
      </c>
      <c r="L190" s="668"/>
      <c r="M190" s="668"/>
      <c r="N190" s="668"/>
      <c r="O190" s="668"/>
      <c r="P190" s="669"/>
      <c r="Q190" s="701" t="s">
        <v>816</v>
      </c>
      <c r="R190" s="668" t="s">
        <v>863</v>
      </c>
      <c r="S190" s="243" t="s">
        <v>1053</v>
      </c>
      <c r="T190" s="670"/>
      <c r="U190" s="668"/>
      <c r="V190" s="667" t="s">
        <v>863</v>
      </c>
      <c r="W190" s="667" t="s">
        <v>863</v>
      </c>
      <c r="X190" s="667" t="s">
        <v>863</v>
      </c>
      <c r="Y190" s="232"/>
      <c r="Z190" s="671"/>
      <c r="AA190" s="668"/>
      <c r="AB190" s="672"/>
      <c r="AC190" s="668"/>
      <c r="AD190" s="670"/>
      <c r="AE190" s="670">
        <v>1</v>
      </c>
    </row>
    <row r="191" spans="1:31" s="224" customFormat="1" ht="14.25" customHeight="1">
      <c r="A191" s="225">
        <f t="shared" si="5"/>
        <v>183</v>
      </c>
      <c r="B191" s="217" t="s">
        <v>1585</v>
      </c>
      <c r="C191" s="217" t="s">
        <v>1586</v>
      </c>
      <c r="D191" s="270"/>
      <c r="E191" s="217"/>
      <c r="F191" s="217"/>
      <c r="G191" s="217"/>
      <c r="H191" s="668" t="s">
        <v>1689</v>
      </c>
      <c r="I191" s="666"/>
      <c r="J191" s="668" t="s">
        <v>1588</v>
      </c>
      <c r="K191" s="666" t="s">
        <v>1589</v>
      </c>
      <c r="L191" s="668"/>
      <c r="M191" s="668"/>
      <c r="N191" s="668"/>
      <c r="O191" s="668"/>
      <c r="P191" s="669">
        <v>1</v>
      </c>
      <c r="Q191" s="668" t="s">
        <v>822</v>
      </c>
      <c r="R191" s="668" t="s">
        <v>863</v>
      </c>
      <c r="S191" s="243" t="s">
        <v>1233</v>
      </c>
      <c r="T191" s="280"/>
      <c r="U191" s="668"/>
      <c r="V191" s="667" t="s">
        <v>863</v>
      </c>
      <c r="W191" s="667" t="s">
        <v>863</v>
      </c>
      <c r="X191" s="667"/>
      <c r="Y191" s="232"/>
      <c r="Z191" s="671"/>
      <c r="AA191" s="668"/>
      <c r="AB191" s="672"/>
      <c r="AC191" s="668"/>
      <c r="AD191" s="670"/>
      <c r="AE191" s="670">
        <v>1</v>
      </c>
    </row>
    <row r="192" spans="1:31" s="249" customFormat="1" ht="12.95" customHeight="1">
      <c r="A192" s="225">
        <f t="shared" si="5"/>
        <v>184</v>
      </c>
      <c r="B192" s="217" t="s">
        <v>1590</v>
      </c>
      <c r="C192" s="221"/>
      <c r="D192" s="241"/>
      <c r="E192" s="241"/>
      <c r="F192" s="241"/>
      <c r="G192" s="241"/>
      <c r="H192" s="668"/>
      <c r="I192" s="666"/>
      <c r="J192" s="668"/>
      <c r="K192" s="668" t="s">
        <v>1591</v>
      </c>
      <c r="L192" s="668"/>
      <c r="M192" s="668"/>
      <c r="N192" s="668"/>
      <c r="O192" s="668"/>
      <c r="P192" s="669"/>
      <c r="Q192" s="668" t="s">
        <v>816</v>
      </c>
      <c r="R192" s="668" t="s">
        <v>863</v>
      </c>
      <c r="S192" s="668" t="s">
        <v>1591</v>
      </c>
      <c r="T192" s="670"/>
      <c r="U192" s="668"/>
      <c r="V192" s="667" t="s">
        <v>863</v>
      </c>
      <c r="W192" s="667" t="s">
        <v>863</v>
      </c>
      <c r="X192" s="667" t="s">
        <v>863</v>
      </c>
      <c r="Y192" s="232"/>
      <c r="Z192" s="671"/>
      <c r="AA192" s="668"/>
      <c r="AB192" s="672"/>
      <c r="AC192" s="668"/>
      <c r="AD192" s="670">
        <v>1</v>
      </c>
      <c r="AE192" s="670">
        <v>1</v>
      </c>
    </row>
    <row r="193" spans="1:1017" s="249" customFormat="1" ht="12.95" customHeight="1">
      <c r="A193" s="225">
        <f t="shared" si="5"/>
        <v>185</v>
      </c>
      <c r="B193" s="217"/>
      <c r="C193" s="221" t="s">
        <v>1592</v>
      </c>
      <c r="D193" s="221"/>
      <c r="E193" s="241"/>
      <c r="F193" s="241"/>
      <c r="G193" s="241"/>
      <c r="H193" s="668" t="s">
        <v>1593</v>
      </c>
      <c r="I193" s="666"/>
      <c r="J193" s="668"/>
      <c r="K193" s="666" t="s">
        <v>1594</v>
      </c>
      <c r="L193" s="668"/>
      <c r="M193" s="668"/>
      <c r="N193" s="668"/>
      <c r="O193" s="668"/>
      <c r="P193" s="669"/>
      <c r="Q193" s="668" t="s">
        <v>1595</v>
      </c>
      <c r="R193" s="668" t="s">
        <v>863</v>
      </c>
      <c r="S193" s="243" t="s">
        <v>1594</v>
      </c>
      <c r="T193" s="670"/>
      <c r="U193" s="668"/>
      <c r="V193" s="667" t="s">
        <v>863</v>
      </c>
      <c r="W193" s="667" t="s">
        <v>863</v>
      </c>
      <c r="X193" s="667" t="s">
        <v>863</v>
      </c>
      <c r="Y193" s="232"/>
      <c r="Z193" s="671"/>
      <c r="AA193" s="668"/>
      <c r="AB193" s="672"/>
      <c r="AC193" s="668"/>
      <c r="AD193" s="670">
        <v>1</v>
      </c>
      <c r="AE193" s="670">
        <v>1</v>
      </c>
    </row>
    <row r="194" spans="1:1017" s="249" customFormat="1" ht="12.95" customHeight="1">
      <c r="A194" s="225">
        <f t="shared" si="5"/>
        <v>186</v>
      </c>
      <c r="B194" s="217"/>
      <c r="C194" s="221"/>
      <c r="D194" s="241" t="s">
        <v>1596</v>
      </c>
      <c r="E194" s="221"/>
      <c r="F194" s="241"/>
      <c r="G194" s="241"/>
      <c r="H194" s="668" t="s">
        <v>1597</v>
      </c>
      <c r="I194" s="666" t="s">
        <v>1598</v>
      </c>
      <c r="J194" s="668"/>
      <c r="K194" s="666" t="s">
        <v>1599</v>
      </c>
      <c r="L194" s="668"/>
      <c r="M194" s="668"/>
      <c r="N194" s="668"/>
      <c r="O194" s="668"/>
      <c r="P194" s="669"/>
      <c r="Q194" s="668" t="s">
        <v>819</v>
      </c>
      <c r="R194" s="668"/>
      <c r="S194" s="668" t="s">
        <v>862</v>
      </c>
      <c r="T194" s="670"/>
      <c r="U194" s="668"/>
      <c r="V194" s="667" t="s">
        <v>863</v>
      </c>
      <c r="W194" s="667" t="s">
        <v>863</v>
      </c>
      <c r="X194" s="667" t="s">
        <v>863</v>
      </c>
      <c r="Y194" s="232"/>
      <c r="Z194" s="671"/>
      <c r="AA194" s="668"/>
      <c r="AB194" s="672"/>
      <c r="AC194" s="668"/>
      <c r="AD194" s="670">
        <v>1</v>
      </c>
      <c r="AE194" s="670">
        <v>1</v>
      </c>
    </row>
    <row r="195" spans="1:1017" s="249" customFormat="1" ht="12.95" customHeight="1">
      <c r="A195" s="225">
        <f t="shared" si="5"/>
        <v>187</v>
      </c>
      <c r="B195" s="217"/>
      <c r="C195" s="221"/>
      <c r="D195" s="241" t="s">
        <v>1000</v>
      </c>
      <c r="E195" s="221"/>
      <c r="F195" s="241"/>
      <c r="G195" s="241"/>
      <c r="H195" s="668" t="s">
        <v>1600</v>
      </c>
      <c r="I195" s="666" t="s">
        <v>399</v>
      </c>
      <c r="J195" s="668"/>
      <c r="K195" s="666" t="s">
        <v>1003</v>
      </c>
      <c r="L195" s="668"/>
      <c r="M195" s="668"/>
      <c r="N195" s="668"/>
      <c r="O195" s="668"/>
      <c r="P195" s="669"/>
      <c r="Q195" s="668" t="s">
        <v>816</v>
      </c>
      <c r="R195" s="668"/>
      <c r="S195" s="668" t="s">
        <v>862</v>
      </c>
      <c r="T195" s="670"/>
      <c r="U195" s="668"/>
      <c r="V195" s="667" t="s">
        <v>863</v>
      </c>
      <c r="W195" s="667" t="s">
        <v>863</v>
      </c>
      <c r="X195" s="667" t="s">
        <v>863</v>
      </c>
      <c r="Y195" s="232"/>
      <c r="Z195" s="671"/>
      <c r="AA195" s="668"/>
      <c r="AB195" s="672"/>
      <c r="AC195" s="668"/>
      <c r="AD195" s="670">
        <v>1</v>
      </c>
      <c r="AE195" s="670">
        <v>1</v>
      </c>
    </row>
    <row r="196" spans="1:1017" s="249" customFormat="1" ht="12.95" customHeight="1">
      <c r="A196" s="225">
        <f t="shared" si="5"/>
        <v>188</v>
      </c>
      <c r="B196" s="217"/>
      <c r="C196" s="221"/>
      <c r="D196" s="241" t="s">
        <v>1601</v>
      </c>
      <c r="E196" s="221"/>
      <c r="F196" s="241"/>
      <c r="G196" s="241"/>
      <c r="H196" s="668" t="s">
        <v>1602</v>
      </c>
      <c r="I196" s="666" t="s">
        <v>1603</v>
      </c>
      <c r="J196" s="668"/>
      <c r="K196" s="666" t="s">
        <v>1079</v>
      </c>
      <c r="L196" s="668"/>
      <c r="M196" s="668"/>
      <c r="N196" s="668"/>
      <c r="O196" s="668"/>
      <c r="P196" s="669"/>
      <c r="Q196" s="668" t="s">
        <v>819</v>
      </c>
      <c r="R196" s="668"/>
      <c r="S196" s="668" t="s">
        <v>862</v>
      </c>
      <c r="T196" s="670"/>
      <c r="U196" s="668"/>
      <c r="V196" s="667" t="s">
        <v>863</v>
      </c>
      <c r="W196" s="667" t="s">
        <v>863</v>
      </c>
      <c r="X196" s="667" t="s">
        <v>863</v>
      </c>
      <c r="Y196" s="232"/>
      <c r="Z196" s="671"/>
      <c r="AA196" s="668"/>
      <c r="AB196" s="672"/>
      <c r="AC196" s="668"/>
      <c r="AD196" s="670">
        <v>1</v>
      </c>
      <c r="AE196" s="670">
        <v>1</v>
      </c>
    </row>
    <row r="197" spans="1:1017" s="249" customFormat="1" ht="12.95" customHeight="1">
      <c r="A197" s="225">
        <f t="shared" si="5"/>
        <v>189</v>
      </c>
      <c r="B197" s="217"/>
      <c r="C197" s="262"/>
      <c r="D197" s="221" t="s">
        <v>1604</v>
      </c>
      <c r="E197" s="221"/>
      <c r="F197" s="241"/>
      <c r="G197" s="241"/>
      <c r="H197" s="668" t="s">
        <v>1605</v>
      </c>
      <c r="I197" s="666" t="s">
        <v>1606</v>
      </c>
      <c r="J197" s="668"/>
      <c r="K197" s="666" t="s">
        <v>938</v>
      </c>
      <c r="L197" s="668"/>
      <c r="M197" s="668"/>
      <c r="N197" s="668"/>
      <c r="O197" s="668"/>
      <c r="P197" s="669"/>
      <c r="Q197" s="668" t="s">
        <v>816</v>
      </c>
      <c r="R197" s="668"/>
      <c r="S197" s="668" t="s">
        <v>862</v>
      </c>
      <c r="T197" s="670"/>
      <c r="U197" s="668"/>
      <c r="V197" s="667" t="s">
        <v>863</v>
      </c>
      <c r="W197" s="667" t="s">
        <v>863</v>
      </c>
      <c r="X197" s="667" t="s">
        <v>863</v>
      </c>
      <c r="Y197" s="232"/>
      <c r="Z197" s="671"/>
      <c r="AA197" s="668"/>
      <c r="AB197" s="672"/>
      <c r="AC197" s="668"/>
      <c r="AD197" s="670">
        <v>1</v>
      </c>
      <c r="AE197" s="670">
        <v>1</v>
      </c>
    </row>
    <row r="198" spans="1:1017" s="249" customFormat="1" ht="12.95" customHeight="1">
      <c r="A198" s="225">
        <f t="shared" si="5"/>
        <v>190</v>
      </c>
      <c r="B198" s="217" t="s">
        <v>1607</v>
      </c>
      <c r="C198" s="262"/>
      <c r="D198" s="241"/>
      <c r="E198" s="241"/>
      <c r="F198" s="241"/>
      <c r="G198" s="241"/>
      <c r="H198" s="668" t="s">
        <v>1690</v>
      </c>
      <c r="I198" s="666" t="s">
        <v>1691</v>
      </c>
      <c r="J198" s="668"/>
      <c r="K198" s="666" t="s">
        <v>938</v>
      </c>
      <c r="L198" s="668"/>
      <c r="M198" s="668"/>
      <c r="N198" s="668"/>
      <c r="O198" s="668"/>
      <c r="P198" s="669"/>
      <c r="Q198" s="668" t="s">
        <v>822</v>
      </c>
      <c r="R198" s="668"/>
      <c r="S198" s="668" t="s">
        <v>862</v>
      </c>
      <c r="T198" s="670"/>
      <c r="U198" s="668"/>
      <c r="V198" s="670" t="s">
        <v>863</v>
      </c>
      <c r="W198" s="670" t="s">
        <v>863</v>
      </c>
      <c r="X198" s="670" t="s">
        <v>863</v>
      </c>
      <c r="Y198" s="232"/>
      <c r="Z198" s="671"/>
      <c r="AA198" s="668"/>
      <c r="AB198" s="668"/>
      <c r="AC198" s="668"/>
      <c r="AD198" s="670"/>
      <c r="AE198" s="670">
        <v>1</v>
      </c>
    </row>
    <row r="199" spans="1:1017" s="224" customFormat="1" ht="12" customHeight="1">
      <c r="A199" s="225">
        <f>SUBTOTAL(103,createCase[ID])</f>
        <v>190</v>
      </c>
      <c r="C199" s="225">
        <f>SUBTOTAL(103,createCase[Donnée (Niveau 2)])</f>
        <v>53</v>
      </c>
      <c r="D199" s="225">
        <f>SUBTOTAL(103,createCase[Donnée (Niveau 3)])</f>
        <v>91</v>
      </c>
      <c r="E199" s="225">
        <f>SUBTOTAL(103,createCase[Donnée (Niveau 4)])</f>
        <v>37</v>
      </c>
      <c r="F199" s="225">
        <f>SUBTOTAL(103,createCase[Donnée (Niveau 5)])</f>
        <v>11</v>
      </c>
      <c r="G199" s="225">
        <f>SUBTOTAL(103,createCase[Donnée (Niveau 6)])</f>
        <v>0</v>
      </c>
      <c r="H199" s="225">
        <f>SUBTOTAL(103,createCase[Description])</f>
        <v>167</v>
      </c>
      <c r="I199" s="225">
        <f>SUBTOTAL(103,createCase[Exemples])</f>
        <v>102</v>
      </c>
      <c r="J199" s="225">
        <f>SUBTOTAL(103,createCase[Balise NexSIS])</f>
        <v>59</v>
      </c>
      <c r="K199" s="239">
        <f>SUBTOTAL(103,createCase[Nouvelle balise])</f>
        <v>167</v>
      </c>
      <c r="L199" s="225">
        <f>SUBTOTAL(103,createCase[Nantes - balise])</f>
        <v>22</v>
      </c>
      <c r="M199" s="225">
        <f>SUBTOTAL(103,createCase[Nantes - description])</f>
        <v>22</v>
      </c>
      <c r="N199" s="225">
        <f>SUBTOTAL(103,createCase[GT399])</f>
        <v>0</v>
      </c>
      <c r="O199" s="225">
        <f>SUBTOTAL(103,createCase[GT399 description])</f>
        <v>0</v>
      </c>
      <c r="P199" s="234">
        <f>SUBTOTAL(103,createCase[Priorisation])</f>
        <v>16</v>
      </c>
      <c r="Q199" s="225"/>
      <c r="R199" s="225">
        <f>SUBTOTAL(103,createCase[Objet])</f>
        <v>64</v>
      </c>
      <c r="S199" s="225">
        <f>SUBTOTAL(103,createCase[Format (ou type)])</f>
        <v>189</v>
      </c>
      <c r="T199" s="274"/>
      <c r="U199" s="225"/>
      <c r="V199" s="225"/>
      <c r="W199" s="225"/>
      <c r="X199" s="225"/>
      <c r="Z199" s="271">
        <f>SUBTOTAL(103,createCase[Commentaire Hub Santé])</f>
        <v>37</v>
      </c>
      <c r="AA199" s="225">
        <f>SUBTOTAL(103,createCase[Commentaire Philippe Dreyfus])</f>
        <v>38</v>
      </c>
      <c r="AB199" s="239"/>
      <c r="AC199" s="225">
        <f>SUBTOTAL(103,createCase[Commentaire Yann Penverne])</f>
        <v>0</v>
      </c>
      <c r="AD199" s="225">
        <f>SUBTOTAL(103,createCase[NexSIS])-COUNTIFS(createCase[NexSIS],"=X")</f>
        <v>80</v>
      </c>
      <c r="AE199" s="225">
        <f>SUBTOTAL(103,createCase[Métier])-COUNTIFS(createCase[Métier],"=X")</f>
        <v>188</v>
      </c>
    </row>
    <row r="200" spans="1:1017" s="128" customFormat="1" ht="12" customHeight="1">
      <c r="A200" s="3"/>
      <c r="B200" s="3"/>
      <c r="C200" s="131"/>
      <c r="D200" s="131"/>
      <c r="E200" s="131"/>
      <c r="F200" s="131"/>
      <c r="G200" s="5"/>
      <c r="H200" s="155"/>
      <c r="I200" s="225"/>
      <c r="J200" s="5"/>
      <c r="K200" s="155"/>
      <c r="L200" s="5"/>
      <c r="M200" s="5"/>
      <c r="N200" s="5"/>
      <c r="O200" s="5"/>
      <c r="P200" s="188"/>
      <c r="Q200" s="5"/>
      <c r="R200" s="5"/>
      <c r="S200" s="5"/>
      <c r="T200" s="56"/>
      <c r="U200" s="56"/>
      <c r="V200" s="56"/>
      <c r="W200" s="56"/>
      <c r="X200" s="56"/>
      <c r="Y200"/>
      <c r="Z200" s="178"/>
      <c r="AA200" s="5"/>
      <c r="AB200" s="159"/>
      <c r="AC200" s="56"/>
      <c r="AE200" s="56"/>
      <c r="AMA200"/>
      <c r="AMB200"/>
      <c r="AMC200"/>
    </row>
    <row r="201" spans="1:1017" s="128" customFormat="1" ht="12" customHeight="1">
      <c r="A201" s="129"/>
      <c r="B201" s="129"/>
      <c r="C201" s="129"/>
      <c r="D201" s="129"/>
      <c r="E201" s="129"/>
      <c r="F201" s="129"/>
      <c r="G201" s="96"/>
      <c r="H201" s="96"/>
      <c r="I201" s="225"/>
      <c r="J201" s="96"/>
      <c r="K201" s="159"/>
      <c r="L201" s="96"/>
      <c r="M201" s="96"/>
      <c r="N201" s="96"/>
      <c r="O201" s="96"/>
      <c r="P201" s="173"/>
      <c r="Q201" s="96"/>
      <c r="R201" s="96"/>
      <c r="S201" s="96"/>
      <c r="T201" s="277"/>
      <c r="U201" s="96"/>
      <c r="V201" s="96"/>
      <c r="W201" s="96"/>
      <c r="X201" s="96"/>
      <c r="Y201"/>
      <c r="Z201" s="179"/>
      <c r="AA201" s="96"/>
      <c r="AB201" s="159"/>
      <c r="AC201" s="96"/>
      <c r="AE201" s="96"/>
      <c r="AMA201"/>
      <c r="AMB201"/>
      <c r="AMC201"/>
    </row>
    <row r="202" spans="1:1017" s="128" customFormat="1" ht="12" customHeight="1">
      <c r="I202" s="224"/>
      <c r="P202" s="174"/>
      <c r="R202" s="96"/>
      <c r="S202" s="96"/>
      <c r="T202" s="277"/>
      <c r="U202" s="96"/>
      <c r="V202" s="96"/>
      <c r="W202" s="96"/>
      <c r="X202" s="96"/>
      <c r="Y202"/>
      <c r="Z202" s="179"/>
      <c r="AA202" s="96"/>
      <c r="AB202" s="159"/>
      <c r="AC202" s="96"/>
      <c r="AE202" s="96"/>
      <c r="AMA202"/>
      <c r="AMB202"/>
      <c r="AMC202"/>
    </row>
    <row r="203" spans="1:1017" s="128" customFormat="1" ht="12" customHeight="1">
      <c r="I203" s="224"/>
      <c r="P203" s="174"/>
      <c r="R203" s="96"/>
      <c r="S203" s="96"/>
      <c r="T203" s="277"/>
      <c r="U203" s="96"/>
      <c r="V203" s="96"/>
      <c r="W203" s="96"/>
      <c r="X203" s="96"/>
      <c r="Y203"/>
      <c r="Z203" s="179"/>
      <c r="AA203" s="96"/>
      <c r="AB203" s="159"/>
      <c r="AC203" s="96"/>
      <c r="AE203" s="96"/>
      <c r="AMA203"/>
      <c r="AMB203"/>
      <c r="AMC203"/>
    </row>
    <row r="204" spans="1:1017" s="128" customFormat="1" ht="12" customHeight="1">
      <c r="I204" s="224"/>
      <c r="P204" s="174"/>
      <c r="R204" s="96"/>
      <c r="S204" s="96"/>
      <c r="T204" s="277"/>
      <c r="U204" s="96"/>
      <c r="V204" s="96"/>
      <c r="W204" s="96"/>
      <c r="X204" s="96"/>
      <c r="Y204"/>
      <c r="Z204" s="179"/>
      <c r="AA204" s="96"/>
      <c r="AB204" s="159"/>
      <c r="AC204" s="96"/>
      <c r="AE204" s="96"/>
      <c r="AMA204"/>
      <c r="AMB204"/>
      <c r="AMC204"/>
    </row>
    <row r="205" spans="1:1017" s="128" customFormat="1" ht="12" customHeight="1">
      <c r="I205" s="224"/>
      <c r="P205" s="174"/>
      <c r="R205" s="96"/>
      <c r="S205" s="96"/>
      <c r="T205" s="277"/>
      <c r="U205" s="96"/>
      <c r="V205" s="96"/>
      <c r="W205" s="96"/>
      <c r="X205" s="96"/>
      <c r="Y205"/>
      <c r="Z205" s="179"/>
      <c r="AA205" s="96"/>
      <c r="AB205" s="159"/>
      <c r="AC205" s="96"/>
      <c r="AE205" s="96"/>
      <c r="AMA205"/>
      <c r="AMB205"/>
      <c r="AMC205"/>
    </row>
    <row r="206" spans="1:1017" ht="12" customHeight="1">
      <c r="G206" s="128"/>
      <c r="H206" s="128"/>
      <c r="I206" s="224"/>
      <c r="J206" s="128"/>
      <c r="K206" s="128"/>
      <c r="L206" s="128"/>
      <c r="M206" s="128"/>
      <c r="N206" s="128"/>
      <c r="O206" s="128"/>
      <c r="P206" s="174"/>
      <c r="Q206" s="128"/>
    </row>
    <row r="207" spans="1:1017" s="117" customFormat="1" ht="12" customHeight="1">
      <c r="A207" s="128"/>
      <c r="B207" s="128"/>
      <c r="C207" s="128"/>
      <c r="D207" s="128"/>
      <c r="E207" s="128"/>
      <c r="F207" s="128"/>
      <c r="G207" s="96"/>
      <c r="H207" s="96"/>
      <c r="I207" s="225"/>
      <c r="J207" s="96"/>
      <c r="K207" s="159"/>
      <c r="L207" s="96"/>
      <c r="M207" s="96"/>
      <c r="N207" s="96"/>
      <c r="O207" s="96"/>
      <c r="P207" s="173"/>
      <c r="Q207" s="96"/>
      <c r="R207" s="96"/>
      <c r="S207" s="96"/>
      <c r="T207" s="277"/>
      <c r="U207" s="96"/>
      <c r="V207" s="96"/>
      <c r="W207" s="96"/>
      <c r="X207" s="96"/>
      <c r="Y207"/>
      <c r="Z207" s="179"/>
      <c r="AA207" s="96"/>
      <c r="AB207" s="161"/>
      <c r="AC207" s="96"/>
      <c r="AE207" s="96"/>
      <c r="AMB207"/>
    </row>
    <row r="208" spans="1:1017" ht="12" customHeight="1">
      <c r="A208" s="117"/>
      <c r="B208" s="117"/>
      <c r="C208" s="117"/>
      <c r="D208" s="117"/>
      <c r="E208" s="117"/>
      <c r="F208" s="117"/>
      <c r="G208" s="117"/>
      <c r="H208" s="117"/>
      <c r="I208" s="251"/>
      <c r="J208" s="117"/>
      <c r="K208" s="117"/>
      <c r="L208" s="117"/>
      <c r="M208" s="117"/>
      <c r="N208" s="117"/>
      <c r="O208" s="117"/>
      <c r="P208" s="189"/>
      <c r="Q208" s="117"/>
    </row>
    <row r="209" spans="1:31" ht="12" customHeight="1">
      <c r="R209" s="112"/>
      <c r="S209" s="112"/>
      <c r="T209" s="125"/>
      <c r="U209" s="112"/>
      <c r="V209" s="112"/>
      <c r="W209" s="112"/>
      <c r="X209" s="112"/>
      <c r="Z209" s="180"/>
      <c r="AA209" s="112"/>
      <c r="AC209" s="112"/>
      <c r="AE209" s="112"/>
    </row>
    <row r="221" spans="1:31" ht="12" customHeight="1">
      <c r="A221" s="130"/>
      <c r="B221" s="130"/>
      <c r="C221" s="130"/>
      <c r="D221" s="130"/>
      <c r="E221" s="130"/>
      <c r="F221" s="130"/>
    </row>
    <row r="222" spans="1:31" ht="12" customHeight="1">
      <c r="A222" s="130"/>
      <c r="B222" s="130"/>
      <c r="C222" s="130"/>
      <c r="D222" s="130"/>
      <c r="E222" s="130"/>
      <c r="F222" s="130"/>
    </row>
    <row r="223" spans="1:31" ht="12" customHeight="1">
      <c r="A223" s="130"/>
      <c r="B223" s="130"/>
      <c r="C223" s="130"/>
      <c r="D223" s="130"/>
      <c r="E223" s="130"/>
      <c r="F223" s="130"/>
    </row>
    <row r="224" spans="1:31" ht="12" customHeight="1">
      <c r="A224" s="130"/>
      <c r="B224" s="130"/>
      <c r="C224" s="130"/>
      <c r="D224" s="130"/>
      <c r="E224" s="130"/>
      <c r="F224" s="130"/>
    </row>
    <row r="225" spans="1:1016" ht="12" customHeight="1">
      <c r="A225" s="130"/>
      <c r="B225" s="130"/>
      <c r="C225" s="130"/>
      <c r="D225" s="130"/>
      <c r="E225" s="130"/>
      <c r="F225" s="130"/>
    </row>
    <row r="226" spans="1:1016" ht="12" customHeight="1">
      <c r="A226" s="130"/>
      <c r="B226" s="130"/>
      <c r="C226" s="130"/>
      <c r="D226" s="130"/>
      <c r="E226" s="130"/>
      <c r="F226" s="130"/>
    </row>
    <row r="227" spans="1:1016" ht="12" customHeight="1">
      <c r="A227" s="130"/>
      <c r="B227" s="130"/>
      <c r="C227" s="130"/>
      <c r="D227" s="130"/>
      <c r="E227" s="130"/>
      <c r="F227" s="130"/>
    </row>
    <row r="228" spans="1:1016" ht="12" customHeight="1">
      <c r="A228" s="130"/>
      <c r="B228" s="130"/>
      <c r="C228" s="130"/>
      <c r="D228" s="130"/>
      <c r="E228" s="130"/>
      <c r="F228" s="130"/>
    </row>
    <row r="229" spans="1:1016" ht="12" customHeight="1">
      <c r="A229" s="129"/>
      <c r="B229" s="129"/>
      <c r="C229" s="129"/>
      <c r="D229" s="129"/>
      <c r="E229" s="129"/>
      <c r="F229" s="129"/>
    </row>
    <row r="230" spans="1:1016" ht="12" customHeight="1">
      <c r="A230" s="129"/>
      <c r="B230" s="129"/>
      <c r="C230" s="129"/>
      <c r="D230" s="129"/>
      <c r="E230" s="129"/>
      <c r="F230" s="129"/>
    </row>
    <row r="231" spans="1:1016" ht="12" customHeight="1">
      <c r="A231" s="129"/>
      <c r="B231" s="129"/>
      <c r="C231" s="129"/>
      <c r="D231" s="129"/>
      <c r="E231" s="129"/>
      <c r="F231" s="129"/>
    </row>
    <row r="232" spans="1:1016" ht="12" customHeight="1">
      <c r="A232" s="129"/>
      <c r="B232" s="129"/>
      <c r="C232" s="129"/>
      <c r="D232" s="129"/>
      <c r="E232" s="129"/>
      <c r="F232" s="129"/>
    </row>
    <row r="233" spans="1:1016" ht="12" customHeight="1">
      <c r="A233" s="129"/>
      <c r="B233" s="129"/>
      <c r="C233" s="129"/>
      <c r="D233" s="129"/>
      <c r="E233" s="129"/>
      <c r="F233" s="129"/>
    </row>
    <row r="234" spans="1:1016" ht="12" customHeight="1">
      <c r="A234" s="129"/>
      <c r="B234" s="129"/>
      <c r="C234" s="129"/>
      <c r="D234" s="129"/>
      <c r="E234" s="129"/>
      <c r="F234" s="129"/>
    </row>
    <row r="235" spans="1:1016" ht="12" customHeight="1">
      <c r="A235" s="129"/>
      <c r="B235" s="129"/>
      <c r="C235" s="129"/>
      <c r="D235" s="129"/>
      <c r="E235" s="129"/>
      <c r="F235" s="129"/>
    </row>
    <row r="236" spans="1:1016" s="117" customFormat="1" ht="12" customHeight="1">
      <c r="A236" s="129"/>
      <c r="B236" s="129"/>
      <c r="C236" s="129"/>
      <c r="D236" s="129"/>
      <c r="E236" s="129"/>
      <c r="F236" s="129"/>
      <c r="G236" s="96"/>
      <c r="H236" s="96"/>
      <c r="I236" s="225"/>
      <c r="J236" s="96"/>
      <c r="K236" s="159"/>
      <c r="L236" s="96"/>
      <c r="M236" s="96"/>
      <c r="N236" s="96"/>
      <c r="O236" s="96"/>
      <c r="P236" s="173"/>
      <c r="Q236" s="96"/>
      <c r="R236" s="96"/>
      <c r="S236" s="96"/>
      <c r="T236" s="277"/>
      <c r="U236" s="96"/>
      <c r="V236" s="96"/>
      <c r="W236" s="96"/>
      <c r="X236" s="96"/>
      <c r="Y236"/>
      <c r="Z236" s="179"/>
      <c r="AA236" s="96"/>
      <c r="AB236" s="161"/>
      <c r="AC236" s="96"/>
      <c r="AE236" s="96"/>
      <c r="AMB236"/>
    </row>
    <row r="237" spans="1:1016" s="117" customFormat="1" ht="12" customHeight="1">
      <c r="A237" s="130"/>
      <c r="B237" s="130"/>
      <c r="C237" s="130"/>
      <c r="D237" s="130"/>
      <c r="E237" s="130"/>
      <c r="F237" s="130"/>
      <c r="G237" s="96"/>
      <c r="H237" s="96"/>
      <c r="I237" s="225"/>
      <c r="J237" s="96"/>
      <c r="K237" s="159"/>
      <c r="L237" s="96"/>
      <c r="M237" s="96"/>
      <c r="N237" s="96"/>
      <c r="O237" s="96"/>
      <c r="P237" s="173"/>
      <c r="Q237" s="96"/>
      <c r="R237" s="96"/>
      <c r="S237" s="96"/>
      <c r="T237" s="277"/>
      <c r="U237" s="96"/>
      <c r="V237" s="96"/>
      <c r="W237" s="96"/>
      <c r="X237" s="96"/>
      <c r="Y237"/>
      <c r="Z237" s="179"/>
      <c r="AA237" s="96"/>
      <c r="AB237" s="161"/>
      <c r="AC237" s="96"/>
      <c r="AE237" s="96"/>
      <c r="AMB237"/>
    </row>
    <row r="238" spans="1:1016" s="117" customFormat="1" ht="12" customHeight="1">
      <c r="A238" s="123"/>
      <c r="B238" s="123"/>
      <c r="C238" s="123"/>
      <c r="D238" s="123"/>
      <c r="E238" s="123"/>
      <c r="F238" s="123"/>
      <c r="G238" s="112"/>
      <c r="H238" s="112"/>
      <c r="I238" s="276"/>
      <c r="J238" s="112"/>
      <c r="K238" s="161"/>
      <c r="L238" s="112"/>
      <c r="M238" s="112"/>
      <c r="N238" s="112"/>
      <c r="O238" s="112"/>
      <c r="P238" s="190"/>
      <c r="Q238" s="112"/>
      <c r="R238" s="112"/>
      <c r="S238" s="112"/>
      <c r="T238" s="125"/>
      <c r="U238" s="112"/>
      <c r="V238" s="112"/>
      <c r="W238" s="112"/>
      <c r="X238" s="112"/>
      <c r="Y238"/>
      <c r="Z238" s="180"/>
      <c r="AA238" s="112"/>
      <c r="AB238" s="161"/>
      <c r="AC238" s="112"/>
      <c r="AE238" s="112"/>
      <c r="AMB238"/>
    </row>
    <row r="239" spans="1:1016" s="117" customFormat="1" ht="12" customHeight="1">
      <c r="A239" s="123"/>
      <c r="B239" s="123"/>
      <c r="C239" s="123"/>
      <c r="D239" s="123"/>
      <c r="E239" s="123"/>
      <c r="F239" s="123"/>
      <c r="G239" s="112"/>
      <c r="H239" s="112"/>
      <c r="I239" s="276"/>
      <c r="J239" s="112"/>
      <c r="K239" s="161"/>
      <c r="L239" s="112"/>
      <c r="M239" s="112"/>
      <c r="N239" s="112"/>
      <c r="O239" s="112"/>
      <c r="P239" s="190"/>
      <c r="Q239" s="112"/>
      <c r="R239" s="112"/>
      <c r="S239" s="112"/>
      <c r="T239" s="125"/>
      <c r="U239" s="112"/>
      <c r="V239" s="112"/>
      <c r="W239" s="112"/>
      <c r="X239" s="112"/>
      <c r="Y239"/>
      <c r="Z239" s="180"/>
      <c r="AA239" s="112"/>
      <c r="AB239" s="161"/>
      <c r="AC239" s="112"/>
      <c r="AE239" s="112"/>
      <c r="AMB239"/>
    </row>
    <row r="240" spans="1:1016" s="117" customFormat="1" ht="12" customHeight="1">
      <c r="A240" s="123"/>
      <c r="B240" s="123"/>
      <c r="C240" s="123"/>
      <c r="D240" s="123"/>
      <c r="E240" s="123"/>
      <c r="F240" s="123"/>
      <c r="G240" s="112"/>
      <c r="H240" s="112"/>
      <c r="I240" s="276"/>
      <c r="J240" s="112"/>
      <c r="K240" s="161"/>
      <c r="L240" s="112"/>
      <c r="M240" s="112"/>
      <c r="N240" s="112"/>
      <c r="O240" s="112"/>
      <c r="P240" s="190"/>
      <c r="Q240" s="112"/>
      <c r="R240" s="112"/>
      <c r="S240" s="112"/>
      <c r="T240" s="125"/>
      <c r="U240" s="112"/>
      <c r="V240" s="112"/>
      <c r="W240" s="112"/>
      <c r="X240" s="112"/>
      <c r="Y240"/>
      <c r="Z240" s="180"/>
      <c r="AA240" s="112"/>
      <c r="AB240" s="161"/>
      <c r="AC240" s="112"/>
      <c r="AE240" s="112"/>
      <c r="AMB240"/>
    </row>
    <row r="241" spans="1:1016" s="117" customFormat="1" ht="12" customHeight="1">
      <c r="A241" s="123"/>
      <c r="B241" s="123"/>
      <c r="C241" s="123"/>
      <c r="D241" s="123"/>
      <c r="E241" s="123"/>
      <c r="F241" s="123"/>
      <c r="G241" s="112"/>
      <c r="H241" s="112"/>
      <c r="I241" s="276"/>
      <c r="J241" s="112"/>
      <c r="K241" s="161"/>
      <c r="L241" s="112"/>
      <c r="M241" s="112"/>
      <c r="N241" s="112"/>
      <c r="O241" s="112"/>
      <c r="P241" s="190"/>
      <c r="Q241" s="112"/>
      <c r="R241" s="112"/>
      <c r="S241" s="112"/>
      <c r="T241" s="125"/>
      <c r="U241" s="112"/>
      <c r="V241" s="112"/>
      <c r="W241" s="112"/>
      <c r="X241" s="112"/>
      <c r="Y241"/>
      <c r="Z241" s="180"/>
      <c r="AA241" s="112"/>
      <c r="AB241" s="161"/>
      <c r="AC241" s="112"/>
      <c r="AE241" s="112"/>
      <c r="AMB241"/>
    </row>
    <row r="242" spans="1:1016" s="117" customFormat="1" ht="12" customHeight="1">
      <c r="A242" s="123"/>
      <c r="B242" s="123"/>
      <c r="C242" s="123"/>
      <c r="D242" s="123"/>
      <c r="E242" s="123"/>
      <c r="F242" s="123"/>
      <c r="G242" s="112"/>
      <c r="H242" s="112"/>
      <c r="I242" s="276"/>
      <c r="J242" s="112"/>
      <c r="K242" s="161"/>
      <c r="L242" s="112"/>
      <c r="M242" s="112"/>
      <c r="N242" s="112"/>
      <c r="O242" s="112"/>
      <c r="P242" s="190"/>
      <c r="Q242" s="112"/>
      <c r="R242" s="112"/>
      <c r="S242" s="112"/>
      <c r="T242" s="125"/>
      <c r="U242" s="112"/>
      <c r="V242" s="112"/>
      <c r="W242" s="112"/>
      <c r="X242" s="112"/>
      <c r="Y242"/>
      <c r="Z242" s="180"/>
      <c r="AA242" s="112"/>
      <c r="AB242" s="161"/>
      <c r="AC242" s="112"/>
      <c r="AE242" s="112"/>
      <c r="AMB242"/>
    </row>
    <row r="243" spans="1:1016" ht="12" customHeight="1">
      <c r="A243" s="123"/>
      <c r="B243" s="123"/>
      <c r="C243" s="123"/>
      <c r="D243" s="123"/>
      <c r="E243" s="123"/>
      <c r="F243" s="123"/>
      <c r="G243" s="112"/>
      <c r="H243" s="112"/>
      <c r="I243" s="276"/>
      <c r="J243" s="112"/>
      <c r="K243" s="161"/>
      <c r="L243" s="112"/>
      <c r="M243" s="112"/>
      <c r="N243" s="112"/>
      <c r="O243" s="112"/>
      <c r="P243" s="190"/>
      <c r="Q243" s="112"/>
      <c r="R243" s="112"/>
      <c r="S243" s="112"/>
      <c r="T243" s="125"/>
      <c r="U243" s="112"/>
      <c r="V243" s="112"/>
      <c r="W243" s="112"/>
      <c r="X243" s="112"/>
      <c r="Z243" s="180"/>
      <c r="AA243" s="112"/>
      <c r="AC243" s="112"/>
      <c r="AE243" s="112"/>
    </row>
    <row r="244" spans="1:1016" ht="12" customHeight="1">
      <c r="A244" s="123"/>
      <c r="B244" s="123"/>
      <c r="C244" s="123"/>
      <c r="D244" s="123"/>
      <c r="E244" s="123"/>
      <c r="F244" s="123"/>
      <c r="G244" s="112"/>
      <c r="H244" s="112"/>
      <c r="I244" s="276"/>
      <c r="J244" s="112"/>
      <c r="K244" s="161"/>
      <c r="L244" s="112"/>
      <c r="M244" s="112"/>
      <c r="N244" s="112"/>
      <c r="O244" s="112"/>
      <c r="P244" s="190"/>
      <c r="Q244" s="112"/>
      <c r="R244" s="112"/>
      <c r="S244" s="112"/>
      <c r="T244" s="125"/>
      <c r="U244" s="112"/>
      <c r="V244" s="112"/>
      <c r="W244" s="112"/>
      <c r="X244" s="112"/>
      <c r="Z244" s="180"/>
      <c r="AA244" s="112"/>
      <c r="AC244" s="112"/>
      <c r="AE244" s="112"/>
    </row>
    <row r="245" spans="1:1016" ht="12" customHeight="1">
      <c r="A245" s="130"/>
      <c r="B245" s="130"/>
      <c r="C245" s="130"/>
      <c r="D245" s="130"/>
      <c r="E245" s="130"/>
      <c r="F245" s="130"/>
    </row>
    <row r="246" spans="1:1016" ht="12" customHeight="1">
      <c r="A246" s="130"/>
      <c r="B246" s="130"/>
      <c r="C246" s="130"/>
      <c r="D246" s="130"/>
      <c r="E246" s="130"/>
      <c r="F246" s="130"/>
    </row>
    <row r="247" spans="1:1016" ht="12" customHeight="1">
      <c r="A247" s="130"/>
      <c r="B247" s="130"/>
      <c r="C247" s="130"/>
      <c r="D247" s="130"/>
      <c r="E247" s="130"/>
      <c r="F247" s="130"/>
    </row>
    <row r="248" spans="1:1016" ht="12" customHeight="1">
      <c r="A248" s="136"/>
      <c r="B248" s="136"/>
      <c r="C248" s="136"/>
      <c r="D248" s="136"/>
      <c r="E248" s="136"/>
      <c r="F248" s="136"/>
    </row>
    <row r="249" spans="1:1016" ht="12" customHeight="1">
      <c r="A249" s="136"/>
      <c r="B249" s="136"/>
      <c r="C249" s="136"/>
      <c r="D249" s="136"/>
      <c r="E249" s="136"/>
      <c r="F249" s="136"/>
    </row>
  </sheetData>
  <mergeCells count="4">
    <mergeCell ref="H1:J2"/>
    <mergeCell ref="O1:P1"/>
    <mergeCell ref="L7:O7"/>
    <mergeCell ref="AD7:AE7"/>
  </mergeCells>
  <phoneticPr fontId="82" type="noConversion"/>
  <conditionalFormatting sqref="A200:F201 A221:F1061">
    <cfRule type="expression" dxfId="1355" priority="488">
      <formula>OR($AE200="X",$AC200="X")</formula>
    </cfRule>
    <cfRule type="expression" dxfId="1354" priority="489">
      <formula>AND($AE200=1,$AC200=1)</formula>
    </cfRule>
    <cfRule type="expression" dxfId="1353" priority="490">
      <formula>$AE200=1</formula>
    </cfRule>
    <cfRule type="expression" dxfId="1352" priority="491">
      <formula>$AC200=1</formula>
    </cfRule>
  </conditionalFormatting>
  <conditionalFormatting sqref="A9:G9 A10:A198 B28:G36 D36:D38 B37:B38 F37:G38 A83:B84 A87:G87 B90:G122 E122:G126 B123:C133 F127:G128 E129:G133 E135:G148 B149:G162 A163:B165 B166:D170 F166:G170 B171:G198 B39:G82 B85:G86 B88:G88 D83:G84 D163:G165">
    <cfRule type="expression" dxfId="1351" priority="872">
      <formula>$AD9=1</formula>
    </cfRule>
  </conditionalFormatting>
  <conditionalFormatting sqref="A9:G9 B36:D36 D36:D38 B37:B38 F37:G38 E122:G126 D123:D132 B123:C133 F127:G128 E129:G133 E135:G148 B149:G162 B166:D170 F166:G170 B171:G198 B15:G35 A10:A198">
    <cfRule type="expression" dxfId="1350" priority="871">
      <formula>$AE9=1</formula>
    </cfRule>
  </conditionalFormatting>
  <conditionalFormatting sqref="A9:G12 A10:A198 B15:G35 D36:G36 B36:D38 F37:G38 B39:G82 A83:B84 D83:G84 B85:G86 A87:G87 B88:G126 B127:D128 F127:G128 B129:G133 B135:G162 A163:B165 D163:G165 B166:D170 F166:G170 B171:G198 C13:G14">
    <cfRule type="expression" dxfId="1349" priority="873">
      <formula>AND(NOT(ISBLANK($W9)),ISBLANK($AD9),ISBLANK($AE9))</formula>
    </cfRule>
  </conditionalFormatting>
  <conditionalFormatting sqref="B13:B14">
    <cfRule type="expression" dxfId="1348" priority="29">
      <formula>OR($AE13="X",$AD13="X")</formula>
    </cfRule>
    <cfRule type="expression" dxfId="1347" priority="30">
      <formula>AND($AE13=1,$AD13=1)</formula>
    </cfRule>
    <cfRule type="expression" dxfId="1346" priority="31">
      <formula>$AE13=1</formula>
    </cfRule>
    <cfRule type="expression" dxfId="1345" priority="32">
      <formula>$AD13=1</formula>
    </cfRule>
    <cfRule type="expression" dxfId="1344" priority="33">
      <formula>AND(NOT(ISBLANK($W13)),ISBLANK($AD13),ISBLANK($AE13))</formula>
    </cfRule>
  </conditionalFormatting>
  <conditionalFormatting sqref="B115:B118">
    <cfRule type="expression" dxfId="1343" priority="350">
      <formula>AND($R115="X",#REF!&lt;&gt;"")</formula>
    </cfRule>
  </conditionalFormatting>
  <conditionalFormatting sqref="B160 B162 B166:B170">
    <cfRule type="expression" dxfId="1342" priority="1087">
      <formula>AND($R160="X",#REF!&lt;&gt;"")</formula>
    </cfRule>
  </conditionalFormatting>
  <conditionalFormatting sqref="B163:B165">
    <cfRule type="expression" dxfId="1341" priority="24">
      <formula>AND($R163="X",#REF!&lt;&gt;"")</formula>
    </cfRule>
  </conditionalFormatting>
  <conditionalFormatting sqref="B123:C148 B85:G122 B149:G162 B171:G198 B39:G82 A9:G9 B28:G35 D36:D38 A163:B165 A10:A198 B36:C36 B37:B38 F37:G38 A83:B84 D83:G84 F127:G128 E129:G148 D163:G165 B166:D170 F166:G170">
    <cfRule type="expression" dxfId="1340" priority="217">
      <formula>OR($AE9="X",$AD9="X")</formula>
    </cfRule>
  </conditionalFormatting>
  <conditionalFormatting sqref="B10:G12 C13:G14 B83:B84 D83:G84 B163:B165 D163:G165">
    <cfRule type="expression" dxfId="1339" priority="331">
      <formula>$AE10=1</formula>
    </cfRule>
  </conditionalFormatting>
  <conditionalFormatting sqref="B10:G12 C13:G14 B15:G27 D123:D132 E133">
    <cfRule type="expression" dxfId="1338" priority="329">
      <formula>OR($AE10="X",$AD10="X")</formula>
    </cfRule>
    <cfRule type="expression" dxfId="1337" priority="332">
      <formula>$AD10=1</formula>
    </cfRule>
  </conditionalFormatting>
  <conditionalFormatting sqref="B10:G12 C13:G14 B15:G35 D83:G84 A10:A198 B83:B84 B163:B165 D163:G165">
    <cfRule type="expression" dxfId="1336" priority="330">
      <formula>AND($AE10=1,$AD10=1)</formula>
    </cfRule>
  </conditionalFormatting>
  <conditionalFormatting sqref="B39:G82 B85:G122">
    <cfRule type="expression" dxfId="1335" priority="348">
      <formula>$AE39=1</formula>
    </cfRule>
  </conditionalFormatting>
  <conditionalFormatting sqref="B85:G122 B39:G82">
    <cfRule type="expression" dxfId="1334" priority="347">
      <formula>AND($AE39=1,$AD39=1)</formula>
    </cfRule>
  </conditionalFormatting>
  <conditionalFormatting sqref="B134:G134">
    <cfRule type="expression" dxfId="1333" priority="225">
      <formula>AND(NOT(ISBLANK($W134)),ISBLANK($AD134),ISBLANK($AE134))</formula>
    </cfRule>
  </conditionalFormatting>
  <conditionalFormatting sqref="C36 D36:D38">
    <cfRule type="expression" dxfId="1332" priority="1125">
      <formula>AND($R36="X",OR($B36&lt;&gt;"",#REF!&lt;&gt;""))</formula>
    </cfRule>
  </conditionalFormatting>
  <conditionalFormatting sqref="C37:C38">
    <cfRule type="expression" dxfId="1331" priority="77">
      <formula>AND($R37="X",OR(#REF!&lt;&gt;"",$B37&lt;&gt;""))</formula>
    </cfRule>
    <cfRule type="expression" dxfId="1330" priority="79">
      <formula>OR($AE37="X",$AD37="X")</formula>
    </cfRule>
    <cfRule type="expression" dxfId="1329" priority="80">
      <formula>AND($AE37=1,$AD37=1)</formula>
    </cfRule>
    <cfRule type="expression" dxfId="1328" priority="81">
      <formula>$AE37=1</formula>
    </cfRule>
    <cfRule type="expression" dxfId="1327" priority="82">
      <formula>$AD37=1</formula>
    </cfRule>
  </conditionalFormatting>
  <conditionalFormatting sqref="C83:C84">
    <cfRule type="expression" dxfId="1326" priority="4">
      <formula>OR($AE83="X",$AD83="X")</formula>
    </cfRule>
    <cfRule type="expression" dxfId="1325" priority="5">
      <formula>AND($AE83=1,$AD83=1)</formula>
    </cfRule>
    <cfRule type="expression" dxfId="1324" priority="6">
      <formula>$AE83=1</formula>
    </cfRule>
    <cfRule type="expression" dxfId="1323" priority="7">
      <formula>$AD83=1</formula>
    </cfRule>
    <cfRule type="expression" dxfId="1322" priority="8">
      <formula>AND(NOT(ISBLANK($W83)),ISBLANK($AD83),ISBLANK($AE83))</formula>
    </cfRule>
  </conditionalFormatting>
  <conditionalFormatting sqref="C134">
    <cfRule type="expression" dxfId="1321" priority="204">
      <formula>OR($AE134="X",$AD134="X")</formula>
    </cfRule>
    <cfRule type="expression" dxfId="1320" priority="205">
      <formula>AND($AE134=1,$AD134=1)</formula>
    </cfRule>
    <cfRule type="expression" dxfId="1319" priority="206">
      <formula>$AE134=1</formula>
    </cfRule>
    <cfRule type="expression" dxfId="1318" priority="207">
      <formula>$AD134=1</formula>
    </cfRule>
  </conditionalFormatting>
  <conditionalFormatting sqref="C161">
    <cfRule type="expression" dxfId="1317" priority="121">
      <formula>OR($AE161="X",$AD161="X")</formula>
    </cfRule>
    <cfRule type="expression" dxfId="1316" priority="122">
      <formula>AND($AE161=1,$AD161=1)</formula>
    </cfRule>
    <cfRule type="expression" dxfId="1315" priority="123">
      <formula>$AE161=1</formula>
    </cfRule>
    <cfRule type="expression" dxfId="1314" priority="124">
      <formula>AND($R161="X",$B161&lt;&gt;"")</formula>
    </cfRule>
  </conditionalFormatting>
  <conditionalFormatting sqref="C162 D163:D165 C166:C170">
    <cfRule type="expression" dxfId="1313" priority="1089">
      <formula>AND($R162="X",OR(#REF!&lt;&gt;"",$B162&lt;&gt;""))</formula>
    </cfRule>
  </conditionalFormatting>
  <conditionalFormatting sqref="C163:C165">
    <cfRule type="expression" dxfId="1312" priority="12">
      <formula>AND($R163="X",#REF!&lt;&gt;"")</formula>
    </cfRule>
    <cfRule type="expression" dxfId="1311" priority="14">
      <formula>AND($AE163=1,$AD163=1)</formula>
    </cfRule>
    <cfRule type="expression" dxfId="1310" priority="17">
      <formula>$AD163=1</formula>
    </cfRule>
    <cfRule type="expression" dxfId="1309" priority="1770">
      <formula>AND(NOT(ISBLANK($W163)),ISBLANK($AD163),ISBLANK($AE163))</formula>
    </cfRule>
    <cfRule type="expression" dxfId="1308" priority="1771">
      <formula>$AE163=1</formula>
    </cfRule>
  </conditionalFormatting>
  <conditionalFormatting sqref="C163:C166">
    <cfRule type="expression" dxfId="1307" priority="15">
      <formula>OR($AE163="X",$AD163="X")</formula>
    </cfRule>
  </conditionalFormatting>
  <conditionalFormatting sqref="C171:C172 D133:E133 C9:C35 C39:C82 D83:D84 C85:C114 C119:C133 C149:C159 C191:C198 D125:D132">
    <cfRule type="expression" dxfId="1306" priority="325">
      <formula>AND($R9="X",$B9&lt;&gt;"")</formula>
    </cfRule>
  </conditionalFormatting>
  <conditionalFormatting sqref="C172">
    <cfRule type="expression" dxfId="1305" priority="271">
      <formula>OR($AE172="X",$AD172="X")</formula>
    </cfRule>
    <cfRule type="expression" dxfId="1304" priority="272">
      <formula>AND($AE172=1,$AD172=1)</formula>
    </cfRule>
    <cfRule type="expression" dxfId="1303" priority="273">
      <formula>$AE172=1</formula>
    </cfRule>
  </conditionalFormatting>
  <conditionalFormatting sqref="C173:C190">
    <cfRule type="expression" dxfId="1302" priority="1034">
      <formula>AND($R173="X",OR($B173&lt;&gt;"",#REF!&lt;&gt;""))</formula>
    </cfRule>
  </conditionalFormatting>
  <conditionalFormatting sqref="C116:D118">
    <cfRule type="expression" dxfId="1301" priority="351">
      <formula>AND($R116="X",OR(#REF!&lt;&gt;"",$B116&lt;&gt;""))</formula>
    </cfRule>
  </conditionalFormatting>
  <conditionalFormatting sqref="C134:D148">
    <cfRule type="expression" dxfId="1300" priority="212">
      <formula>AND($R134="X",$B134&lt;&gt;"")</formula>
    </cfRule>
  </conditionalFormatting>
  <conditionalFormatting sqref="C186:D186">
    <cfRule type="expression" dxfId="1299" priority="51">
      <formula>OR($AE186="X",$AD186="X")</formula>
    </cfRule>
    <cfRule type="expression" dxfId="1298" priority="52">
      <formula>AND($AE186=1,$AD186=1)</formula>
    </cfRule>
    <cfRule type="expression" dxfId="1297" priority="53">
      <formula>$AE186=1</formula>
    </cfRule>
    <cfRule type="expression" dxfId="1296" priority="54">
      <formula>AND($R186="X",$B186&lt;&gt;"")</formula>
    </cfRule>
  </conditionalFormatting>
  <conditionalFormatting sqref="C115:G115">
    <cfRule type="expression" dxfId="1295" priority="335">
      <formula>AND($R115="X",$B115&lt;&gt;"")</formula>
    </cfRule>
  </conditionalFormatting>
  <conditionalFormatting sqref="D9:D35 D39:D82 D85:D86 D87:E87 D88:D114 C160:G160">
    <cfRule type="expression" dxfId="1294" priority="128">
      <formula>AND($R9="X",OR($B9&lt;&gt;"",$C9&lt;&gt;""))</formula>
    </cfRule>
  </conditionalFormatting>
  <conditionalFormatting sqref="D26:D27">
    <cfRule type="expression" dxfId="1293" priority="226">
      <formula>AND($R26="X",$B26&lt;&gt;"")</formula>
    </cfRule>
  </conditionalFormatting>
  <conditionalFormatting sqref="D36">
    <cfRule type="expression" dxfId="1292" priority="1132">
      <formula>AND($R36="X",OR($B36&lt;&gt;"",#REF!&lt;&gt;"",$C36&lt;&gt;""))</formula>
    </cfRule>
    <cfRule type="expression" dxfId="1291" priority="1134">
      <formula>AND($R36="X",OR($B36&lt;&gt;"",#REF!&lt;&gt;"",$C36&lt;&gt;"",$D36&lt;&gt;""))</formula>
    </cfRule>
    <cfRule type="expression" dxfId="1290" priority="1135">
      <formula>AND($R36="X",OR($B36&lt;&gt;"",#REF!&lt;&gt;"",$D36&lt;&gt;"",#REF!&lt;&gt;""))</formula>
    </cfRule>
    <cfRule type="expression" dxfId="1289" priority="1136">
      <formula>$AD36=1</formula>
    </cfRule>
    <cfRule type="expression" dxfId="1288" priority="1137">
      <formula>AND($R36="X",OR($B36&lt;&gt;"",#REF!&lt;&gt;"",$C36&lt;&gt;""))</formula>
    </cfRule>
    <cfRule type="expression" dxfId="1287" priority="1138">
      <formula>AND($AE36=1,$AD36=1)</formula>
    </cfRule>
    <cfRule type="expression" dxfId="1286" priority="1139">
      <formula>$AE36=1</formula>
    </cfRule>
    <cfRule type="expression" dxfId="1285" priority="1140">
      <formula>AND($R36="X",$B36&lt;&gt;"")</formula>
    </cfRule>
    <cfRule type="expression" dxfId="1284" priority="1141">
      <formula>AND($R36="X",OR($B36&lt;&gt;"",#REF!&lt;&gt;""))</formula>
    </cfRule>
  </conditionalFormatting>
  <conditionalFormatting sqref="D116 D191:D198">
    <cfRule type="expression" dxfId="1283" priority="195">
      <formula>AND($R116="X",OR($B116&lt;&gt;"",$C116&lt;&gt;""))</formula>
    </cfRule>
  </conditionalFormatting>
  <conditionalFormatting sqref="D119:D122 D121:G121 D171:D172 D155:D159 C191">
    <cfRule type="expression" dxfId="1282" priority="358">
      <formula>AND($R119="X",OR($B119&lt;&gt;"",$C119&lt;&gt;""))</formula>
    </cfRule>
  </conditionalFormatting>
  <conditionalFormatting sqref="D123:D124">
    <cfRule type="expression" dxfId="1281" priority="302">
      <formula>AND($R123="X",OR(#REF!&lt;&gt;"",$B123&lt;&gt;""))</formula>
    </cfRule>
  </conditionalFormatting>
  <conditionalFormatting sqref="D133">
    <cfRule type="expression" dxfId="1280" priority="263">
      <formula>OR($AE133="X",$AD133="X")</formula>
    </cfRule>
    <cfRule type="expression" dxfId="1279" priority="264">
      <formula>AND($AE133=1,$AD133=1)</formula>
    </cfRule>
    <cfRule type="expression" dxfId="1278" priority="265">
      <formula>$AE133=1</formula>
    </cfRule>
  </conditionalFormatting>
  <conditionalFormatting sqref="D133:D148">
    <cfRule type="expression" dxfId="1277" priority="216">
      <formula>$AD133=1</formula>
    </cfRule>
  </conditionalFormatting>
  <conditionalFormatting sqref="D134">
    <cfRule type="expression" dxfId="1276" priority="199">
      <formula>OR($AE134="X",$AD134="X")</formula>
    </cfRule>
    <cfRule type="expression" dxfId="1275" priority="200">
      <formula>AND($R134="X",OR($B134&lt;&gt;"",$C134&lt;&gt;"",$D134&lt;&gt;""))</formula>
    </cfRule>
    <cfRule type="expression" dxfId="1274" priority="201">
      <formula>AND($AE134=1,$AD134=1)</formula>
    </cfRule>
    <cfRule type="expression" dxfId="1273" priority="202">
      <formula>$AE134=1</formula>
    </cfRule>
    <cfRule type="expression" dxfId="1272" priority="203">
      <formula>$AD134=1</formula>
    </cfRule>
  </conditionalFormatting>
  <conditionalFormatting sqref="D134:D148">
    <cfRule type="expression" dxfId="1271" priority="213">
      <formula>OR($AE134="X",$AD134="X")</formula>
    </cfRule>
    <cfRule type="expression" dxfId="1270" priority="214">
      <formula>AND($AE134=1,$AD134=1)</formula>
    </cfRule>
    <cfRule type="expression" dxfId="1269" priority="215">
      <formula>$AE134=1</formula>
    </cfRule>
  </conditionalFormatting>
  <conditionalFormatting sqref="D154">
    <cfRule type="expression" dxfId="1268" priority="886">
      <formula>AND($R154="X",OR($B154&lt;&gt;"",#REF!&lt;&gt;""))</formula>
    </cfRule>
  </conditionalFormatting>
  <conditionalFormatting sqref="D158:D159">
    <cfRule type="expression" dxfId="1267" priority="111">
      <formula>AND($R158="X",OR($B158&lt;&gt;"",$C158&lt;&gt;""))</formula>
    </cfRule>
    <cfRule type="expression" dxfId="1266" priority="247">
      <formula>$AD158=1</formula>
    </cfRule>
    <cfRule type="expression" dxfId="1265" priority="248">
      <formula>AND($R158="X",OR($B158&lt;&gt;"",$C158&lt;&gt;"",$D158&lt;&gt;"",$E158&lt;&gt;""))</formula>
    </cfRule>
    <cfRule type="expression" dxfId="1264" priority="249">
      <formula>AND($AE158=1,$AD158=1)</formula>
    </cfRule>
    <cfRule type="expression" dxfId="1263" priority="250">
      <formula>$AE158=1</formula>
    </cfRule>
    <cfRule type="expression" dxfId="1262" priority="251">
      <formula>AND($R158="X",OR($B158&lt;&gt;"",$C158&lt;&gt;"",$D158&lt;&gt;""))</formula>
    </cfRule>
    <cfRule type="expression" dxfId="1261" priority="253">
      <formula>$AD158=1</formula>
    </cfRule>
    <cfRule type="expression" dxfId="1260" priority="254">
      <formula>AND($R158="X",OR($B158&lt;&gt;"",$C158&lt;&gt;"",$D158&lt;&gt;"",$E158&lt;&gt;""))</formula>
    </cfRule>
    <cfRule type="expression" dxfId="1259" priority="255">
      <formula>AND($AE158=1,$AD158=1)</formula>
    </cfRule>
    <cfRule type="expression" dxfId="1258" priority="256">
      <formula>$AE158=1</formula>
    </cfRule>
    <cfRule type="expression" dxfId="1257" priority="257">
      <formula>AND($R158="X",OR($B158&lt;&gt;"",$C158&lt;&gt;"",$D158&lt;&gt;""))</formula>
    </cfRule>
  </conditionalFormatting>
  <conditionalFormatting sqref="D161">
    <cfRule type="expression" dxfId="1256" priority="98">
      <formula>AND($R161="X",OR($B161&lt;&gt;"",$C161&lt;&gt;""))</formula>
    </cfRule>
    <cfRule type="expression" dxfId="1255" priority="100">
      <formula>$AD161=1</formula>
    </cfRule>
    <cfRule type="expression" dxfId="1254" priority="101">
      <formula>AND($R161="X",OR($B161&lt;&gt;"",$C161&lt;&gt;"",$D161&lt;&gt;"",$E161&lt;&gt;""))</formula>
    </cfRule>
    <cfRule type="expression" dxfId="1253" priority="102">
      <formula>AND($AE161=1,$AD161=1)</formula>
    </cfRule>
    <cfRule type="expression" dxfId="1252" priority="103">
      <formula>$AE161=1</formula>
    </cfRule>
    <cfRule type="expression" dxfId="1251" priority="104">
      <formula>AND($R161="X",OR($B161&lt;&gt;"",$C161&lt;&gt;"",$D161&lt;&gt;""))</formula>
    </cfRule>
    <cfRule type="expression" dxfId="1250" priority="105">
      <formula>$AD161=1</formula>
    </cfRule>
    <cfRule type="expression" dxfId="1249" priority="106">
      <formula>AND($R161="X",OR($B161&lt;&gt;"",$C161&lt;&gt;"",$D161&lt;&gt;"",$E161&lt;&gt;""))</formula>
    </cfRule>
    <cfRule type="expression" dxfId="1248" priority="107">
      <formula>AND($AE161=1,$AD161=1)</formula>
    </cfRule>
    <cfRule type="expression" dxfId="1247" priority="108">
      <formula>$AE161=1</formula>
    </cfRule>
    <cfRule type="expression" dxfId="1246" priority="109">
      <formula>AND($R161="X",OR($B161&lt;&gt;"",$C161&lt;&gt;"",$D161&lt;&gt;""))</formula>
    </cfRule>
    <cfRule type="expression" dxfId="1245" priority="110">
      <formula>AND($R161="X",OR($B161&lt;&gt;"",$C161&lt;&gt;""))</formula>
    </cfRule>
    <cfRule type="expression" dxfId="1244" priority="114">
      <formula>OR($AE161="X",$AD161="X")</formula>
    </cfRule>
    <cfRule type="expression" dxfId="1243" priority="117">
      <formula>AND($R161="X",$B161&lt;&gt;"")</formula>
    </cfRule>
    <cfRule type="expression" dxfId="1242" priority="119">
      <formula>AND($AE161=1,$AD161=1)</formula>
    </cfRule>
    <cfRule type="expression" dxfId="1241" priority="120">
      <formula>$AE161=1</formula>
    </cfRule>
    <cfRule type="expression" dxfId="1240" priority="125">
      <formula>AND($R161="X",OR($B161&lt;&gt;"",$C161&lt;&gt;""))</formula>
    </cfRule>
  </conditionalFormatting>
  <conditionalFormatting sqref="D161:D162 D166">
    <cfRule type="expression" dxfId="1239" priority="118">
      <formula>OR($AE161="X",$AD161="X")</formula>
    </cfRule>
  </conditionalFormatting>
  <conditionalFormatting sqref="D162 D166">
    <cfRule type="expression" dxfId="1238" priority="275">
      <formula>AND($AE162=1,$AD162=1)</formula>
    </cfRule>
    <cfRule type="expression" dxfId="1237" priority="276">
      <formula>$AE162=1</formula>
    </cfRule>
    <cfRule type="expression" dxfId="1236" priority="277">
      <formula>$AD162=1</formula>
    </cfRule>
    <cfRule type="expression" dxfId="1235" priority="278">
      <formula>AND($R162="X",#REF!&lt;&gt;"")</formula>
    </cfRule>
  </conditionalFormatting>
  <conditionalFormatting sqref="D162 D166:D170">
    <cfRule type="expression" dxfId="1234" priority="1091">
      <formula>AND($R162="X",OR(#REF!&lt;&gt;"",$B162&lt;&gt;"",$C162&lt;&gt;""))</formula>
    </cfRule>
  </conditionalFormatting>
  <conditionalFormatting sqref="D172">
    <cfRule type="expression" dxfId="1233" priority="267">
      <formula>AND($R172="X",$B172&lt;&gt;"")</formula>
    </cfRule>
    <cfRule type="expression" dxfId="1232" priority="268">
      <formula>OR($AE172="X",$AD172="X")</formula>
    </cfRule>
    <cfRule type="expression" dxfId="1231" priority="269">
      <formula>AND($AE172=1,$AD172=1)</formula>
    </cfRule>
    <cfRule type="expression" dxfId="1230" priority="270">
      <formula>$AE172=1</formula>
    </cfRule>
  </conditionalFormatting>
  <conditionalFormatting sqref="D173:D190">
    <cfRule type="expression" dxfId="1229" priority="1054">
      <formula>AND($R173="X",OR($B173&lt;&gt;"",#REF!&lt;&gt;"",$C173&lt;&gt;""))</formula>
    </cfRule>
  </conditionalFormatting>
  <conditionalFormatting sqref="D176:D177">
    <cfRule type="expression" dxfId="1228" priority="1">
      <formula>AND($AE176=1,$AD176=1)</formula>
    </cfRule>
    <cfRule type="expression" dxfId="1227" priority="2">
      <formula>$AE176=1</formula>
    </cfRule>
    <cfRule type="expression" dxfId="1226" priority="3">
      <formula>AND($R176="X",OR(#REF!&lt;&gt;"",$B176&lt;&gt;""))</formula>
    </cfRule>
  </conditionalFormatting>
  <conditionalFormatting sqref="D182">
    <cfRule type="expression" dxfId="1225" priority="43">
      <formula>AND($R182="X",OR($B182&lt;&gt;"",#REF!&lt;&gt;""))</formula>
    </cfRule>
  </conditionalFormatting>
  <conditionalFormatting sqref="D184:D190">
    <cfRule type="expression" dxfId="1224" priority="48">
      <formula>AND($R184="X",OR($B184&lt;&gt;"",#REF!&lt;&gt;""))</formula>
    </cfRule>
  </conditionalFormatting>
  <conditionalFormatting sqref="D121:E121">
    <cfRule type="expression" dxfId="1223" priority="150">
      <formula>AND($R121="X",OR($B121&lt;&gt;"",$C121&lt;&gt;"",$D121&lt;&gt;"",$E121&lt;&gt;""))</formula>
    </cfRule>
    <cfRule type="expression" dxfId="1222" priority="151">
      <formula>AND($R121="X",OR($B121&lt;&gt;"",$C121&lt;&gt;"",$E121&lt;&gt;"",#REF!&lt;&gt;""))</formula>
    </cfRule>
    <cfRule type="expression" dxfId="1221" priority="152">
      <formula>$AD121=1</formula>
    </cfRule>
    <cfRule type="expression" dxfId="1220" priority="153">
      <formula>AND($R121="X",OR($B121&lt;&gt;"",$C121&lt;&gt;"",$D121&lt;&gt;""))</formula>
    </cfRule>
    <cfRule type="expression" dxfId="1219" priority="154">
      <formula>AND($AE121=1,$AD121=1)</formula>
    </cfRule>
    <cfRule type="expression" dxfId="1218" priority="155">
      <formula>$AE121=1</formula>
    </cfRule>
  </conditionalFormatting>
  <conditionalFormatting sqref="D36:G36">
    <cfRule type="expression" dxfId="1217" priority="55">
      <formula>AND($R36="X",OR($B36&lt;&gt;"",$C36&lt;&gt;"",$D36&lt;&gt;"",$E36&lt;&gt;"",$F36&lt;&gt;""))</formula>
    </cfRule>
    <cfRule type="expression" dxfId="1216" priority="56">
      <formula>AND($AE36=1,$AD36=1)</formula>
    </cfRule>
    <cfRule type="expression" dxfId="1215" priority="57">
      <formula>$AE36=1</formula>
    </cfRule>
    <cfRule type="expression" dxfId="1214" priority="58">
      <formula>OR($AE36="X",$AD36="X")</formula>
    </cfRule>
  </conditionalFormatting>
  <conditionalFormatting sqref="D119:G119">
    <cfRule type="expression" dxfId="1213" priority="166">
      <formula>AND($R119="X",$B119&lt;&gt;"")</formula>
    </cfRule>
  </conditionalFormatting>
  <conditionalFormatting sqref="D121:G121">
    <cfRule type="expression" dxfId="1212" priority="164">
      <formula>AND($R121="X",$B121&lt;&gt;"")</formula>
    </cfRule>
  </conditionalFormatting>
  <conditionalFormatting sqref="D161:G161">
    <cfRule type="expression" dxfId="1211" priority="116">
      <formula>AND($R161="X",OR($B161&lt;&gt;"",$C161&lt;&gt;""))</formula>
    </cfRule>
  </conditionalFormatting>
  <conditionalFormatting sqref="E9:E35 E39:E82 E85:E86 E88:E114">
    <cfRule type="expression" dxfId="1210" priority="86">
      <formula>AND($R9="X",OR($B9&lt;&gt;"",$C9&lt;&gt;"",$D9&lt;&gt;""))</formula>
    </cfRule>
  </conditionalFormatting>
  <conditionalFormatting sqref="E37:E38">
    <cfRule type="expression" dxfId="1209" priority="59">
      <formula>OR($AE37="X",$AD37="X")</formula>
    </cfRule>
    <cfRule type="expression" dxfId="1208" priority="60">
      <formula>AND($AE37=1,$AD37=1)</formula>
    </cfRule>
    <cfRule type="expression" dxfId="1207" priority="61">
      <formula>$AE37=1</formula>
    </cfRule>
    <cfRule type="expression" dxfId="1206" priority="62">
      <formula>$AD37=1</formula>
    </cfRule>
    <cfRule type="expression" dxfId="1205" priority="63">
      <formula>AND(NOT(ISBLANK($W37)),ISBLANK($AD37),ISBLANK($AE37))</formula>
    </cfRule>
    <cfRule type="expression" dxfId="1204" priority="64">
      <formula>AND($R37="X",OR($B37&lt;&gt;"",#REF!&lt;&gt;"",$D37&lt;&gt;"",#REF!&lt;&gt;""))</formula>
    </cfRule>
  </conditionalFormatting>
  <conditionalFormatting sqref="E83:E84">
    <cfRule type="expression" dxfId="1203" priority="1782">
      <formula>AND($R83="X",OR($B83&lt;&gt;"",$D83&lt;&gt;"",#REF!&lt;&gt;""))</formula>
    </cfRule>
  </conditionalFormatting>
  <conditionalFormatting sqref="E86">
    <cfRule type="expression" dxfId="1202" priority="235">
      <formula>AND($R86="X",OR($B86&lt;&gt;"",$C86&lt;&gt;"",$D86&lt;&gt;"",$E86&lt;&gt;""))</formula>
    </cfRule>
    <cfRule type="expression" dxfId="1201" priority="236">
      <formula>AND($AE86=1,$AD86=1)</formula>
    </cfRule>
    <cfRule type="expression" dxfId="1200" priority="237">
      <formula>$AE86=1</formula>
    </cfRule>
    <cfRule type="expression" dxfId="1199" priority="238">
      <formula>AND($R86="X",OR($B86&lt;&gt;"",$C86&lt;&gt;"",$E86&lt;&gt;"",#REF!&lt;&gt;""))</formula>
    </cfRule>
  </conditionalFormatting>
  <conditionalFormatting sqref="E90">
    <cfRule type="expression" dxfId="1198" priority="229">
      <formula>AND($R90="X",OR($B90&lt;&gt;"",$C90&lt;&gt;"",$D90&lt;&gt;"",$E90&lt;&gt;""))</formula>
    </cfRule>
    <cfRule type="expression" dxfId="1197" priority="230">
      <formula>AND($AE90=1,$AD90=1)</formula>
    </cfRule>
    <cfRule type="expression" dxfId="1196" priority="231">
      <formula>$AE90=1</formula>
    </cfRule>
    <cfRule type="expression" dxfId="1195" priority="232">
      <formula>$AD90=1</formula>
    </cfRule>
    <cfRule type="expression" dxfId="1194" priority="233">
      <formula>AND($R90="X",OR($B90&lt;&gt;"",$C90&lt;&gt;"",$E90&lt;&gt;"",#REF!&lt;&gt;""))</formula>
    </cfRule>
    <cfRule type="expression" dxfId="1193" priority="234">
      <formula>$AD90=1</formula>
    </cfRule>
  </conditionalFormatting>
  <conditionalFormatting sqref="E105">
    <cfRule type="expression" dxfId="1192" priority="239">
      <formula>AND($R105="X",OR($B105&lt;&gt;"",$C105&lt;&gt;"",$D105&lt;&gt;"",$E105&lt;&gt;""))</formula>
    </cfRule>
    <cfRule type="expression" dxfId="1191" priority="240">
      <formula>AND($AE105=1,$AD105=1)</formula>
    </cfRule>
    <cfRule type="expression" dxfId="1190" priority="241">
      <formula>$AE105=1</formula>
    </cfRule>
    <cfRule type="expression" dxfId="1189" priority="242">
      <formula>$AD105=1</formula>
    </cfRule>
    <cfRule type="expression" dxfId="1188" priority="243">
      <formula>AND($R105="X",OR($B105&lt;&gt;"",$C105&lt;&gt;"",$E105&lt;&gt;"",#REF!&lt;&gt;""))</formula>
    </cfRule>
  </conditionalFormatting>
  <conditionalFormatting sqref="E116 E149:E153 E155:E159 E171 E191:E198">
    <cfRule type="expression" dxfId="1187" priority="196">
      <formula>AND($R116="X",OR($B116&lt;&gt;"",$C116&lt;&gt;"",$D116&lt;&gt;""))</formula>
    </cfRule>
  </conditionalFormatting>
  <conditionalFormatting sqref="E116:E118">
    <cfRule type="expression" dxfId="1186" priority="352">
      <formula>AND($R116="X",OR(#REF!&lt;&gt;"",$B116&lt;&gt;"",$C116&lt;&gt;""))</formula>
    </cfRule>
  </conditionalFormatting>
  <conditionalFormatting sqref="E119:E122">
    <cfRule type="expression" dxfId="1185" priority="370">
      <formula>AND($R119="X",OR($B119&lt;&gt;"",$C119&lt;&gt;"",$D119&lt;&gt;""))</formula>
    </cfRule>
  </conditionalFormatting>
  <conditionalFormatting sqref="E120">
    <cfRule type="expression" dxfId="1184" priority="156">
      <formula>AND($R120="X",OR($B120&lt;&gt;"",$C120&lt;&gt;"",$D120&lt;&gt;"",$E120&lt;&gt;""))</formula>
    </cfRule>
    <cfRule type="expression" dxfId="1183" priority="157">
      <formula>AND($R120="X",OR($B120&lt;&gt;"",$C120&lt;&gt;"",$E120&lt;&gt;"",#REF!&lt;&gt;""))</formula>
    </cfRule>
    <cfRule type="expression" dxfId="1182" priority="158">
      <formula>$AD120=1</formula>
    </cfRule>
    <cfRule type="expression" dxfId="1181" priority="159">
      <formula>AND($R120="X",OR($B120&lt;&gt;"",$C120&lt;&gt;"",$D120&lt;&gt;""))</formula>
    </cfRule>
  </conditionalFormatting>
  <conditionalFormatting sqref="E122:E124 D149:D153">
    <cfRule type="expression" dxfId="1180" priority="320">
      <formula>AND($R122="X",OR($B122&lt;&gt;"",$C122&lt;&gt;""))</formula>
    </cfRule>
  </conditionalFormatting>
  <conditionalFormatting sqref="E125">
    <cfRule type="expression" dxfId="1179" priority="244">
      <formula>AND($R125="X",OR($B125&lt;&gt;"",$C125&lt;&gt;"",$D125&lt;&gt;"",$E125&lt;&gt;""))</formula>
    </cfRule>
    <cfRule type="expression" dxfId="1178" priority="245">
      <formula>AND($R125="X",OR($B125&lt;&gt;"",$C125&lt;&gt;"",$E125&lt;&gt;"",#REF!&lt;&gt;""))</formula>
    </cfRule>
    <cfRule type="expression" dxfId="1177" priority="246">
      <formula>$AD125=1</formula>
    </cfRule>
  </conditionalFormatting>
  <conditionalFormatting sqref="E125:E126 F127:F128 E129:E132">
    <cfRule type="expression" dxfId="1176" priority="326">
      <formula>AND($R125="X",OR($B125&lt;&gt;"",$C125&lt;&gt;"",$D125&lt;&gt;""))</formula>
    </cfRule>
  </conditionalFormatting>
  <conditionalFormatting sqref="E127:E128">
    <cfRule type="expression" dxfId="1175" priority="175">
      <formula>AND($R127="X",$B127&lt;&gt;"")</formula>
    </cfRule>
    <cfRule type="expression" dxfId="1174" priority="176">
      <formula>AND($AE127=1,$AD127=1)</formula>
    </cfRule>
    <cfRule type="expression" dxfId="1173" priority="177">
      <formula>$AE127=1</formula>
    </cfRule>
    <cfRule type="expression" dxfId="1172" priority="178">
      <formula>OR($AE127="X",$AD127="X")</formula>
    </cfRule>
    <cfRule type="expression" dxfId="1171" priority="179">
      <formula>$AD127=1</formula>
    </cfRule>
    <cfRule type="expression" dxfId="1170" priority="180">
      <formula>AND(NOT(ISBLANK($W127)),ISBLANK($AD127),ISBLANK($AE127))</formula>
    </cfRule>
  </conditionalFormatting>
  <conditionalFormatting sqref="E134:E148">
    <cfRule type="expression" dxfId="1169" priority="218">
      <formula>AND($R134="X",OR($B134&lt;&gt;"",$C134&lt;&gt;"",$D134&lt;&gt;""))</formula>
    </cfRule>
  </conditionalFormatting>
  <conditionalFormatting sqref="E154">
    <cfRule type="expression" dxfId="1168" priority="904">
      <formula>AND($R154="X",OR($B154&lt;&gt;"",#REF!&lt;&gt;"",$D154&lt;&gt;""))</formula>
    </cfRule>
  </conditionalFormatting>
  <conditionalFormatting sqref="E157">
    <cfRule type="expression" dxfId="1167" priority="258">
      <formula>$AD157=1</formula>
    </cfRule>
    <cfRule type="expression" dxfId="1166" priority="259">
      <formula>AND($R157="X",OR($B157&lt;&gt;"",$C157&lt;&gt;"",$D157&lt;&gt;"",$E157&lt;&gt;""))</formula>
    </cfRule>
    <cfRule type="expression" dxfId="1165" priority="260">
      <formula>AND($AE157=1,$AD157=1)</formula>
    </cfRule>
    <cfRule type="expression" dxfId="1164" priority="261">
      <formula>$AE157=1</formula>
    </cfRule>
  </conditionalFormatting>
  <conditionalFormatting sqref="E161">
    <cfRule type="expression" dxfId="1163" priority="115">
      <formula>AND($R161="X",OR($B161&lt;&gt;"",$C161&lt;&gt;"",$D161&lt;&gt;""))</formula>
    </cfRule>
  </conditionalFormatting>
  <conditionalFormatting sqref="E163">
    <cfRule type="expression" dxfId="1162" priority="1764">
      <formula>AND($R163="X",OR($B163&lt;&gt;"",$D163&lt;&gt;"",#REF!&lt;&gt;""))</formula>
    </cfRule>
  </conditionalFormatting>
  <conditionalFormatting sqref="E163:E165">
    <cfRule type="expression" dxfId="1161" priority="1765">
      <formula>AND($R163="X",OR(#REF!&lt;&gt;"",$B163&lt;&gt;"",$D163&lt;&gt;""))</formula>
    </cfRule>
  </conditionalFormatting>
  <conditionalFormatting sqref="E166:E170">
    <cfRule type="expression" dxfId="1160" priority="92">
      <formula>OR($AE166="X",$AD166="X")</formula>
    </cfRule>
    <cfRule type="expression" dxfId="1159" priority="93">
      <formula>AND($AE166=1,$AD166=1)</formula>
    </cfRule>
    <cfRule type="expression" dxfId="1158" priority="94">
      <formula>$AE166=1</formula>
    </cfRule>
    <cfRule type="expression" dxfId="1157" priority="95">
      <formula>$AD166=1</formula>
    </cfRule>
    <cfRule type="expression" dxfId="1156" priority="96">
      <formula>AND(NOT(ISBLANK($W166)),ISBLANK($AD166),ISBLANK($AE166))</formula>
    </cfRule>
    <cfRule type="expression" dxfId="1155" priority="97">
      <formula>AND($R166="X",OR(#REF!&lt;&gt;"",$B166&lt;&gt;"",$C166&lt;&gt;"",$D166&lt;&gt;""))</formula>
    </cfRule>
  </conditionalFormatting>
  <conditionalFormatting sqref="E173:E190">
    <cfRule type="expression" dxfId="1154" priority="167">
      <formula>AND($R173="X",OR($B173&lt;&gt;"",#REF!&lt;&gt;"",$C173&lt;&gt;"",$D173&lt;&gt;""))</formula>
    </cfRule>
  </conditionalFormatting>
  <conditionalFormatting sqref="E188:E190">
    <cfRule type="expression" dxfId="1153" priority="49">
      <formula>AND($R188="X",OR($B188&lt;&gt;"",#REF!&lt;&gt;"",$C188&lt;&gt;""))</formula>
    </cfRule>
  </conditionalFormatting>
  <conditionalFormatting sqref="E161:F161">
    <cfRule type="expression" dxfId="1152" priority="126">
      <formula>AND($R161="X",OR($B161&lt;&gt;"",$C161&lt;&gt;"",$D161&lt;&gt;"",#REF!&lt;&gt;""))</formula>
    </cfRule>
  </conditionalFormatting>
  <conditionalFormatting sqref="E172:F172">
    <cfRule type="expression" dxfId="1151" priority="1069">
      <formula>AND($R172="X",OR($B172&lt;&gt;"",$C172&lt;&gt;"",$D172&lt;&gt;"",#REF!&lt;&gt;""))</formula>
    </cfRule>
  </conditionalFormatting>
  <conditionalFormatting sqref="E120:G120">
    <cfRule type="expression" dxfId="1150" priority="162">
      <formula>AND($AE120=1,$AD120=1)</formula>
    </cfRule>
    <cfRule type="expression" dxfId="1149" priority="163">
      <formula>$AE120=1</formula>
    </cfRule>
  </conditionalFormatting>
  <conditionalFormatting sqref="E122:G122">
    <cfRule type="expression" dxfId="1148" priority="133">
      <formula>AND($R122="X",OR($B122&lt;&gt;"",$C122&lt;&gt;"",$D122&lt;&gt;"",$E122&lt;&gt;""))</formula>
    </cfRule>
    <cfRule type="expression" dxfId="1147" priority="134">
      <formula>AND($R122="X",OR($B122&lt;&gt;"",$C122&lt;&gt;"",$E122&lt;&gt;"",#REF!&lt;&gt;""))</formula>
    </cfRule>
    <cfRule type="expression" dxfId="1146" priority="135">
      <formula>$AD122=1</formula>
    </cfRule>
    <cfRule type="expression" dxfId="1145" priority="136">
      <formula>AND($R122="X",OR($B122&lt;&gt;"",$C122&lt;&gt;"",$D122&lt;&gt;""))</formula>
    </cfRule>
    <cfRule type="expression" dxfId="1144" priority="137">
      <formula>AND($AE122=1,$AD122=1)</formula>
    </cfRule>
    <cfRule type="expression" dxfId="1143" priority="138">
      <formula>$AE122=1</formula>
    </cfRule>
    <cfRule type="expression" dxfId="1142" priority="139">
      <formula>AND($R122="X",$B122&lt;&gt;"")</formula>
    </cfRule>
    <cfRule type="expression" dxfId="1141" priority="141">
      <formula>AND($R122="X",OR($B122&lt;&gt;"",$C122&lt;&gt;""))</formula>
    </cfRule>
  </conditionalFormatting>
  <conditionalFormatting sqref="E122:G126 B149:G162 B171:G198 E129:G133 D123:D132 F127:G128 E135:G148 A9:G9 B123:C133 B166:D170 B36:D36 D36:D38 B37:B38 F37:G38 F166:G170">
    <cfRule type="expression" dxfId="1140" priority="870">
      <formula>AND($AE9=1,$AD9=1)</formula>
    </cfRule>
  </conditionalFormatting>
  <conditionalFormatting sqref="E122:G126">
    <cfRule type="expression" dxfId="1139" priority="869">
      <formula>OR($AE122="X",$AD122="X")</formula>
    </cfRule>
  </conditionalFormatting>
  <conditionalFormatting sqref="E134:G134 B134:C148">
    <cfRule type="expression" dxfId="1138" priority="222">
      <formula>AND($AE134=1,$AD134=1)</formula>
    </cfRule>
    <cfRule type="expression" dxfId="1137" priority="223">
      <formula>$AE134=1</formula>
    </cfRule>
    <cfRule type="expression" dxfId="1136" priority="224">
      <formula>$AD134=1</formula>
    </cfRule>
  </conditionalFormatting>
  <conditionalFormatting sqref="F1:F2">
    <cfRule type="dataBar" priority="482">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35 F39:F82 F85:F86 F88:F114 E190:G190">
    <cfRule type="expression" dxfId="1135" priority="89">
      <formula>AND($R9="X",OR($B9&lt;&gt;"",$C9&lt;&gt;"",$D9&lt;&gt;"",$E9&lt;&gt;""))</formula>
    </cfRule>
  </conditionalFormatting>
  <conditionalFormatting sqref="F37:F38">
    <cfRule type="expression" dxfId="1134" priority="1152">
      <formula>AND($R37="X",OR($B37&lt;&gt;"",#REF!&lt;&gt;"",$D37&lt;&gt;"",#REF!&lt;&gt;""))</formula>
    </cfRule>
  </conditionalFormatting>
  <conditionalFormatting sqref="F83:F84">
    <cfRule type="expression" dxfId="1133" priority="1784">
      <formula>AND($R83="X",OR($B83&lt;&gt;"",$D83&lt;&gt;"",#REF!&lt;&gt;"",$E83&lt;&gt;""))</formula>
    </cfRule>
  </conditionalFormatting>
  <conditionalFormatting sqref="F87">
    <cfRule type="expression" dxfId="1132" priority="1750">
      <formula>AND($R87="X",OR($B87&lt;&gt;"",$C87&lt;&gt;"",$E87&lt;&gt;"",#REF!&lt;&gt;""))</formula>
    </cfRule>
  </conditionalFormatting>
  <conditionalFormatting sqref="F116 F155:F159 F171 F191:F198">
    <cfRule type="expression" dxfId="1131" priority="197">
      <formula>AND($R116="X",OR($B116&lt;&gt;"",$C116&lt;&gt;"",$D116&lt;&gt;"",$E116&lt;&gt;""))</formula>
    </cfRule>
  </conditionalFormatting>
  <conditionalFormatting sqref="F116:F118">
    <cfRule type="expression" dxfId="1130" priority="353">
      <formula>AND($R116="X",OR(#REF!&lt;&gt;"",$B116&lt;&gt;"",$C116&lt;&gt;"",$E116&lt;&gt;""))</formula>
    </cfRule>
  </conditionalFormatting>
  <conditionalFormatting sqref="F119:F122">
    <cfRule type="expression" dxfId="1129" priority="371">
      <formula>AND($R119="X",OR($B119&lt;&gt;"",$C119&lt;&gt;"",$D119&lt;&gt;"",$E119&lt;&gt;""))</formula>
    </cfRule>
  </conditionalFormatting>
  <conditionalFormatting sqref="F120">
    <cfRule type="expression" dxfId="1128" priority="160">
      <formula>AND($R120="X",OR($B120&lt;&gt;"",$C120&lt;&gt;"",$D120&lt;&gt;"",$E120&lt;&gt;""))</formula>
    </cfRule>
  </conditionalFormatting>
  <conditionalFormatting sqref="F122:F124 F133:G133">
    <cfRule type="expression" dxfId="1127" priority="356">
      <formula>AND($R122="X",OR($B122&lt;&gt;"",$C122&lt;&gt;"",$E122&lt;&gt;"",#REF!&lt;&gt;""))</formula>
    </cfRule>
  </conditionalFormatting>
  <conditionalFormatting sqref="F125:F153">
    <cfRule type="expression" dxfId="1126" priority="327">
      <formula>AND($R125="X",OR($B125&lt;&gt;"",$C125&lt;&gt;"",$D125&lt;&gt;"",$E125&lt;&gt;""))</formula>
    </cfRule>
  </conditionalFormatting>
  <conditionalFormatting sqref="F132">
    <cfRule type="expression" dxfId="1125" priority="228">
      <formula>AND($R132="X",OR($B132&lt;&gt;"",$C132&lt;&gt;"",$E132&lt;&gt;"",#REF!&lt;&gt;""))</formula>
    </cfRule>
  </conditionalFormatting>
  <conditionalFormatting sqref="F154">
    <cfRule type="expression" dxfId="1124" priority="905">
      <formula>AND($R154="X",OR($B154&lt;&gt;"",#REF!&lt;&gt;"",$D154&lt;&gt;"",$E154&lt;&gt;""))</formula>
    </cfRule>
  </conditionalFormatting>
  <conditionalFormatting sqref="F163">
    <cfRule type="expression" dxfId="1123" priority="1766">
      <formula>AND($R163="X",OR($B163&lt;&gt;"",$D163&lt;&gt;"",#REF!&lt;&gt;"",$E163&lt;&gt;""))</formula>
    </cfRule>
  </conditionalFormatting>
  <conditionalFormatting sqref="F163:F165">
    <cfRule type="expression" dxfId="1122" priority="1767">
      <formula>AND($R163="X",OR(#REF!&lt;&gt;"",$B163&lt;&gt;"",$D163&lt;&gt;"",$E163&lt;&gt;""))</formula>
    </cfRule>
  </conditionalFormatting>
  <conditionalFormatting sqref="F166:F170">
    <cfRule type="expression" dxfId="1121" priority="1093">
      <formula>AND($R166="X",OR(#REF!&lt;&gt;"",$B166&lt;&gt;"",$C166&lt;&gt;"",$D166&lt;&gt;""))</formula>
    </cfRule>
  </conditionalFormatting>
  <conditionalFormatting sqref="F173:F190">
    <cfRule type="expression" dxfId="1120" priority="168">
      <formula>AND($R173="X",OR($B173&lt;&gt;"",#REF!&lt;&gt;"",$C173&lt;&gt;"",$D173&lt;&gt;"",$F173&lt;&gt;""))</formula>
    </cfRule>
    <cfRule type="expression" dxfId="1119" priority="1059">
      <formula>AND($R173="X",OR($B173&lt;&gt;"",#REF!&lt;&gt;"",$C173&lt;&gt;"",$D173&lt;&gt;""))</formula>
    </cfRule>
  </conditionalFormatting>
  <conditionalFormatting sqref="F188:F190">
    <cfRule type="expression" dxfId="1118" priority="47">
      <formula>AND($R188="X",OR($B188&lt;&gt;"",#REF!&lt;&gt;"",$C188&lt;&gt;"",$D188&lt;&gt;""))</formula>
    </cfRule>
  </conditionalFormatting>
  <conditionalFormatting sqref="F121:G121">
    <cfRule type="expression" dxfId="1117" priority="143">
      <formula>AND($R121="X",OR($B121&lt;&gt;"",$C121&lt;&gt;"",$D121&lt;&gt;"",$E121&lt;&gt;""))</formula>
    </cfRule>
    <cfRule type="expression" dxfId="1116" priority="144">
      <formula>AND($R121="X",OR($B121&lt;&gt;"",$C121&lt;&gt;"",$E121&lt;&gt;"",#REF!&lt;&gt;""))</formula>
    </cfRule>
    <cfRule type="expression" dxfId="1115" priority="145">
      <formula>$AD121=1</formula>
    </cfRule>
    <cfRule type="expression" dxfId="1114" priority="146">
      <formula>AND($R121="X",OR($B121&lt;&gt;"",$C121&lt;&gt;"",$D121&lt;&gt;""))</formula>
    </cfRule>
    <cfRule type="expression" dxfId="1113" priority="147">
      <formula>AND($AE121=1,$AD121=1)</formula>
    </cfRule>
    <cfRule type="expression" dxfId="1112" priority="148">
      <formula>$AE121=1</formula>
    </cfRule>
    <cfRule type="expression" dxfId="1111" priority="149">
      <formula>AND($R121="X",OR($B121&lt;&gt;"",$C121&lt;&gt;"",$D121&lt;&gt;""))</formula>
    </cfRule>
  </conditionalFormatting>
  <conditionalFormatting sqref="F122:G122">
    <cfRule type="expression" dxfId="1110" priority="131">
      <formula>AND($R122="X",OR($B122&lt;&gt;"",$C122&lt;&gt;""))</formula>
    </cfRule>
    <cfRule type="expression" dxfId="1109" priority="132">
      <formula>AND($R122="X",OR($B122&lt;&gt;"",$C122&lt;&gt;"",$D122&lt;&gt;""))</formula>
    </cfRule>
  </conditionalFormatting>
  <conditionalFormatting sqref="F161:G161">
    <cfRule type="expression" dxfId="1108" priority="127">
      <formula>AND($R161="X",OR($B161&lt;&gt;"",$C161&lt;&gt;"",$D161&lt;&gt;"",#REF!&lt;&gt;"",$F161&lt;&gt;""))</formula>
    </cfRule>
  </conditionalFormatting>
  <conditionalFormatting sqref="F172:G172">
    <cfRule type="expression" dxfId="1107" priority="1070">
      <formula>AND($R172="X",OR($B172&lt;&gt;"",$C172&lt;&gt;"",$D172&lt;&gt;"",#REF!&lt;&gt;"",$F172&lt;&gt;""))</formula>
    </cfRule>
  </conditionalFormatting>
  <conditionalFormatting sqref="G9:G35 D162:G162">
    <cfRule type="expression" dxfId="1106" priority="91">
      <formula>AND($R9="X",OR($B9&lt;&gt;"",$C9&lt;&gt;"",$D9&lt;&gt;"",$E9&lt;&gt;"",$F9&lt;&gt;""))</formula>
    </cfRule>
  </conditionalFormatting>
  <conditionalFormatting sqref="G37:G38">
    <cfRule type="expression" dxfId="1105" priority="1159">
      <formula>AND($R37="X",OR($B37&lt;&gt;"",#REF!&lt;&gt;"",$D37&lt;&gt;"",#REF!&lt;&gt;"",$F37&lt;&gt;""))</formula>
    </cfRule>
  </conditionalFormatting>
  <conditionalFormatting sqref="G39:G82 G85:G86 F121 G155:G159 G171">
    <cfRule type="expression" dxfId="1104" priority="142">
      <formula>AND($R39="X",OR($B39&lt;&gt;"",$C39&lt;&gt;"",$D39&lt;&gt;"",$E39&lt;&gt;"",$F39&lt;&gt;""))</formula>
    </cfRule>
  </conditionalFormatting>
  <conditionalFormatting sqref="G83:G84">
    <cfRule type="expression" dxfId="1103" priority="1789">
      <formula>AND($R83="X",OR($B83&lt;&gt;"",$D83&lt;&gt;"",#REF!&lt;&gt;"",$E83&lt;&gt;"",$F83&lt;&gt;""))</formula>
    </cfRule>
  </conditionalFormatting>
  <conditionalFormatting sqref="G87">
    <cfRule type="expression" dxfId="1102" priority="1752">
      <formula>AND($R87="X",OR($B87&lt;&gt;"",$C87&lt;&gt;"",$E87&lt;&gt;"",#REF!&lt;&gt;"",$F87&lt;&gt;""))</formula>
    </cfRule>
  </conditionalFormatting>
  <conditionalFormatting sqref="G88:G114 F190">
    <cfRule type="expression" dxfId="1101" priority="90">
      <formula>AND($R88="X",OR($B88&lt;&gt;"",$C88&lt;&gt;"",$D88&lt;&gt;"",$E88&lt;&gt;"",$F88&lt;&gt;""))</formula>
    </cfRule>
  </conditionalFormatting>
  <conditionalFormatting sqref="G116">
    <cfRule type="expression" dxfId="1100" priority="198">
      <formula>AND($R116="X",OR($B116&lt;&gt;"",$C116&lt;&gt;"",$D116&lt;&gt;"",$E116&lt;&gt;"",$F116&lt;&gt;""))</formula>
    </cfRule>
  </conditionalFormatting>
  <conditionalFormatting sqref="G116:G118">
    <cfRule type="expression" dxfId="1099" priority="354">
      <formula>AND($R116="X",OR(#REF!&lt;&gt;"",$B116&lt;&gt;"",$C116&lt;&gt;"",$E116&lt;&gt;"",$F116&lt;&gt;""))</formula>
    </cfRule>
  </conditionalFormatting>
  <conditionalFormatting sqref="G119:G122">
    <cfRule type="expression" dxfId="1098" priority="372">
      <formula>AND($R119="X",OR($B119&lt;&gt;"",$C119&lt;&gt;"",$D119&lt;&gt;"",$E119&lt;&gt;"",$F119&lt;&gt;""))</formula>
    </cfRule>
  </conditionalFormatting>
  <conditionalFormatting sqref="G120">
    <cfRule type="expression" dxfId="1097" priority="161">
      <formula>AND($R120="X",OR($B120&lt;&gt;"",$C120&lt;&gt;"",$D120&lt;&gt;"",$E120&lt;&gt;"",$F120&lt;&gt;""))</formula>
    </cfRule>
  </conditionalFormatting>
  <conditionalFormatting sqref="G122">
    <cfRule type="expression" dxfId="1096" priority="129">
      <formula>AND($R122="X",OR($B122&lt;&gt;"",$C122&lt;&gt;"",$E122&lt;&gt;"",#REF!&lt;&gt;""))</formula>
    </cfRule>
    <cfRule type="expression" dxfId="1095" priority="130">
      <formula>AND($R122="X",OR($B122&lt;&gt;"",$C122&lt;&gt;"",$D122&lt;&gt;"",$E122&lt;&gt;""))</formula>
    </cfRule>
  </conditionalFormatting>
  <conditionalFormatting sqref="G122:G124">
    <cfRule type="expression" dxfId="1094" priority="357">
      <formula>AND($R122="X",OR($B122&lt;&gt;"",$C122&lt;&gt;"",$E122&lt;&gt;"",#REF!&lt;&gt;"",$F122&lt;&gt;""))</formula>
    </cfRule>
  </conditionalFormatting>
  <conditionalFormatting sqref="G125:G132 G191:G198">
    <cfRule type="expression" dxfId="1093" priority="328">
      <formula>AND($R125="X",OR($B125&lt;&gt;"",$C125&lt;&gt;"",$D125&lt;&gt;"",$E125&lt;&gt;"",$F125&lt;&gt;""))</formula>
    </cfRule>
  </conditionalFormatting>
  <conditionalFormatting sqref="G133">
    <cfRule type="expression" dxfId="1092" priority="266">
      <formula>AND($R133="X",OR($B133&lt;&gt;"",$C133&lt;&gt;"",$D133&lt;&gt;"",$E133&lt;&gt;""))</formula>
    </cfRule>
    <cfRule type="expression" dxfId="1091" priority="928">
      <formula>AND($R133="X",OR($B133&lt;&gt;"",$C133&lt;&gt;"",$E133&lt;&gt;"",#REF!&lt;&gt;"",$F133&lt;&gt;""))</formula>
    </cfRule>
  </conditionalFormatting>
  <conditionalFormatting sqref="G134:G153">
    <cfRule type="expression" dxfId="1090" priority="220">
      <formula>AND($R134="X",OR($B134&lt;&gt;"",$C134&lt;&gt;"",$D134&lt;&gt;"",$E134&lt;&gt;"",$F134&lt;&gt;""))</formula>
    </cfRule>
  </conditionalFormatting>
  <conditionalFormatting sqref="G154">
    <cfRule type="expression" dxfId="1089" priority="906">
      <formula>AND($R154="X",OR($B154&lt;&gt;"",#REF!&lt;&gt;"",$D154&lt;&gt;"",$E154&lt;&gt;"",$F154&lt;&gt;""))</formula>
    </cfRule>
  </conditionalFormatting>
  <conditionalFormatting sqref="G163">
    <cfRule type="expression" dxfId="1088" priority="1768">
      <formula>AND($R163="X",OR($B163&lt;&gt;"",$D163&lt;&gt;"",#REF!&lt;&gt;"",$E163&lt;&gt;"",$F163&lt;&gt;""))</formula>
    </cfRule>
  </conditionalFormatting>
  <conditionalFormatting sqref="G163:G165">
    <cfRule type="expression" dxfId="1087" priority="1769">
      <formula>AND($R163="X",OR(#REF!&lt;&gt;"",$B163&lt;&gt;"",$D163&lt;&gt;"",$E163&lt;&gt;"",$F163&lt;&gt;""))</formula>
    </cfRule>
  </conditionalFormatting>
  <conditionalFormatting sqref="G166:G170">
    <cfRule type="expression" dxfId="1086" priority="1095">
      <formula>AND($R166="X",OR(#REF!&lt;&gt;"",$B166&lt;&gt;"",$C166&lt;&gt;"",$D166&lt;&gt;"",$F166&lt;&gt;""))</formula>
    </cfRule>
  </conditionalFormatting>
  <conditionalFormatting sqref="G173:G190">
    <cfRule type="expression" dxfId="1085" priority="1063">
      <formula>AND($R173="X",OR($B173&lt;&gt;"",#REF!&lt;&gt;"",$C173&lt;&gt;"",$D173&lt;&gt;"",$F173&lt;&gt;""))</formula>
    </cfRule>
  </conditionalFormatting>
  <conditionalFormatting sqref="H200:H201 H221:H1061">
    <cfRule type="expression" dxfId="1084" priority="487">
      <formula>$Q200="X"</formula>
    </cfRule>
  </conditionalFormatting>
  <conditionalFormatting sqref="I11:I25 I27:I198">
    <cfRule type="expression" dxfId="1083" priority="37">
      <formula>$R11="X"</formula>
    </cfRule>
  </conditionalFormatting>
  <conditionalFormatting sqref="Q9:Q198">
    <cfRule type="cellIs" dxfId="1082" priority="34" operator="equal">
      <formula>"1..1"</formula>
    </cfRule>
    <cfRule type="cellIs" dxfId="1081" priority="35" operator="equal">
      <formula>"0..n"</formula>
    </cfRule>
    <cfRule type="cellIs" dxfId="1080" priority="36" operator="equal">
      <formula>"0..1"</formula>
    </cfRule>
  </conditionalFormatting>
  <hyperlinks>
    <hyperlink ref="I111"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94" zoomScaleNormal="115" workbookViewId="0">
      <pane xSplit="7" ySplit="8" topLeftCell="H51" activePane="bottomRight" state="frozen"/>
      <selection pane="topRight" activeCell="H1" sqref="H1"/>
      <selection pane="bottomLeft" activeCell="A9" sqref="A9"/>
      <selection pane="bottomRight" activeCell="E69" sqref="E69"/>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hidden="1" customWidth="1"/>
    <col min="14" max="14" width="13.125" hidden="1" customWidth="1"/>
    <col min="15" max="18" width="11" hidden="1" customWidth="1"/>
    <col min="19" max="19" width="11.5" bestFit="1" customWidth="1"/>
    <col min="20" max="21" width="14" customWidth="1"/>
    <col min="22" max="22" width="17.375" customWidth="1"/>
    <col min="23" max="28" width="11" customWidth="1"/>
    <col min="29" max="29" width="2.625" customWidth="1"/>
    <col min="30" max="34" width="11" customWidth="1"/>
    <col min="35" max="35" width="14" customWidth="1"/>
  </cols>
  <sheetData>
    <row r="1" spans="1:1032" ht="15.95" customHeight="1">
      <c r="A1" s="228" t="s">
        <v>2669</v>
      </c>
      <c r="B1" s="286"/>
      <c r="C1" s="129" t="s">
        <v>812</v>
      </c>
      <c r="D1" s="128"/>
      <c r="E1" s="293" t="s">
        <v>813</v>
      </c>
      <c r="F1" s="157">
        <v>0.7</v>
      </c>
      <c r="G1" s="128"/>
      <c r="H1" s="817" t="s">
        <v>1692</v>
      </c>
      <c r="I1" s="817"/>
      <c r="J1" s="817"/>
      <c r="K1" s="817"/>
      <c r="L1" s="817"/>
      <c r="M1" s="294" t="s">
        <v>1692</v>
      </c>
      <c r="N1" s="294" t="s">
        <v>1692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28"/>
      <c r="B2" s="128"/>
      <c r="C2" s="295" t="s">
        <v>817</v>
      </c>
      <c r="D2" s="128"/>
      <c r="E2" s="296" t="s">
        <v>818</v>
      </c>
      <c r="F2" s="157">
        <v>0.64</v>
      </c>
      <c r="G2" s="128"/>
      <c r="H2" s="817"/>
      <c r="I2" s="817"/>
      <c r="J2" s="817"/>
      <c r="K2" s="817"/>
      <c r="L2" s="817"/>
      <c r="M2" s="294" t="s">
        <v>1692</v>
      </c>
      <c r="N2" s="294" t="s">
        <v>1692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7" t="s">
        <v>820</v>
      </c>
      <c r="D3" s="128"/>
      <c r="E3" s="298" t="s">
        <v>821</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299" t="s">
        <v>823</v>
      </c>
      <c r="D4" s="128"/>
      <c r="E4" s="300" t="s">
        <v>824</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5"/>
      <c r="B5" s="149"/>
      <c r="C5" s="145" t="s">
        <v>825</v>
      </c>
      <c r="D5" s="149"/>
      <c r="E5" s="301" t="s">
        <v>1692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2" t="s">
        <v>826</v>
      </c>
      <c r="D6" s="302"/>
      <c r="E6" s="138" t="s">
        <v>1692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1692</v>
      </c>
      <c r="C7" s="303" t="s">
        <v>1692</v>
      </c>
      <c r="D7" s="303" t="s">
        <v>1692</v>
      </c>
      <c r="E7" s="303" t="s">
        <v>1692</v>
      </c>
      <c r="F7" s="96"/>
      <c r="G7" s="96"/>
      <c r="H7" s="96"/>
      <c r="I7" s="96"/>
      <c r="J7" s="96"/>
      <c r="K7" s="96"/>
      <c r="L7" s="96"/>
      <c r="M7" s="96"/>
      <c r="N7" s="96"/>
      <c r="O7" s="818" t="s">
        <v>1693</v>
      </c>
      <c r="P7" s="818"/>
      <c r="Q7" s="818"/>
      <c r="R7" s="818"/>
      <c r="S7" s="304"/>
      <c r="T7" s="96"/>
      <c r="U7" s="96"/>
      <c r="V7" s="96"/>
      <c r="W7" s="96"/>
      <c r="X7" s="96"/>
      <c r="Y7" s="96"/>
      <c r="Z7" s="96"/>
      <c r="AA7" s="774" t="s">
        <v>828</v>
      </c>
      <c r="AB7" s="774" t="s">
        <v>828</v>
      </c>
      <c r="AD7" s="96"/>
      <c r="AE7" s="96"/>
      <c r="AF7" s="96"/>
      <c r="AG7" s="819" t="s">
        <v>829</v>
      </c>
      <c r="AH7" s="819"/>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5" t="s">
        <v>830</v>
      </c>
      <c r="B8" s="306" t="s">
        <v>831</v>
      </c>
      <c r="C8" s="306" t="s">
        <v>832</v>
      </c>
      <c r="D8" s="306" t="s">
        <v>833</v>
      </c>
      <c r="E8" s="306" t="s">
        <v>834</v>
      </c>
      <c r="F8" s="306" t="s">
        <v>835</v>
      </c>
      <c r="G8" s="306" t="s">
        <v>836</v>
      </c>
      <c r="H8" s="307" t="s">
        <v>9</v>
      </c>
      <c r="I8" s="307" t="s">
        <v>1694</v>
      </c>
      <c r="J8" s="307" t="s">
        <v>837</v>
      </c>
      <c r="K8" s="307" t="s">
        <v>1695</v>
      </c>
      <c r="L8" s="308" t="s">
        <v>839</v>
      </c>
      <c r="M8" s="308" t="s">
        <v>840</v>
      </c>
      <c r="N8" s="309" t="s">
        <v>841</v>
      </c>
      <c r="O8" s="308" t="s">
        <v>842</v>
      </c>
      <c r="P8" s="308" t="s">
        <v>843</v>
      </c>
      <c r="Q8" s="308" t="s">
        <v>844</v>
      </c>
      <c r="R8" s="308" t="s">
        <v>845</v>
      </c>
      <c r="S8" s="309" t="s">
        <v>677</v>
      </c>
      <c r="T8" s="372" t="s">
        <v>1696</v>
      </c>
      <c r="U8" s="372" t="s">
        <v>1697</v>
      </c>
      <c r="V8" s="372" t="s">
        <v>1698</v>
      </c>
      <c r="W8" s="307" t="s">
        <v>3</v>
      </c>
      <c r="X8" s="307" t="s">
        <v>1699</v>
      </c>
      <c r="Y8" s="307" t="s">
        <v>1700</v>
      </c>
      <c r="Z8" s="307" t="s">
        <v>848</v>
      </c>
      <c r="AA8" s="310" t="s">
        <v>849</v>
      </c>
      <c r="AB8" s="310" t="s">
        <v>850</v>
      </c>
      <c r="AC8" s="311" t="s">
        <v>851</v>
      </c>
      <c r="AD8" s="312" t="s">
        <v>852</v>
      </c>
      <c r="AE8" s="312" t="s">
        <v>853</v>
      </c>
      <c r="AF8" s="312" t="s">
        <v>855</v>
      </c>
      <c r="AG8" s="312" t="s">
        <v>856</v>
      </c>
      <c r="AH8" s="313" t="s">
        <v>914</v>
      </c>
      <c r="AI8" s="516" t="s">
        <v>1701</v>
      </c>
      <c r="AJ8" s="314" t="s">
        <v>850</v>
      </c>
      <c r="AK8" s="314"/>
      <c r="AL8" s="314"/>
      <c r="AM8" s="314"/>
      <c r="AN8" s="314"/>
      <c r="AO8" s="314"/>
      <c r="AP8" s="314"/>
      <c r="AQ8" s="314"/>
      <c r="AR8" s="314"/>
      <c r="AS8" s="314"/>
      <c r="AT8" s="314"/>
      <c r="AU8" s="314"/>
      <c r="AV8" s="314"/>
      <c r="AW8" s="314"/>
      <c r="AX8" s="314"/>
      <c r="AY8" s="314"/>
      <c r="AZ8" s="314"/>
      <c r="BA8" s="314"/>
      <c r="BB8" s="314"/>
      <c r="BC8" s="314"/>
      <c r="BD8" s="314"/>
      <c r="BE8" s="314"/>
      <c r="BF8" s="314"/>
      <c r="BG8" s="314"/>
      <c r="BH8" s="314"/>
      <c r="BI8" s="314"/>
      <c r="BJ8" s="314"/>
      <c r="BK8" s="314"/>
      <c r="BL8" s="314"/>
      <c r="BM8" s="314"/>
      <c r="BN8" s="314"/>
      <c r="BO8" s="314"/>
      <c r="BP8" s="314"/>
      <c r="BQ8" s="314"/>
      <c r="BR8" s="314"/>
      <c r="BS8" s="314"/>
      <c r="BT8" s="314"/>
      <c r="BU8" s="314"/>
      <c r="BV8" s="314"/>
      <c r="BW8" s="314"/>
      <c r="BX8" s="314"/>
      <c r="BY8" s="314"/>
      <c r="BZ8" s="314"/>
      <c r="CA8" s="314"/>
      <c r="CB8" s="314"/>
      <c r="CC8" s="314"/>
      <c r="CD8" s="314"/>
      <c r="CE8" s="314"/>
      <c r="CF8" s="314"/>
      <c r="CG8" s="314"/>
      <c r="CH8" s="314"/>
      <c r="CI8" s="314"/>
      <c r="CJ8" s="314"/>
      <c r="CK8" s="314"/>
      <c r="CL8" s="314"/>
      <c r="CM8" s="314"/>
      <c r="CN8" s="314"/>
      <c r="CO8" s="314"/>
      <c r="CP8" s="314"/>
      <c r="CQ8" s="314"/>
      <c r="CR8" s="314"/>
      <c r="CS8" s="314"/>
      <c r="CT8" s="314"/>
      <c r="CU8" s="314"/>
      <c r="CV8" s="314"/>
      <c r="CW8" s="314"/>
      <c r="CX8" s="314"/>
      <c r="CY8" s="314"/>
      <c r="CZ8" s="314"/>
      <c r="DA8" s="314"/>
      <c r="DB8" s="314"/>
      <c r="DC8" s="314"/>
      <c r="DD8" s="314"/>
      <c r="DE8" s="314"/>
      <c r="DF8" s="314"/>
      <c r="DG8" s="314"/>
      <c r="DH8" s="314"/>
      <c r="DI8" s="314"/>
      <c r="DJ8" s="314"/>
      <c r="DK8" s="314"/>
      <c r="DL8" s="314"/>
      <c r="DM8" s="314"/>
      <c r="DN8" s="314"/>
      <c r="DO8" s="314"/>
      <c r="DP8" s="314"/>
      <c r="DQ8" s="314"/>
      <c r="DR8" s="314"/>
      <c r="DS8" s="314"/>
      <c r="DT8" s="314"/>
      <c r="DU8" s="314"/>
      <c r="DV8" s="314"/>
      <c r="DW8" s="314"/>
      <c r="DX8" s="314"/>
      <c r="DY8" s="314"/>
      <c r="DZ8" s="314"/>
      <c r="EA8" s="314"/>
      <c r="EB8" s="314"/>
      <c r="EC8" s="314"/>
      <c r="ED8" s="314"/>
      <c r="EE8" s="314"/>
      <c r="EF8" s="314"/>
      <c r="EG8" s="314"/>
      <c r="EH8" s="314"/>
      <c r="EI8" s="314"/>
      <c r="EJ8" s="314"/>
      <c r="EK8" s="314"/>
      <c r="EL8" s="314"/>
      <c r="EM8" s="314"/>
      <c r="EN8" s="314"/>
      <c r="EO8" s="314"/>
      <c r="EP8" s="314"/>
      <c r="EQ8" s="314"/>
      <c r="ER8" s="314"/>
      <c r="ES8" s="314"/>
      <c r="ET8" s="314"/>
      <c r="EU8" s="314"/>
      <c r="EV8" s="314"/>
      <c r="EW8" s="314"/>
      <c r="EX8" s="314"/>
      <c r="EY8" s="314"/>
      <c r="EZ8" s="314"/>
      <c r="FA8" s="314"/>
      <c r="FB8" s="314"/>
      <c r="FC8" s="314"/>
      <c r="FD8" s="314"/>
      <c r="FE8" s="314"/>
      <c r="FF8" s="314"/>
      <c r="FG8" s="314"/>
      <c r="FH8" s="314"/>
      <c r="FI8" s="314"/>
      <c r="FJ8" s="314"/>
      <c r="FK8" s="314"/>
      <c r="FL8" s="314"/>
      <c r="FM8" s="314"/>
      <c r="FN8" s="314"/>
      <c r="FO8" s="314"/>
      <c r="FP8" s="314"/>
      <c r="FQ8" s="314"/>
      <c r="FR8" s="314"/>
      <c r="FS8" s="314"/>
      <c r="FT8" s="314"/>
      <c r="FU8" s="314"/>
      <c r="FV8" s="314"/>
      <c r="FW8" s="314"/>
      <c r="FX8" s="314"/>
      <c r="FY8" s="314"/>
      <c r="FZ8" s="314"/>
      <c r="GA8" s="314"/>
      <c r="GB8" s="314"/>
      <c r="GC8" s="314"/>
      <c r="GD8" s="314"/>
      <c r="GE8" s="314"/>
      <c r="GF8" s="314"/>
      <c r="GG8" s="314"/>
      <c r="GH8" s="314"/>
      <c r="GI8" s="314"/>
      <c r="GJ8" s="314"/>
      <c r="GK8" s="314"/>
      <c r="GL8" s="314"/>
      <c r="GM8" s="314"/>
      <c r="GN8" s="314"/>
      <c r="GO8" s="314"/>
      <c r="GP8" s="314"/>
      <c r="GQ8" s="314"/>
      <c r="GR8" s="314"/>
      <c r="GS8" s="314"/>
      <c r="GT8" s="314"/>
      <c r="GU8" s="314"/>
      <c r="GV8" s="314"/>
      <c r="GW8" s="314"/>
      <c r="GX8" s="314"/>
      <c r="GY8" s="314"/>
      <c r="GZ8" s="314"/>
      <c r="HA8" s="314"/>
      <c r="HB8" s="314"/>
      <c r="HC8" s="314"/>
      <c r="HD8" s="314"/>
      <c r="HE8" s="314"/>
      <c r="HF8" s="314"/>
      <c r="HG8" s="314"/>
      <c r="HH8" s="314"/>
      <c r="HI8" s="314"/>
      <c r="HJ8" s="314"/>
      <c r="HK8" s="314"/>
      <c r="HL8" s="314"/>
      <c r="HM8" s="314"/>
      <c r="HN8" s="314"/>
      <c r="HO8" s="314"/>
      <c r="HP8" s="314"/>
      <c r="HQ8" s="314"/>
      <c r="HR8" s="314"/>
      <c r="HS8" s="314"/>
      <c r="HT8" s="314"/>
      <c r="HU8" s="314"/>
      <c r="HV8" s="314"/>
      <c r="HW8" s="314"/>
      <c r="HX8" s="314"/>
      <c r="HY8" s="314"/>
      <c r="HZ8" s="314"/>
      <c r="IA8" s="314"/>
      <c r="IB8" s="314"/>
      <c r="IC8" s="314"/>
      <c r="ID8" s="314"/>
      <c r="IE8" s="314"/>
      <c r="IF8" s="314"/>
      <c r="IG8" s="314"/>
      <c r="IH8" s="314"/>
      <c r="II8" s="314"/>
      <c r="IJ8" s="314"/>
      <c r="IK8" s="314"/>
      <c r="IL8" s="314"/>
      <c r="IM8" s="314"/>
      <c r="IN8" s="314"/>
      <c r="IO8" s="314"/>
      <c r="IP8" s="314"/>
      <c r="IQ8" s="314"/>
      <c r="IR8" s="314"/>
      <c r="IS8" s="314"/>
      <c r="IT8" s="314"/>
      <c r="IU8" s="314"/>
      <c r="IV8" s="314"/>
      <c r="IW8" s="314"/>
      <c r="IX8" s="314"/>
      <c r="IY8" s="314"/>
      <c r="IZ8" s="314"/>
      <c r="JA8" s="314"/>
      <c r="JB8" s="314"/>
      <c r="JC8" s="314"/>
      <c r="JD8" s="314"/>
      <c r="JE8" s="314"/>
      <c r="JF8" s="314"/>
      <c r="JG8" s="314"/>
      <c r="JH8" s="314"/>
      <c r="JI8" s="314"/>
      <c r="JJ8" s="314"/>
      <c r="JK8" s="314"/>
      <c r="JL8" s="314"/>
      <c r="JM8" s="314"/>
      <c r="JN8" s="314"/>
      <c r="JO8" s="314"/>
      <c r="JP8" s="314"/>
      <c r="JQ8" s="314"/>
      <c r="JR8" s="314"/>
      <c r="JS8" s="314"/>
      <c r="JT8" s="314"/>
      <c r="JU8" s="314"/>
      <c r="JV8" s="314"/>
      <c r="JW8" s="314"/>
      <c r="JX8" s="314"/>
      <c r="JY8" s="314"/>
      <c r="JZ8" s="314"/>
      <c r="KA8" s="314"/>
      <c r="KB8" s="314"/>
      <c r="KC8" s="314"/>
      <c r="KD8" s="314"/>
      <c r="KE8" s="314"/>
      <c r="KF8" s="314"/>
      <c r="KG8" s="314"/>
      <c r="KH8" s="314"/>
      <c r="KI8" s="314"/>
      <c r="KJ8" s="314"/>
      <c r="KK8" s="314"/>
      <c r="KL8" s="314"/>
      <c r="KM8" s="314"/>
      <c r="KN8" s="314"/>
      <c r="KO8" s="314"/>
      <c r="KP8" s="314"/>
      <c r="KQ8" s="314"/>
      <c r="KR8" s="314"/>
      <c r="KS8" s="314"/>
      <c r="KT8" s="314"/>
      <c r="KU8" s="314"/>
      <c r="KV8" s="314"/>
      <c r="KW8" s="314"/>
      <c r="KX8" s="314"/>
      <c r="KY8" s="314"/>
      <c r="KZ8" s="314"/>
      <c r="LA8" s="314"/>
      <c r="LB8" s="314"/>
      <c r="LC8" s="314"/>
      <c r="LD8" s="314"/>
      <c r="LE8" s="314"/>
      <c r="LF8" s="314"/>
      <c r="LG8" s="314"/>
      <c r="LH8" s="314"/>
      <c r="LI8" s="314"/>
      <c r="LJ8" s="314"/>
      <c r="LK8" s="314"/>
      <c r="LL8" s="314"/>
      <c r="LM8" s="314"/>
      <c r="LN8" s="314"/>
      <c r="LO8" s="314"/>
      <c r="LP8" s="314"/>
      <c r="LQ8" s="314"/>
      <c r="LR8" s="314"/>
      <c r="LS8" s="314"/>
      <c r="LT8" s="314"/>
      <c r="LU8" s="314"/>
      <c r="LV8" s="314"/>
      <c r="LW8" s="314"/>
      <c r="LX8" s="314"/>
      <c r="LY8" s="314"/>
      <c r="LZ8" s="314"/>
      <c r="MA8" s="314"/>
      <c r="MB8" s="314"/>
      <c r="MC8" s="314"/>
      <c r="MD8" s="314"/>
      <c r="ME8" s="314"/>
      <c r="MF8" s="314"/>
      <c r="MG8" s="314"/>
      <c r="MH8" s="314"/>
      <c r="MI8" s="314"/>
      <c r="MJ8" s="314"/>
      <c r="MK8" s="314"/>
      <c r="ML8" s="314"/>
      <c r="MM8" s="314"/>
      <c r="MN8" s="314"/>
      <c r="MO8" s="314"/>
      <c r="MP8" s="314"/>
      <c r="MQ8" s="314"/>
      <c r="MR8" s="314"/>
      <c r="MS8" s="314"/>
      <c r="MT8" s="314"/>
      <c r="MU8" s="314"/>
      <c r="MV8" s="314"/>
      <c r="MW8" s="314"/>
      <c r="MX8" s="314"/>
      <c r="MY8" s="314"/>
      <c r="MZ8" s="314"/>
      <c r="NA8" s="314"/>
      <c r="NB8" s="314"/>
      <c r="NC8" s="314"/>
      <c r="ND8" s="314"/>
      <c r="NE8" s="314"/>
      <c r="NF8" s="314"/>
      <c r="NG8" s="314"/>
      <c r="NH8" s="314"/>
      <c r="NI8" s="314"/>
      <c r="NJ8" s="314"/>
      <c r="NK8" s="314"/>
      <c r="NL8" s="314"/>
      <c r="NM8" s="314"/>
      <c r="NN8" s="314"/>
      <c r="NO8" s="314"/>
      <c r="NP8" s="314"/>
      <c r="NQ8" s="314"/>
      <c r="NR8" s="314"/>
      <c r="NS8" s="314"/>
      <c r="NT8" s="314"/>
      <c r="NU8" s="314"/>
      <c r="NV8" s="314"/>
      <c r="NW8" s="314"/>
      <c r="NX8" s="314"/>
      <c r="NY8" s="314"/>
      <c r="NZ8" s="314"/>
      <c r="OA8" s="314"/>
      <c r="OB8" s="314"/>
      <c r="OC8" s="314"/>
      <c r="OD8" s="314"/>
      <c r="OE8" s="314"/>
      <c r="OF8" s="314"/>
      <c r="OG8" s="314"/>
      <c r="OH8" s="314"/>
      <c r="OI8" s="314"/>
      <c r="OJ8" s="314"/>
      <c r="OK8" s="314"/>
      <c r="OL8" s="314"/>
      <c r="OM8" s="314"/>
      <c r="ON8" s="314"/>
      <c r="OO8" s="314"/>
      <c r="OP8" s="314"/>
      <c r="OQ8" s="314"/>
      <c r="OR8" s="314"/>
      <c r="OS8" s="314"/>
      <c r="OT8" s="314"/>
      <c r="OU8" s="314"/>
      <c r="OV8" s="314"/>
      <c r="OW8" s="314"/>
      <c r="OX8" s="314"/>
      <c r="OY8" s="314"/>
      <c r="OZ8" s="314"/>
      <c r="PA8" s="314"/>
      <c r="PB8" s="314"/>
      <c r="PC8" s="314"/>
      <c r="PD8" s="314"/>
      <c r="PE8" s="314"/>
      <c r="PF8" s="314"/>
      <c r="PG8" s="314"/>
      <c r="PH8" s="314"/>
      <c r="PI8" s="314"/>
      <c r="PJ8" s="314"/>
      <c r="PK8" s="314"/>
      <c r="PL8" s="314"/>
      <c r="PM8" s="314"/>
      <c r="PN8" s="314"/>
      <c r="PO8" s="314"/>
      <c r="PP8" s="314"/>
      <c r="PQ8" s="314"/>
      <c r="PR8" s="314"/>
      <c r="PS8" s="314"/>
      <c r="PT8" s="314"/>
      <c r="PU8" s="314"/>
      <c r="PV8" s="314"/>
      <c r="PW8" s="314"/>
      <c r="PX8" s="314"/>
      <c r="PY8" s="314"/>
      <c r="PZ8" s="314"/>
      <c r="QA8" s="314"/>
      <c r="QB8" s="314"/>
      <c r="QC8" s="314"/>
      <c r="QD8" s="314"/>
      <c r="QE8" s="314"/>
      <c r="QF8" s="314"/>
      <c r="QG8" s="314"/>
      <c r="QH8" s="314"/>
      <c r="QI8" s="314"/>
      <c r="QJ8" s="314"/>
      <c r="QK8" s="314"/>
      <c r="QL8" s="314"/>
      <c r="QM8" s="314"/>
      <c r="QN8" s="314"/>
      <c r="QO8" s="314"/>
      <c r="QP8" s="314"/>
      <c r="QQ8" s="314"/>
      <c r="QR8" s="314"/>
      <c r="QS8" s="314"/>
      <c r="QT8" s="314"/>
      <c r="QU8" s="314"/>
      <c r="QV8" s="314"/>
      <c r="QW8" s="314"/>
      <c r="QX8" s="314"/>
      <c r="QY8" s="314"/>
      <c r="QZ8" s="314"/>
      <c r="RA8" s="314"/>
      <c r="RB8" s="314"/>
      <c r="RC8" s="314"/>
      <c r="RD8" s="314"/>
      <c r="RE8" s="314"/>
      <c r="RF8" s="314"/>
      <c r="RG8" s="314"/>
      <c r="RH8" s="314"/>
      <c r="RI8" s="314"/>
      <c r="RJ8" s="314"/>
      <c r="RK8" s="314"/>
      <c r="RL8" s="314"/>
      <c r="RM8" s="314"/>
      <c r="RN8" s="314"/>
      <c r="RO8" s="314"/>
      <c r="RP8" s="314"/>
      <c r="RQ8" s="314"/>
      <c r="RR8" s="314"/>
      <c r="RS8" s="314"/>
      <c r="RT8" s="314"/>
      <c r="RU8" s="314"/>
      <c r="RV8" s="314"/>
      <c r="RW8" s="314"/>
      <c r="RX8" s="314"/>
      <c r="RY8" s="314"/>
      <c r="RZ8" s="314"/>
      <c r="SA8" s="314"/>
      <c r="SB8" s="314"/>
      <c r="SC8" s="314"/>
      <c r="SD8" s="314"/>
      <c r="SE8" s="314"/>
      <c r="SF8" s="314"/>
      <c r="SG8" s="314"/>
      <c r="SH8" s="314"/>
      <c r="SI8" s="314"/>
      <c r="SJ8" s="314"/>
      <c r="SK8" s="314"/>
      <c r="SL8" s="314"/>
      <c r="SM8" s="314"/>
      <c r="SN8" s="314"/>
      <c r="SO8" s="314"/>
      <c r="SP8" s="314"/>
      <c r="SQ8" s="314"/>
      <c r="SR8" s="314"/>
      <c r="SS8" s="314"/>
      <c r="ST8" s="314"/>
      <c r="SU8" s="314"/>
      <c r="SV8" s="314"/>
      <c r="SW8" s="314"/>
      <c r="SX8" s="314"/>
      <c r="SY8" s="314"/>
      <c r="SZ8" s="314"/>
      <c r="TA8" s="314"/>
      <c r="TB8" s="314"/>
      <c r="TC8" s="314"/>
      <c r="TD8" s="314"/>
      <c r="TE8" s="314"/>
      <c r="TF8" s="314"/>
      <c r="TG8" s="314"/>
      <c r="TH8" s="314"/>
      <c r="TI8" s="314"/>
      <c r="TJ8" s="314"/>
      <c r="TK8" s="314"/>
      <c r="TL8" s="314"/>
      <c r="TM8" s="314"/>
      <c r="TN8" s="314"/>
      <c r="TO8" s="314"/>
      <c r="TP8" s="314"/>
      <c r="TQ8" s="314"/>
      <c r="TR8" s="314"/>
      <c r="TS8" s="314"/>
      <c r="TT8" s="314"/>
      <c r="TU8" s="314"/>
      <c r="TV8" s="314"/>
      <c r="TW8" s="314"/>
      <c r="TX8" s="314"/>
      <c r="TY8" s="314"/>
      <c r="TZ8" s="314"/>
      <c r="UA8" s="314"/>
      <c r="UB8" s="314"/>
      <c r="UC8" s="314"/>
      <c r="UD8" s="314"/>
      <c r="UE8" s="314"/>
      <c r="UF8" s="314"/>
      <c r="UG8" s="314"/>
      <c r="UH8" s="314"/>
      <c r="UI8" s="314"/>
      <c r="UJ8" s="314"/>
      <c r="UK8" s="314"/>
      <c r="UL8" s="314"/>
      <c r="UM8" s="314"/>
      <c r="UN8" s="314"/>
      <c r="UO8" s="314"/>
      <c r="UP8" s="314"/>
      <c r="UQ8" s="314"/>
      <c r="UR8" s="314"/>
      <c r="US8" s="314"/>
      <c r="UT8" s="314"/>
      <c r="UU8" s="314"/>
      <c r="UV8" s="314"/>
      <c r="UW8" s="314"/>
      <c r="UX8" s="314"/>
      <c r="UY8" s="314"/>
      <c r="UZ8" s="314"/>
      <c r="VA8" s="314"/>
      <c r="VB8" s="314"/>
      <c r="VC8" s="314"/>
      <c r="VD8" s="314"/>
      <c r="VE8" s="314"/>
      <c r="VF8" s="314"/>
      <c r="VG8" s="314"/>
      <c r="VH8" s="314"/>
      <c r="VI8" s="314"/>
      <c r="VJ8" s="314"/>
      <c r="VK8" s="314"/>
      <c r="VL8" s="314"/>
      <c r="VM8" s="314"/>
      <c r="VN8" s="314"/>
      <c r="VO8" s="314"/>
      <c r="VP8" s="314"/>
      <c r="VQ8" s="314"/>
      <c r="VR8" s="314"/>
      <c r="VS8" s="314"/>
      <c r="VT8" s="314"/>
      <c r="VU8" s="314"/>
      <c r="VV8" s="314"/>
      <c r="VW8" s="314"/>
      <c r="VX8" s="314"/>
      <c r="VY8" s="314"/>
      <c r="VZ8" s="314"/>
      <c r="WA8" s="314"/>
      <c r="WB8" s="314"/>
      <c r="WC8" s="314"/>
      <c r="WD8" s="314"/>
      <c r="WE8" s="314"/>
      <c r="WF8" s="314"/>
      <c r="WG8" s="314"/>
      <c r="WH8" s="314"/>
      <c r="WI8" s="314"/>
      <c r="WJ8" s="314"/>
      <c r="WK8" s="314"/>
      <c r="WL8" s="314"/>
      <c r="WM8" s="314"/>
      <c r="WN8" s="314"/>
      <c r="WO8" s="314"/>
      <c r="WP8" s="314"/>
      <c r="WQ8" s="314"/>
      <c r="WR8" s="314"/>
      <c r="WS8" s="314"/>
      <c r="WT8" s="314"/>
      <c r="WU8" s="314"/>
      <c r="WV8" s="314"/>
      <c r="WW8" s="314"/>
      <c r="WX8" s="314"/>
      <c r="WY8" s="314"/>
      <c r="WZ8" s="314"/>
      <c r="XA8" s="314"/>
      <c r="XB8" s="314"/>
      <c r="XC8" s="314"/>
      <c r="XD8" s="314"/>
      <c r="XE8" s="314"/>
      <c r="XF8" s="314"/>
      <c r="XG8" s="314"/>
      <c r="XH8" s="314"/>
      <c r="XI8" s="314"/>
      <c r="XJ8" s="314"/>
      <c r="XK8" s="314"/>
      <c r="XL8" s="314"/>
      <c r="XM8" s="314"/>
      <c r="XN8" s="314"/>
      <c r="XO8" s="314"/>
      <c r="XP8" s="314"/>
      <c r="XQ8" s="314"/>
      <c r="XR8" s="314"/>
      <c r="XS8" s="314"/>
      <c r="XT8" s="314"/>
      <c r="XU8" s="314"/>
      <c r="XV8" s="314"/>
      <c r="XW8" s="314"/>
      <c r="XX8" s="314"/>
      <c r="XY8" s="314"/>
      <c r="XZ8" s="314"/>
      <c r="YA8" s="314"/>
      <c r="YB8" s="314"/>
      <c r="YC8" s="314"/>
      <c r="YD8" s="314"/>
      <c r="YE8" s="314"/>
      <c r="YF8" s="314"/>
      <c r="YG8" s="314"/>
      <c r="YH8" s="314"/>
      <c r="YI8" s="314"/>
      <c r="YJ8" s="314"/>
      <c r="YK8" s="314"/>
      <c r="YL8" s="314"/>
      <c r="YM8" s="314"/>
      <c r="YN8" s="314"/>
      <c r="YO8" s="314"/>
      <c r="YP8" s="314"/>
      <c r="YQ8" s="314"/>
      <c r="YR8" s="314"/>
      <c r="YS8" s="314"/>
      <c r="YT8" s="314"/>
      <c r="YU8" s="314"/>
      <c r="YV8" s="314"/>
      <c r="YW8" s="314"/>
      <c r="YX8" s="314"/>
      <c r="YY8" s="314"/>
      <c r="YZ8" s="314"/>
      <c r="ZA8" s="314"/>
      <c r="ZB8" s="314"/>
      <c r="ZC8" s="314"/>
      <c r="ZD8" s="314"/>
      <c r="ZE8" s="314"/>
      <c r="ZF8" s="314"/>
      <c r="ZG8" s="314"/>
      <c r="ZH8" s="314"/>
      <c r="ZI8" s="314"/>
      <c r="ZJ8" s="314"/>
      <c r="ZK8" s="314"/>
      <c r="ZL8" s="314"/>
      <c r="ZM8" s="314"/>
      <c r="ZN8" s="314"/>
      <c r="ZO8" s="314"/>
      <c r="ZP8" s="314"/>
      <c r="ZQ8" s="314"/>
      <c r="ZR8" s="314"/>
      <c r="ZS8" s="314"/>
      <c r="ZT8" s="314"/>
      <c r="ZU8" s="314"/>
      <c r="ZV8" s="314"/>
      <c r="ZW8" s="314"/>
      <c r="ZX8" s="314"/>
      <c r="ZY8" s="314"/>
      <c r="ZZ8" s="314"/>
      <c r="AAA8" s="314"/>
      <c r="AAB8" s="314"/>
      <c r="AAC8" s="314"/>
      <c r="AAD8" s="314"/>
      <c r="AAE8" s="314"/>
      <c r="AAF8" s="314"/>
      <c r="AAG8" s="314"/>
      <c r="AAH8" s="314"/>
      <c r="AAI8" s="314"/>
      <c r="AAJ8" s="314"/>
      <c r="AAK8" s="314"/>
      <c r="AAL8" s="314"/>
      <c r="AAM8" s="314"/>
      <c r="AAN8" s="314"/>
      <c r="AAO8" s="314"/>
      <c r="AAP8" s="314"/>
      <c r="AAQ8" s="314"/>
      <c r="AAR8" s="314"/>
      <c r="AAS8" s="314"/>
      <c r="AAT8" s="314"/>
      <c r="AAU8" s="314"/>
      <c r="AAV8" s="314"/>
      <c r="AAW8" s="314"/>
      <c r="AAX8" s="314"/>
      <c r="AAY8" s="314"/>
      <c r="AAZ8" s="314"/>
      <c r="ABA8" s="314"/>
      <c r="ABB8" s="314"/>
      <c r="ABC8" s="314"/>
      <c r="ABD8" s="314"/>
      <c r="ABE8" s="314"/>
      <c r="ABF8" s="314"/>
      <c r="ABG8" s="314"/>
      <c r="ABH8" s="314"/>
      <c r="ABI8" s="314"/>
      <c r="ABJ8" s="314"/>
      <c r="ABK8" s="314"/>
      <c r="ABL8" s="314"/>
      <c r="ABM8" s="314"/>
      <c r="ABN8" s="314"/>
      <c r="ABO8" s="314"/>
      <c r="ABP8" s="314"/>
      <c r="ABQ8" s="314"/>
      <c r="ABR8" s="314"/>
      <c r="ABS8" s="314"/>
      <c r="ABT8" s="314"/>
      <c r="ABU8" s="314"/>
      <c r="ABV8" s="314"/>
      <c r="ABW8" s="314"/>
      <c r="ABX8" s="314"/>
      <c r="ABY8" s="314"/>
      <c r="ABZ8" s="314"/>
      <c r="ACA8" s="314"/>
      <c r="ACB8" s="314"/>
      <c r="ACC8" s="314"/>
      <c r="ACD8" s="314"/>
      <c r="ACE8" s="314"/>
      <c r="ACF8" s="314"/>
      <c r="ACG8" s="314"/>
      <c r="ACH8" s="314"/>
      <c r="ACI8" s="314"/>
      <c r="ACJ8" s="314"/>
      <c r="ACK8" s="314"/>
      <c r="ACL8" s="314"/>
      <c r="ACM8" s="314"/>
      <c r="ACN8" s="314"/>
      <c r="ACO8" s="314"/>
      <c r="ACP8" s="314"/>
      <c r="ACQ8" s="314"/>
      <c r="ACR8" s="314"/>
      <c r="ACS8" s="314"/>
      <c r="ACT8" s="314"/>
      <c r="ACU8" s="314"/>
      <c r="ACV8" s="314"/>
      <c r="ACW8" s="314"/>
      <c r="ACX8" s="314"/>
      <c r="ACY8" s="314"/>
      <c r="ACZ8" s="314"/>
      <c r="ADA8" s="314"/>
      <c r="ADB8" s="314"/>
      <c r="ADC8" s="314"/>
      <c r="ADD8" s="314"/>
      <c r="ADE8" s="314"/>
      <c r="ADF8" s="314"/>
      <c r="ADG8" s="314"/>
      <c r="ADH8" s="314"/>
      <c r="ADI8" s="314"/>
      <c r="ADJ8" s="314"/>
      <c r="ADK8" s="314"/>
      <c r="ADL8" s="314"/>
      <c r="ADM8" s="314"/>
      <c r="ADN8" s="314"/>
      <c r="ADO8" s="314"/>
      <c r="ADP8" s="314"/>
      <c r="ADQ8" s="314"/>
      <c r="ADR8" s="314"/>
      <c r="ADS8" s="314"/>
      <c r="ADT8" s="314"/>
      <c r="ADU8" s="314"/>
      <c r="ADV8" s="314"/>
      <c r="ADW8" s="314"/>
      <c r="ADX8" s="314"/>
      <c r="ADY8" s="314"/>
      <c r="ADZ8" s="314"/>
      <c r="AEA8" s="314"/>
      <c r="AEB8" s="314"/>
      <c r="AEC8" s="314"/>
      <c r="AED8" s="314"/>
      <c r="AEE8" s="314"/>
      <c r="AEF8" s="314"/>
      <c r="AEG8" s="314"/>
      <c r="AEH8" s="314"/>
      <c r="AEI8" s="314"/>
      <c r="AEJ8" s="314"/>
      <c r="AEK8" s="314"/>
      <c r="AEL8" s="314"/>
      <c r="AEM8" s="314"/>
      <c r="AEN8" s="314"/>
      <c r="AEO8" s="314"/>
      <c r="AEP8" s="314"/>
      <c r="AEQ8" s="314"/>
      <c r="AER8" s="314"/>
      <c r="AES8" s="314"/>
      <c r="AET8" s="314"/>
      <c r="AEU8" s="314"/>
      <c r="AEV8" s="314"/>
      <c r="AEW8" s="314"/>
      <c r="AEX8" s="314"/>
      <c r="AEY8" s="314"/>
      <c r="AEZ8" s="314"/>
      <c r="AFA8" s="314"/>
      <c r="AFB8" s="314"/>
      <c r="AFC8" s="314"/>
      <c r="AFD8" s="314"/>
      <c r="AFE8" s="314"/>
      <c r="AFF8" s="314"/>
      <c r="AFG8" s="314"/>
      <c r="AFH8" s="314"/>
      <c r="AFI8" s="314"/>
      <c r="AFJ8" s="314"/>
      <c r="AFK8" s="314"/>
      <c r="AFL8" s="314"/>
      <c r="AFM8" s="314"/>
      <c r="AFN8" s="314"/>
      <c r="AFO8" s="314"/>
      <c r="AFP8" s="314"/>
      <c r="AFQ8" s="314"/>
      <c r="AFR8" s="314"/>
      <c r="AFS8" s="314"/>
      <c r="AFT8" s="314"/>
      <c r="AFU8" s="314"/>
      <c r="AFV8" s="314"/>
      <c r="AFW8" s="314"/>
      <c r="AFX8" s="314"/>
      <c r="AFY8" s="314"/>
      <c r="AFZ8" s="314"/>
      <c r="AGA8" s="314"/>
      <c r="AGB8" s="314"/>
      <c r="AGC8" s="314"/>
      <c r="AGD8" s="314"/>
      <c r="AGE8" s="314"/>
      <c r="AGF8" s="314"/>
      <c r="AGG8" s="314"/>
      <c r="AGH8" s="314"/>
      <c r="AGI8" s="314"/>
      <c r="AGJ8" s="314"/>
      <c r="AGK8" s="314"/>
      <c r="AGL8" s="314"/>
      <c r="AGM8" s="314"/>
      <c r="AGN8" s="314"/>
      <c r="AGO8" s="314"/>
      <c r="AGP8" s="314"/>
      <c r="AGQ8" s="314"/>
      <c r="AGR8" s="314"/>
      <c r="AGS8" s="314"/>
      <c r="AGT8" s="314"/>
      <c r="AGU8" s="314"/>
      <c r="AGV8" s="314"/>
      <c r="AGW8" s="314"/>
      <c r="AGX8" s="314"/>
      <c r="AGY8" s="314"/>
      <c r="AGZ8" s="314"/>
      <c r="AHA8" s="314"/>
      <c r="AHB8" s="314"/>
      <c r="AHC8" s="314"/>
      <c r="AHD8" s="314"/>
      <c r="AHE8" s="314"/>
      <c r="AHF8" s="314"/>
      <c r="AHG8" s="314"/>
      <c r="AHH8" s="314"/>
      <c r="AHI8" s="314"/>
      <c r="AHJ8" s="314"/>
      <c r="AHK8" s="314"/>
      <c r="AHL8" s="314"/>
      <c r="AHM8" s="314"/>
      <c r="AHN8" s="314"/>
      <c r="AHO8" s="314"/>
      <c r="AHP8" s="314"/>
      <c r="AHQ8" s="314"/>
      <c r="AHR8" s="314"/>
      <c r="AHS8" s="314"/>
      <c r="AHT8" s="314"/>
      <c r="AHU8" s="314"/>
      <c r="AHV8" s="314"/>
      <c r="AHW8" s="314"/>
      <c r="AHX8" s="314"/>
      <c r="AHY8" s="314"/>
      <c r="AHZ8" s="314"/>
      <c r="AIA8" s="314"/>
      <c r="AIB8" s="314"/>
      <c r="AIC8" s="314"/>
      <c r="AID8" s="314"/>
      <c r="AIE8" s="314"/>
      <c r="AIF8" s="314"/>
      <c r="AIG8" s="314"/>
      <c r="AIH8" s="314"/>
      <c r="AII8" s="314"/>
      <c r="AIJ8" s="314"/>
      <c r="AIK8" s="314"/>
      <c r="AIL8" s="314"/>
      <c r="AIM8" s="314"/>
      <c r="AIN8" s="314"/>
      <c r="AIO8" s="314"/>
      <c r="AIP8" s="314"/>
      <c r="AIQ8" s="314"/>
      <c r="AIR8" s="314"/>
      <c r="AIS8" s="314"/>
      <c r="AIT8" s="314"/>
      <c r="AIU8" s="314"/>
      <c r="AIV8" s="314"/>
      <c r="AIW8" s="314"/>
      <c r="AIX8" s="314"/>
      <c r="AIY8" s="314"/>
      <c r="AIZ8" s="314"/>
      <c r="AJA8" s="314"/>
      <c r="AJB8" s="314"/>
      <c r="AJC8" s="314"/>
      <c r="AJD8" s="314"/>
      <c r="AJE8" s="314"/>
      <c r="AJF8" s="314"/>
      <c r="AJG8" s="314"/>
      <c r="AJH8" s="314"/>
      <c r="AJI8" s="314"/>
      <c r="AJJ8" s="314"/>
      <c r="AJK8" s="314"/>
      <c r="AJL8" s="314"/>
      <c r="AJM8" s="314"/>
      <c r="AJN8" s="314"/>
      <c r="AJO8" s="314"/>
      <c r="AJP8" s="314"/>
      <c r="AJQ8" s="314"/>
      <c r="AJR8" s="314"/>
      <c r="AJS8" s="314"/>
      <c r="AJT8" s="314"/>
      <c r="AJU8" s="314"/>
      <c r="AJV8" s="314"/>
      <c r="AJW8" s="314"/>
      <c r="AJX8" s="314"/>
      <c r="AJY8" s="314"/>
      <c r="AJZ8" s="314"/>
      <c r="AKA8" s="314"/>
      <c r="AKB8" s="314"/>
      <c r="AKC8" s="314"/>
      <c r="AKD8" s="314"/>
      <c r="AKE8" s="314"/>
      <c r="AKF8" s="314"/>
      <c r="AKG8" s="314"/>
      <c r="AKH8" s="314"/>
      <c r="AKI8" s="314"/>
      <c r="AKJ8" s="314"/>
      <c r="AKK8" s="314"/>
      <c r="AKL8" s="314"/>
      <c r="AKM8" s="314"/>
      <c r="AKN8" s="314"/>
      <c r="AKO8" s="314"/>
      <c r="AKP8" s="314"/>
      <c r="AKQ8" s="314"/>
      <c r="AKR8" s="314"/>
      <c r="AKS8" s="314"/>
      <c r="AKT8" s="314"/>
      <c r="AKU8" s="314"/>
      <c r="AKV8" s="314"/>
      <c r="AKW8" s="314"/>
      <c r="AKX8" s="314"/>
      <c r="AKY8" s="314"/>
      <c r="AKZ8" s="314"/>
      <c r="ALA8" s="314"/>
      <c r="ALB8" s="314"/>
      <c r="ALC8" s="314"/>
      <c r="ALD8" s="314"/>
      <c r="ALE8" s="314"/>
      <c r="ALF8" s="314"/>
      <c r="ALG8" s="314"/>
      <c r="ALH8" s="314"/>
      <c r="ALI8" s="314"/>
      <c r="ALJ8" s="314"/>
      <c r="ALK8" s="314"/>
      <c r="ALL8" s="314"/>
      <c r="ALM8" s="314"/>
      <c r="ALN8" s="314"/>
      <c r="ALO8" s="314"/>
      <c r="ALP8" s="314"/>
      <c r="ALQ8" s="314"/>
      <c r="ALR8" s="314"/>
      <c r="ALS8" s="314"/>
      <c r="ALT8" s="314"/>
      <c r="ALU8" s="314"/>
      <c r="ALV8" s="314"/>
      <c r="ALW8" s="314"/>
      <c r="ALX8" s="314"/>
      <c r="ALY8" s="314"/>
      <c r="ALZ8" s="314"/>
      <c r="AMA8" s="314"/>
      <c r="AMB8" s="314"/>
      <c r="AMC8" s="314"/>
      <c r="AMD8" s="314"/>
      <c r="AME8" s="314"/>
      <c r="AMF8" s="314"/>
      <c r="AMG8" s="314"/>
      <c r="AMH8" s="314"/>
      <c r="AMI8" s="314"/>
      <c r="AMJ8" s="314"/>
      <c r="AMK8" s="314"/>
      <c r="AML8" s="314"/>
      <c r="AMM8" s="314"/>
      <c r="AMN8" s="314"/>
      <c r="AMO8" s="314"/>
      <c r="AMP8" s="314"/>
      <c r="AMQ8" s="314"/>
      <c r="AMR8" s="314"/>
    </row>
    <row r="9" spans="1:1032" ht="13.5" customHeight="1">
      <c r="A9" s="315">
        <v>1</v>
      </c>
      <c r="B9" s="315" t="s">
        <v>1702</v>
      </c>
      <c r="C9" s="315"/>
      <c r="D9" s="315"/>
      <c r="E9" s="315"/>
      <c r="F9" s="315"/>
      <c r="G9" s="315"/>
      <c r="H9" s="316" t="s">
        <v>1703</v>
      </c>
      <c r="I9" s="316" t="s">
        <v>1704</v>
      </c>
      <c r="J9" s="318"/>
      <c r="K9" s="316" t="s">
        <v>863</v>
      </c>
      <c r="L9" s="316" t="s">
        <v>1705</v>
      </c>
      <c r="M9" s="316"/>
      <c r="N9" s="316" t="s">
        <v>1705</v>
      </c>
      <c r="O9" s="316"/>
      <c r="P9" s="316"/>
      <c r="Q9" s="316"/>
      <c r="R9" s="316"/>
      <c r="S9" s="319" t="s">
        <v>819</v>
      </c>
      <c r="T9" s="319" t="s">
        <v>819</v>
      </c>
      <c r="U9" s="319" t="s">
        <v>819</v>
      </c>
      <c r="V9" s="316"/>
      <c r="W9" s="316" t="s">
        <v>863</v>
      </c>
      <c r="X9" s="316" t="s">
        <v>1706</v>
      </c>
      <c r="Y9" s="316"/>
      <c r="Z9" s="316"/>
      <c r="AA9" s="316" t="s">
        <v>863</v>
      </c>
      <c r="AB9" s="316" t="s">
        <v>863</v>
      </c>
      <c r="AC9" s="320" t="s">
        <v>1692</v>
      </c>
      <c r="AD9" s="316"/>
      <c r="AE9" s="316"/>
      <c r="AF9" s="316"/>
      <c r="AG9" s="316">
        <v>1</v>
      </c>
      <c r="AH9" s="316"/>
      <c r="AI9" s="319" t="s">
        <v>819</v>
      </c>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1">
        <v>2</v>
      </c>
      <c r="B10" s="321"/>
      <c r="C10" s="321" t="s">
        <v>857</v>
      </c>
      <c r="D10" s="321"/>
      <c r="E10" s="321"/>
      <c r="F10" s="321"/>
      <c r="G10" s="321"/>
      <c r="H10" s="322" t="s">
        <v>1707</v>
      </c>
      <c r="I10" s="322" t="s">
        <v>1708</v>
      </c>
      <c r="J10" s="322" t="s">
        <v>859</v>
      </c>
      <c r="K10" s="322" t="s">
        <v>863</v>
      </c>
      <c r="L10" s="322" t="s">
        <v>830</v>
      </c>
      <c r="M10" s="322"/>
      <c r="N10" s="322" t="s">
        <v>830</v>
      </c>
      <c r="O10" s="322" t="s">
        <v>952</v>
      </c>
      <c r="P10" s="322" t="s">
        <v>953</v>
      </c>
      <c r="Q10" s="322"/>
      <c r="R10" s="322"/>
      <c r="S10" s="324" t="s">
        <v>819</v>
      </c>
      <c r="T10" s="324" t="s">
        <v>819</v>
      </c>
      <c r="U10" s="324" t="s">
        <v>819</v>
      </c>
      <c r="V10" s="322"/>
      <c r="W10" s="322"/>
      <c r="X10" s="322" t="s">
        <v>862</v>
      </c>
      <c r="Y10" s="322"/>
      <c r="Z10" s="322" t="s">
        <v>1709</v>
      </c>
      <c r="AA10" s="322" t="s">
        <v>863</v>
      </c>
      <c r="AB10" s="322" t="s">
        <v>863</v>
      </c>
      <c r="AC10" s="320" t="s">
        <v>1692</v>
      </c>
      <c r="AD10" s="322"/>
      <c r="AE10" s="322"/>
      <c r="AF10" s="322"/>
      <c r="AG10" s="322">
        <v>1</v>
      </c>
      <c r="AH10" s="322">
        <v>1</v>
      </c>
      <c r="AI10" s="324" t="s">
        <v>819</v>
      </c>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5">
        <v>3</v>
      </c>
      <c r="B11" s="325"/>
      <c r="C11" s="325" t="s">
        <v>1710</v>
      </c>
      <c r="D11" s="325"/>
      <c r="E11" s="325"/>
      <c r="F11" s="325"/>
      <c r="G11" s="325"/>
      <c r="H11" s="316" t="s">
        <v>1711</v>
      </c>
      <c r="I11" s="316" t="s">
        <v>1712</v>
      </c>
      <c r="J11" s="316" t="s">
        <v>886</v>
      </c>
      <c r="K11" s="316" t="s">
        <v>863</v>
      </c>
      <c r="L11" s="316" t="s">
        <v>1713</v>
      </c>
      <c r="M11" s="316"/>
      <c r="N11" s="316" t="s">
        <v>1713</v>
      </c>
      <c r="O11" s="316"/>
      <c r="P11" s="316"/>
      <c r="Q11" s="316"/>
      <c r="R11" s="316"/>
      <c r="S11" s="319" t="s">
        <v>819</v>
      </c>
      <c r="T11" s="319" t="s">
        <v>819</v>
      </c>
      <c r="U11" s="319" t="s">
        <v>819</v>
      </c>
      <c r="V11" s="316"/>
      <c r="W11" s="316"/>
      <c r="X11" s="316" t="s">
        <v>862</v>
      </c>
      <c r="Y11" s="316"/>
      <c r="Z11" s="316" t="s">
        <v>1714</v>
      </c>
      <c r="AA11" s="316" t="s">
        <v>863</v>
      </c>
      <c r="AB11" s="316" t="s">
        <v>863</v>
      </c>
      <c r="AC11" s="320" t="s">
        <v>1692</v>
      </c>
      <c r="AD11" s="316"/>
      <c r="AE11" s="316"/>
      <c r="AF11" s="316"/>
      <c r="AG11" s="316">
        <v>1</v>
      </c>
      <c r="AH11" s="316">
        <v>1</v>
      </c>
      <c r="AI11" s="319" t="s">
        <v>819</v>
      </c>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1">
        <v>4</v>
      </c>
      <c r="B12" s="321"/>
      <c r="C12" s="321" t="s">
        <v>879</v>
      </c>
      <c r="D12" s="321"/>
      <c r="E12" s="321"/>
      <c r="F12" s="321"/>
      <c r="G12" s="321"/>
      <c r="H12" s="323" t="s">
        <v>1715</v>
      </c>
      <c r="I12" s="322" t="s">
        <v>1716</v>
      </c>
      <c r="J12" s="322" t="s">
        <v>1717</v>
      </c>
      <c r="K12" s="322" t="s">
        <v>863</v>
      </c>
      <c r="L12" s="322" t="s">
        <v>1718</v>
      </c>
      <c r="M12" s="322"/>
      <c r="N12" s="322" t="s">
        <v>1718</v>
      </c>
      <c r="O12" s="322"/>
      <c r="P12" s="322"/>
      <c r="Q12" s="322"/>
      <c r="R12" s="322"/>
      <c r="S12" s="324" t="s">
        <v>819</v>
      </c>
      <c r="T12" s="324" t="s">
        <v>819</v>
      </c>
      <c r="U12" s="324" t="s">
        <v>819</v>
      </c>
      <c r="V12" s="322"/>
      <c r="W12" s="322"/>
      <c r="X12" s="322" t="s">
        <v>862</v>
      </c>
      <c r="Y12" s="322"/>
      <c r="Z12" s="322" t="s">
        <v>1719</v>
      </c>
      <c r="AA12" s="322" t="s">
        <v>863</v>
      </c>
      <c r="AB12" s="322" t="s">
        <v>863</v>
      </c>
      <c r="AC12" s="320" t="s">
        <v>1692</v>
      </c>
      <c r="AD12" s="322"/>
      <c r="AE12" s="322"/>
      <c r="AF12" s="322"/>
      <c r="AG12" s="322">
        <v>1</v>
      </c>
      <c r="AH12" s="322">
        <v>1</v>
      </c>
      <c r="AI12" s="324" t="s">
        <v>819</v>
      </c>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5">
        <v>5</v>
      </c>
      <c r="B13" s="325"/>
      <c r="C13" s="325" t="s">
        <v>1720</v>
      </c>
      <c r="D13" s="325"/>
      <c r="E13" s="325"/>
      <c r="F13" s="325"/>
      <c r="G13" s="325"/>
      <c r="H13" s="316" t="s">
        <v>1721</v>
      </c>
      <c r="I13" s="316" t="s">
        <v>1722</v>
      </c>
      <c r="J13" s="316" t="s">
        <v>1723</v>
      </c>
      <c r="K13" s="316" t="s">
        <v>863</v>
      </c>
      <c r="L13" s="316" t="s">
        <v>1724</v>
      </c>
      <c r="M13" s="316"/>
      <c r="N13" s="316" t="s">
        <v>1724</v>
      </c>
      <c r="O13" s="316"/>
      <c r="P13" s="316"/>
      <c r="Q13" s="316"/>
      <c r="R13" s="316"/>
      <c r="S13" s="326" t="s">
        <v>816</v>
      </c>
      <c r="T13" s="327" t="s">
        <v>819</v>
      </c>
      <c r="U13" s="328" t="s">
        <v>816</v>
      </c>
      <c r="V13" s="316" t="s">
        <v>863</v>
      </c>
      <c r="W13" s="316"/>
      <c r="X13" s="316" t="s">
        <v>878</v>
      </c>
      <c r="Y13" s="316"/>
      <c r="Z13" s="316" t="s">
        <v>931</v>
      </c>
      <c r="AA13" s="316" t="s">
        <v>863</v>
      </c>
      <c r="AB13" s="316" t="s">
        <v>863</v>
      </c>
      <c r="AC13" s="320" t="s">
        <v>1692</v>
      </c>
      <c r="AD13" s="316"/>
      <c r="AE13" s="316"/>
      <c r="AF13" s="316"/>
      <c r="AG13" s="316">
        <v>1</v>
      </c>
      <c r="AH13" s="316">
        <v>1</v>
      </c>
      <c r="AI13" s="326" t="s">
        <v>816</v>
      </c>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1">
        <v>6</v>
      </c>
      <c r="B14" s="321"/>
      <c r="C14" s="321" t="s">
        <v>1725</v>
      </c>
      <c r="D14" s="321"/>
      <c r="E14" s="321"/>
      <c r="F14" s="321"/>
      <c r="G14" s="321"/>
      <c r="H14" s="322" t="s">
        <v>1726</v>
      </c>
      <c r="I14" s="322" t="s">
        <v>1727</v>
      </c>
      <c r="J14" s="329"/>
      <c r="K14" s="322" t="s">
        <v>863</v>
      </c>
      <c r="L14" s="322" t="s">
        <v>1728</v>
      </c>
      <c r="M14" s="322"/>
      <c r="N14" s="322" t="s">
        <v>1728</v>
      </c>
      <c r="O14" s="322"/>
      <c r="P14" s="322"/>
      <c r="Q14" s="322"/>
      <c r="R14" s="322"/>
      <c r="S14" s="330" t="s">
        <v>822</v>
      </c>
      <c r="T14" s="330" t="s">
        <v>822</v>
      </c>
      <c r="U14" s="330" t="s">
        <v>822</v>
      </c>
      <c r="V14" s="322"/>
      <c r="W14" s="322" t="s">
        <v>863</v>
      </c>
      <c r="X14" s="322" t="s">
        <v>941</v>
      </c>
      <c r="Y14" s="322"/>
      <c r="Z14" s="322"/>
      <c r="AA14" s="322" t="s">
        <v>863</v>
      </c>
      <c r="AB14" s="322" t="s">
        <v>863</v>
      </c>
      <c r="AC14" s="320" t="s">
        <v>1692</v>
      </c>
      <c r="AD14" s="322"/>
      <c r="AE14" s="322"/>
      <c r="AF14" s="322"/>
      <c r="AG14" s="322">
        <v>1</v>
      </c>
      <c r="AH14" s="322">
        <v>1</v>
      </c>
      <c r="AI14" s="330" t="s">
        <v>822</v>
      </c>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5">
        <v>7</v>
      </c>
      <c r="B15" s="325"/>
      <c r="C15" s="325"/>
      <c r="D15" s="325" t="s">
        <v>830</v>
      </c>
      <c r="E15" s="325"/>
      <c r="F15" s="325"/>
      <c r="G15" s="325"/>
      <c r="H15" s="316" t="s">
        <v>1729</v>
      </c>
      <c r="I15" s="316"/>
      <c r="J15" s="316" t="s">
        <v>1730</v>
      </c>
      <c r="K15" s="316" t="s">
        <v>863</v>
      </c>
      <c r="L15" s="316" t="s">
        <v>830</v>
      </c>
      <c r="M15" s="316"/>
      <c r="N15" s="316" t="s">
        <v>830</v>
      </c>
      <c r="O15" s="316"/>
      <c r="P15" s="316"/>
      <c r="Q15" s="316"/>
      <c r="R15" s="316"/>
      <c r="S15" s="319" t="s">
        <v>819</v>
      </c>
      <c r="T15" s="319" t="s">
        <v>819</v>
      </c>
      <c r="U15" s="319" t="s">
        <v>819</v>
      </c>
      <c r="V15" s="316"/>
      <c r="W15" s="316"/>
      <c r="X15" s="316" t="s">
        <v>862</v>
      </c>
      <c r="Y15" s="316"/>
      <c r="Z15" s="316"/>
      <c r="AA15" s="316" t="s">
        <v>863</v>
      </c>
      <c r="AB15" s="316" t="s">
        <v>863</v>
      </c>
      <c r="AC15" s="331" t="s">
        <v>1692</v>
      </c>
      <c r="AD15" s="316"/>
      <c r="AE15" s="316"/>
      <c r="AF15" s="316"/>
      <c r="AG15" s="316">
        <v>1</v>
      </c>
      <c r="AH15" s="316">
        <v>1</v>
      </c>
      <c r="AI15" s="319" t="s">
        <v>819</v>
      </c>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1">
        <v>8</v>
      </c>
      <c r="B16" s="321"/>
      <c r="C16" s="321"/>
      <c r="D16" s="321" t="s">
        <v>1731</v>
      </c>
      <c r="E16" s="321"/>
      <c r="F16" s="321"/>
      <c r="G16" s="321"/>
      <c r="H16" s="322" t="s">
        <v>1732</v>
      </c>
      <c r="I16" s="322" t="s">
        <v>1733</v>
      </c>
      <c r="J16" s="322" t="s">
        <v>1734</v>
      </c>
      <c r="K16" s="322" t="s">
        <v>863</v>
      </c>
      <c r="L16" s="322" t="s">
        <v>1735</v>
      </c>
      <c r="M16" s="322"/>
      <c r="N16" s="322" t="s">
        <v>1735</v>
      </c>
      <c r="O16" s="322"/>
      <c r="P16" s="322"/>
      <c r="Q16" s="322"/>
      <c r="R16" s="322"/>
      <c r="S16" s="332" t="s">
        <v>816</v>
      </c>
      <c r="T16" s="333" t="s">
        <v>816</v>
      </c>
      <c r="U16" s="334" t="s">
        <v>819</v>
      </c>
      <c r="V16" s="322" t="s">
        <v>863</v>
      </c>
      <c r="W16" s="322"/>
      <c r="X16" s="322" t="s">
        <v>862</v>
      </c>
      <c r="Y16" s="322"/>
      <c r="Z16" s="322" t="s">
        <v>1736</v>
      </c>
      <c r="AA16" s="322" t="s">
        <v>863</v>
      </c>
      <c r="AB16" s="322" t="s">
        <v>863</v>
      </c>
      <c r="AC16" s="320" t="s">
        <v>1692</v>
      </c>
      <c r="AD16" s="322"/>
      <c r="AE16" s="322"/>
      <c r="AF16" s="322"/>
      <c r="AG16" s="322">
        <v>1</v>
      </c>
      <c r="AH16" s="322">
        <v>1</v>
      </c>
      <c r="AI16" s="332" t="s">
        <v>816</v>
      </c>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5">
        <v>9</v>
      </c>
      <c r="B17" s="325"/>
      <c r="C17" s="325" t="s">
        <v>1737</v>
      </c>
      <c r="D17" s="325"/>
      <c r="E17" s="325"/>
      <c r="F17" s="325"/>
      <c r="G17" s="325"/>
      <c r="H17" s="317" t="s">
        <v>1738</v>
      </c>
      <c r="I17" s="316" t="s">
        <v>1739</v>
      </c>
      <c r="J17" s="316" t="s">
        <v>1740</v>
      </c>
      <c r="K17" s="316" t="s">
        <v>863</v>
      </c>
      <c r="L17" s="316" t="s">
        <v>1741</v>
      </c>
      <c r="M17" s="316"/>
      <c r="N17" s="316" t="s">
        <v>1741</v>
      </c>
      <c r="O17" s="316"/>
      <c r="P17" s="316"/>
      <c r="Q17" s="316"/>
      <c r="R17" s="316"/>
      <c r="S17" s="326" t="s">
        <v>816</v>
      </c>
      <c r="T17" s="328" t="s">
        <v>816</v>
      </c>
      <c r="U17" s="327" t="s">
        <v>819</v>
      </c>
      <c r="V17" s="316" t="s">
        <v>863</v>
      </c>
      <c r="W17" s="316"/>
      <c r="X17" s="316" t="s">
        <v>862</v>
      </c>
      <c r="Y17" s="316"/>
      <c r="Z17" s="316" t="s">
        <v>1742</v>
      </c>
      <c r="AA17" s="316" t="s">
        <v>863</v>
      </c>
      <c r="AB17" s="316" t="s">
        <v>863</v>
      </c>
      <c r="AC17" s="320" t="s">
        <v>1692</v>
      </c>
      <c r="AD17" s="316"/>
      <c r="AE17" s="316"/>
      <c r="AF17" s="316"/>
      <c r="AG17" s="316">
        <v>1</v>
      </c>
      <c r="AH17" s="316">
        <v>1</v>
      </c>
      <c r="AI17" s="326" t="s">
        <v>816</v>
      </c>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1">
        <v>10</v>
      </c>
      <c r="B18" s="321"/>
      <c r="C18" s="321" t="s">
        <v>1743</v>
      </c>
      <c r="D18" s="321"/>
      <c r="E18" s="321"/>
      <c r="F18" s="321"/>
      <c r="G18" s="321"/>
      <c r="H18" s="322" t="s">
        <v>1744</v>
      </c>
      <c r="I18" s="322" t="s">
        <v>1745</v>
      </c>
      <c r="J18" s="322" t="s">
        <v>1746</v>
      </c>
      <c r="K18" s="322" t="s">
        <v>863</v>
      </c>
      <c r="L18" s="322" t="s">
        <v>1747</v>
      </c>
      <c r="M18" s="322"/>
      <c r="N18" s="322" t="s">
        <v>1747</v>
      </c>
      <c r="O18" s="322"/>
      <c r="P18" s="322"/>
      <c r="Q18" s="322"/>
      <c r="R18" s="322"/>
      <c r="S18" s="332" t="s">
        <v>816</v>
      </c>
      <c r="T18" s="333" t="s">
        <v>816</v>
      </c>
      <c r="U18" s="333" t="s">
        <v>816</v>
      </c>
      <c r="V18" s="322"/>
      <c r="W18" s="322"/>
      <c r="X18" s="322" t="s">
        <v>862</v>
      </c>
      <c r="Y18" s="322"/>
      <c r="Z18" s="322" t="s">
        <v>1748</v>
      </c>
      <c r="AA18" s="322" t="s">
        <v>863</v>
      </c>
      <c r="AB18" s="322" t="s">
        <v>863</v>
      </c>
      <c r="AC18" s="320" t="s">
        <v>1692</v>
      </c>
      <c r="AD18" s="322"/>
      <c r="AE18" s="322"/>
      <c r="AF18" s="322"/>
      <c r="AG18" s="322">
        <v>1</v>
      </c>
      <c r="AH18" s="322">
        <v>1</v>
      </c>
      <c r="AI18" s="332" t="s">
        <v>816</v>
      </c>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5">
        <v>11</v>
      </c>
      <c r="B19" s="325"/>
      <c r="C19" s="325" t="s">
        <v>1749</v>
      </c>
      <c r="D19" s="325"/>
      <c r="E19" s="325"/>
      <c r="F19" s="325"/>
      <c r="G19" s="325"/>
      <c r="H19" s="316" t="s">
        <v>1750</v>
      </c>
      <c r="I19" s="316" t="s">
        <v>1751</v>
      </c>
      <c r="J19" s="316" t="s">
        <v>1752</v>
      </c>
      <c r="K19" s="316" t="s">
        <v>863</v>
      </c>
      <c r="L19" s="316" t="s">
        <v>1753</v>
      </c>
      <c r="M19" s="316"/>
      <c r="N19" s="316" t="s">
        <v>1753</v>
      </c>
      <c r="O19" s="316"/>
      <c r="P19" s="316"/>
      <c r="Q19" s="316"/>
      <c r="R19" s="316"/>
      <c r="S19" s="326" t="s">
        <v>816</v>
      </c>
      <c r="T19" s="326" t="s">
        <v>816</v>
      </c>
      <c r="U19" s="326" t="s">
        <v>816</v>
      </c>
      <c r="V19" s="316"/>
      <c r="W19" s="316"/>
      <c r="X19" s="316" t="s">
        <v>862</v>
      </c>
      <c r="Y19" s="316"/>
      <c r="Z19" s="316"/>
      <c r="AA19" s="316" t="s">
        <v>863</v>
      </c>
      <c r="AB19" s="316" t="s">
        <v>863</v>
      </c>
      <c r="AC19" s="320" t="s">
        <v>1692</v>
      </c>
      <c r="AD19" s="316"/>
      <c r="AE19" s="316"/>
      <c r="AF19" s="316"/>
      <c r="AG19" s="316">
        <v>1</v>
      </c>
      <c r="AH19" s="316">
        <v>1</v>
      </c>
      <c r="AI19" s="326" t="s">
        <v>816</v>
      </c>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5">
        <v>12</v>
      </c>
      <c r="B20" s="335"/>
      <c r="C20" s="335" t="s">
        <v>1754</v>
      </c>
      <c r="D20" s="335"/>
      <c r="E20" s="335"/>
      <c r="F20" s="335"/>
      <c r="G20" s="335"/>
      <c r="H20" s="322" t="s">
        <v>1726</v>
      </c>
      <c r="I20" s="322" t="s">
        <v>1755</v>
      </c>
      <c r="J20" s="329"/>
      <c r="K20" s="322"/>
      <c r="L20" s="322" t="s">
        <v>1756</v>
      </c>
      <c r="M20" s="322"/>
      <c r="N20" s="322" t="s">
        <v>1756</v>
      </c>
      <c r="O20" s="322"/>
      <c r="P20" s="322"/>
      <c r="Q20" s="322"/>
      <c r="R20" s="322"/>
      <c r="S20" s="332" t="s">
        <v>816</v>
      </c>
      <c r="T20" s="332" t="s">
        <v>816</v>
      </c>
      <c r="U20" s="332" t="s">
        <v>816</v>
      </c>
      <c r="V20" s="322"/>
      <c r="W20" s="322" t="s">
        <v>863</v>
      </c>
      <c r="X20" s="322" t="s">
        <v>1757</v>
      </c>
      <c r="Y20" s="322"/>
      <c r="Z20" s="322"/>
      <c r="AA20" s="322" t="s">
        <v>863</v>
      </c>
      <c r="AB20" s="322" t="s">
        <v>863</v>
      </c>
      <c r="AC20" s="331" t="s">
        <v>1692</v>
      </c>
      <c r="AD20" s="322"/>
      <c r="AE20" s="322"/>
      <c r="AF20" s="322"/>
      <c r="AG20" s="322">
        <v>1</v>
      </c>
      <c r="AH20" s="322"/>
      <c r="AI20" s="332" t="s">
        <v>816</v>
      </c>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5">
        <v>13</v>
      </c>
      <c r="B21" s="315"/>
      <c r="C21" s="315"/>
      <c r="D21" s="315" t="s">
        <v>1758</v>
      </c>
      <c r="E21" s="315"/>
      <c r="F21" s="315"/>
      <c r="G21" s="315"/>
      <c r="H21" s="316" t="s">
        <v>1759</v>
      </c>
      <c r="I21" s="316" t="s">
        <v>1760</v>
      </c>
      <c r="J21" s="316" t="s">
        <v>1340</v>
      </c>
      <c r="K21" s="316" t="s">
        <v>863</v>
      </c>
      <c r="L21" s="316" t="s">
        <v>1761</v>
      </c>
      <c r="M21" s="316"/>
      <c r="N21" s="316" t="s">
        <v>1761</v>
      </c>
      <c r="O21" s="316"/>
      <c r="P21" s="316"/>
      <c r="Q21" s="316"/>
      <c r="R21" s="316"/>
      <c r="S21" s="326" t="s">
        <v>816</v>
      </c>
      <c r="T21" s="326" t="s">
        <v>816</v>
      </c>
      <c r="U21" s="326" t="s">
        <v>816</v>
      </c>
      <c r="V21" s="316"/>
      <c r="W21" s="316"/>
      <c r="X21" s="316" t="s">
        <v>862</v>
      </c>
      <c r="Y21" s="316"/>
      <c r="Z21" s="316"/>
      <c r="AA21" s="316" t="s">
        <v>863</v>
      </c>
      <c r="AB21" s="316" t="s">
        <v>863</v>
      </c>
      <c r="AC21" s="320" t="s">
        <v>1692</v>
      </c>
      <c r="AD21" s="316"/>
      <c r="AE21" s="316"/>
      <c r="AF21" s="316"/>
      <c r="AG21" s="316">
        <v>1</v>
      </c>
      <c r="AH21" s="316"/>
      <c r="AI21" s="326" t="s">
        <v>816</v>
      </c>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5">
        <v>14</v>
      </c>
      <c r="B22" s="335"/>
      <c r="C22" s="335"/>
      <c r="D22" s="335" t="s">
        <v>1762</v>
      </c>
      <c r="E22" s="336"/>
      <c r="F22" s="335"/>
      <c r="G22" s="335"/>
      <c r="H22" s="322" t="s">
        <v>1763</v>
      </c>
      <c r="I22" s="322" t="s">
        <v>1764</v>
      </c>
      <c r="J22" s="322" t="s">
        <v>1358</v>
      </c>
      <c r="K22" s="322"/>
      <c r="L22" s="322" t="s">
        <v>1765</v>
      </c>
      <c r="M22" s="322"/>
      <c r="N22" s="322" t="s">
        <v>1765</v>
      </c>
      <c r="O22" s="322"/>
      <c r="P22" s="322"/>
      <c r="Q22" s="322"/>
      <c r="R22" s="322"/>
      <c r="S22" s="332" t="s">
        <v>816</v>
      </c>
      <c r="T22" s="332" t="s">
        <v>816</v>
      </c>
      <c r="U22" s="332" t="s">
        <v>816</v>
      </c>
      <c r="V22" s="322"/>
      <c r="W22" s="322"/>
      <c r="X22" s="322" t="s">
        <v>862</v>
      </c>
      <c r="Y22" s="322"/>
      <c r="Z22" s="322"/>
      <c r="AA22" s="322" t="s">
        <v>863</v>
      </c>
      <c r="AB22" s="322" t="s">
        <v>863</v>
      </c>
      <c r="AC22" s="320" t="s">
        <v>1692</v>
      </c>
      <c r="AD22" s="322"/>
      <c r="AE22" s="322"/>
      <c r="AF22" s="322"/>
      <c r="AG22" s="322">
        <v>1</v>
      </c>
      <c r="AH22" s="322"/>
      <c r="AI22" s="332" t="s">
        <v>816</v>
      </c>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5">
        <v>15</v>
      </c>
      <c r="B23" s="315"/>
      <c r="C23" s="315"/>
      <c r="D23" s="315" t="s">
        <v>1766</v>
      </c>
      <c r="E23" s="315"/>
      <c r="F23" s="315"/>
      <c r="G23" s="315"/>
      <c r="H23" s="316" t="s">
        <v>1767</v>
      </c>
      <c r="I23" s="316" t="s">
        <v>1768</v>
      </c>
      <c r="J23" s="316" t="s">
        <v>1769</v>
      </c>
      <c r="K23" s="316" t="s">
        <v>863</v>
      </c>
      <c r="L23" s="316" t="s">
        <v>1770</v>
      </c>
      <c r="M23" s="316"/>
      <c r="N23" s="316" t="s">
        <v>1770</v>
      </c>
      <c r="O23" s="316"/>
      <c r="P23" s="316"/>
      <c r="Q23" s="316"/>
      <c r="R23" s="316"/>
      <c r="S23" s="326" t="s">
        <v>816</v>
      </c>
      <c r="T23" s="328" t="s">
        <v>816</v>
      </c>
      <c r="U23" s="328" t="s">
        <v>816</v>
      </c>
      <c r="V23" s="316"/>
      <c r="W23" s="316"/>
      <c r="X23" s="316" t="s">
        <v>862</v>
      </c>
      <c r="Y23" s="316"/>
      <c r="Z23" s="316"/>
      <c r="AA23" s="316" t="s">
        <v>863</v>
      </c>
      <c r="AB23" s="316" t="s">
        <v>863</v>
      </c>
      <c r="AC23" s="320" t="s">
        <v>1692</v>
      </c>
      <c r="AD23" s="316"/>
      <c r="AE23" s="316"/>
      <c r="AF23" s="316"/>
      <c r="AG23" s="316">
        <v>1</v>
      </c>
      <c r="AH23" s="316"/>
      <c r="AI23" s="326" t="s">
        <v>816</v>
      </c>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5">
        <v>16</v>
      </c>
      <c r="B24" s="335"/>
      <c r="C24" s="335" t="s">
        <v>1771</v>
      </c>
      <c r="D24" s="335"/>
      <c r="E24" s="335"/>
      <c r="F24" s="335"/>
      <c r="G24" s="335"/>
      <c r="H24" s="322" t="s">
        <v>1772</v>
      </c>
      <c r="I24" s="322" t="s">
        <v>1773</v>
      </c>
      <c r="J24" s="329"/>
      <c r="K24" s="322" t="s">
        <v>863</v>
      </c>
      <c r="L24" s="322" t="s">
        <v>1774</v>
      </c>
      <c r="M24" s="322"/>
      <c r="N24" s="322" t="s">
        <v>1774</v>
      </c>
      <c r="O24" s="322"/>
      <c r="P24" s="322"/>
      <c r="Q24" s="322"/>
      <c r="R24" s="322"/>
      <c r="S24" s="330" t="s">
        <v>822</v>
      </c>
      <c r="T24" s="330" t="s">
        <v>822</v>
      </c>
      <c r="U24" s="330" t="s">
        <v>822</v>
      </c>
      <c r="V24" s="322"/>
      <c r="W24" s="322" t="s">
        <v>863</v>
      </c>
      <c r="X24" s="322" t="s">
        <v>1206</v>
      </c>
      <c r="Y24" s="322"/>
      <c r="Z24" s="322"/>
      <c r="AA24" s="322" t="s">
        <v>863</v>
      </c>
      <c r="AB24" s="322" t="s">
        <v>863</v>
      </c>
      <c r="AC24" s="320" t="s">
        <v>1692</v>
      </c>
      <c r="AD24" s="322"/>
      <c r="AE24" s="322"/>
      <c r="AF24" s="322"/>
      <c r="AG24" s="322">
        <v>1</v>
      </c>
      <c r="AH24" s="322"/>
      <c r="AI24" s="330" t="s">
        <v>822</v>
      </c>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5">
        <v>17</v>
      </c>
      <c r="B25" s="315"/>
      <c r="C25" s="315"/>
      <c r="D25" s="315" t="s">
        <v>1775</v>
      </c>
      <c r="E25" s="315"/>
      <c r="F25" s="315"/>
      <c r="G25" s="315"/>
      <c r="H25" s="316" t="s">
        <v>1726</v>
      </c>
      <c r="I25" s="316" t="s">
        <v>1776</v>
      </c>
      <c r="J25" s="316"/>
      <c r="K25" s="316"/>
      <c r="L25" s="316" t="s">
        <v>1753</v>
      </c>
      <c r="M25" s="316"/>
      <c r="N25" s="316" t="s">
        <v>1753</v>
      </c>
      <c r="O25" s="316"/>
      <c r="P25" s="316"/>
      <c r="Q25" s="316"/>
      <c r="R25" s="316"/>
      <c r="S25" s="326" t="s">
        <v>816</v>
      </c>
      <c r="T25" s="326" t="s">
        <v>816</v>
      </c>
      <c r="U25" s="326" t="s">
        <v>816</v>
      </c>
      <c r="V25" s="316"/>
      <c r="W25" s="316"/>
      <c r="X25" s="316" t="s">
        <v>862</v>
      </c>
      <c r="Y25" s="316"/>
      <c r="Z25" s="316"/>
      <c r="AA25" s="316" t="s">
        <v>863</v>
      </c>
      <c r="AB25" s="316" t="s">
        <v>863</v>
      </c>
      <c r="AC25" s="331" t="s">
        <v>1692</v>
      </c>
      <c r="AD25" s="316"/>
      <c r="AE25" s="316"/>
      <c r="AF25" s="316"/>
      <c r="AG25" s="316">
        <v>1</v>
      </c>
      <c r="AH25" s="316"/>
      <c r="AI25" s="326" t="s">
        <v>816</v>
      </c>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5">
        <v>18</v>
      </c>
      <c r="B26" s="335"/>
      <c r="C26" s="335"/>
      <c r="D26" s="335" t="s">
        <v>1777</v>
      </c>
      <c r="E26" s="336"/>
      <c r="F26" s="335"/>
      <c r="G26" s="335"/>
      <c r="H26" s="322" t="s">
        <v>1726</v>
      </c>
      <c r="I26" s="322" t="s">
        <v>1778</v>
      </c>
      <c r="J26" s="322" t="s">
        <v>1779</v>
      </c>
      <c r="K26" s="322"/>
      <c r="L26" s="322" t="s">
        <v>874</v>
      </c>
      <c r="M26" s="322"/>
      <c r="N26" s="322" t="s">
        <v>874</v>
      </c>
      <c r="O26" s="322"/>
      <c r="P26" s="322"/>
      <c r="Q26" s="322"/>
      <c r="R26" s="322"/>
      <c r="S26" s="324" t="s">
        <v>819</v>
      </c>
      <c r="T26" s="324" t="s">
        <v>819</v>
      </c>
      <c r="U26" s="324" t="s">
        <v>819</v>
      </c>
      <c r="V26" s="322"/>
      <c r="W26" s="322"/>
      <c r="X26" s="322" t="s">
        <v>862</v>
      </c>
      <c r="Y26" s="322"/>
      <c r="Z26" s="322"/>
      <c r="AA26" s="322" t="s">
        <v>863</v>
      </c>
      <c r="AB26" s="322" t="s">
        <v>863</v>
      </c>
      <c r="AC26" s="320" t="s">
        <v>1692</v>
      </c>
      <c r="AD26" s="322"/>
      <c r="AE26" s="322"/>
      <c r="AF26" s="322"/>
      <c r="AG26" s="322">
        <v>1</v>
      </c>
      <c r="AH26" s="322"/>
      <c r="AI26" s="324" t="s">
        <v>819</v>
      </c>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5">
        <v>19</v>
      </c>
      <c r="B27" s="315"/>
      <c r="C27" s="315"/>
      <c r="D27" s="315" t="s">
        <v>1101</v>
      </c>
      <c r="E27" s="315"/>
      <c r="F27" s="315"/>
      <c r="G27" s="315"/>
      <c r="H27" s="316" t="s">
        <v>1726</v>
      </c>
      <c r="I27" s="316" t="s">
        <v>1780</v>
      </c>
      <c r="J27" s="316" t="s">
        <v>1781</v>
      </c>
      <c r="K27" s="316"/>
      <c r="L27" s="316" t="s">
        <v>1782</v>
      </c>
      <c r="M27" s="316"/>
      <c r="N27" s="316" t="s">
        <v>1782</v>
      </c>
      <c r="O27" s="316"/>
      <c r="P27" s="316"/>
      <c r="Q27" s="316"/>
      <c r="R27" s="316"/>
      <c r="S27" s="326" t="s">
        <v>816</v>
      </c>
      <c r="T27" s="326" t="s">
        <v>816</v>
      </c>
      <c r="U27" s="326" t="s">
        <v>816</v>
      </c>
      <c r="V27" s="316"/>
      <c r="W27" s="316"/>
      <c r="X27" s="316" t="s">
        <v>862</v>
      </c>
      <c r="Y27" s="316"/>
      <c r="Z27" s="316" t="s">
        <v>1214</v>
      </c>
      <c r="AA27" s="316" t="s">
        <v>863</v>
      </c>
      <c r="AB27" s="316" t="s">
        <v>863</v>
      </c>
      <c r="AC27" s="320" t="s">
        <v>1692</v>
      </c>
      <c r="AD27" s="316"/>
      <c r="AE27" s="316"/>
      <c r="AF27" s="316"/>
      <c r="AG27" s="316">
        <v>1</v>
      </c>
      <c r="AH27" s="316"/>
      <c r="AI27" s="326" t="s">
        <v>816</v>
      </c>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5">
        <v>20</v>
      </c>
      <c r="B28" s="335"/>
      <c r="C28" s="335" t="s">
        <v>1783</v>
      </c>
      <c r="D28" s="336"/>
      <c r="E28" s="335"/>
      <c r="F28" s="335"/>
      <c r="G28" s="335"/>
      <c r="H28" s="322" t="s">
        <v>1784</v>
      </c>
      <c r="I28" s="322" t="s">
        <v>1785</v>
      </c>
      <c r="J28" s="322" t="s">
        <v>1786</v>
      </c>
      <c r="K28" s="322"/>
      <c r="L28" s="322" t="s">
        <v>1787</v>
      </c>
      <c r="M28" s="322"/>
      <c r="N28" s="322" t="s">
        <v>1787</v>
      </c>
      <c r="O28" s="322"/>
      <c r="P28" s="322"/>
      <c r="Q28" s="322"/>
      <c r="R28" s="322"/>
      <c r="S28" s="332" t="s">
        <v>816</v>
      </c>
      <c r="T28" s="333" t="s">
        <v>816</v>
      </c>
      <c r="U28" s="333" t="s">
        <v>816</v>
      </c>
      <c r="V28" s="322"/>
      <c r="W28" s="322"/>
      <c r="X28" s="322" t="s">
        <v>862</v>
      </c>
      <c r="Y28" s="322"/>
      <c r="Z28" s="322" t="s">
        <v>1788</v>
      </c>
      <c r="AA28" s="322" t="s">
        <v>863</v>
      </c>
      <c r="AB28" s="322" t="s">
        <v>863</v>
      </c>
      <c r="AC28" s="320" t="s">
        <v>1692</v>
      </c>
      <c r="AD28" s="322"/>
      <c r="AE28" s="322"/>
      <c r="AF28" s="322"/>
      <c r="AG28" s="322">
        <v>1</v>
      </c>
      <c r="AH28" s="322"/>
      <c r="AI28" s="332" t="s">
        <v>816</v>
      </c>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5">
        <v>21</v>
      </c>
      <c r="B29" s="325" t="s">
        <v>1789</v>
      </c>
      <c r="C29" s="325"/>
      <c r="D29" s="325"/>
      <c r="E29" s="325"/>
      <c r="F29" s="325"/>
      <c r="G29" s="325"/>
      <c r="H29" s="316" t="s">
        <v>1790</v>
      </c>
      <c r="I29" s="316" t="s">
        <v>1791</v>
      </c>
      <c r="J29" s="337"/>
      <c r="K29" s="316"/>
      <c r="L29" s="316" t="s">
        <v>1792</v>
      </c>
      <c r="M29" s="316"/>
      <c r="N29" s="316" t="s">
        <v>1792</v>
      </c>
      <c r="O29" s="316"/>
      <c r="P29" s="316"/>
      <c r="Q29" s="316"/>
      <c r="R29" s="316"/>
      <c r="S29" s="319" t="s">
        <v>819</v>
      </c>
      <c r="T29" s="319" t="s">
        <v>819</v>
      </c>
      <c r="U29" s="319" t="s">
        <v>819</v>
      </c>
      <c r="V29" s="316"/>
      <c r="W29" s="316" t="s">
        <v>863</v>
      </c>
      <c r="X29" s="316" t="s">
        <v>1793</v>
      </c>
      <c r="Y29" s="316"/>
      <c r="Z29" s="316"/>
      <c r="AA29" s="316" t="s">
        <v>863</v>
      </c>
      <c r="AB29" s="316" t="s">
        <v>863</v>
      </c>
      <c r="AC29" s="320" t="s">
        <v>1692</v>
      </c>
      <c r="AD29" s="316"/>
      <c r="AE29" s="316"/>
      <c r="AF29" s="316"/>
      <c r="AG29" s="316">
        <v>1</v>
      </c>
      <c r="AH29" s="316">
        <v>1</v>
      </c>
      <c r="AI29" s="319" t="s">
        <v>819</v>
      </c>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1">
        <v>22</v>
      </c>
      <c r="B30" s="321"/>
      <c r="C30" s="321" t="s">
        <v>1794</v>
      </c>
      <c r="D30" s="321"/>
      <c r="E30" s="321"/>
      <c r="F30" s="321"/>
      <c r="G30" s="321"/>
      <c r="H30" s="322" t="s">
        <v>1795</v>
      </c>
      <c r="I30" s="322" t="s">
        <v>1796</v>
      </c>
      <c r="J30" s="322" t="s">
        <v>956</v>
      </c>
      <c r="K30" s="322" t="s">
        <v>863</v>
      </c>
      <c r="L30" s="322" t="s">
        <v>830</v>
      </c>
      <c r="M30" s="322"/>
      <c r="N30" s="322" t="s">
        <v>830</v>
      </c>
      <c r="O30" s="322"/>
      <c r="P30" s="322"/>
      <c r="Q30" s="322"/>
      <c r="R30" s="322"/>
      <c r="S30" s="324" t="s">
        <v>819</v>
      </c>
      <c r="T30" s="324" t="s">
        <v>819</v>
      </c>
      <c r="U30" s="324" t="s">
        <v>819</v>
      </c>
      <c r="V30" s="322"/>
      <c r="W30" s="322"/>
      <c r="X30" s="322" t="s">
        <v>862</v>
      </c>
      <c r="Y30" s="322"/>
      <c r="Z30" s="322"/>
      <c r="AA30" s="322" t="s">
        <v>863</v>
      </c>
      <c r="AB30" s="322" t="s">
        <v>863</v>
      </c>
      <c r="AC30" s="331" t="s">
        <v>1692</v>
      </c>
      <c r="AD30" s="322"/>
      <c r="AE30" s="322"/>
      <c r="AF30" s="322"/>
      <c r="AG30" s="322">
        <v>1</v>
      </c>
      <c r="AH30" s="322">
        <v>1</v>
      </c>
      <c r="AI30" s="324" t="s">
        <v>819</v>
      </c>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5">
        <v>23</v>
      </c>
      <c r="B31" s="325"/>
      <c r="C31" s="325" t="s">
        <v>1797</v>
      </c>
      <c r="D31" s="325"/>
      <c r="E31" s="325"/>
      <c r="F31" s="325"/>
      <c r="G31" s="325"/>
      <c r="H31" s="316" t="s">
        <v>1798</v>
      </c>
      <c r="I31" s="316" t="s">
        <v>1799</v>
      </c>
      <c r="J31" s="316" t="s">
        <v>1800</v>
      </c>
      <c r="K31" s="316"/>
      <c r="L31" s="316" t="s">
        <v>1770</v>
      </c>
      <c r="M31" s="316"/>
      <c r="N31" s="316" t="s">
        <v>1770</v>
      </c>
      <c r="O31" s="316"/>
      <c r="P31" s="316"/>
      <c r="Q31" s="316"/>
      <c r="R31" s="316"/>
      <c r="S31" s="326" t="s">
        <v>816</v>
      </c>
      <c r="T31" s="326" t="s">
        <v>816</v>
      </c>
      <c r="U31" s="326" t="s">
        <v>816</v>
      </c>
      <c r="V31" s="316"/>
      <c r="W31" s="316"/>
      <c r="X31" s="316" t="s">
        <v>862</v>
      </c>
      <c r="Y31" s="316"/>
      <c r="Z31" s="316"/>
      <c r="AA31" s="316" t="s">
        <v>863</v>
      </c>
      <c r="AB31" s="316" t="s">
        <v>863</v>
      </c>
      <c r="AC31" s="320" t="s">
        <v>1692</v>
      </c>
      <c r="AD31" s="316"/>
      <c r="AE31" s="316"/>
      <c r="AF31" s="316"/>
      <c r="AG31" s="316">
        <v>1</v>
      </c>
      <c r="AH31" s="316">
        <v>1</v>
      </c>
      <c r="AI31" s="326" t="s">
        <v>816</v>
      </c>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1">
        <v>24</v>
      </c>
      <c r="B32" s="321"/>
      <c r="C32" s="321" t="s">
        <v>1801</v>
      </c>
      <c r="D32" s="321"/>
      <c r="E32" s="321"/>
      <c r="F32" s="321"/>
      <c r="G32" s="321"/>
      <c r="H32" s="322" t="s">
        <v>1802</v>
      </c>
      <c r="I32" s="322" t="s">
        <v>1803</v>
      </c>
      <c r="J32" s="322" t="s">
        <v>1730</v>
      </c>
      <c r="K32" s="322"/>
      <c r="L32" s="322" t="s">
        <v>1804</v>
      </c>
      <c r="M32" s="322"/>
      <c r="N32" s="322" t="s">
        <v>1804</v>
      </c>
      <c r="O32" s="322"/>
      <c r="P32" s="322"/>
      <c r="Q32" s="322"/>
      <c r="R32" s="322"/>
      <c r="S32" s="332" t="s">
        <v>816</v>
      </c>
      <c r="T32" s="334" t="s">
        <v>819</v>
      </c>
      <c r="U32" s="333" t="s">
        <v>816</v>
      </c>
      <c r="V32" s="322" t="s">
        <v>863</v>
      </c>
      <c r="W32" s="322"/>
      <c r="X32" s="322" t="s">
        <v>862</v>
      </c>
      <c r="Y32" s="322"/>
      <c r="Z32" s="322"/>
      <c r="AA32" s="322" t="s">
        <v>863</v>
      </c>
      <c r="AB32" s="322" t="s">
        <v>863</v>
      </c>
      <c r="AC32" s="320" t="s">
        <v>1692</v>
      </c>
      <c r="AD32" s="322"/>
      <c r="AE32" s="322"/>
      <c r="AF32" s="322"/>
      <c r="AG32" s="322">
        <v>1</v>
      </c>
      <c r="AH32" s="322">
        <v>1</v>
      </c>
      <c r="AI32" s="332" t="s">
        <v>816</v>
      </c>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5">
        <v>25</v>
      </c>
      <c r="B33" s="325"/>
      <c r="C33" s="325" t="s">
        <v>1805</v>
      </c>
      <c r="D33" s="325"/>
      <c r="E33" s="325"/>
      <c r="F33" s="325"/>
      <c r="G33" s="325"/>
      <c r="H33" s="316" t="s">
        <v>1726</v>
      </c>
      <c r="I33" s="316" t="s">
        <v>1806</v>
      </c>
      <c r="J33" s="337"/>
      <c r="K33" s="316" t="s">
        <v>863</v>
      </c>
      <c r="L33" s="316" t="s">
        <v>1807</v>
      </c>
      <c r="M33" s="316"/>
      <c r="N33" s="316" t="s">
        <v>1807</v>
      </c>
      <c r="O33" s="316"/>
      <c r="P33" s="316"/>
      <c r="Q33" s="316"/>
      <c r="R33" s="316"/>
      <c r="S33" s="326" t="s">
        <v>816</v>
      </c>
      <c r="T33" s="328" t="s">
        <v>816</v>
      </c>
      <c r="U33" s="328" t="s">
        <v>816</v>
      </c>
      <c r="V33" s="316"/>
      <c r="W33" s="316" t="s">
        <v>863</v>
      </c>
      <c r="X33" s="316" t="s">
        <v>1808</v>
      </c>
      <c r="Y33" s="316"/>
      <c r="Z33" s="316"/>
      <c r="AA33" s="316" t="s">
        <v>863</v>
      </c>
      <c r="AB33" s="316" t="s">
        <v>863</v>
      </c>
      <c r="AC33" s="320" t="s">
        <v>1692</v>
      </c>
      <c r="AD33" s="316"/>
      <c r="AE33" s="316"/>
      <c r="AF33" s="316"/>
      <c r="AG33" s="316">
        <v>1</v>
      </c>
      <c r="AH33" s="316">
        <v>1</v>
      </c>
      <c r="AI33" s="326" t="s">
        <v>816</v>
      </c>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1">
        <v>26</v>
      </c>
      <c r="B34" s="321"/>
      <c r="C34" s="321"/>
      <c r="D34" s="321" t="s">
        <v>1809</v>
      </c>
      <c r="E34" s="338"/>
      <c r="F34" s="321"/>
      <c r="G34" s="321"/>
      <c r="H34" s="322" t="s">
        <v>1810</v>
      </c>
      <c r="I34" s="322" t="s">
        <v>1811</v>
      </c>
      <c r="J34" s="322" t="s">
        <v>1812</v>
      </c>
      <c r="K34" s="322" t="s">
        <v>863</v>
      </c>
      <c r="L34" s="322" t="s">
        <v>1813</v>
      </c>
      <c r="M34" s="322"/>
      <c r="N34" s="322" t="s">
        <v>1813</v>
      </c>
      <c r="O34" s="322"/>
      <c r="P34" s="322"/>
      <c r="Q34" s="322"/>
      <c r="R34" s="322"/>
      <c r="S34" s="322" t="s">
        <v>892</v>
      </c>
      <c r="T34" s="322" t="s">
        <v>892</v>
      </c>
      <c r="U34" s="322" t="s">
        <v>892</v>
      </c>
      <c r="V34" s="322"/>
      <c r="W34" s="322"/>
      <c r="X34" s="322" t="s">
        <v>862</v>
      </c>
      <c r="Y34" s="322"/>
      <c r="Z34" s="322" t="s">
        <v>1814</v>
      </c>
      <c r="AA34" s="322" t="s">
        <v>863</v>
      </c>
      <c r="AB34" s="322" t="s">
        <v>863</v>
      </c>
      <c r="AC34" s="320" t="s">
        <v>1692</v>
      </c>
      <c r="AD34" s="322"/>
      <c r="AE34" s="322"/>
      <c r="AF34" s="322"/>
      <c r="AG34" s="322">
        <v>1</v>
      </c>
      <c r="AH34" s="322">
        <v>1</v>
      </c>
      <c r="AI34" s="322" t="s">
        <v>892</v>
      </c>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5">
        <v>27</v>
      </c>
      <c r="B35" s="325"/>
      <c r="C35" s="325"/>
      <c r="D35" s="325" t="s">
        <v>1815</v>
      </c>
      <c r="E35" s="325"/>
      <c r="F35" s="325"/>
      <c r="G35" s="325"/>
      <c r="H35" s="316" t="s">
        <v>1816</v>
      </c>
      <c r="I35" s="316" t="s">
        <v>1817</v>
      </c>
      <c r="J35" s="316" t="s">
        <v>1818</v>
      </c>
      <c r="K35" s="316" t="s">
        <v>863</v>
      </c>
      <c r="L35" s="316" t="s">
        <v>1819</v>
      </c>
      <c r="M35" s="316"/>
      <c r="N35" s="316" t="s">
        <v>1819</v>
      </c>
      <c r="O35" s="316"/>
      <c r="P35" s="316"/>
      <c r="Q35" s="316"/>
      <c r="R35" s="316"/>
      <c r="S35" s="316" t="s">
        <v>892</v>
      </c>
      <c r="T35" s="316" t="s">
        <v>892</v>
      </c>
      <c r="U35" s="316" t="s">
        <v>892</v>
      </c>
      <c r="V35" s="316"/>
      <c r="W35" s="316"/>
      <c r="X35" s="316" t="s">
        <v>862</v>
      </c>
      <c r="Y35" s="316"/>
      <c r="Z35" s="316" t="s">
        <v>1820</v>
      </c>
      <c r="AA35" s="316" t="s">
        <v>863</v>
      </c>
      <c r="AB35" s="316" t="s">
        <v>863</v>
      </c>
      <c r="AC35" s="331" t="s">
        <v>1692</v>
      </c>
      <c r="AD35" s="316"/>
      <c r="AE35" s="316"/>
      <c r="AF35" s="316"/>
      <c r="AG35" s="316">
        <v>1</v>
      </c>
      <c r="AH35" s="316">
        <v>1</v>
      </c>
      <c r="AI35" s="316" t="s">
        <v>892</v>
      </c>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1">
        <v>28</v>
      </c>
      <c r="B36" s="321"/>
      <c r="C36" s="321"/>
      <c r="D36" s="321" t="s">
        <v>1821</v>
      </c>
      <c r="E36" s="321"/>
      <c r="F36" s="321"/>
      <c r="G36" s="321"/>
      <c r="H36" s="322" t="s">
        <v>1822</v>
      </c>
      <c r="I36" s="322" t="s">
        <v>1823</v>
      </c>
      <c r="J36" s="322" t="s">
        <v>1824</v>
      </c>
      <c r="K36" s="322" t="s">
        <v>863</v>
      </c>
      <c r="L36" s="322" t="s">
        <v>1825</v>
      </c>
      <c r="M36" s="322"/>
      <c r="N36" s="322" t="s">
        <v>1825</v>
      </c>
      <c r="O36" s="322"/>
      <c r="P36" s="322"/>
      <c r="Q36" s="322"/>
      <c r="R36" s="322"/>
      <c r="S36" s="322" t="s">
        <v>892</v>
      </c>
      <c r="T36" s="322" t="s">
        <v>892</v>
      </c>
      <c r="U36" s="322" t="s">
        <v>892</v>
      </c>
      <c r="V36" s="322"/>
      <c r="W36" s="322"/>
      <c r="X36" s="322" t="s">
        <v>862</v>
      </c>
      <c r="Y36" s="322"/>
      <c r="Z36" s="322"/>
      <c r="AA36" s="322" t="s">
        <v>863</v>
      </c>
      <c r="AB36" s="322" t="s">
        <v>863</v>
      </c>
      <c r="AC36" s="320" t="s">
        <v>1692</v>
      </c>
      <c r="AD36" s="322"/>
      <c r="AE36" s="322"/>
      <c r="AF36" s="322"/>
      <c r="AG36" s="322">
        <v>1</v>
      </c>
      <c r="AH36" s="322">
        <v>1</v>
      </c>
      <c r="AI36" s="322" t="s">
        <v>892</v>
      </c>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5">
        <v>29</v>
      </c>
      <c r="B37" s="325"/>
      <c r="C37" s="325"/>
      <c r="D37" s="325" t="s">
        <v>1826</v>
      </c>
      <c r="E37" s="325"/>
      <c r="F37" s="325"/>
      <c r="G37" s="325"/>
      <c r="H37" s="316" t="s">
        <v>1726</v>
      </c>
      <c r="I37" s="316" t="s">
        <v>1827</v>
      </c>
      <c r="J37" s="316" t="s">
        <v>1828</v>
      </c>
      <c r="K37" s="316"/>
      <c r="L37" s="316" t="s">
        <v>1829</v>
      </c>
      <c r="M37" s="316"/>
      <c r="N37" s="316" t="s">
        <v>1829</v>
      </c>
      <c r="O37" s="316"/>
      <c r="P37" s="316"/>
      <c r="Q37" s="316"/>
      <c r="R37" s="316"/>
      <c r="S37" s="326" t="s">
        <v>816</v>
      </c>
      <c r="T37" s="326" t="s">
        <v>816</v>
      </c>
      <c r="U37" s="326" t="s">
        <v>816</v>
      </c>
      <c r="V37" s="316"/>
      <c r="W37" s="316"/>
      <c r="X37" s="316" t="s">
        <v>862</v>
      </c>
      <c r="Y37" s="316"/>
      <c r="Z37" s="316" t="s">
        <v>1830</v>
      </c>
      <c r="AA37" s="316" t="s">
        <v>863</v>
      </c>
      <c r="AB37" s="316" t="s">
        <v>863</v>
      </c>
      <c r="AC37" s="320" t="s">
        <v>1692</v>
      </c>
      <c r="AD37" s="316"/>
      <c r="AE37" s="316"/>
      <c r="AF37" s="316"/>
      <c r="AG37" s="316">
        <v>1</v>
      </c>
      <c r="AH37" s="316">
        <v>1</v>
      </c>
      <c r="AI37" s="326" t="s">
        <v>816</v>
      </c>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1">
        <v>30</v>
      </c>
      <c r="B38" s="321"/>
      <c r="C38" s="321" t="s">
        <v>1831</v>
      </c>
      <c r="D38" s="321"/>
      <c r="E38" s="321"/>
      <c r="F38" s="321"/>
      <c r="G38" s="321"/>
      <c r="H38" s="322" t="s">
        <v>1726</v>
      </c>
      <c r="I38" s="322" t="s">
        <v>1832</v>
      </c>
      <c r="J38" s="322" t="s">
        <v>1833</v>
      </c>
      <c r="K38" s="322"/>
      <c r="L38" s="322" t="s">
        <v>1834</v>
      </c>
      <c r="M38" s="322"/>
      <c r="N38" s="322" t="s">
        <v>1834</v>
      </c>
      <c r="O38" s="322"/>
      <c r="P38" s="322"/>
      <c r="Q38" s="322"/>
      <c r="R38" s="322"/>
      <c r="S38" s="332" t="s">
        <v>816</v>
      </c>
      <c r="T38" s="333" t="s">
        <v>816</v>
      </c>
      <c r="U38" s="333" t="s">
        <v>816</v>
      </c>
      <c r="V38" s="322"/>
      <c r="W38" s="322"/>
      <c r="X38" s="322" t="s">
        <v>862</v>
      </c>
      <c r="Y38" s="322"/>
      <c r="Z38" s="322" t="s">
        <v>1835</v>
      </c>
      <c r="AA38" s="322" t="s">
        <v>863</v>
      </c>
      <c r="AB38" s="322" t="s">
        <v>863</v>
      </c>
      <c r="AC38" s="320" t="s">
        <v>1692</v>
      </c>
      <c r="AD38" s="322"/>
      <c r="AE38" s="322"/>
      <c r="AF38" s="322"/>
      <c r="AG38" s="322">
        <v>1</v>
      </c>
      <c r="AH38" s="322">
        <v>1</v>
      </c>
      <c r="AI38" s="332" t="s">
        <v>816</v>
      </c>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5">
        <v>31</v>
      </c>
      <c r="B39" s="325"/>
      <c r="C39" s="325" t="s">
        <v>1836</v>
      </c>
      <c r="D39" s="339"/>
      <c r="E39" s="325"/>
      <c r="F39" s="325"/>
      <c r="G39" s="325"/>
      <c r="H39" s="316" t="s">
        <v>1837</v>
      </c>
      <c r="I39" s="316" t="s">
        <v>1838</v>
      </c>
      <c r="J39" s="316">
        <v>2</v>
      </c>
      <c r="K39" s="316" t="s">
        <v>863</v>
      </c>
      <c r="L39" s="316" t="s">
        <v>1839</v>
      </c>
      <c r="M39" s="316"/>
      <c r="N39" s="316" t="s">
        <v>1839</v>
      </c>
      <c r="O39" s="316"/>
      <c r="P39" s="316"/>
      <c r="Q39" s="316"/>
      <c r="R39" s="316"/>
      <c r="S39" s="326" t="s">
        <v>816</v>
      </c>
      <c r="T39" s="326" t="s">
        <v>816</v>
      </c>
      <c r="U39" s="326" t="s">
        <v>816</v>
      </c>
      <c r="V39" s="316"/>
      <c r="W39" s="316"/>
      <c r="X39" s="316" t="s">
        <v>862</v>
      </c>
      <c r="Y39" s="316"/>
      <c r="Z39" s="316" t="s">
        <v>1840</v>
      </c>
      <c r="AA39" s="316" t="s">
        <v>863</v>
      </c>
      <c r="AB39" s="316" t="s">
        <v>863</v>
      </c>
      <c r="AC39" s="320" t="s">
        <v>1692</v>
      </c>
      <c r="AD39" s="316"/>
      <c r="AE39" s="316"/>
      <c r="AF39" s="316"/>
      <c r="AG39" s="316">
        <v>1</v>
      </c>
      <c r="AH39" s="316">
        <v>1</v>
      </c>
      <c r="AI39" s="326" t="s">
        <v>816</v>
      </c>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1">
        <v>32</v>
      </c>
      <c r="B40" s="321"/>
      <c r="C40" s="321" t="s">
        <v>1841</v>
      </c>
      <c r="D40" s="321"/>
      <c r="E40" s="321"/>
      <c r="F40" s="321"/>
      <c r="G40" s="321"/>
      <c r="H40" s="322" t="s">
        <v>1842</v>
      </c>
      <c r="I40" s="322" t="s">
        <v>1843</v>
      </c>
      <c r="J40" s="322">
        <v>100</v>
      </c>
      <c r="K40" s="322"/>
      <c r="L40" s="322" t="s">
        <v>1844</v>
      </c>
      <c r="M40" s="322"/>
      <c r="N40" s="322" t="s">
        <v>1844</v>
      </c>
      <c r="O40" s="322"/>
      <c r="P40" s="322"/>
      <c r="Q40" s="322"/>
      <c r="R40" s="322"/>
      <c r="S40" s="332" t="s">
        <v>816</v>
      </c>
      <c r="T40" s="332" t="s">
        <v>816</v>
      </c>
      <c r="U40" s="332" t="s">
        <v>816</v>
      </c>
      <c r="V40" s="322"/>
      <c r="W40" s="322"/>
      <c r="X40" s="322" t="s">
        <v>1379</v>
      </c>
      <c r="Y40" s="322"/>
      <c r="Z40" s="322"/>
      <c r="AA40" s="322" t="s">
        <v>863</v>
      </c>
      <c r="AB40" s="322" t="s">
        <v>863</v>
      </c>
      <c r="AC40" s="331" t="s">
        <v>1692</v>
      </c>
      <c r="AD40" s="322"/>
      <c r="AE40" s="322"/>
      <c r="AF40" s="322"/>
      <c r="AG40" s="322">
        <v>1</v>
      </c>
      <c r="AH40" s="322">
        <v>1</v>
      </c>
      <c r="AI40" s="332" t="s">
        <v>816</v>
      </c>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5">
        <v>33</v>
      </c>
      <c r="B41" s="325"/>
      <c r="C41" s="325" t="s">
        <v>1845</v>
      </c>
      <c r="D41" s="339"/>
      <c r="E41" s="325"/>
      <c r="F41" s="325"/>
      <c r="G41" s="325"/>
      <c r="H41" s="316" t="s">
        <v>1846</v>
      </c>
      <c r="I41" s="316" t="s">
        <v>1847</v>
      </c>
      <c r="J41" s="316" t="s">
        <v>1848</v>
      </c>
      <c r="K41" s="316" t="s">
        <v>863</v>
      </c>
      <c r="L41" s="316" t="s">
        <v>1849</v>
      </c>
      <c r="M41" s="316"/>
      <c r="N41" s="316" t="s">
        <v>1849</v>
      </c>
      <c r="O41" s="316"/>
      <c r="P41" s="316"/>
      <c r="Q41" s="316"/>
      <c r="R41" s="316"/>
      <c r="S41" s="326" t="s">
        <v>816</v>
      </c>
      <c r="T41" s="326" t="s">
        <v>816</v>
      </c>
      <c r="U41" s="326" t="s">
        <v>816</v>
      </c>
      <c r="V41" s="316"/>
      <c r="W41" s="316"/>
      <c r="X41" s="316" t="s">
        <v>878</v>
      </c>
      <c r="Y41" s="316"/>
      <c r="Z41" s="316" t="s">
        <v>931</v>
      </c>
      <c r="AA41" s="316" t="s">
        <v>863</v>
      </c>
      <c r="AB41" s="316" t="s">
        <v>863</v>
      </c>
      <c r="AC41" s="320" t="s">
        <v>1692</v>
      </c>
      <c r="AD41" s="316"/>
      <c r="AE41" s="316"/>
      <c r="AF41" s="316"/>
      <c r="AG41" s="316">
        <v>1</v>
      </c>
      <c r="AH41" s="316">
        <v>1</v>
      </c>
      <c r="AI41" s="326" t="s">
        <v>816</v>
      </c>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1">
        <v>34</v>
      </c>
      <c r="B42" s="321"/>
      <c r="C42" s="321" t="s">
        <v>1850</v>
      </c>
      <c r="D42" s="338"/>
      <c r="E42" s="321"/>
      <c r="F42" s="321"/>
      <c r="G42" s="321"/>
      <c r="H42" s="322" t="s">
        <v>1851</v>
      </c>
      <c r="I42" s="322" t="s">
        <v>1852</v>
      </c>
      <c r="J42" s="322" t="s">
        <v>1853</v>
      </c>
      <c r="K42" s="322" t="s">
        <v>863</v>
      </c>
      <c r="L42" s="322" t="s">
        <v>1854</v>
      </c>
      <c r="M42" s="322"/>
      <c r="N42" s="322" t="s">
        <v>1854</v>
      </c>
      <c r="O42" s="322"/>
      <c r="P42" s="322"/>
      <c r="Q42" s="322"/>
      <c r="R42" s="322"/>
      <c r="S42" s="332" t="s">
        <v>816</v>
      </c>
      <c r="T42" s="332" t="s">
        <v>816</v>
      </c>
      <c r="U42" s="332" t="s">
        <v>816</v>
      </c>
      <c r="V42" s="322"/>
      <c r="W42" s="322"/>
      <c r="X42" s="322" t="s">
        <v>878</v>
      </c>
      <c r="Y42" s="322"/>
      <c r="Z42" s="322" t="s">
        <v>931</v>
      </c>
      <c r="AA42" s="322" t="s">
        <v>863</v>
      </c>
      <c r="AB42" s="322" t="s">
        <v>863</v>
      </c>
      <c r="AC42" s="320" t="s">
        <v>1692</v>
      </c>
      <c r="AD42" s="322"/>
      <c r="AE42" s="322"/>
      <c r="AF42" s="322"/>
      <c r="AG42" s="322">
        <v>1</v>
      </c>
      <c r="AH42" s="322">
        <v>1</v>
      </c>
      <c r="AI42" s="332" t="s">
        <v>816</v>
      </c>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5">
        <v>35</v>
      </c>
      <c r="B43" s="325"/>
      <c r="C43" s="325" t="s">
        <v>1855</v>
      </c>
      <c r="D43" s="339"/>
      <c r="E43" s="339"/>
      <c r="F43" s="325"/>
      <c r="G43" s="325"/>
      <c r="H43" s="316" t="s">
        <v>1856</v>
      </c>
      <c r="I43" s="316" t="s">
        <v>1857</v>
      </c>
      <c r="J43" s="316" t="s">
        <v>1858</v>
      </c>
      <c r="K43" s="316" t="s">
        <v>863</v>
      </c>
      <c r="L43" s="316" t="s">
        <v>1859</v>
      </c>
      <c r="M43" s="316"/>
      <c r="N43" s="316" t="s">
        <v>1859</v>
      </c>
      <c r="O43" s="316"/>
      <c r="P43" s="316"/>
      <c r="Q43" s="316"/>
      <c r="R43" s="316"/>
      <c r="S43" s="326" t="s">
        <v>816</v>
      </c>
      <c r="T43" s="328" t="s">
        <v>816</v>
      </c>
      <c r="U43" s="328" t="s">
        <v>816</v>
      </c>
      <c r="V43" s="316"/>
      <c r="W43" s="316"/>
      <c r="X43" s="316" t="s">
        <v>878</v>
      </c>
      <c r="Y43" s="316"/>
      <c r="Z43" s="316" t="s">
        <v>931</v>
      </c>
      <c r="AA43" s="316" t="s">
        <v>863</v>
      </c>
      <c r="AB43" s="316" t="s">
        <v>863</v>
      </c>
      <c r="AC43" s="320" t="s">
        <v>1692</v>
      </c>
      <c r="AD43" s="316"/>
      <c r="AE43" s="316"/>
      <c r="AF43" s="316"/>
      <c r="AG43" s="316">
        <v>1</v>
      </c>
      <c r="AH43" s="316">
        <v>1</v>
      </c>
      <c r="AI43" s="326" t="s">
        <v>816</v>
      </c>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1">
        <v>36</v>
      </c>
      <c r="B44" s="321"/>
      <c r="C44" s="321" t="s">
        <v>1860</v>
      </c>
      <c r="D44" s="321"/>
      <c r="E44" s="321"/>
      <c r="F44" s="321"/>
      <c r="G44" s="321"/>
      <c r="H44" s="322" t="s">
        <v>1861</v>
      </c>
      <c r="I44" s="322" t="s">
        <v>1862</v>
      </c>
      <c r="J44" s="322" t="s">
        <v>1863</v>
      </c>
      <c r="K44" s="322" t="s">
        <v>863</v>
      </c>
      <c r="L44" s="322" t="s">
        <v>1864</v>
      </c>
      <c r="M44" s="322"/>
      <c r="N44" s="322" t="s">
        <v>1864</v>
      </c>
      <c r="O44" s="322"/>
      <c r="P44" s="322"/>
      <c r="Q44" s="322"/>
      <c r="R44" s="322"/>
      <c r="S44" s="332" t="s">
        <v>816</v>
      </c>
      <c r="T44" s="332" t="s">
        <v>816</v>
      </c>
      <c r="U44" s="332" t="s">
        <v>816</v>
      </c>
      <c r="V44" s="322"/>
      <c r="W44" s="322"/>
      <c r="X44" s="322" t="s">
        <v>862</v>
      </c>
      <c r="Y44" s="322"/>
      <c r="Z44" s="322" t="s">
        <v>1865</v>
      </c>
      <c r="AA44" s="322" t="s">
        <v>863</v>
      </c>
      <c r="AB44" s="322" t="s">
        <v>863</v>
      </c>
      <c r="AC44" s="320" t="s">
        <v>1692</v>
      </c>
      <c r="AD44" s="322"/>
      <c r="AE44" s="322"/>
      <c r="AF44" s="322"/>
      <c r="AG44" s="322">
        <v>1</v>
      </c>
      <c r="AH44" s="322">
        <v>1</v>
      </c>
      <c r="AI44" s="332" t="s">
        <v>816</v>
      </c>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5">
        <v>37</v>
      </c>
      <c r="B45" s="325"/>
      <c r="C45" s="325" t="s">
        <v>1866</v>
      </c>
      <c r="D45" s="339"/>
      <c r="E45" s="325"/>
      <c r="F45" s="325"/>
      <c r="G45" s="325"/>
      <c r="H45" s="316" t="s">
        <v>1726</v>
      </c>
      <c r="I45" s="316" t="s">
        <v>1867</v>
      </c>
      <c r="J45" s="316" t="s">
        <v>1868</v>
      </c>
      <c r="K45" s="316"/>
      <c r="L45" s="316" t="s">
        <v>1869</v>
      </c>
      <c r="M45" s="316"/>
      <c r="N45" s="316" t="s">
        <v>1869</v>
      </c>
      <c r="O45" s="316"/>
      <c r="P45" s="316"/>
      <c r="Q45" s="316"/>
      <c r="R45" s="316"/>
      <c r="S45" s="326" t="s">
        <v>816</v>
      </c>
      <c r="T45" s="326" t="s">
        <v>816</v>
      </c>
      <c r="U45" s="326" t="s">
        <v>816</v>
      </c>
      <c r="V45" s="316"/>
      <c r="W45" s="316"/>
      <c r="X45" s="316" t="s">
        <v>862</v>
      </c>
      <c r="Y45" s="316"/>
      <c r="Z45" s="316" t="s">
        <v>1870</v>
      </c>
      <c r="AA45" s="316" t="s">
        <v>863</v>
      </c>
      <c r="AB45" s="316" t="s">
        <v>863</v>
      </c>
      <c r="AC45" s="331" t="s">
        <v>1692</v>
      </c>
      <c r="AD45" s="316"/>
      <c r="AE45" s="316"/>
      <c r="AF45" s="316"/>
      <c r="AG45" s="316">
        <v>1</v>
      </c>
      <c r="AH45" s="316">
        <v>1</v>
      </c>
      <c r="AI45" s="326" t="s">
        <v>816</v>
      </c>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1">
        <v>38</v>
      </c>
      <c r="B46" s="321"/>
      <c r="C46" s="321" t="s">
        <v>1871</v>
      </c>
      <c r="D46" s="338"/>
      <c r="E46" s="321"/>
      <c r="F46" s="321"/>
      <c r="G46" s="321"/>
      <c r="H46" s="322" t="s">
        <v>1872</v>
      </c>
      <c r="I46" s="322" t="s">
        <v>1873</v>
      </c>
      <c r="J46" s="329"/>
      <c r="K46" s="322"/>
      <c r="L46" s="322" t="s">
        <v>1874</v>
      </c>
      <c r="M46" s="322"/>
      <c r="N46" s="322" t="s">
        <v>1874</v>
      </c>
      <c r="O46" s="322"/>
      <c r="P46" s="322"/>
      <c r="Q46" s="322"/>
      <c r="R46" s="322"/>
      <c r="S46" s="330" t="s">
        <v>822</v>
      </c>
      <c r="T46" s="330" t="s">
        <v>822</v>
      </c>
      <c r="U46" s="330" t="s">
        <v>822</v>
      </c>
      <c r="V46" s="322"/>
      <c r="W46" s="322" t="s">
        <v>863</v>
      </c>
      <c r="X46" s="322" t="s">
        <v>1875</v>
      </c>
      <c r="Y46" s="322"/>
      <c r="Z46" s="322"/>
      <c r="AA46" s="322" t="s">
        <v>863</v>
      </c>
      <c r="AB46" s="322" t="s">
        <v>863</v>
      </c>
      <c r="AC46" s="320" t="s">
        <v>1692</v>
      </c>
      <c r="AD46" s="322"/>
      <c r="AE46" s="322"/>
      <c r="AF46" s="322"/>
      <c r="AG46" s="322">
        <v>1</v>
      </c>
      <c r="AH46" s="322">
        <v>1</v>
      </c>
      <c r="AI46" s="330" t="s">
        <v>822</v>
      </c>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5">
        <v>39</v>
      </c>
      <c r="B47" s="325"/>
      <c r="C47" s="325"/>
      <c r="D47" s="325" t="s">
        <v>1876</v>
      </c>
      <c r="E47" s="325"/>
      <c r="F47" s="325"/>
      <c r="G47" s="325"/>
      <c r="H47" s="316" t="s">
        <v>1877</v>
      </c>
      <c r="I47" s="316" t="s">
        <v>1878</v>
      </c>
      <c r="J47" s="316" t="s">
        <v>1879</v>
      </c>
      <c r="K47" s="316"/>
      <c r="L47" s="316" t="s">
        <v>1761</v>
      </c>
      <c r="M47" s="316"/>
      <c r="N47" s="316" t="s">
        <v>1761</v>
      </c>
      <c r="O47" s="316"/>
      <c r="P47" s="316"/>
      <c r="Q47" s="316"/>
      <c r="R47" s="316"/>
      <c r="S47" s="319" t="s">
        <v>819</v>
      </c>
      <c r="T47" s="319" t="s">
        <v>819</v>
      </c>
      <c r="U47" s="319" t="s">
        <v>819</v>
      </c>
      <c r="V47" s="316"/>
      <c r="W47" s="316"/>
      <c r="X47" s="316" t="s">
        <v>862</v>
      </c>
      <c r="Y47" s="316"/>
      <c r="Z47" s="316"/>
      <c r="AA47" s="316" t="s">
        <v>863</v>
      </c>
      <c r="AB47" s="316" t="s">
        <v>863</v>
      </c>
      <c r="AC47" s="320" t="s">
        <v>1692</v>
      </c>
      <c r="AD47" s="316"/>
      <c r="AE47" s="316"/>
      <c r="AF47" s="316"/>
      <c r="AG47" s="316">
        <v>1</v>
      </c>
      <c r="AH47" s="316">
        <v>1</v>
      </c>
      <c r="AI47" s="319" t="s">
        <v>819</v>
      </c>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1">
        <v>40</v>
      </c>
      <c r="B48" s="321"/>
      <c r="C48" s="321"/>
      <c r="D48" s="321" t="s">
        <v>1880</v>
      </c>
      <c r="E48" s="321"/>
      <c r="F48" s="321"/>
      <c r="G48" s="321"/>
      <c r="H48" s="322" t="s">
        <v>1881</v>
      </c>
      <c r="I48" s="322" t="s">
        <v>1882</v>
      </c>
      <c r="J48" s="322"/>
      <c r="K48" s="322"/>
      <c r="L48" s="322" t="s">
        <v>1883</v>
      </c>
      <c r="M48" s="322"/>
      <c r="N48" s="322" t="s">
        <v>1883</v>
      </c>
      <c r="O48" s="322"/>
      <c r="P48" s="322"/>
      <c r="Q48" s="322"/>
      <c r="R48" s="322"/>
      <c r="S48" s="322" t="s">
        <v>892</v>
      </c>
      <c r="T48" s="340" t="s">
        <v>892</v>
      </c>
      <c r="U48" s="340" t="s">
        <v>892</v>
      </c>
      <c r="V48" s="322"/>
      <c r="W48" s="322"/>
      <c r="X48" s="322" t="s">
        <v>862</v>
      </c>
      <c r="Y48" s="322"/>
      <c r="Z48" s="322"/>
      <c r="AA48" s="322" t="s">
        <v>863</v>
      </c>
      <c r="AB48" s="322" t="s">
        <v>863</v>
      </c>
      <c r="AC48" s="320" t="s">
        <v>1692</v>
      </c>
      <c r="AD48" s="322"/>
      <c r="AE48" s="322"/>
      <c r="AF48" s="322"/>
      <c r="AG48" s="322">
        <v>1</v>
      </c>
      <c r="AH48" s="322">
        <v>1</v>
      </c>
      <c r="AI48" s="322" t="s">
        <v>892</v>
      </c>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1">
        <v>41</v>
      </c>
      <c r="B49" s="341"/>
      <c r="C49" s="341" t="s">
        <v>1884</v>
      </c>
      <c r="D49" s="342"/>
      <c r="E49" s="342"/>
      <c r="F49" s="342"/>
      <c r="G49" s="342"/>
      <c r="H49" s="316" t="s">
        <v>1885</v>
      </c>
      <c r="I49" s="316" t="s">
        <v>1886</v>
      </c>
      <c r="J49" s="337"/>
      <c r="K49" s="316"/>
      <c r="L49" s="316" t="s">
        <v>1887</v>
      </c>
      <c r="M49" s="316"/>
      <c r="N49" s="316" t="s">
        <v>1887</v>
      </c>
      <c r="O49" s="316"/>
      <c r="P49" s="316"/>
      <c r="Q49" s="316"/>
      <c r="R49" s="316"/>
      <c r="S49" s="343" t="s">
        <v>822</v>
      </c>
      <c r="T49" s="343" t="s">
        <v>822</v>
      </c>
      <c r="U49" s="343" t="s">
        <v>822</v>
      </c>
      <c r="V49" s="316"/>
      <c r="W49" s="316" t="s">
        <v>863</v>
      </c>
      <c r="X49" s="316" t="s">
        <v>1888</v>
      </c>
      <c r="Y49" s="316"/>
      <c r="Z49" s="316"/>
      <c r="AA49" s="316" t="s">
        <v>863</v>
      </c>
      <c r="AB49" s="316" t="s">
        <v>863</v>
      </c>
      <c r="AC49" s="320" t="s">
        <v>1692</v>
      </c>
      <c r="AD49" s="316"/>
      <c r="AE49" s="316"/>
      <c r="AF49" s="316"/>
      <c r="AG49" s="316"/>
      <c r="AH49" s="316"/>
      <c r="AI49" s="343" t="s">
        <v>822</v>
      </c>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4">
        <v>42</v>
      </c>
      <c r="B50" s="344"/>
      <c r="C50" s="344"/>
      <c r="D50" s="344" t="s">
        <v>1702</v>
      </c>
      <c r="E50" s="344"/>
      <c r="F50" s="344"/>
      <c r="G50" s="344"/>
      <c r="H50" s="322" t="s">
        <v>1889</v>
      </c>
      <c r="I50" s="322" t="s">
        <v>1890</v>
      </c>
      <c r="J50" s="322" t="s">
        <v>1891</v>
      </c>
      <c r="K50" s="322"/>
      <c r="L50" s="322" t="s">
        <v>1705</v>
      </c>
      <c r="M50" s="322"/>
      <c r="N50" s="322" t="s">
        <v>1705</v>
      </c>
      <c r="O50" s="322"/>
      <c r="P50" s="322"/>
      <c r="Q50" s="322"/>
      <c r="R50" s="322"/>
      <c r="S50" s="324" t="s">
        <v>819</v>
      </c>
      <c r="T50" s="324" t="s">
        <v>819</v>
      </c>
      <c r="U50" s="324" t="s">
        <v>819</v>
      </c>
      <c r="V50" s="322"/>
      <c r="W50" s="322"/>
      <c r="X50" s="322" t="s">
        <v>862</v>
      </c>
      <c r="Y50" s="322"/>
      <c r="Z50" s="322"/>
      <c r="AA50" s="322" t="s">
        <v>863</v>
      </c>
      <c r="AB50" s="322" t="s">
        <v>863</v>
      </c>
      <c r="AC50" s="331" t="s">
        <v>1692</v>
      </c>
      <c r="AD50" s="322"/>
      <c r="AE50" s="322"/>
      <c r="AF50" s="322"/>
      <c r="AG50" s="322"/>
      <c r="AH50" s="322"/>
      <c r="AI50" s="324" t="s">
        <v>819</v>
      </c>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1">
        <v>43</v>
      </c>
      <c r="B51" s="341"/>
      <c r="C51" s="341"/>
      <c r="D51" s="341" t="s">
        <v>1892</v>
      </c>
      <c r="E51" s="345"/>
      <c r="F51" s="341"/>
      <c r="G51" s="341"/>
      <c r="H51" s="316" t="s">
        <v>1726</v>
      </c>
      <c r="I51" s="316" t="s">
        <v>1893</v>
      </c>
      <c r="J51" s="316" t="s">
        <v>1894</v>
      </c>
      <c r="K51" s="316"/>
      <c r="L51" s="316" t="s">
        <v>1895</v>
      </c>
      <c r="M51" s="316"/>
      <c r="N51" s="316" t="s">
        <v>1895</v>
      </c>
      <c r="O51" s="316"/>
      <c r="P51" s="316"/>
      <c r="Q51" s="316"/>
      <c r="R51" s="316"/>
      <c r="S51" s="326" t="s">
        <v>816</v>
      </c>
      <c r="T51" s="326" t="s">
        <v>816</v>
      </c>
      <c r="U51" s="326" t="s">
        <v>816</v>
      </c>
      <c r="V51" s="316"/>
      <c r="W51" s="316"/>
      <c r="X51" s="316" t="s">
        <v>878</v>
      </c>
      <c r="Y51" s="316"/>
      <c r="Z51" s="316" t="s">
        <v>931</v>
      </c>
      <c r="AA51" s="316" t="s">
        <v>863</v>
      </c>
      <c r="AB51" s="316" t="s">
        <v>863</v>
      </c>
      <c r="AC51" s="320" t="s">
        <v>1692</v>
      </c>
      <c r="AD51" s="316"/>
      <c r="AE51" s="316"/>
      <c r="AF51" s="316"/>
      <c r="AG51" s="316"/>
      <c r="AH51" s="316"/>
      <c r="AI51" s="326" t="s">
        <v>816</v>
      </c>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4">
        <v>44</v>
      </c>
      <c r="B52" s="344"/>
      <c r="C52" s="344"/>
      <c r="D52" s="344" t="s">
        <v>1896</v>
      </c>
      <c r="E52" s="344"/>
      <c r="F52" s="344"/>
      <c r="G52" s="344"/>
      <c r="H52" s="322" t="s">
        <v>1726</v>
      </c>
      <c r="I52" s="322" t="s">
        <v>1897</v>
      </c>
      <c r="J52" s="322">
        <v>0</v>
      </c>
      <c r="K52" s="322"/>
      <c r="L52" s="322" t="s">
        <v>1898</v>
      </c>
      <c r="M52" s="322"/>
      <c r="N52" s="322" t="s">
        <v>1898</v>
      </c>
      <c r="O52" s="322"/>
      <c r="P52" s="322"/>
      <c r="Q52" s="322"/>
      <c r="R52" s="322"/>
      <c r="S52" s="332" t="s">
        <v>816</v>
      </c>
      <c r="T52" s="332" t="s">
        <v>816</v>
      </c>
      <c r="U52" s="332" t="s">
        <v>816</v>
      </c>
      <c r="V52" s="322"/>
      <c r="W52" s="322"/>
      <c r="X52" s="322" t="s">
        <v>1379</v>
      </c>
      <c r="Y52" s="322"/>
      <c r="Z52" s="322"/>
      <c r="AA52" s="322" t="s">
        <v>863</v>
      </c>
      <c r="AB52" s="322" t="s">
        <v>863</v>
      </c>
      <c r="AC52" s="320" t="s">
        <v>1692</v>
      </c>
      <c r="AD52" s="322"/>
      <c r="AE52" s="322"/>
      <c r="AF52" s="322"/>
      <c r="AG52" s="322"/>
      <c r="AH52" s="322"/>
      <c r="AI52" s="332" t="s">
        <v>816</v>
      </c>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1">
        <v>45</v>
      </c>
      <c r="B53" s="341"/>
      <c r="C53" s="341"/>
      <c r="D53" s="341" t="s">
        <v>1899</v>
      </c>
      <c r="E53" s="341"/>
      <c r="F53" s="341"/>
      <c r="G53" s="341"/>
      <c r="H53" s="316" t="s">
        <v>1900</v>
      </c>
      <c r="I53" s="316" t="s">
        <v>1901</v>
      </c>
      <c r="J53" s="316">
        <v>0</v>
      </c>
      <c r="K53" s="316"/>
      <c r="L53" s="316" t="s">
        <v>1902</v>
      </c>
      <c r="M53" s="316"/>
      <c r="N53" s="316" t="s">
        <v>1902</v>
      </c>
      <c r="O53" s="316"/>
      <c r="P53" s="316"/>
      <c r="Q53" s="316"/>
      <c r="R53" s="316"/>
      <c r="S53" s="326" t="s">
        <v>816</v>
      </c>
      <c r="T53" s="328" t="s">
        <v>816</v>
      </c>
      <c r="U53" s="328" t="s">
        <v>816</v>
      </c>
      <c r="V53" s="316"/>
      <c r="W53" s="316"/>
      <c r="X53" s="316" t="s">
        <v>1379</v>
      </c>
      <c r="Y53" s="316"/>
      <c r="Z53" s="316"/>
      <c r="AA53" s="316" t="s">
        <v>863</v>
      </c>
      <c r="AB53" s="316" t="s">
        <v>863</v>
      </c>
      <c r="AC53" s="320" t="s">
        <v>1692</v>
      </c>
      <c r="AD53" s="316"/>
      <c r="AE53" s="316"/>
      <c r="AF53" s="316"/>
      <c r="AG53" s="316"/>
      <c r="AH53" s="316"/>
      <c r="AI53" s="326" t="s">
        <v>816</v>
      </c>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4">
        <v>46</v>
      </c>
      <c r="B54" s="344"/>
      <c r="C54" s="344"/>
      <c r="D54" s="344" t="s">
        <v>1903</v>
      </c>
      <c r="E54" s="344"/>
      <c r="F54" s="344"/>
      <c r="G54" s="344"/>
      <c r="H54" s="322" t="s">
        <v>1726</v>
      </c>
      <c r="I54" s="322" t="s">
        <v>1904</v>
      </c>
      <c r="J54" s="322">
        <v>1</v>
      </c>
      <c r="K54" s="322"/>
      <c r="L54" s="322" t="s">
        <v>1905</v>
      </c>
      <c r="M54" s="322"/>
      <c r="N54" s="322" t="s">
        <v>1905</v>
      </c>
      <c r="O54" s="322"/>
      <c r="P54" s="322"/>
      <c r="Q54" s="322"/>
      <c r="R54" s="322"/>
      <c r="S54" s="332" t="s">
        <v>816</v>
      </c>
      <c r="T54" s="332" t="s">
        <v>816</v>
      </c>
      <c r="U54" s="332" t="s">
        <v>816</v>
      </c>
      <c r="V54" s="322"/>
      <c r="W54" s="322"/>
      <c r="X54" s="322" t="s">
        <v>1379</v>
      </c>
      <c r="Y54" s="322"/>
      <c r="Z54" s="322"/>
      <c r="AA54" s="322" t="s">
        <v>863</v>
      </c>
      <c r="AB54" s="322" t="s">
        <v>863</v>
      </c>
      <c r="AC54" s="320" t="s">
        <v>1692</v>
      </c>
      <c r="AD54" s="322"/>
      <c r="AE54" s="322"/>
      <c r="AF54" s="322"/>
      <c r="AG54" s="322"/>
      <c r="AH54" s="322"/>
      <c r="AI54" s="332" t="s">
        <v>816</v>
      </c>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1">
        <v>47</v>
      </c>
      <c r="B55" s="341"/>
      <c r="C55" s="341"/>
      <c r="D55" s="341" t="s">
        <v>1906</v>
      </c>
      <c r="E55" s="341"/>
      <c r="F55" s="341"/>
      <c r="G55" s="341"/>
      <c r="H55" s="316" t="s">
        <v>1726</v>
      </c>
      <c r="I55" s="316" t="s">
        <v>1907</v>
      </c>
      <c r="J55" s="316">
        <v>0</v>
      </c>
      <c r="K55" s="316"/>
      <c r="L55" s="316" t="s">
        <v>1908</v>
      </c>
      <c r="M55" s="316"/>
      <c r="N55" s="316" t="s">
        <v>1908</v>
      </c>
      <c r="O55" s="316"/>
      <c r="P55" s="316"/>
      <c r="Q55" s="316"/>
      <c r="R55" s="316"/>
      <c r="S55" s="326" t="s">
        <v>816</v>
      </c>
      <c r="T55" s="326" t="s">
        <v>816</v>
      </c>
      <c r="U55" s="326" t="s">
        <v>816</v>
      </c>
      <c r="V55" s="316"/>
      <c r="W55" s="316"/>
      <c r="X55" s="316" t="s">
        <v>1379</v>
      </c>
      <c r="Y55" s="316"/>
      <c r="Z55" s="316"/>
      <c r="AA55" s="316" t="s">
        <v>863</v>
      </c>
      <c r="AB55" s="316" t="s">
        <v>863</v>
      </c>
      <c r="AC55" s="331" t="s">
        <v>1692</v>
      </c>
      <c r="AD55" s="316"/>
      <c r="AE55" s="316"/>
      <c r="AF55" s="316"/>
      <c r="AG55" s="316"/>
      <c r="AH55" s="316"/>
      <c r="AI55" s="326" t="s">
        <v>816</v>
      </c>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4">
        <v>48</v>
      </c>
      <c r="B56" s="344"/>
      <c r="C56" s="344"/>
      <c r="D56" s="344" t="s">
        <v>1909</v>
      </c>
      <c r="E56" s="344"/>
      <c r="F56" s="344"/>
      <c r="G56" s="344"/>
      <c r="H56" s="322" t="s">
        <v>1726</v>
      </c>
      <c r="I56" s="322" t="s">
        <v>1910</v>
      </c>
      <c r="J56" s="322">
        <v>0</v>
      </c>
      <c r="K56" s="322"/>
      <c r="L56" s="322" t="s">
        <v>1911</v>
      </c>
      <c r="M56" s="322"/>
      <c r="N56" s="322" t="s">
        <v>1911</v>
      </c>
      <c r="O56" s="322"/>
      <c r="P56" s="322"/>
      <c r="Q56" s="322"/>
      <c r="R56" s="322"/>
      <c r="S56" s="332" t="s">
        <v>816</v>
      </c>
      <c r="T56" s="332" t="s">
        <v>816</v>
      </c>
      <c r="U56" s="332" t="s">
        <v>816</v>
      </c>
      <c r="V56" s="322"/>
      <c r="W56" s="322"/>
      <c r="X56" s="322" t="s">
        <v>1379</v>
      </c>
      <c r="Y56" s="322"/>
      <c r="Z56" s="322"/>
      <c r="AA56" s="322" t="s">
        <v>863</v>
      </c>
      <c r="AB56" s="322" t="s">
        <v>863</v>
      </c>
      <c r="AC56" s="320" t="s">
        <v>1692</v>
      </c>
      <c r="AD56" s="322"/>
      <c r="AE56" s="322"/>
      <c r="AF56" s="322"/>
      <c r="AG56" s="322"/>
      <c r="AH56" s="322"/>
      <c r="AI56" s="332" t="s">
        <v>816</v>
      </c>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1">
        <v>49</v>
      </c>
      <c r="B57" s="341"/>
      <c r="C57" s="341"/>
      <c r="D57" s="341" t="s">
        <v>1912</v>
      </c>
      <c r="E57" s="341"/>
      <c r="F57" s="341"/>
      <c r="G57" s="341"/>
      <c r="H57" s="316" t="s">
        <v>1726</v>
      </c>
      <c r="I57" s="316" t="s">
        <v>1913</v>
      </c>
      <c r="J57" s="316">
        <v>0</v>
      </c>
      <c r="K57" s="316"/>
      <c r="L57" s="316" t="s">
        <v>1914</v>
      </c>
      <c r="M57" s="316"/>
      <c r="N57" s="316" t="s">
        <v>1914</v>
      </c>
      <c r="O57" s="316"/>
      <c r="P57" s="316"/>
      <c r="Q57" s="316"/>
      <c r="R57" s="316"/>
      <c r="S57" s="326" t="s">
        <v>816</v>
      </c>
      <c r="T57" s="326" t="s">
        <v>816</v>
      </c>
      <c r="U57" s="326" t="s">
        <v>816</v>
      </c>
      <c r="V57" s="316"/>
      <c r="W57" s="316"/>
      <c r="X57" s="316" t="s">
        <v>1379</v>
      </c>
      <c r="Y57" s="316"/>
      <c r="Z57" s="316"/>
      <c r="AA57" s="316" t="s">
        <v>863</v>
      </c>
      <c r="AB57" s="316" t="s">
        <v>863</v>
      </c>
      <c r="AC57" s="320" t="s">
        <v>1692</v>
      </c>
      <c r="AD57" s="316"/>
      <c r="AE57" s="316"/>
      <c r="AF57" s="316"/>
      <c r="AG57" s="316"/>
      <c r="AH57" s="316"/>
      <c r="AI57" s="326" t="s">
        <v>816</v>
      </c>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4">
        <v>50</v>
      </c>
      <c r="B58" s="344"/>
      <c r="C58" s="344" t="s">
        <v>1915</v>
      </c>
      <c r="D58" s="346"/>
      <c r="E58" s="346"/>
      <c r="F58" s="346"/>
      <c r="G58" s="346"/>
      <c r="H58" s="322" t="s">
        <v>1726</v>
      </c>
      <c r="I58" s="322" t="s">
        <v>1916</v>
      </c>
      <c r="J58" s="329"/>
      <c r="K58" s="322"/>
      <c r="L58" s="322" t="s">
        <v>1917</v>
      </c>
      <c r="M58" s="322"/>
      <c r="N58" s="322" t="s">
        <v>1917</v>
      </c>
      <c r="O58" s="322"/>
      <c r="P58" s="322"/>
      <c r="Q58" s="322"/>
      <c r="R58" s="322"/>
      <c r="S58" s="330" t="s">
        <v>822</v>
      </c>
      <c r="T58" s="347" t="s">
        <v>822</v>
      </c>
      <c r="U58" s="347" t="s">
        <v>822</v>
      </c>
      <c r="V58" s="322"/>
      <c r="W58" s="322" t="s">
        <v>863</v>
      </c>
      <c r="X58" s="322" t="s">
        <v>1918</v>
      </c>
      <c r="Y58" s="322"/>
      <c r="Z58" s="322"/>
      <c r="AA58" s="322" t="s">
        <v>863</v>
      </c>
      <c r="AB58" s="322" t="s">
        <v>863</v>
      </c>
      <c r="AC58" s="320" t="s">
        <v>1692</v>
      </c>
      <c r="AD58" s="322"/>
      <c r="AE58" s="322"/>
      <c r="AF58" s="322"/>
      <c r="AG58" s="322"/>
      <c r="AH58" s="322"/>
      <c r="AI58" s="330" t="s">
        <v>822</v>
      </c>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1">
        <v>51</v>
      </c>
      <c r="B59" s="341"/>
      <c r="C59" s="341"/>
      <c r="D59" s="341" t="s">
        <v>1919</v>
      </c>
      <c r="E59" s="341"/>
      <c r="F59" s="341"/>
      <c r="G59" s="341"/>
      <c r="H59" s="316" t="s">
        <v>1726</v>
      </c>
      <c r="I59" s="316" t="s">
        <v>1920</v>
      </c>
      <c r="J59" s="316" t="s">
        <v>1921</v>
      </c>
      <c r="K59" s="316"/>
      <c r="L59" s="316" t="s">
        <v>1895</v>
      </c>
      <c r="M59" s="316"/>
      <c r="N59" s="316" t="s">
        <v>1895</v>
      </c>
      <c r="O59" s="316"/>
      <c r="P59" s="316"/>
      <c r="Q59" s="316"/>
      <c r="R59" s="316"/>
      <c r="S59" s="326" t="s">
        <v>816</v>
      </c>
      <c r="T59" s="326" t="s">
        <v>816</v>
      </c>
      <c r="U59" s="326" t="s">
        <v>816</v>
      </c>
      <c r="V59" s="316"/>
      <c r="W59" s="316"/>
      <c r="X59" s="316" t="s">
        <v>878</v>
      </c>
      <c r="Y59" s="316"/>
      <c r="Z59" s="316" t="s">
        <v>931</v>
      </c>
      <c r="AA59" s="316" t="s">
        <v>863</v>
      </c>
      <c r="AB59" s="316" t="s">
        <v>863</v>
      </c>
      <c r="AC59" s="320" t="s">
        <v>1692</v>
      </c>
      <c r="AD59" s="316"/>
      <c r="AE59" s="316"/>
      <c r="AF59" s="316"/>
      <c r="AG59" s="316"/>
      <c r="AH59" s="316"/>
      <c r="AI59" s="326" t="s">
        <v>816</v>
      </c>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4">
        <v>52</v>
      </c>
      <c r="B60" s="344"/>
      <c r="C60" s="344"/>
      <c r="D60" s="344" t="s">
        <v>1922</v>
      </c>
      <c r="E60" s="344"/>
      <c r="F60" s="344"/>
      <c r="G60" s="344"/>
      <c r="H60" s="322" t="s">
        <v>1726</v>
      </c>
      <c r="I60" s="322" t="s">
        <v>1923</v>
      </c>
      <c r="J60" s="322">
        <v>0</v>
      </c>
      <c r="K60" s="322"/>
      <c r="L60" s="322" t="s">
        <v>1924</v>
      </c>
      <c r="M60" s="322"/>
      <c r="N60" s="322" t="s">
        <v>1924</v>
      </c>
      <c r="O60" s="322"/>
      <c r="P60" s="322"/>
      <c r="Q60" s="322"/>
      <c r="R60" s="322"/>
      <c r="S60" s="332" t="s">
        <v>816</v>
      </c>
      <c r="T60" s="332" t="s">
        <v>816</v>
      </c>
      <c r="U60" s="332" t="s">
        <v>816</v>
      </c>
      <c r="V60" s="322"/>
      <c r="W60" s="322"/>
      <c r="X60" s="322" t="s">
        <v>1379</v>
      </c>
      <c r="Y60" s="322"/>
      <c r="Z60" s="322"/>
      <c r="AA60" s="322" t="s">
        <v>863</v>
      </c>
      <c r="AB60" s="322" t="s">
        <v>863</v>
      </c>
      <c r="AC60" s="331" t="s">
        <v>1692</v>
      </c>
      <c r="AD60" s="322"/>
      <c r="AE60" s="322"/>
      <c r="AF60" s="322"/>
      <c r="AG60" s="322"/>
      <c r="AH60" s="322"/>
      <c r="AI60" s="332" t="s">
        <v>816</v>
      </c>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1">
        <v>53</v>
      </c>
      <c r="B61" s="341"/>
      <c r="C61" s="341"/>
      <c r="D61" s="341" t="s">
        <v>1925</v>
      </c>
      <c r="E61" s="341"/>
      <c r="F61" s="341"/>
      <c r="G61" s="341"/>
      <c r="H61" s="316" t="s">
        <v>1726</v>
      </c>
      <c r="I61" s="316" t="s">
        <v>1926</v>
      </c>
      <c r="J61" s="316">
        <v>1</v>
      </c>
      <c r="K61" s="316"/>
      <c r="L61" s="316" t="s">
        <v>1927</v>
      </c>
      <c r="M61" s="316"/>
      <c r="N61" s="316" t="s">
        <v>1927</v>
      </c>
      <c r="O61" s="316"/>
      <c r="P61" s="316"/>
      <c r="Q61" s="316"/>
      <c r="R61" s="316"/>
      <c r="S61" s="326" t="s">
        <v>816</v>
      </c>
      <c r="T61" s="326" t="s">
        <v>816</v>
      </c>
      <c r="U61" s="326" t="s">
        <v>816</v>
      </c>
      <c r="V61" s="316"/>
      <c r="W61" s="316"/>
      <c r="X61" s="316" t="s">
        <v>1379</v>
      </c>
      <c r="Y61" s="316"/>
      <c r="Z61" s="316"/>
      <c r="AA61" s="316" t="s">
        <v>863</v>
      </c>
      <c r="AB61" s="316" t="s">
        <v>863</v>
      </c>
      <c r="AC61" s="320" t="s">
        <v>1692</v>
      </c>
      <c r="AD61" s="316"/>
      <c r="AE61" s="316"/>
      <c r="AF61" s="316"/>
      <c r="AG61" s="316"/>
      <c r="AH61" s="316"/>
      <c r="AI61" s="326" t="s">
        <v>816</v>
      </c>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1">
        <v>54</v>
      </c>
      <c r="B62" s="321"/>
      <c r="C62" s="321" t="s">
        <v>1928</v>
      </c>
      <c r="D62" s="321"/>
      <c r="E62" s="321"/>
      <c r="F62" s="321"/>
      <c r="G62" s="321"/>
      <c r="H62" s="322" t="s">
        <v>1929</v>
      </c>
      <c r="I62" s="322" t="s">
        <v>1930</v>
      </c>
      <c r="J62" s="329"/>
      <c r="K62" s="322" t="s">
        <v>863</v>
      </c>
      <c r="L62" s="322" t="s">
        <v>1931</v>
      </c>
      <c r="M62" s="322"/>
      <c r="N62" s="322" t="s">
        <v>1931</v>
      </c>
      <c r="O62" s="322"/>
      <c r="P62" s="322"/>
      <c r="Q62" s="322"/>
      <c r="R62" s="322"/>
      <c r="S62" s="330" t="s">
        <v>822</v>
      </c>
      <c r="T62" s="330" t="s">
        <v>822</v>
      </c>
      <c r="U62" s="330" t="s">
        <v>822</v>
      </c>
      <c r="V62" s="322"/>
      <c r="W62" s="322" t="s">
        <v>863</v>
      </c>
      <c r="X62" s="322" t="s">
        <v>1932</v>
      </c>
      <c r="Y62" s="322"/>
      <c r="Z62" s="322"/>
      <c r="AA62" s="322" t="s">
        <v>863</v>
      </c>
      <c r="AB62" s="322" t="s">
        <v>863</v>
      </c>
      <c r="AC62" s="320" t="s">
        <v>1692</v>
      </c>
      <c r="AD62" s="322"/>
      <c r="AE62" s="322"/>
      <c r="AF62" s="322"/>
      <c r="AG62" s="322">
        <v>1</v>
      </c>
      <c r="AH62" s="322">
        <v>1</v>
      </c>
      <c r="AI62" s="330" t="s">
        <v>822</v>
      </c>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5">
        <v>55</v>
      </c>
      <c r="B63" s="325"/>
      <c r="C63" s="325"/>
      <c r="D63" s="325" t="s">
        <v>1933</v>
      </c>
      <c r="E63" s="339"/>
      <c r="F63" s="325"/>
      <c r="G63" s="325"/>
      <c r="H63" s="316" t="s">
        <v>1934</v>
      </c>
      <c r="I63" s="316" t="s">
        <v>1935</v>
      </c>
      <c r="J63" s="316" t="s">
        <v>1858</v>
      </c>
      <c r="K63" s="316" t="s">
        <v>863</v>
      </c>
      <c r="L63" s="316" t="s">
        <v>1895</v>
      </c>
      <c r="M63" s="316"/>
      <c r="N63" s="316" t="s">
        <v>1895</v>
      </c>
      <c r="O63" s="316"/>
      <c r="P63" s="316"/>
      <c r="Q63" s="316"/>
      <c r="R63" s="316"/>
      <c r="S63" s="326" t="s">
        <v>816</v>
      </c>
      <c r="T63" s="328" t="s">
        <v>816</v>
      </c>
      <c r="U63" s="328" t="s">
        <v>816</v>
      </c>
      <c r="V63" s="316"/>
      <c r="W63" s="316"/>
      <c r="X63" s="316" t="s">
        <v>878</v>
      </c>
      <c r="Y63" s="316"/>
      <c r="Z63" s="316" t="s">
        <v>931</v>
      </c>
      <c r="AA63" s="316" t="s">
        <v>863</v>
      </c>
      <c r="AB63" s="316" t="s">
        <v>863</v>
      </c>
      <c r="AC63" s="320" t="s">
        <v>1692</v>
      </c>
      <c r="AD63" s="316"/>
      <c r="AE63" s="316"/>
      <c r="AF63" s="316"/>
      <c r="AG63" s="316">
        <v>1</v>
      </c>
      <c r="AH63" s="316">
        <v>1</v>
      </c>
      <c r="AI63" s="326" t="s">
        <v>816</v>
      </c>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5">
        <v>56</v>
      </c>
      <c r="B64" s="335"/>
      <c r="C64" s="335"/>
      <c r="D64" s="335" t="s">
        <v>1821</v>
      </c>
      <c r="E64" s="335"/>
      <c r="F64" s="335"/>
      <c r="G64" s="335"/>
      <c r="H64" s="322" t="s">
        <v>1936</v>
      </c>
      <c r="I64" s="322" t="s">
        <v>1937</v>
      </c>
      <c r="J64" s="322" t="s">
        <v>1938</v>
      </c>
      <c r="K64" s="322" t="s">
        <v>863</v>
      </c>
      <c r="L64" s="322" t="s">
        <v>1782</v>
      </c>
      <c r="M64" s="322"/>
      <c r="N64" s="322" t="s">
        <v>1782</v>
      </c>
      <c r="O64" s="322"/>
      <c r="P64" s="322"/>
      <c r="Q64" s="322"/>
      <c r="R64" s="322"/>
      <c r="S64" s="326" t="s">
        <v>816</v>
      </c>
      <c r="T64" s="324" t="s">
        <v>819</v>
      </c>
      <c r="U64" s="324" t="s">
        <v>819</v>
      </c>
      <c r="V64" s="322"/>
      <c r="W64" s="322"/>
      <c r="X64" s="322" t="s">
        <v>862</v>
      </c>
      <c r="Y64" s="322"/>
      <c r="Z64" s="322" t="s">
        <v>1939</v>
      </c>
      <c r="AA64" s="322" t="s">
        <v>863</v>
      </c>
      <c r="AB64" s="322" t="s">
        <v>863</v>
      </c>
      <c r="AC64" s="320" t="s">
        <v>1692</v>
      </c>
      <c r="AD64" s="322"/>
      <c r="AE64" s="322"/>
      <c r="AF64" s="322"/>
      <c r="AG64" s="322">
        <v>1</v>
      </c>
      <c r="AH64" s="322"/>
      <c r="AI64" s="326" t="s">
        <v>816</v>
      </c>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5">
        <v>57</v>
      </c>
      <c r="B65" s="315"/>
      <c r="C65" s="315"/>
      <c r="D65" s="315" t="s">
        <v>1940</v>
      </c>
      <c r="E65" s="315"/>
      <c r="F65" s="315"/>
      <c r="G65" s="315"/>
      <c r="H65" s="316" t="s">
        <v>1934</v>
      </c>
      <c r="I65" s="316" t="s">
        <v>1941</v>
      </c>
      <c r="J65" s="316" t="s">
        <v>1942</v>
      </c>
      <c r="K65" s="316"/>
      <c r="L65" s="316" t="s">
        <v>1943</v>
      </c>
      <c r="M65" s="316"/>
      <c r="N65" s="316" t="s">
        <v>1943</v>
      </c>
      <c r="O65" s="316"/>
      <c r="P65" s="316"/>
      <c r="Q65" s="316"/>
      <c r="R65" s="316"/>
      <c r="S65" s="343" t="s">
        <v>822</v>
      </c>
      <c r="T65" s="343" t="s">
        <v>822</v>
      </c>
      <c r="U65" s="343" t="s">
        <v>822</v>
      </c>
      <c r="V65" s="316"/>
      <c r="W65" s="316"/>
      <c r="X65" s="316" t="s">
        <v>862</v>
      </c>
      <c r="Y65" s="316"/>
      <c r="Z65" s="316" t="s">
        <v>1944</v>
      </c>
      <c r="AA65" s="316" t="s">
        <v>863</v>
      </c>
      <c r="AB65" s="316" t="s">
        <v>863</v>
      </c>
      <c r="AC65" s="331" t="s">
        <v>1692</v>
      </c>
      <c r="AD65" s="316"/>
      <c r="AE65" s="316"/>
      <c r="AF65" s="316"/>
      <c r="AG65" s="316">
        <v>1</v>
      </c>
      <c r="AH65" s="316"/>
      <c r="AI65" s="343" t="s">
        <v>822</v>
      </c>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1">
        <v>58</v>
      </c>
      <c r="B66" s="321"/>
      <c r="C66" s="321"/>
      <c r="D66" s="321" t="s">
        <v>1945</v>
      </c>
      <c r="E66" s="338"/>
      <c r="F66" s="321"/>
      <c r="G66" s="321"/>
      <c r="H66" s="322" t="s">
        <v>1934</v>
      </c>
      <c r="I66" s="322" t="s">
        <v>1946</v>
      </c>
      <c r="J66" s="322" t="s">
        <v>1947</v>
      </c>
      <c r="K66" s="322"/>
      <c r="L66" s="322" t="s">
        <v>1753</v>
      </c>
      <c r="M66" s="322"/>
      <c r="N66" s="322" t="s">
        <v>1753</v>
      </c>
      <c r="O66" s="322"/>
      <c r="P66" s="322"/>
      <c r="Q66" s="322"/>
      <c r="R66" s="322"/>
      <c r="S66" s="332" t="s">
        <v>816</v>
      </c>
      <c r="T66" s="332" t="s">
        <v>816</v>
      </c>
      <c r="U66" s="332" t="s">
        <v>816</v>
      </c>
      <c r="V66" s="322"/>
      <c r="W66" s="322"/>
      <c r="X66" s="322" t="s">
        <v>862</v>
      </c>
      <c r="Y66" s="322"/>
      <c r="Z66" s="322"/>
      <c r="AA66" s="322" t="s">
        <v>863</v>
      </c>
      <c r="AB66" s="322" t="s">
        <v>863</v>
      </c>
      <c r="AC66" s="320" t="s">
        <v>1692</v>
      </c>
      <c r="AD66" s="322"/>
      <c r="AE66" s="322"/>
      <c r="AF66" s="322"/>
      <c r="AG66" s="322">
        <v>1</v>
      </c>
      <c r="AH66" s="322">
        <v>1</v>
      </c>
      <c r="AI66" s="332" t="s">
        <v>816</v>
      </c>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5">
        <v>59</v>
      </c>
      <c r="B67" s="325"/>
      <c r="C67" s="325"/>
      <c r="D67" s="321" t="s">
        <v>1948</v>
      </c>
      <c r="E67" s="338"/>
      <c r="F67" s="321"/>
      <c r="G67" s="321"/>
      <c r="H67" s="316" t="s">
        <v>1934</v>
      </c>
      <c r="I67" s="316" t="s">
        <v>1949</v>
      </c>
      <c r="J67" s="337"/>
      <c r="K67" s="316"/>
      <c r="L67" s="316" t="s">
        <v>1950</v>
      </c>
      <c r="M67" s="316"/>
      <c r="N67" s="316" t="s">
        <v>1950</v>
      </c>
      <c r="O67" s="316"/>
      <c r="P67" s="316"/>
      <c r="Q67" s="316"/>
      <c r="R67" s="316"/>
      <c r="S67" s="332" t="s">
        <v>816</v>
      </c>
      <c r="T67" s="319" t="s">
        <v>819</v>
      </c>
      <c r="U67" s="319" t="s">
        <v>819</v>
      </c>
      <c r="V67" s="316"/>
      <c r="W67" s="316" t="s">
        <v>863</v>
      </c>
      <c r="X67" s="316" t="s">
        <v>1951</v>
      </c>
      <c r="Y67" s="316"/>
      <c r="Z67" s="316"/>
      <c r="AA67" s="316" t="s">
        <v>863</v>
      </c>
      <c r="AB67" s="316" t="s">
        <v>863</v>
      </c>
      <c r="AC67" s="320" t="s">
        <v>1692</v>
      </c>
      <c r="AD67" s="316" t="s">
        <v>863</v>
      </c>
      <c r="AE67" s="316"/>
      <c r="AF67" s="316"/>
      <c r="AG67" s="316">
        <v>1</v>
      </c>
      <c r="AH67" s="316">
        <v>1</v>
      </c>
      <c r="AI67" s="332" t="s">
        <v>816</v>
      </c>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1">
        <v>60</v>
      </c>
      <c r="B68" s="321"/>
      <c r="C68" s="321"/>
      <c r="D68" s="321"/>
      <c r="E68" s="321" t="s">
        <v>1952</v>
      </c>
      <c r="F68" s="321"/>
      <c r="G68" s="321"/>
      <c r="H68" s="322" t="s">
        <v>1953</v>
      </c>
      <c r="I68" s="322" t="s">
        <v>1954</v>
      </c>
      <c r="J68" s="322" t="s">
        <v>1056</v>
      </c>
      <c r="K68" s="322" t="s">
        <v>863</v>
      </c>
      <c r="L68" s="322" t="s">
        <v>1955</v>
      </c>
      <c r="M68" s="322"/>
      <c r="N68" s="322" t="s">
        <v>1955</v>
      </c>
      <c r="O68" s="322"/>
      <c r="P68" s="322"/>
      <c r="Q68" s="322"/>
      <c r="R68" s="322"/>
      <c r="S68" s="332" t="s">
        <v>816</v>
      </c>
      <c r="T68" s="334" t="s">
        <v>819</v>
      </c>
      <c r="U68" s="334" t="s">
        <v>819</v>
      </c>
      <c r="V68" s="322"/>
      <c r="W68" s="322"/>
      <c r="X68" s="322" t="s">
        <v>862</v>
      </c>
      <c r="Y68" s="322"/>
      <c r="Z68" s="322"/>
      <c r="AA68" s="322" t="s">
        <v>863</v>
      </c>
      <c r="AB68" s="322" t="s">
        <v>863</v>
      </c>
      <c r="AC68" s="320" t="s">
        <v>1692</v>
      </c>
      <c r="AD68" s="322" t="s">
        <v>863</v>
      </c>
      <c r="AE68" s="322"/>
      <c r="AF68" s="322"/>
      <c r="AG68" s="322">
        <v>1</v>
      </c>
      <c r="AH68" s="322">
        <v>1</v>
      </c>
      <c r="AI68" s="332" t="s">
        <v>816</v>
      </c>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1">
        <v>61</v>
      </c>
      <c r="B69" s="341"/>
      <c r="C69" s="341"/>
      <c r="D69" s="341"/>
      <c r="E69" s="341" t="s">
        <v>1956</v>
      </c>
      <c r="F69" s="341"/>
      <c r="G69" s="341"/>
      <c r="H69" s="316" t="s">
        <v>1957</v>
      </c>
      <c r="I69" s="316" t="s">
        <v>1958</v>
      </c>
      <c r="J69" s="316" t="s">
        <v>1064</v>
      </c>
      <c r="K69" s="316"/>
      <c r="L69" s="316" t="s">
        <v>1770</v>
      </c>
      <c r="M69" s="316"/>
      <c r="N69" s="316" t="s">
        <v>1770</v>
      </c>
      <c r="O69" s="316"/>
      <c r="P69" s="316"/>
      <c r="Q69" s="316"/>
      <c r="R69" s="316"/>
      <c r="S69" s="326" t="s">
        <v>816</v>
      </c>
      <c r="T69" s="326" t="s">
        <v>816</v>
      </c>
      <c r="U69" s="326" t="s">
        <v>816</v>
      </c>
      <c r="V69" s="316"/>
      <c r="W69" s="316"/>
      <c r="X69" s="316" t="s">
        <v>862</v>
      </c>
      <c r="Y69" s="316"/>
      <c r="Z69" s="316"/>
      <c r="AA69" s="316" t="s">
        <v>863</v>
      </c>
      <c r="AB69" s="316" t="s">
        <v>863</v>
      </c>
      <c r="AC69" s="320" t="s">
        <v>1692</v>
      </c>
      <c r="AD69" s="316" t="s">
        <v>863</v>
      </c>
      <c r="AE69" s="316"/>
      <c r="AF69" s="316"/>
      <c r="AG69" s="316"/>
      <c r="AH69" s="316"/>
      <c r="AI69" s="326" t="s">
        <v>816</v>
      </c>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1">
        <v>62</v>
      </c>
      <c r="B70" s="321"/>
      <c r="C70" s="321"/>
      <c r="D70" s="321"/>
      <c r="E70" s="321" t="s">
        <v>1101</v>
      </c>
      <c r="F70" s="321"/>
      <c r="G70" s="321"/>
      <c r="H70" s="322" t="s">
        <v>1959</v>
      </c>
      <c r="I70" s="322" t="s">
        <v>1960</v>
      </c>
      <c r="J70" s="322" t="s">
        <v>1961</v>
      </c>
      <c r="K70" s="322" t="s">
        <v>863</v>
      </c>
      <c r="L70" s="322" t="s">
        <v>1782</v>
      </c>
      <c r="M70" s="322"/>
      <c r="N70" s="322" t="s">
        <v>1782</v>
      </c>
      <c r="O70" s="322"/>
      <c r="P70" s="322"/>
      <c r="Q70" s="322"/>
      <c r="R70" s="322"/>
      <c r="S70" s="332" t="s">
        <v>816</v>
      </c>
      <c r="T70" s="332" t="s">
        <v>816</v>
      </c>
      <c r="U70" s="332" t="s">
        <v>816</v>
      </c>
      <c r="V70" s="322"/>
      <c r="W70" s="322"/>
      <c r="X70" s="322" t="s">
        <v>862</v>
      </c>
      <c r="Y70" s="322"/>
      <c r="Z70" s="322"/>
      <c r="AA70" s="322" t="s">
        <v>863</v>
      </c>
      <c r="AB70" s="322" t="s">
        <v>863</v>
      </c>
      <c r="AC70" s="331" t="s">
        <v>1692</v>
      </c>
      <c r="AD70" s="322" t="s">
        <v>863</v>
      </c>
      <c r="AE70" s="322"/>
      <c r="AF70" s="322"/>
      <c r="AG70" s="322">
        <v>1</v>
      </c>
      <c r="AH70" s="322">
        <v>1</v>
      </c>
      <c r="AI70" s="332" t="s">
        <v>816</v>
      </c>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5">
        <v>63</v>
      </c>
      <c r="B71" s="325"/>
      <c r="C71" s="325"/>
      <c r="D71" s="325"/>
      <c r="E71" s="325" t="s">
        <v>1962</v>
      </c>
      <c r="F71" s="339"/>
      <c r="G71" s="325"/>
      <c r="H71" s="316" t="s">
        <v>1726</v>
      </c>
      <c r="I71" s="316" t="s">
        <v>1963</v>
      </c>
      <c r="J71" s="316" t="s">
        <v>1964</v>
      </c>
      <c r="K71" s="316"/>
      <c r="L71" s="316" t="s">
        <v>1965</v>
      </c>
      <c r="M71" s="316"/>
      <c r="N71" s="316" t="s">
        <v>1965</v>
      </c>
      <c r="O71" s="316"/>
      <c r="P71" s="316"/>
      <c r="Q71" s="316"/>
      <c r="R71" s="316"/>
      <c r="S71" s="326" t="s">
        <v>816</v>
      </c>
      <c r="T71" s="326" t="s">
        <v>816</v>
      </c>
      <c r="U71" s="326" t="s">
        <v>816</v>
      </c>
      <c r="V71" s="316"/>
      <c r="W71" s="316"/>
      <c r="X71" s="316" t="s">
        <v>862</v>
      </c>
      <c r="Y71" s="316"/>
      <c r="Z71" s="316"/>
      <c r="AA71" s="316" t="s">
        <v>863</v>
      </c>
      <c r="AB71" s="316" t="s">
        <v>863</v>
      </c>
      <c r="AC71" s="320" t="s">
        <v>1692</v>
      </c>
      <c r="AD71" s="316" t="s">
        <v>863</v>
      </c>
      <c r="AE71" s="316"/>
      <c r="AF71" s="316"/>
      <c r="AG71" s="316">
        <v>1</v>
      </c>
      <c r="AH71" s="316">
        <v>1</v>
      </c>
      <c r="AI71" s="326" t="s">
        <v>816</v>
      </c>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1">
        <v>64</v>
      </c>
      <c r="B72" s="321"/>
      <c r="C72" s="321"/>
      <c r="D72" s="321"/>
      <c r="E72" s="321" t="s">
        <v>1196</v>
      </c>
      <c r="F72" s="321"/>
      <c r="G72" s="321"/>
      <c r="H72" s="322" t="s">
        <v>1726</v>
      </c>
      <c r="I72" s="322" t="s">
        <v>1966</v>
      </c>
      <c r="J72" s="322" t="s">
        <v>1198</v>
      </c>
      <c r="K72" s="322"/>
      <c r="L72" s="322" t="s">
        <v>1967</v>
      </c>
      <c r="M72" s="322"/>
      <c r="N72" s="322" t="s">
        <v>1967</v>
      </c>
      <c r="O72" s="322"/>
      <c r="P72" s="322"/>
      <c r="Q72" s="322"/>
      <c r="R72" s="322"/>
      <c r="S72" s="332" t="s">
        <v>816</v>
      </c>
      <c r="T72" s="332" t="s">
        <v>816</v>
      </c>
      <c r="U72" s="332" t="s">
        <v>816</v>
      </c>
      <c r="V72" s="322"/>
      <c r="W72" s="322"/>
      <c r="X72" s="322" t="s">
        <v>862</v>
      </c>
      <c r="Y72" s="322"/>
      <c r="Z72" s="322"/>
      <c r="AA72" s="322" t="s">
        <v>863</v>
      </c>
      <c r="AB72" s="322" t="s">
        <v>863</v>
      </c>
      <c r="AC72" s="320" t="s">
        <v>1692</v>
      </c>
      <c r="AD72" s="322" t="s">
        <v>863</v>
      </c>
      <c r="AE72" s="322"/>
      <c r="AF72" s="322"/>
      <c r="AG72" s="322">
        <v>1</v>
      </c>
      <c r="AH72" s="322">
        <v>1</v>
      </c>
      <c r="AI72" s="332" t="s">
        <v>816</v>
      </c>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5">
        <v>65</v>
      </c>
      <c r="B73" s="325"/>
      <c r="C73" s="325"/>
      <c r="D73" s="325"/>
      <c r="E73" s="325" t="s">
        <v>1166</v>
      </c>
      <c r="F73" s="325"/>
      <c r="G73" s="325"/>
      <c r="H73" s="316" t="s">
        <v>771</v>
      </c>
      <c r="I73" s="316"/>
      <c r="J73" s="337"/>
      <c r="K73" s="316"/>
      <c r="L73" s="316" t="s">
        <v>1968</v>
      </c>
      <c r="M73" s="316"/>
      <c r="N73" s="316" t="s">
        <v>1968</v>
      </c>
      <c r="O73" s="316"/>
      <c r="P73" s="316"/>
      <c r="Q73" s="316"/>
      <c r="R73" s="316"/>
      <c r="S73" s="343" t="s">
        <v>822</v>
      </c>
      <c r="T73" s="348" t="s">
        <v>1969</v>
      </c>
      <c r="U73" s="348" t="s">
        <v>1969</v>
      </c>
      <c r="V73" s="316"/>
      <c r="W73" s="316" t="s">
        <v>863</v>
      </c>
      <c r="X73" s="316" t="s">
        <v>1168</v>
      </c>
      <c r="Y73" s="316"/>
      <c r="Z73" s="316"/>
      <c r="AA73" s="316" t="s">
        <v>863</v>
      </c>
      <c r="AB73" s="316" t="s">
        <v>863</v>
      </c>
      <c r="AC73" s="320" t="s">
        <v>1692</v>
      </c>
      <c r="AD73" s="316" t="s">
        <v>863</v>
      </c>
      <c r="AE73" s="316"/>
      <c r="AF73" s="316"/>
      <c r="AG73" s="316">
        <v>1</v>
      </c>
      <c r="AH73" s="316">
        <v>1</v>
      </c>
      <c r="AI73" s="343" t="s">
        <v>822</v>
      </c>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1">
        <v>66</v>
      </c>
      <c r="B74" s="321"/>
      <c r="C74" s="321"/>
      <c r="D74" s="321"/>
      <c r="E74" s="321"/>
      <c r="F74" s="321" t="s">
        <v>1970</v>
      </c>
      <c r="G74" s="321"/>
      <c r="H74" s="322" t="s">
        <v>1971</v>
      </c>
      <c r="I74" s="322" t="s">
        <v>1972</v>
      </c>
      <c r="J74" s="322" t="s">
        <v>1973</v>
      </c>
      <c r="K74" s="322" t="s">
        <v>863</v>
      </c>
      <c r="L74" s="322" t="s">
        <v>1974</v>
      </c>
      <c r="M74" s="322"/>
      <c r="N74" s="322" t="s">
        <v>1974</v>
      </c>
      <c r="O74" s="322"/>
      <c r="P74" s="322"/>
      <c r="Q74" s="322"/>
      <c r="R74" s="322"/>
      <c r="S74" s="324" t="s">
        <v>819</v>
      </c>
      <c r="T74" s="324" t="s">
        <v>819</v>
      </c>
      <c r="U74" s="324" t="s">
        <v>819</v>
      </c>
      <c r="V74" s="322"/>
      <c r="W74" s="322"/>
      <c r="X74" s="322" t="s">
        <v>1091</v>
      </c>
      <c r="Y74" s="322"/>
      <c r="Z74" s="322"/>
      <c r="AA74" s="322" t="s">
        <v>863</v>
      </c>
      <c r="AB74" s="322" t="s">
        <v>863</v>
      </c>
      <c r="AC74" s="320" t="s">
        <v>1692</v>
      </c>
      <c r="AD74" s="322" t="s">
        <v>863</v>
      </c>
      <c r="AE74" s="322"/>
      <c r="AF74" s="322"/>
      <c r="AG74" s="322">
        <v>1</v>
      </c>
      <c r="AH74" s="322">
        <v>1</v>
      </c>
      <c r="AI74" s="324" t="s">
        <v>819</v>
      </c>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5">
        <v>67</v>
      </c>
      <c r="B75" s="325"/>
      <c r="C75" s="325"/>
      <c r="D75" s="325"/>
      <c r="E75" s="325"/>
      <c r="F75" s="325" t="s">
        <v>1175</v>
      </c>
      <c r="G75" s="325"/>
      <c r="H75" s="316" t="s">
        <v>1975</v>
      </c>
      <c r="I75" s="316" t="s">
        <v>1976</v>
      </c>
      <c r="J75" s="317" t="s">
        <v>1977</v>
      </c>
      <c r="K75" s="316" t="s">
        <v>863</v>
      </c>
      <c r="L75" s="316" t="s">
        <v>1978</v>
      </c>
      <c r="M75" s="316"/>
      <c r="N75" s="316" t="s">
        <v>1978</v>
      </c>
      <c r="O75" s="316"/>
      <c r="P75" s="316"/>
      <c r="Q75" s="316"/>
      <c r="R75" s="316"/>
      <c r="S75" s="319" t="s">
        <v>819</v>
      </c>
      <c r="T75" s="319" t="s">
        <v>819</v>
      </c>
      <c r="U75" s="319" t="s">
        <v>819</v>
      </c>
      <c r="V75" s="316"/>
      <c r="W75" s="316"/>
      <c r="X75" s="316" t="s">
        <v>1091</v>
      </c>
      <c r="Y75" s="316"/>
      <c r="Z75" s="316"/>
      <c r="AA75" s="316" t="s">
        <v>863</v>
      </c>
      <c r="AB75" s="316" t="s">
        <v>863</v>
      </c>
      <c r="AC75" s="331" t="s">
        <v>1692</v>
      </c>
      <c r="AD75" s="316" t="s">
        <v>863</v>
      </c>
      <c r="AE75" s="316"/>
      <c r="AF75" s="316"/>
      <c r="AG75" s="316">
        <v>1</v>
      </c>
      <c r="AH75" s="316">
        <v>1</v>
      </c>
      <c r="AI75" s="319" t="s">
        <v>819</v>
      </c>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1">
        <v>68</v>
      </c>
      <c r="B76" s="321"/>
      <c r="C76" s="321"/>
      <c r="D76" s="321"/>
      <c r="E76" s="321"/>
      <c r="F76" s="321" t="s">
        <v>1979</v>
      </c>
      <c r="G76" s="321"/>
      <c r="H76" s="322" t="s">
        <v>1980</v>
      </c>
      <c r="I76" s="322" t="s">
        <v>1981</v>
      </c>
      <c r="J76" s="322">
        <v>1</v>
      </c>
      <c r="K76" s="322" t="s">
        <v>863</v>
      </c>
      <c r="L76" s="322" t="s">
        <v>1982</v>
      </c>
      <c r="M76" s="322"/>
      <c r="N76" s="322" t="s">
        <v>1982</v>
      </c>
      <c r="O76" s="322"/>
      <c r="P76" s="322"/>
      <c r="Q76" s="322"/>
      <c r="R76" s="322"/>
      <c r="S76" s="332" t="s">
        <v>816</v>
      </c>
      <c r="T76" s="332" t="s">
        <v>816</v>
      </c>
      <c r="U76" s="332" t="s">
        <v>816</v>
      </c>
      <c r="V76" s="322"/>
      <c r="W76" s="322"/>
      <c r="X76" s="322" t="s">
        <v>1091</v>
      </c>
      <c r="Y76" s="322"/>
      <c r="Z76" s="322"/>
      <c r="AA76" s="322" t="s">
        <v>863</v>
      </c>
      <c r="AB76" s="322" t="s">
        <v>863</v>
      </c>
      <c r="AC76" s="320" t="s">
        <v>1692</v>
      </c>
      <c r="AD76" s="322" t="s">
        <v>863</v>
      </c>
      <c r="AE76" s="322"/>
      <c r="AF76" s="322"/>
      <c r="AG76" s="322">
        <v>1</v>
      </c>
      <c r="AH76" s="322">
        <v>1</v>
      </c>
      <c r="AI76" s="332" t="s">
        <v>816</v>
      </c>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5">
        <v>69</v>
      </c>
      <c r="B77" s="325"/>
      <c r="C77" s="325"/>
      <c r="D77" s="325"/>
      <c r="E77" s="325" t="s">
        <v>1050</v>
      </c>
      <c r="F77" s="325"/>
      <c r="G77" s="325"/>
      <c r="H77" s="316" t="s">
        <v>1983</v>
      </c>
      <c r="I77" s="316" t="s">
        <v>1984</v>
      </c>
      <c r="J77" s="316" t="s">
        <v>1985</v>
      </c>
      <c r="K77" s="316" t="s">
        <v>863</v>
      </c>
      <c r="L77" s="316" t="s">
        <v>1193</v>
      </c>
      <c r="M77" s="316"/>
      <c r="N77" s="316" t="s">
        <v>1193</v>
      </c>
      <c r="O77" s="316"/>
      <c r="P77" s="316"/>
      <c r="Q77" s="316"/>
      <c r="R77" s="316"/>
      <c r="S77" s="343" t="s">
        <v>822</v>
      </c>
      <c r="T77" s="343" t="s">
        <v>822</v>
      </c>
      <c r="U77" s="343" t="s">
        <v>822</v>
      </c>
      <c r="V77" s="316"/>
      <c r="W77" s="316"/>
      <c r="X77" s="316" t="s">
        <v>862</v>
      </c>
      <c r="Y77" s="316"/>
      <c r="Z77" s="316"/>
      <c r="AA77" s="316" t="s">
        <v>863</v>
      </c>
      <c r="AB77" s="316" t="s">
        <v>863</v>
      </c>
      <c r="AC77" s="320" t="s">
        <v>1692</v>
      </c>
      <c r="AD77" s="316" t="s">
        <v>863</v>
      </c>
      <c r="AE77" s="316"/>
      <c r="AF77" s="316"/>
      <c r="AG77" s="316">
        <v>1</v>
      </c>
      <c r="AH77" s="316">
        <v>1</v>
      </c>
      <c r="AI77" s="343" t="s">
        <v>822</v>
      </c>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1">
        <v>70</v>
      </c>
      <c r="B78" s="321"/>
      <c r="C78" s="321" t="s">
        <v>1986</v>
      </c>
      <c r="D78" s="321"/>
      <c r="E78" s="321"/>
      <c r="F78" s="321"/>
      <c r="G78" s="321"/>
      <c r="H78" s="322" t="s">
        <v>1726</v>
      </c>
      <c r="I78" s="322" t="s">
        <v>1987</v>
      </c>
      <c r="J78" s="322" t="s">
        <v>1988</v>
      </c>
      <c r="K78" s="322"/>
      <c r="L78" s="322" t="s">
        <v>1989</v>
      </c>
      <c r="M78" s="322"/>
      <c r="N78" s="322" t="s">
        <v>1989</v>
      </c>
      <c r="O78" s="322"/>
      <c r="P78" s="322"/>
      <c r="Q78" s="322"/>
      <c r="R78" s="322"/>
      <c r="S78" s="332" t="s">
        <v>816</v>
      </c>
      <c r="T78" s="333" t="s">
        <v>816</v>
      </c>
      <c r="U78" s="333" t="s">
        <v>816</v>
      </c>
      <c r="V78" s="322"/>
      <c r="W78" s="322"/>
      <c r="X78" s="322" t="s">
        <v>862</v>
      </c>
      <c r="Y78" s="322"/>
      <c r="Z78" s="322" t="s">
        <v>1990</v>
      </c>
      <c r="AA78" s="322" t="s">
        <v>863</v>
      </c>
      <c r="AB78" s="322" t="s">
        <v>863</v>
      </c>
      <c r="AC78" s="320" t="s">
        <v>1692</v>
      </c>
      <c r="AD78" s="322"/>
      <c r="AE78" s="322"/>
      <c r="AF78" s="322"/>
      <c r="AG78" s="322">
        <v>1</v>
      </c>
      <c r="AH78" s="322">
        <v>1</v>
      </c>
      <c r="AI78" s="332" t="s">
        <v>816</v>
      </c>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5">
        <v>71</v>
      </c>
      <c r="B79" s="325"/>
      <c r="C79" s="325" t="s">
        <v>1749</v>
      </c>
      <c r="D79" s="325"/>
      <c r="E79" s="325"/>
      <c r="F79" s="325"/>
      <c r="G79" s="325"/>
      <c r="H79" s="316" t="s">
        <v>1726</v>
      </c>
      <c r="I79" s="316" t="s">
        <v>1991</v>
      </c>
      <c r="J79" s="316" t="s">
        <v>1992</v>
      </c>
      <c r="K79" s="316" t="s">
        <v>863</v>
      </c>
      <c r="L79" s="316" t="s">
        <v>1753</v>
      </c>
      <c r="M79" s="316"/>
      <c r="N79" s="316" t="s">
        <v>1753</v>
      </c>
      <c r="O79" s="316"/>
      <c r="P79" s="316"/>
      <c r="Q79" s="316"/>
      <c r="R79" s="316"/>
      <c r="S79" s="326" t="s">
        <v>816</v>
      </c>
      <c r="T79" s="326" t="s">
        <v>816</v>
      </c>
      <c r="U79" s="326" t="s">
        <v>816</v>
      </c>
      <c r="V79" s="316"/>
      <c r="W79" s="316"/>
      <c r="X79" s="316" t="s">
        <v>862</v>
      </c>
      <c r="Y79" s="316"/>
      <c r="Z79" s="316"/>
      <c r="AA79" s="316" t="s">
        <v>863</v>
      </c>
      <c r="AB79" s="316" t="s">
        <v>863</v>
      </c>
      <c r="AC79" s="320" t="s">
        <v>1692</v>
      </c>
      <c r="AD79" s="316"/>
      <c r="AE79" s="316"/>
      <c r="AF79" s="316"/>
      <c r="AG79" s="316">
        <v>1</v>
      </c>
      <c r="AH79" s="316">
        <v>1</v>
      </c>
      <c r="AI79" s="326" t="s">
        <v>816</v>
      </c>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1">
        <v>72</v>
      </c>
      <c r="B80" s="321" t="s">
        <v>1993</v>
      </c>
      <c r="C80" s="321"/>
      <c r="D80" s="321"/>
      <c r="E80" s="321"/>
      <c r="F80" s="321"/>
      <c r="G80" s="321"/>
      <c r="H80" s="322" t="s">
        <v>1994</v>
      </c>
      <c r="I80" s="322" t="s">
        <v>1995</v>
      </c>
      <c r="J80" s="329"/>
      <c r="K80" s="322"/>
      <c r="L80" s="322" t="s">
        <v>1996</v>
      </c>
      <c r="M80" s="322"/>
      <c r="N80" s="322" t="s">
        <v>1996</v>
      </c>
      <c r="O80" s="322"/>
      <c r="P80" s="322"/>
      <c r="Q80" s="322"/>
      <c r="R80" s="322"/>
      <c r="S80" s="330" t="s">
        <v>822</v>
      </c>
      <c r="T80" s="330" t="s">
        <v>822</v>
      </c>
      <c r="U80" s="330" t="s">
        <v>822</v>
      </c>
      <c r="V80" s="322"/>
      <c r="W80" s="322" t="s">
        <v>863</v>
      </c>
      <c r="X80" s="322" t="s">
        <v>1997</v>
      </c>
      <c r="Y80" s="322"/>
      <c r="Z80" s="322"/>
      <c r="AA80" s="322" t="s">
        <v>863</v>
      </c>
      <c r="AB80" s="322" t="s">
        <v>863</v>
      </c>
      <c r="AC80" s="331" t="s">
        <v>1692</v>
      </c>
      <c r="AD80" s="322"/>
      <c r="AE80" s="322"/>
      <c r="AF80" s="322"/>
      <c r="AG80" s="322">
        <v>1</v>
      </c>
      <c r="AH80" s="322">
        <v>1</v>
      </c>
      <c r="AI80" s="330" t="s">
        <v>822</v>
      </c>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5">
        <v>73</v>
      </c>
      <c r="B81" s="325"/>
      <c r="C81" s="325" t="s">
        <v>1101</v>
      </c>
      <c r="D81" s="325"/>
      <c r="E81" s="325"/>
      <c r="F81" s="325"/>
      <c r="G81" s="325"/>
      <c r="H81" s="316" t="s">
        <v>1998</v>
      </c>
      <c r="I81" s="316" t="s">
        <v>1999</v>
      </c>
      <c r="J81" s="316" t="s">
        <v>2000</v>
      </c>
      <c r="K81" s="316" t="s">
        <v>863</v>
      </c>
      <c r="L81" s="316" t="s">
        <v>1782</v>
      </c>
      <c r="M81" s="316"/>
      <c r="N81" s="316" t="s">
        <v>1782</v>
      </c>
      <c r="O81" s="316"/>
      <c r="P81" s="316"/>
      <c r="Q81" s="316"/>
      <c r="R81" s="316"/>
      <c r="S81" s="319" t="s">
        <v>819</v>
      </c>
      <c r="T81" s="319" t="s">
        <v>819</v>
      </c>
      <c r="U81" s="319" t="s">
        <v>819</v>
      </c>
      <c r="V81" s="316"/>
      <c r="W81" s="316"/>
      <c r="X81" s="316" t="s">
        <v>862</v>
      </c>
      <c r="Y81" s="316"/>
      <c r="Z81" s="316" t="s">
        <v>2001</v>
      </c>
      <c r="AA81" s="316" t="s">
        <v>863</v>
      </c>
      <c r="AB81" s="316" t="s">
        <v>863</v>
      </c>
      <c r="AC81" s="320" t="s">
        <v>1692</v>
      </c>
      <c r="AD81" s="316"/>
      <c r="AE81" s="316"/>
      <c r="AF81" s="316"/>
      <c r="AG81" s="316">
        <v>1</v>
      </c>
      <c r="AH81" s="316">
        <v>1</v>
      </c>
      <c r="AI81" s="319" t="s">
        <v>819</v>
      </c>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1">
        <v>74</v>
      </c>
      <c r="B82" s="321"/>
      <c r="C82" s="321" t="s">
        <v>1749</v>
      </c>
      <c r="D82" s="321"/>
      <c r="E82" s="321"/>
      <c r="F82" s="321"/>
      <c r="G82" s="321"/>
      <c r="H82" s="322" t="s">
        <v>2002</v>
      </c>
      <c r="I82" s="322" t="s">
        <v>2003</v>
      </c>
      <c r="J82" s="322" t="s">
        <v>2004</v>
      </c>
      <c r="K82" s="322" t="s">
        <v>863</v>
      </c>
      <c r="L82" s="322" t="s">
        <v>1753</v>
      </c>
      <c r="M82" s="322"/>
      <c r="N82" s="322" t="s">
        <v>1753</v>
      </c>
      <c r="O82" s="322"/>
      <c r="P82" s="322"/>
      <c r="Q82" s="322"/>
      <c r="R82" s="322"/>
      <c r="S82" s="332" t="s">
        <v>816</v>
      </c>
      <c r="T82" s="332" t="s">
        <v>816</v>
      </c>
      <c r="U82" s="332" t="s">
        <v>816</v>
      </c>
      <c r="V82" s="322"/>
      <c r="W82" s="322"/>
      <c r="X82" s="322" t="s">
        <v>862</v>
      </c>
      <c r="Y82" s="322"/>
      <c r="Z82" s="322"/>
      <c r="AA82" s="322" t="s">
        <v>863</v>
      </c>
      <c r="AB82" s="322" t="s">
        <v>863</v>
      </c>
      <c r="AC82" s="320" t="s">
        <v>1692</v>
      </c>
      <c r="AD82" s="322"/>
      <c r="AE82" s="322"/>
      <c r="AF82" s="322"/>
      <c r="AG82" s="322">
        <v>1</v>
      </c>
      <c r="AH82" s="322">
        <v>1</v>
      </c>
      <c r="AI82" s="332" t="s">
        <v>816</v>
      </c>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5">
        <v>75</v>
      </c>
      <c r="B83" s="325"/>
      <c r="C83" s="325" t="s">
        <v>2005</v>
      </c>
      <c r="D83" s="325"/>
      <c r="E83" s="325"/>
      <c r="F83" s="325"/>
      <c r="G83" s="325"/>
      <c r="H83" s="316" t="s">
        <v>2006</v>
      </c>
      <c r="I83" s="316" t="s">
        <v>2007</v>
      </c>
      <c r="J83" s="316" t="s">
        <v>2008</v>
      </c>
      <c r="K83" s="316" t="s">
        <v>863</v>
      </c>
      <c r="L83" s="316" t="s">
        <v>830</v>
      </c>
      <c r="M83" s="316"/>
      <c r="N83" s="316" t="s">
        <v>830</v>
      </c>
      <c r="O83" s="316"/>
      <c r="P83" s="316"/>
      <c r="Q83" s="316"/>
      <c r="R83" s="316"/>
      <c r="S83" s="332" t="s">
        <v>816</v>
      </c>
      <c r="T83" s="327" t="s">
        <v>819</v>
      </c>
      <c r="U83" s="328" t="s">
        <v>816</v>
      </c>
      <c r="V83" s="316" t="s">
        <v>863</v>
      </c>
      <c r="W83" s="316"/>
      <c r="X83" s="316" t="s">
        <v>862</v>
      </c>
      <c r="Y83" s="316"/>
      <c r="Z83" s="316"/>
      <c r="AA83" s="316" t="s">
        <v>863</v>
      </c>
      <c r="AB83" s="316" t="s">
        <v>863</v>
      </c>
      <c r="AC83" s="320" t="s">
        <v>1692</v>
      </c>
      <c r="AD83" s="316"/>
      <c r="AE83" s="316"/>
      <c r="AF83" s="316"/>
      <c r="AG83" s="316">
        <v>1</v>
      </c>
      <c r="AH83" s="316">
        <v>1</v>
      </c>
      <c r="AI83" s="319" t="s">
        <v>819</v>
      </c>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1">
        <v>76</v>
      </c>
      <c r="B84" s="321"/>
      <c r="C84" s="321" t="s">
        <v>2009</v>
      </c>
      <c r="D84" s="338"/>
      <c r="E84" s="321"/>
      <c r="F84" s="321"/>
      <c r="G84" s="321"/>
      <c r="H84" s="322" t="s">
        <v>2010</v>
      </c>
      <c r="I84" s="322" t="s">
        <v>2011</v>
      </c>
      <c r="J84" s="322" t="s">
        <v>2012</v>
      </c>
      <c r="K84" s="322" t="s">
        <v>863</v>
      </c>
      <c r="L84" s="322" t="s">
        <v>1761</v>
      </c>
      <c r="M84" s="322"/>
      <c r="N84" s="322" t="s">
        <v>1761</v>
      </c>
      <c r="O84" s="322"/>
      <c r="P84" s="322"/>
      <c r="Q84" s="322"/>
      <c r="R84" s="322"/>
      <c r="S84" s="332" t="s">
        <v>816</v>
      </c>
      <c r="T84" s="332" t="s">
        <v>816</v>
      </c>
      <c r="U84" s="332" t="s">
        <v>816</v>
      </c>
      <c r="V84" s="322"/>
      <c r="W84" s="322"/>
      <c r="X84" s="322" t="s">
        <v>862</v>
      </c>
      <c r="Y84" s="322"/>
      <c r="Z84" s="322"/>
      <c r="AA84" s="322" t="s">
        <v>863</v>
      </c>
      <c r="AB84" s="322" t="s">
        <v>863</v>
      </c>
      <c r="AC84" s="320" t="s">
        <v>1692</v>
      </c>
      <c r="AD84" s="322"/>
      <c r="AE84" s="322"/>
      <c r="AF84" s="322"/>
      <c r="AG84" s="322">
        <v>1</v>
      </c>
      <c r="AH84" s="322">
        <v>1</v>
      </c>
      <c r="AI84" s="332" t="s">
        <v>816</v>
      </c>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5">
        <v>77</v>
      </c>
      <c r="B85" s="325"/>
      <c r="C85" s="325" t="s">
        <v>2013</v>
      </c>
      <c r="D85" s="325"/>
      <c r="E85" s="325"/>
      <c r="F85" s="325"/>
      <c r="G85" s="325"/>
      <c r="H85" s="316" t="s">
        <v>2014</v>
      </c>
      <c r="I85" s="316" t="s">
        <v>2015</v>
      </c>
      <c r="J85" s="316" t="s">
        <v>2016</v>
      </c>
      <c r="K85" s="316" t="s">
        <v>863</v>
      </c>
      <c r="L85" s="316" t="s">
        <v>1770</v>
      </c>
      <c r="M85" s="316"/>
      <c r="N85" s="316" t="s">
        <v>1770</v>
      </c>
      <c r="O85" s="316"/>
      <c r="P85" s="316"/>
      <c r="Q85" s="316"/>
      <c r="R85" s="316"/>
      <c r="S85" s="326" t="s">
        <v>816</v>
      </c>
      <c r="T85" s="327" t="s">
        <v>819</v>
      </c>
      <c r="U85" s="328" t="s">
        <v>816</v>
      </c>
      <c r="V85" s="316" t="s">
        <v>863</v>
      </c>
      <c r="W85" s="316"/>
      <c r="X85" s="316" t="s">
        <v>862</v>
      </c>
      <c r="Y85" s="316"/>
      <c r="Z85" s="316"/>
      <c r="AA85" s="316" t="s">
        <v>863</v>
      </c>
      <c r="AB85" s="316" t="s">
        <v>863</v>
      </c>
      <c r="AC85" s="331" t="s">
        <v>1692</v>
      </c>
      <c r="AD85" s="316"/>
      <c r="AE85" s="316"/>
      <c r="AF85" s="316"/>
      <c r="AG85" s="316">
        <v>1</v>
      </c>
      <c r="AH85" s="316">
        <v>1</v>
      </c>
      <c r="AI85" s="319" t="s">
        <v>819</v>
      </c>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1">
        <v>78</v>
      </c>
      <c r="B86" s="321"/>
      <c r="C86" s="321" t="s">
        <v>2017</v>
      </c>
      <c r="D86" s="321"/>
      <c r="E86" s="321"/>
      <c r="F86" s="321"/>
      <c r="G86" s="321"/>
      <c r="H86" s="322" t="s">
        <v>2018</v>
      </c>
      <c r="I86" s="322" t="s">
        <v>2019</v>
      </c>
      <c r="J86" s="322" t="s">
        <v>1863</v>
      </c>
      <c r="K86" s="322" t="s">
        <v>863</v>
      </c>
      <c r="L86" s="322" t="s">
        <v>1864</v>
      </c>
      <c r="M86" s="322"/>
      <c r="N86" s="322" t="s">
        <v>1864</v>
      </c>
      <c r="O86" s="322"/>
      <c r="P86" s="322"/>
      <c r="Q86" s="322"/>
      <c r="R86" s="322"/>
      <c r="S86" s="332" t="s">
        <v>816</v>
      </c>
      <c r="T86" s="332" t="s">
        <v>816</v>
      </c>
      <c r="U86" s="332" t="s">
        <v>816</v>
      </c>
      <c r="V86" s="322"/>
      <c r="W86" s="322"/>
      <c r="X86" s="322" t="s">
        <v>862</v>
      </c>
      <c r="Y86" s="322"/>
      <c r="Z86" s="322" t="s">
        <v>2020</v>
      </c>
      <c r="AA86" s="322" t="s">
        <v>863</v>
      </c>
      <c r="AB86" s="322" t="s">
        <v>863</v>
      </c>
      <c r="AC86" s="320" t="s">
        <v>1692</v>
      </c>
      <c r="AD86" s="322"/>
      <c r="AE86" s="322"/>
      <c r="AF86" s="322"/>
      <c r="AG86" s="322">
        <v>1</v>
      </c>
      <c r="AH86" s="322">
        <v>1</v>
      </c>
      <c r="AI86" s="319" t="s">
        <v>819</v>
      </c>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5">
        <v>79</v>
      </c>
      <c r="B87" s="325"/>
      <c r="C87" s="325" t="s">
        <v>2021</v>
      </c>
      <c r="D87" s="325"/>
      <c r="E87" s="325"/>
      <c r="F87" s="325"/>
      <c r="G87" s="325"/>
      <c r="H87" s="317" t="s">
        <v>2022</v>
      </c>
      <c r="I87" s="316" t="s">
        <v>2023</v>
      </c>
      <c r="J87" s="316" t="s">
        <v>2024</v>
      </c>
      <c r="K87" s="316" t="s">
        <v>863</v>
      </c>
      <c r="L87" s="316" t="s">
        <v>2025</v>
      </c>
      <c r="M87" s="316"/>
      <c r="N87" s="316" t="s">
        <v>2025</v>
      </c>
      <c r="O87" s="316"/>
      <c r="P87" s="316"/>
      <c r="Q87" s="316"/>
      <c r="R87" s="316"/>
      <c r="S87" s="326" t="s">
        <v>816</v>
      </c>
      <c r="T87" s="327" t="s">
        <v>819</v>
      </c>
      <c r="U87" s="328" t="s">
        <v>816</v>
      </c>
      <c r="V87" s="316" t="s">
        <v>863</v>
      </c>
      <c r="W87" s="316"/>
      <c r="X87" s="316" t="s">
        <v>878</v>
      </c>
      <c r="Y87" s="316"/>
      <c r="Z87" s="316"/>
      <c r="AA87" s="316" t="s">
        <v>863</v>
      </c>
      <c r="AB87" s="316" t="s">
        <v>863</v>
      </c>
      <c r="AC87" s="320" t="s">
        <v>1692</v>
      </c>
      <c r="AD87" s="316"/>
      <c r="AE87" s="316"/>
      <c r="AF87" s="316"/>
      <c r="AG87" s="316">
        <v>1</v>
      </c>
      <c r="AH87" s="316">
        <v>1</v>
      </c>
      <c r="AI87" s="326" t="s">
        <v>816</v>
      </c>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1">
        <v>80</v>
      </c>
      <c r="B88" s="321"/>
      <c r="C88" s="321" t="s">
        <v>2026</v>
      </c>
      <c r="D88" s="321"/>
      <c r="E88" s="321"/>
      <c r="F88" s="321"/>
      <c r="G88" s="321"/>
      <c r="H88" s="322" t="s">
        <v>2027</v>
      </c>
      <c r="I88" s="322" t="s">
        <v>2028</v>
      </c>
      <c r="J88" s="322" t="s">
        <v>2029</v>
      </c>
      <c r="K88" s="322" t="s">
        <v>863</v>
      </c>
      <c r="L88" s="322" t="s">
        <v>2030</v>
      </c>
      <c r="M88" s="322"/>
      <c r="N88" s="322" t="s">
        <v>2030</v>
      </c>
      <c r="O88" s="322"/>
      <c r="P88" s="322"/>
      <c r="Q88" s="322"/>
      <c r="R88" s="322"/>
      <c r="S88" s="332" t="s">
        <v>816</v>
      </c>
      <c r="T88" s="333" t="s">
        <v>816</v>
      </c>
      <c r="U88" s="333" t="s">
        <v>816</v>
      </c>
      <c r="V88" s="322"/>
      <c r="W88" s="322"/>
      <c r="X88" s="322" t="s">
        <v>878</v>
      </c>
      <c r="Y88" s="322"/>
      <c r="Z88" s="322"/>
      <c r="AA88" s="322" t="s">
        <v>863</v>
      </c>
      <c r="AB88" s="322" t="s">
        <v>863</v>
      </c>
      <c r="AC88" s="320" t="s">
        <v>1692</v>
      </c>
      <c r="AD88" s="322"/>
      <c r="AE88" s="322"/>
      <c r="AF88" s="322"/>
      <c r="AG88" s="322">
        <v>1</v>
      </c>
      <c r="AH88" s="322">
        <v>1</v>
      </c>
      <c r="AI88" s="326" t="s">
        <v>816</v>
      </c>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5">
        <v>81</v>
      </c>
      <c r="B89" s="325"/>
      <c r="C89" s="325" t="s">
        <v>2031</v>
      </c>
      <c r="D89" s="325"/>
      <c r="E89" s="325"/>
      <c r="F89" s="325"/>
      <c r="G89" s="325"/>
      <c r="H89" s="316" t="s">
        <v>2032</v>
      </c>
      <c r="I89" s="316" t="s">
        <v>2033</v>
      </c>
      <c r="J89" s="316" t="s">
        <v>2034</v>
      </c>
      <c r="K89" s="316" t="s">
        <v>863</v>
      </c>
      <c r="L89" s="316" t="s">
        <v>2035</v>
      </c>
      <c r="M89" s="316"/>
      <c r="N89" s="316" t="s">
        <v>2035</v>
      </c>
      <c r="O89" s="316"/>
      <c r="P89" s="316"/>
      <c r="Q89" s="316"/>
      <c r="R89" s="316"/>
      <c r="S89" s="330" t="s">
        <v>822</v>
      </c>
      <c r="T89" s="330" t="s">
        <v>822</v>
      </c>
      <c r="U89" s="330" t="s">
        <v>822</v>
      </c>
      <c r="V89" s="316"/>
      <c r="W89" s="316"/>
      <c r="X89" s="316" t="s">
        <v>862</v>
      </c>
      <c r="Y89" s="316"/>
      <c r="Z89" s="316"/>
      <c r="AA89" s="316" t="s">
        <v>863</v>
      </c>
      <c r="AB89" s="316" t="s">
        <v>863</v>
      </c>
      <c r="AC89" s="320" t="s">
        <v>1692</v>
      </c>
      <c r="AD89" s="316"/>
      <c r="AE89" s="316"/>
      <c r="AF89" s="316"/>
      <c r="AG89" s="316">
        <v>1</v>
      </c>
      <c r="AH89" s="316">
        <v>1</v>
      </c>
      <c r="AI89" s="330" t="s">
        <v>822</v>
      </c>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5">
        <v>82</v>
      </c>
      <c r="B90" s="335"/>
      <c r="C90" s="335" t="s">
        <v>2036</v>
      </c>
      <c r="D90" s="335"/>
      <c r="E90" s="335"/>
      <c r="F90" s="335"/>
      <c r="G90" s="335"/>
      <c r="H90" s="322" t="s">
        <v>2037</v>
      </c>
      <c r="I90" s="322" t="s">
        <v>2038</v>
      </c>
      <c r="J90" s="322"/>
      <c r="K90" s="322" t="s">
        <v>863</v>
      </c>
      <c r="L90" s="322" t="s">
        <v>2039</v>
      </c>
      <c r="M90" s="322"/>
      <c r="N90" s="322" t="s">
        <v>2039</v>
      </c>
      <c r="O90" s="322"/>
      <c r="P90" s="322"/>
      <c r="Q90" s="322"/>
      <c r="R90" s="322"/>
      <c r="S90" s="330" t="s">
        <v>822</v>
      </c>
      <c r="T90" s="330" t="s">
        <v>822</v>
      </c>
      <c r="U90" s="330" t="s">
        <v>822</v>
      </c>
      <c r="V90" s="322"/>
      <c r="W90" s="322"/>
      <c r="X90" s="322" t="s">
        <v>862</v>
      </c>
      <c r="Y90" s="322"/>
      <c r="Z90" s="322"/>
      <c r="AA90" s="322" t="s">
        <v>863</v>
      </c>
      <c r="AB90" s="322" t="s">
        <v>863</v>
      </c>
      <c r="AC90" s="331" t="s">
        <v>1692</v>
      </c>
      <c r="AD90" s="322"/>
      <c r="AE90" s="322"/>
      <c r="AF90" s="322"/>
      <c r="AG90" s="322">
        <v>1</v>
      </c>
      <c r="AH90" s="322"/>
      <c r="AI90" s="330" t="s">
        <v>822</v>
      </c>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5">
        <v>83</v>
      </c>
      <c r="B91" s="315"/>
      <c r="C91" s="315" t="s">
        <v>2040</v>
      </c>
      <c r="D91" s="315"/>
      <c r="E91" s="315"/>
      <c r="F91" s="315"/>
      <c r="G91" s="315"/>
      <c r="H91" s="316" t="s">
        <v>2041</v>
      </c>
      <c r="I91" s="316" t="s">
        <v>2042</v>
      </c>
      <c r="J91" s="316"/>
      <c r="K91" s="316" t="s">
        <v>863</v>
      </c>
      <c r="L91" s="316" t="s">
        <v>2043</v>
      </c>
      <c r="M91" s="316"/>
      <c r="N91" s="316" t="s">
        <v>2043</v>
      </c>
      <c r="O91" s="316"/>
      <c r="P91" s="316"/>
      <c r="Q91" s="316"/>
      <c r="R91" s="316"/>
      <c r="S91" s="343" t="s">
        <v>822</v>
      </c>
      <c r="T91" s="343" t="s">
        <v>822</v>
      </c>
      <c r="U91" s="343" t="s">
        <v>822</v>
      </c>
      <c r="V91" s="316"/>
      <c r="W91" s="316"/>
      <c r="X91" s="316" t="s">
        <v>862</v>
      </c>
      <c r="Y91" s="316"/>
      <c r="Z91" s="316"/>
      <c r="AA91" s="316" t="s">
        <v>863</v>
      </c>
      <c r="AB91" s="316" t="s">
        <v>863</v>
      </c>
      <c r="AC91" s="320" t="s">
        <v>1692</v>
      </c>
      <c r="AD91" s="316"/>
      <c r="AE91" s="316"/>
      <c r="AF91" s="316"/>
      <c r="AG91" s="316">
        <v>1</v>
      </c>
      <c r="AH91" s="316"/>
      <c r="AI91" s="330" t="s">
        <v>822</v>
      </c>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5">
        <v>84</v>
      </c>
      <c r="B92" s="335"/>
      <c r="C92" s="335" t="s">
        <v>2044</v>
      </c>
      <c r="D92" s="335"/>
      <c r="E92" s="335"/>
      <c r="F92" s="335"/>
      <c r="G92" s="335"/>
      <c r="H92" s="323" t="s">
        <v>2045</v>
      </c>
      <c r="I92" s="322" t="s">
        <v>2046</v>
      </c>
      <c r="J92" s="322" t="s">
        <v>2047</v>
      </c>
      <c r="K92" s="322" t="s">
        <v>863</v>
      </c>
      <c r="L92" s="322" t="s">
        <v>2048</v>
      </c>
      <c r="M92" s="322"/>
      <c r="N92" s="322" t="s">
        <v>2048</v>
      </c>
      <c r="O92" s="322"/>
      <c r="P92" s="322"/>
      <c r="Q92" s="322"/>
      <c r="R92" s="322"/>
      <c r="S92" s="332" t="s">
        <v>816</v>
      </c>
      <c r="T92" s="332" t="s">
        <v>816</v>
      </c>
      <c r="U92" s="332" t="s">
        <v>816</v>
      </c>
      <c r="V92" s="322"/>
      <c r="W92" s="322"/>
      <c r="X92" s="322" t="s">
        <v>862</v>
      </c>
      <c r="Y92" s="322"/>
      <c r="Z92" s="322"/>
      <c r="AA92" s="322" t="s">
        <v>863</v>
      </c>
      <c r="AB92" s="322" t="s">
        <v>863</v>
      </c>
      <c r="AC92" s="320" t="s">
        <v>1692</v>
      </c>
      <c r="AD92" s="322"/>
      <c r="AE92" s="322"/>
      <c r="AF92" s="322"/>
      <c r="AG92" s="322">
        <v>1</v>
      </c>
      <c r="AH92" s="322"/>
      <c r="AI92" s="332" t="s">
        <v>816</v>
      </c>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5">
        <v>85</v>
      </c>
      <c r="B93" s="325"/>
      <c r="C93" s="325" t="s">
        <v>2049</v>
      </c>
      <c r="D93" s="325" t="s">
        <v>2050</v>
      </c>
      <c r="E93" s="325"/>
      <c r="F93" s="325"/>
      <c r="G93" s="325"/>
      <c r="H93" s="316" t="s">
        <v>2051</v>
      </c>
      <c r="I93" s="316" t="s">
        <v>1949</v>
      </c>
      <c r="J93" s="337"/>
      <c r="K93" s="316" t="s">
        <v>863</v>
      </c>
      <c r="L93" s="316" t="s">
        <v>1950</v>
      </c>
      <c r="M93" s="316"/>
      <c r="N93" s="316" t="s">
        <v>1950</v>
      </c>
      <c r="O93" s="316"/>
      <c r="P93" s="316"/>
      <c r="Q93" s="316"/>
      <c r="R93" s="316"/>
      <c r="S93" s="326" t="s">
        <v>816</v>
      </c>
      <c r="T93" s="328" t="s">
        <v>816</v>
      </c>
      <c r="U93" s="328" t="s">
        <v>816</v>
      </c>
      <c r="V93" s="316"/>
      <c r="W93" s="316" t="s">
        <v>863</v>
      </c>
      <c r="X93" s="316" t="s">
        <v>1951</v>
      </c>
      <c r="Y93" s="316"/>
      <c r="Z93" s="316"/>
      <c r="AA93" s="316" t="s">
        <v>863</v>
      </c>
      <c r="AB93" s="316" t="s">
        <v>863</v>
      </c>
      <c r="AC93" s="320" t="s">
        <v>1692</v>
      </c>
      <c r="AD93" s="316"/>
      <c r="AE93" s="316" t="s">
        <v>2052</v>
      </c>
      <c r="AF93" s="316"/>
      <c r="AG93" s="316">
        <v>1</v>
      </c>
      <c r="AH93" s="316">
        <v>1</v>
      </c>
      <c r="AI93" s="332" t="s">
        <v>816</v>
      </c>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1">
        <v>86</v>
      </c>
      <c r="B94" s="321"/>
      <c r="C94" s="321" t="s">
        <v>2053</v>
      </c>
      <c r="D94" s="321"/>
      <c r="E94" s="321"/>
      <c r="F94" s="321"/>
      <c r="G94" s="321"/>
      <c r="H94" s="322" t="s">
        <v>2054</v>
      </c>
      <c r="I94" s="322" t="s">
        <v>2055</v>
      </c>
      <c r="J94" s="322">
        <v>5</v>
      </c>
      <c r="K94" s="322" t="s">
        <v>863</v>
      </c>
      <c r="L94" s="322" t="s">
        <v>2056</v>
      </c>
      <c r="M94" s="322"/>
      <c r="N94" s="322" t="s">
        <v>2056</v>
      </c>
      <c r="O94" s="322"/>
      <c r="P94" s="322"/>
      <c r="Q94" s="322"/>
      <c r="R94" s="322"/>
      <c r="S94" s="332" t="s">
        <v>816</v>
      </c>
      <c r="T94" s="332" t="s">
        <v>816</v>
      </c>
      <c r="U94" s="332" t="s">
        <v>816</v>
      </c>
      <c r="V94" s="322"/>
      <c r="W94" s="322"/>
      <c r="X94" s="322" t="s">
        <v>862</v>
      </c>
      <c r="Y94" s="322"/>
      <c r="Z94" s="322" t="s">
        <v>2057</v>
      </c>
      <c r="AA94" s="322" t="s">
        <v>863</v>
      </c>
      <c r="AB94" s="322" t="s">
        <v>863</v>
      </c>
      <c r="AC94" s="320" t="s">
        <v>1692</v>
      </c>
      <c r="AD94" s="322"/>
      <c r="AE94" s="322"/>
      <c r="AF94" s="322"/>
      <c r="AG94" s="322">
        <v>1</v>
      </c>
      <c r="AH94" s="322">
        <v>1</v>
      </c>
      <c r="AI94" s="332" t="s">
        <v>816</v>
      </c>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1">
        <v>87</v>
      </c>
      <c r="B95" s="341" t="s">
        <v>2058</v>
      </c>
      <c r="C95" s="342"/>
      <c r="D95" s="342"/>
      <c r="E95" s="342"/>
      <c r="F95" s="342"/>
      <c r="G95" s="342"/>
      <c r="H95" s="316" t="s">
        <v>2059</v>
      </c>
      <c r="I95" s="316" t="s">
        <v>2060</v>
      </c>
      <c r="J95" s="337"/>
      <c r="K95" s="316"/>
      <c r="L95" s="316" t="s">
        <v>2061</v>
      </c>
      <c r="M95" s="316"/>
      <c r="N95" s="316" t="s">
        <v>2061</v>
      </c>
      <c r="O95" s="316"/>
      <c r="P95" s="316"/>
      <c r="Q95" s="316"/>
      <c r="R95" s="316"/>
      <c r="S95" s="343" t="s">
        <v>822</v>
      </c>
      <c r="T95" s="316"/>
      <c r="U95" s="349" t="s">
        <v>822</v>
      </c>
      <c r="V95" s="316"/>
      <c r="W95" s="316" t="s">
        <v>863</v>
      </c>
      <c r="X95" s="316" t="s">
        <v>1364</v>
      </c>
      <c r="Y95" s="316"/>
      <c r="Z95" s="316"/>
      <c r="AA95" s="316" t="s">
        <v>863</v>
      </c>
      <c r="AB95" s="316" t="s">
        <v>863</v>
      </c>
      <c r="AC95" s="331" t="s">
        <v>1692</v>
      </c>
      <c r="AD95" s="316"/>
      <c r="AE95" s="316"/>
      <c r="AF95" s="316"/>
      <c r="AG95" s="316"/>
      <c r="AH95" s="316"/>
      <c r="AI95" s="343" t="s">
        <v>822</v>
      </c>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0">
        <v>88</v>
      </c>
      <c r="B96" s="350"/>
      <c r="C96" s="350" t="s">
        <v>2062</v>
      </c>
      <c r="D96" s="350"/>
      <c r="E96" s="350"/>
      <c r="F96" s="350"/>
      <c r="G96" s="350"/>
      <c r="H96" s="322" t="s">
        <v>2063</v>
      </c>
      <c r="I96" s="322" t="s">
        <v>2064</v>
      </c>
      <c r="J96" s="329"/>
      <c r="K96" s="322" t="s">
        <v>863</v>
      </c>
      <c r="L96" s="322" t="s">
        <v>2065</v>
      </c>
      <c r="M96" s="322"/>
      <c r="N96" s="322" t="s">
        <v>2065</v>
      </c>
      <c r="O96" s="322"/>
      <c r="P96" s="322"/>
      <c r="Q96" s="322"/>
      <c r="R96" s="322"/>
      <c r="S96" s="324" t="s">
        <v>819</v>
      </c>
      <c r="T96" s="322"/>
      <c r="U96" s="351" t="s">
        <v>819</v>
      </c>
      <c r="V96" s="322"/>
      <c r="W96" s="322" t="s">
        <v>863</v>
      </c>
      <c r="X96" s="322" t="s">
        <v>2066</v>
      </c>
      <c r="Y96" s="322"/>
      <c r="Z96" s="322"/>
      <c r="AA96" s="322" t="s">
        <v>863</v>
      </c>
      <c r="AB96" s="322" t="s">
        <v>863</v>
      </c>
      <c r="AC96" s="320" t="s">
        <v>1692</v>
      </c>
      <c r="AD96" s="322"/>
      <c r="AE96" s="322"/>
      <c r="AF96" s="322"/>
      <c r="AG96" s="322"/>
      <c r="AH96" s="322">
        <v>1</v>
      </c>
      <c r="AI96" s="324" t="s">
        <v>819</v>
      </c>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2">
        <v>89</v>
      </c>
      <c r="B97" s="352"/>
      <c r="C97" s="352"/>
      <c r="D97" s="352" t="s">
        <v>2067</v>
      </c>
      <c r="E97" s="353"/>
      <c r="F97" s="352"/>
      <c r="G97" s="352"/>
      <c r="H97" s="316" t="s">
        <v>2068</v>
      </c>
      <c r="I97" s="316" t="s">
        <v>2069</v>
      </c>
      <c r="J97" s="316" t="s">
        <v>2070</v>
      </c>
      <c r="K97" s="316"/>
      <c r="L97" s="316" t="s">
        <v>2071</v>
      </c>
      <c r="M97" s="316"/>
      <c r="N97" s="316" t="s">
        <v>2071</v>
      </c>
      <c r="O97" s="316"/>
      <c r="P97" s="316"/>
      <c r="Q97" s="316"/>
      <c r="R97" s="316"/>
      <c r="S97" s="316" t="s">
        <v>892</v>
      </c>
      <c r="T97" s="316"/>
      <c r="U97" s="354" t="s">
        <v>892</v>
      </c>
      <c r="V97" s="316"/>
      <c r="W97" s="316"/>
      <c r="X97" s="316" t="s">
        <v>862</v>
      </c>
      <c r="Y97" s="316"/>
      <c r="Z97" s="316" t="s">
        <v>2072</v>
      </c>
      <c r="AA97" s="316" t="s">
        <v>863</v>
      </c>
      <c r="AB97" s="316" t="s">
        <v>863</v>
      </c>
      <c r="AC97" s="320" t="s">
        <v>1692</v>
      </c>
      <c r="AD97" s="316"/>
      <c r="AE97" s="316"/>
      <c r="AF97" s="316"/>
      <c r="AG97" s="316"/>
      <c r="AH97" s="316">
        <v>1</v>
      </c>
      <c r="AI97" s="316" t="s">
        <v>892</v>
      </c>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4">
        <v>90</v>
      </c>
      <c r="B98" s="344"/>
      <c r="C98" s="344"/>
      <c r="D98" s="344" t="s">
        <v>2073</v>
      </c>
      <c r="E98" s="344"/>
      <c r="F98" s="344"/>
      <c r="G98" s="344"/>
      <c r="H98" s="322" t="s">
        <v>2074</v>
      </c>
      <c r="I98" s="322" t="s">
        <v>2075</v>
      </c>
      <c r="J98" s="322"/>
      <c r="K98" s="322"/>
      <c r="L98" s="322" t="s">
        <v>2076</v>
      </c>
      <c r="M98" s="322"/>
      <c r="N98" s="322" t="s">
        <v>2076</v>
      </c>
      <c r="O98" s="322"/>
      <c r="P98" s="322"/>
      <c r="Q98" s="322"/>
      <c r="R98" s="322"/>
      <c r="S98" s="330" t="s">
        <v>822</v>
      </c>
      <c r="T98" s="340"/>
      <c r="U98" s="355" t="s">
        <v>822</v>
      </c>
      <c r="V98" s="322"/>
      <c r="W98" s="322"/>
      <c r="X98" s="322" t="s">
        <v>862</v>
      </c>
      <c r="Y98" s="322"/>
      <c r="Z98" s="322" t="s">
        <v>2077</v>
      </c>
      <c r="AA98" s="322" t="s">
        <v>863</v>
      </c>
      <c r="AB98" s="322" t="s">
        <v>863</v>
      </c>
      <c r="AC98" s="320" t="s">
        <v>1692</v>
      </c>
      <c r="AD98" s="322"/>
      <c r="AE98" s="322"/>
      <c r="AF98" s="322"/>
      <c r="AG98" s="322"/>
      <c r="AH98" s="322"/>
      <c r="AI98" s="330" t="s">
        <v>822</v>
      </c>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1">
        <v>91</v>
      </c>
      <c r="B99" s="341"/>
      <c r="C99" s="341"/>
      <c r="D99" s="341" t="s">
        <v>2078</v>
      </c>
      <c r="E99" s="341"/>
      <c r="F99" s="341"/>
      <c r="G99" s="341"/>
      <c r="H99" s="316" t="s">
        <v>2079</v>
      </c>
      <c r="I99" s="316" t="s">
        <v>2080</v>
      </c>
      <c r="J99" s="316"/>
      <c r="K99" s="316"/>
      <c r="L99" s="316" t="s">
        <v>2081</v>
      </c>
      <c r="M99" s="316"/>
      <c r="N99" s="316" t="s">
        <v>2081</v>
      </c>
      <c r="O99" s="316"/>
      <c r="P99" s="316"/>
      <c r="Q99" s="316"/>
      <c r="R99" s="316"/>
      <c r="S99" s="343" t="s">
        <v>822</v>
      </c>
      <c r="T99" s="316"/>
      <c r="U99" s="349" t="s">
        <v>822</v>
      </c>
      <c r="V99" s="316"/>
      <c r="W99" s="316"/>
      <c r="X99" s="316" t="s">
        <v>862</v>
      </c>
      <c r="Y99" s="316"/>
      <c r="Z99" s="316"/>
      <c r="AA99" s="316" t="s">
        <v>863</v>
      </c>
      <c r="AB99" s="316" t="s">
        <v>863</v>
      </c>
      <c r="AC99" s="320" t="s">
        <v>1692</v>
      </c>
      <c r="AD99" s="316"/>
      <c r="AE99" s="316"/>
      <c r="AF99" s="316"/>
      <c r="AG99" s="316"/>
      <c r="AH99" s="316"/>
      <c r="AI99" s="343" t="s">
        <v>822</v>
      </c>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0">
        <v>92</v>
      </c>
      <c r="B100" s="350"/>
      <c r="C100" s="350" t="s">
        <v>2082</v>
      </c>
      <c r="D100" s="350"/>
      <c r="E100" s="350"/>
      <c r="F100" s="350"/>
      <c r="G100" s="350"/>
      <c r="H100" s="322" t="s">
        <v>2083</v>
      </c>
      <c r="I100" s="322" t="s">
        <v>2084</v>
      </c>
      <c r="J100" s="322" t="s">
        <v>2034</v>
      </c>
      <c r="K100" s="322" t="s">
        <v>863</v>
      </c>
      <c r="L100" s="322" t="s">
        <v>830</v>
      </c>
      <c r="M100" s="322"/>
      <c r="N100" s="322" t="s">
        <v>830</v>
      </c>
      <c r="O100" s="322"/>
      <c r="P100" s="322"/>
      <c r="Q100" s="322"/>
      <c r="R100" s="322"/>
      <c r="S100" s="332" t="s">
        <v>816</v>
      </c>
      <c r="T100" s="322"/>
      <c r="U100" s="356" t="s">
        <v>816</v>
      </c>
      <c r="V100" s="322"/>
      <c r="W100" s="322"/>
      <c r="X100" s="322" t="s">
        <v>862</v>
      </c>
      <c r="Y100" s="322"/>
      <c r="Z100" s="322" t="s">
        <v>2085</v>
      </c>
      <c r="AA100" s="322" t="s">
        <v>863</v>
      </c>
      <c r="AB100" s="322" t="s">
        <v>863</v>
      </c>
      <c r="AC100" s="331" t="s">
        <v>1692</v>
      </c>
      <c r="AD100" s="322"/>
      <c r="AE100" s="322"/>
      <c r="AF100" s="322"/>
      <c r="AG100" s="322"/>
      <c r="AH100" s="322">
        <v>1</v>
      </c>
      <c r="AI100" s="324" t="s">
        <v>819</v>
      </c>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2">
        <v>93</v>
      </c>
      <c r="B101" s="352"/>
      <c r="C101" s="352" t="s">
        <v>2009</v>
      </c>
      <c r="D101" s="353"/>
      <c r="E101" s="352"/>
      <c r="F101" s="352"/>
      <c r="G101" s="352"/>
      <c r="H101" s="316" t="s">
        <v>2086</v>
      </c>
      <c r="I101" s="316" t="s">
        <v>2087</v>
      </c>
      <c r="J101" s="316" t="s">
        <v>2012</v>
      </c>
      <c r="K101" s="316" t="s">
        <v>863</v>
      </c>
      <c r="L101" s="316" t="s">
        <v>1761</v>
      </c>
      <c r="M101" s="316"/>
      <c r="N101" s="316" t="s">
        <v>1761</v>
      </c>
      <c r="O101" s="316"/>
      <c r="P101" s="316"/>
      <c r="Q101" s="316"/>
      <c r="R101" s="316"/>
      <c r="S101" s="326" t="s">
        <v>816</v>
      </c>
      <c r="T101" s="316"/>
      <c r="U101" s="357" t="s">
        <v>816</v>
      </c>
      <c r="V101" s="316"/>
      <c r="W101" s="316"/>
      <c r="X101" s="316" t="s">
        <v>862</v>
      </c>
      <c r="Y101" s="316"/>
      <c r="Z101" s="316"/>
      <c r="AA101" s="316" t="s">
        <v>863</v>
      </c>
      <c r="AB101" s="316" t="s">
        <v>863</v>
      </c>
      <c r="AC101" s="320" t="s">
        <v>1692</v>
      </c>
      <c r="AD101" s="316"/>
      <c r="AE101" s="316"/>
      <c r="AF101" s="316"/>
      <c r="AG101" s="316"/>
      <c r="AH101" s="316">
        <v>1</v>
      </c>
      <c r="AI101" s="326" t="s">
        <v>816</v>
      </c>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0">
        <v>94</v>
      </c>
      <c r="B102" s="350"/>
      <c r="C102" s="350" t="s">
        <v>2088</v>
      </c>
      <c r="D102" s="350"/>
      <c r="E102" s="350"/>
      <c r="F102" s="350"/>
      <c r="G102" s="350"/>
      <c r="H102" s="322" t="s">
        <v>2089</v>
      </c>
      <c r="I102" s="322" t="s">
        <v>2090</v>
      </c>
      <c r="J102" s="322" t="s">
        <v>2091</v>
      </c>
      <c r="K102" s="322" t="s">
        <v>863</v>
      </c>
      <c r="L102" s="322" t="s">
        <v>1770</v>
      </c>
      <c r="M102" s="322"/>
      <c r="N102" s="322" t="s">
        <v>1770</v>
      </c>
      <c r="O102" s="322"/>
      <c r="P102" s="322"/>
      <c r="Q102" s="322"/>
      <c r="R102" s="322"/>
      <c r="S102" s="332" t="s">
        <v>816</v>
      </c>
      <c r="T102" s="322"/>
      <c r="U102" s="356" t="s">
        <v>816</v>
      </c>
      <c r="V102" s="322"/>
      <c r="W102" s="322"/>
      <c r="X102" s="322" t="s">
        <v>862</v>
      </c>
      <c r="Y102" s="322"/>
      <c r="Z102" s="322"/>
      <c r="AA102" s="322" t="s">
        <v>863</v>
      </c>
      <c r="AB102" s="322" t="s">
        <v>863</v>
      </c>
      <c r="AC102" s="320" t="s">
        <v>1692</v>
      </c>
      <c r="AD102" s="322"/>
      <c r="AE102" s="322"/>
      <c r="AF102" s="322"/>
      <c r="AG102" s="322"/>
      <c r="AH102" s="322">
        <v>1</v>
      </c>
      <c r="AI102" s="324" t="s">
        <v>819</v>
      </c>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2">
        <v>95</v>
      </c>
      <c r="B103" s="352"/>
      <c r="C103" s="352" t="s">
        <v>2092</v>
      </c>
      <c r="D103" s="352"/>
      <c r="E103" s="352"/>
      <c r="F103" s="352"/>
      <c r="G103" s="352"/>
      <c r="H103" s="316" t="s">
        <v>2093</v>
      </c>
      <c r="I103" s="316"/>
      <c r="J103" s="316"/>
      <c r="K103" s="316" t="s">
        <v>863</v>
      </c>
      <c r="L103" s="316" t="s">
        <v>1753</v>
      </c>
      <c r="M103" s="316"/>
      <c r="N103" s="316" t="s">
        <v>1753</v>
      </c>
      <c r="O103" s="316"/>
      <c r="P103" s="316"/>
      <c r="Q103" s="316"/>
      <c r="R103" s="316"/>
      <c r="S103" s="326" t="s">
        <v>816</v>
      </c>
      <c r="T103" s="348"/>
      <c r="U103" s="357" t="s">
        <v>816</v>
      </c>
      <c r="V103" s="316"/>
      <c r="W103" s="316"/>
      <c r="X103" s="316" t="s">
        <v>862</v>
      </c>
      <c r="Y103" s="316"/>
      <c r="Z103" s="316"/>
      <c r="AA103" s="316" t="s">
        <v>863</v>
      </c>
      <c r="AB103" s="316" t="s">
        <v>863</v>
      </c>
      <c r="AC103" s="320" t="s">
        <v>1692</v>
      </c>
      <c r="AD103" s="316"/>
      <c r="AE103" s="316"/>
      <c r="AF103" s="316"/>
      <c r="AG103" s="316"/>
      <c r="AH103" s="316">
        <v>1</v>
      </c>
      <c r="AI103" s="326" t="s">
        <v>816</v>
      </c>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0">
        <v>96</v>
      </c>
      <c r="B104" s="350"/>
      <c r="C104" s="350" t="s">
        <v>2094</v>
      </c>
      <c r="D104" s="350"/>
      <c r="E104" s="350"/>
      <c r="F104" s="350"/>
      <c r="G104" s="350"/>
      <c r="H104" s="322" t="s">
        <v>2095</v>
      </c>
      <c r="I104" s="322" t="s">
        <v>2096</v>
      </c>
      <c r="J104" s="329"/>
      <c r="K104" s="322" t="s">
        <v>863</v>
      </c>
      <c r="L104" s="322" t="s">
        <v>2097</v>
      </c>
      <c r="M104" s="322"/>
      <c r="N104" s="322" t="s">
        <v>2097</v>
      </c>
      <c r="O104" s="322"/>
      <c r="P104" s="322"/>
      <c r="Q104" s="322"/>
      <c r="R104" s="322"/>
      <c r="S104" s="330" t="s">
        <v>822</v>
      </c>
      <c r="T104" s="322"/>
      <c r="U104" s="355" t="s">
        <v>822</v>
      </c>
      <c r="V104" s="322"/>
      <c r="W104" s="322" t="s">
        <v>863</v>
      </c>
      <c r="X104" s="322" t="s">
        <v>2098</v>
      </c>
      <c r="Y104" s="322"/>
      <c r="Z104" s="322"/>
      <c r="AA104" s="322" t="s">
        <v>863</v>
      </c>
      <c r="AB104" s="322" t="s">
        <v>863</v>
      </c>
      <c r="AC104" s="320" t="s">
        <v>1692</v>
      </c>
      <c r="AD104" s="322"/>
      <c r="AE104" s="322"/>
      <c r="AF104" s="322"/>
      <c r="AG104" s="322"/>
      <c r="AH104" s="322">
        <v>1</v>
      </c>
      <c r="AI104" s="330" t="s">
        <v>822</v>
      </c>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2">
        <v>97</v>
      </c>
      <c r="B105" s="352"/>
      <c r="C105" s="352"/>
      <c r="D105" s="352" t="s">
        <v>2099</v>
      </c>
      <c r="E105" s="353"/>
      <c r="F105" s="352"/>
      <c r="G105" s="352"/>
      <c r="H105" s="316" t="s">
        <v>2100</v>
      </c>
      <c r="I105" s="316" t="s">
        <v>2101</v>
      </c>
      <c r="J105" s="316" t="s">
        <v>2102</v>
      </c>
      <c r="K105" s="316" t="s">
        <v>863</v>
      </c>
      <c r="L105" s="316" t="s">
        <v>1895</v>
      </c>
      <c r="M105" s="316"/>
      <c r="N105" s="316" t="s">
        <v>1895</v>
      </c>
      <c r="O105" s="316"/>
      <c r="P105" s="316"/>
      <c r="Q105" s="316"/>
      <c r="R105" s="316"/>
      <c r="S105" s="326" t="s">
        <v>816</v>
      </c>
      <c r="T105" s="316"/>
      <c r="U105" s="357" t="s">
        <v>816</v>
      </c>
      <c r="V105" s="316"/>
      <c r="W105" s="316"/>
      <c r="X105" s="316" t="s">
        <v>878</v>
      </c>
      <c r="Y105" s="316"/>
      <c r="Z105" s="316"/>
      <c r="AA105" s="316" t="s">
        <v>863</v>
      </c>
      <c r="AB105" s="316" t="s">
        <v>863</v>
      </c>
      <c r="AC105" s="331" t="s">
        <v>1692</v>
      </c>
      <c r="AD105" s="316"/>
      <c r="AE105" s="316"/>
      <c r="AF105" s="316"/>
      <c r="AG105" s="316"/>
      <c r="AH105" s="316">
        <v>1</v>
      </c>
      <c r="AI105" s="326" t="s">
        <v>816</v>
      </c>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0">
        <v>98</v>
      </c>
      <c r="B106" s="350"/>
      <c r="C106" s="350"/>
      <c r="D106" s="350" t="s">
        <v>1821</v>
      </c>
      <c r="E106" s="350"/>
      <c r="F106" s="350"/>
      <c r="G106" s="350"/>
      <c r="H106" s="322" t="s">
        <v>2103</v>
      </c>
      <c r="I106" s="322" t="s">
        <v>2104</v>
      </c>
      <c r="J106" s="322" t="s">
        <v>2105</v>
      </c>
      <c r="K106" s="322" t="s">
        <v>863</v>
      </c>
      <c r="L106" s="322" t="s">
        <v>1782</v>
      </c>
      <c r="M106" s="322"/>
      <c r="N106" s="322" t="s">
        <v>1782</v>
      </c>
      <c r="O106" s="322"/>
      <c r="P106" s="322"/>
      <c r="Q106" s="322"/>
      <c r="R106" s="322"/>
      <c r="S106" s="324" t="s">
        <v>819</v>
      </c>
      <c r="T106" s="322"/>
      <c r="U106" s="351" t="s">
        <v>819</v>
      </c>
      <c r="V106" s="322"/>
      <c r="W106" s="322"/>
      <c r="X106" s="322" t="s">
        <v>862</v>
      </c>
      <c r="Y106" s="322"/>
      <c r="Z106" s="322" t="s">
        <v>2106</v>
      </c>
      <c r="AA106" s="322" t="s">
        <v>863</v>
      </c>
      <c r="AB106" s="322" t="s">
        <v>863</v>
      </c>
      <c r="AC106" s="320" t="s">
        <v>1692</v>
      </c>
      <c r="AD106" s="322"/>
      <c r="AE106" s="322"/>
      <c r="AF106" s="322"/>
      <c r="AG106" s="322"/>
      <c r="AH106" s="322">
        <v>1</v>
      </c>
      <c r="AI106" s="324" t="s">
        <v>819</v>
      </c>
      <c r="AJ106" s="516" t="s">
        <v>2107</v>
      </c>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2">
        <v>99</v>
      </c>
      <c r="B107" s="352"/>
      <c r="C107" s="352"/>
      <c r="D107" s="352" t="s">
        <v>1775</v>
      </c>
      <c r="E107" s="352"/>
      <c r="F107" s="352"/>
      <c r="G107" s="352"/>
      <c r="H107" s="316" t="s">
        <v>2108</v>
      </c>
      <c r="I107" s="316"/>
      <c r="J107" s="316" t="s">
        <v>2109</v>
      </c>
      <c r="K107" s="316" t="s">
        <v>863</v>
      </c>
      <c r="L107" s="316" t="s">
        <v>1753</v>
      </c>
      <c r="M107" s="316"/>
      <c r="N107" s="316" t="s">
        <v>1753</v>
      </c>
      <c r="O107" s="316"/>
      <c r="P107" s="316"/>
      <c r="Q107" s="316"/>
      <c r="R107" s="316"/>
      <c r="S107" s="326" t="s">
        <v>816</v>
      </c>
      <c r="T107" s="316"/>
      <c r="U107" s="357" t="s">
        <v>816</v>
      </c>
      <c r="V107" s="316"/>
      <c r="W107" s="316"/>
      <c r="X107" s="316" t="s">
        <v>862</v>
      </c>
      <c r="Y107" s="316"/>
      <c r="Z107" s="316"/>
      <c r="AA107" s="316" t="s">
        <v>863</v>
      </c>
      <c r="AB107" s="316" t="s">
        <v>863</v>
      </c>
      <c r="AC107" s="320" t="s">
        <v>1692</v>
      </c>
      <c r="AD107" s="316"/>
      <c r="AE107" s="316"/>
      <c r="AF107" s="316"/>
      <c r="AG107" s="316"/>
      <c r="AH107" s="316">
        <v>1</v>
      </c>
      <c r="AI107" s="326" t="s">
        <v>816</v>
      </c>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0">
        <v>100</v>
      </c>
      <c r="B108" s="350"/>
      <c r="C108" s="350"/>
      <c r="D108" s="350" t="s">
        <v>2110</v>
      </c>
      <c r="E108" s="350"/>
      <c r="F108" s="350"/>
      <c r="G108" s="350"/>
      <c r="H108" s="322" t="s">
        <v>2111</v>
      </c>
      <c r="I108" s="322" t="s">
        <v>2112</v>
      </c>
      <c r="J108" s="322"/>
      <c r="K108" s="322"/>
      <c r="L108" s="322" t="s">
        <v>830</v>
      </c>
      <c r="M108" s="322"/>
      <c r="N108" s="322" t="s">
        <v>830</v>
      </c>
      <c r="O108" s="322"/>
      <c r="P108" s="322"/>
      <c r="Q108" s="322"/>
      <c r="R108" s="322"/>
      <c r="S108" s="332" t="s">
        <v>816</v>
      </c>
      <c r="T108" s="340"/>
      <c r="U108" s="356" t="s">
        <v>816</v>
      </c>
      <c r="V108" s="322"/>
      <c r="W108" s="322"/>
      <c r="X108" s="322" t="s">
        <v>862</v>
      </c>
      <c r="Y108" s="322"/>
      <c r="Z108" s="322"/>
      <c r="AA108" s="322" t="s">
        <v>863</v>
      </c>
      <c r="AB108" s="322" t="s">
        <v>863</v>
      </c>
      <c r="AC108" s="320" t="s">
        <v>1692</v>
      </c>
      <c r="AD108" s="322"/>
      <c r="AE108" s="322"/>
      <c r="AF108" s="322"/>
      <c r="AG108" s="322"/>
      <c r="AH108" s="322">
        <v>1</v>
      </c>
      <c r="AI108" s="332" t="s">
        <v>816</v>
      </c>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2">
        <v>101</v>
      </c>
      <c r="B109" s="352"/>
      <c r="C109" s="352"/>
      <c r="D109" s="352" t="s">
        <v>2113</v>
      </c>
      <c r="E109" s="353" t="s">
        <v>2050</v>
      </c>
      <c r="F109" s="352"/>
      <c r="G109" s="352"/>
      <c r="H109" s="316" t="s">
        <v>2114</v>
      </c>
      <c r="I109" s="316" t="s">
        <v>2115</v>
      </c>
      <c r="J109" s="337"/>
      <c r="K109" s="316" t="s">
        <v>863</v>
      </c>
      <c r="L109" s="316" t="s">
        <v>1950</v>
      </c>
      <c r="M109" s="316"/>
      <c r="N109" s="316" t="s">
        <v>1950</v>
      </c>
      <c r="O109" s="316"/>
      <c r="P109" s="316"/>
      <c r="Q109" s="316"/>
      <c r="R109" s="316"/>
      <c r="S109" s="343" t="s">
        <v>822</v>
      </c>
      <c r="T109" s="316"/>
      <c r="U109" s="349" t="s">
        <v>822</v>
      </c>
      <c r="V109" s="316"/>
      <c r="W109" s="316" t="s">
        <v>863</v>
      </c>
      <c r="X109" s="316" t="s">
        <v>1951</v>
      </c>
      <c r="Y109" s="316"/>
      <c r="Z109" s="316"/>
      <c r="AA109" s="316" t="s">
        <v>863</v>
      </c>
      <c r="AB109" s="316" t="s">
        <v>863</v>
      </c>
      <c r="AC109" s="320" t="s">
        <v>1692</v>
      </c>
      <c r="AD109" s="316"/>
      <c r="AE109" s="316"/>
      <c r="AF109" s="316"/>
      <c r="AG109" s="316"/>
      <c r="AH109" s="316">
        <v>1</v>
      </c>
      <c r="AI109" s="343" t="s">
        <v>822</v>
      </c>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4">
        <v>102</v>
      </c>
      <c r="B110" s="344"/>
      <c r="C110" s="344" t="s">
        <v>2116</v>
      </c>
      <c r="D110" s="344"/>
      <c r="E110" s="344"/>
      <c r="F110" s="344"/>
      <c r="G110" s="344"/>
      <c r="H110" s="322" t="s">
        <v>2117</v>
      </c>
      <c r="I110" s="322" t="s">
        <v>2118</v>
      </c>
      <c r="J110" s="322">
        <v>1</v>
      </c>
      <c r="K110" s="322"/>
      <c r="L110" s="322" t="s">
        <v>2119</v>
      </c>
      <c r="M110" s="322"/>
      <c r="N110" s="322" t="s">
        <v>2119</v>
      </c>
      <c r="O110" s="322"/>
      <c r="P110" s="322"/>
      <c r="Q110" s="322"/>
      <c r="R110" s="322"/>
      <c r="S110" s="332" t="s">
        <v>816</v>
      </c>
      <c r="T110" s="322"/>
      <c r="U110" s="356" t="s">
        <v>816</v>
      </c>
      <c r="V110" s="322"/>
      <c r="W110" s="322"/>
      <c r="X110" s="322" t="s">
        <v>1091</v>
      </c>
      <c r="Y110" s="322"/>
      <c r="Z110" s="322"/>
      <c r="AA110" s="322" t="s">
        <v>863</v>
      </c>
      <c r="AB110" s="322" t="s">
        <v>863</v>
      </c>
      <c r="AC110" s="331" t="s">
        <v>1692</v>
      </c>
      <c r="AD110" s="322"/>
      <c r="AE110" s="322"/>
      <c r="AF110" s="322"/>
      <c r="AG110" s="322"/>
      <c r="AH110" s="322"/>
      <c r="AI110" s="332" t="s">
        <v>816</v>
      </c>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1">
        <v>103</v>
      </c>
      <c r="B111" s="341"/>
      <c r="C111" s="341" t="s">
        <v>2120</v>
      </c>
      <c r="D111" s="345"/>
      <c r="E111" s="341"/>
      <c r="F111" s="341"/>
      <c r="G111" s="341"/>
      <c r="H111" s="316" t="s">
        <v>2121</v>
      </c>
      <c r="I111" s="316" t="s">
        <v>2122</v>
      </c>
      <c r="J111" s="316"/>
      <c r="K111" s="316"/>
      <c r="L111" s="316" t="s">
        <v>2123</v>
      </c>
      <c r="M111" s="316"/>
      <c r="N111" s="316" t="s">
        <v>2123</v>
      </c>
      <c r="O111" s="316"/>
      <c r="P111" s="316"/>
      <c r="Q111" s="316"/>
      <c r="R111" s="316"/>
      <c r="S111" s="326" t="s">
        <v>816</v>
      </c>
      <c r="T111" s="316"/>
      <c r="U111" s="357" t="s">
        <v>816</v>
      </c>
      <c r="V111" s="316"/>
      <c r="W111" s="316"/>
      <c r="X111" s="316" t="s">
        <v>862</v>
      </c>
      <c r="Y111" s="316"/>
      <c r="Z111" s="316" t="s">
        <v>2124</v>
      </c>
      <c r="AA111" s="316" t="s">
        <v>863</v>
      </c>
      <c r="AB111" s="316" t="s">
        <v>863</v>
      </c>
      <c r="AC111" s="320" t="s">
        <v>1692</v>
      </c>
      <c r="AD111" s="316"/>
      <c r="AE111" s="316"/>
      <c r="AF111" s="316"/>
      <c r="AG111" s="316"/>
      <c r="AH111" s="316"/>
      <c r="AI111" s="326" t="s">
        <v>816</v>
      </c>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0">
        <v>104</v>
      </c>
      <c r="B112" s="350"/>
      <c r="C112" s="350" t="s">
        <v>2125</v>
      </c>
      <c r="D112" s="350"/>
      <c r="E112" s="350"/>
      <c r="F112" s="350"/>
      <c r="G112" s="350"/>
      <c r="H112" s="322" t="s">
        <v>2126</v>
      </c>
      <c r="I112" s="322" t="s">
        <v>2127</v>
      </c>
      <c r="J112" s="322" t="s">
        <v>2128</v>
      </c>
      <c r="K112" s="322" t="s">
        <v>863</v>
      </c>
      <c r="L112" s="322" t="s">
        <v>1864</v>
      </c>
      <c r="M112" s="322"/>
      <c r="N112" s="322" t="s">
        <v>1864</v>
      </c>
      <c r="O112" s="322"/>
      <c r="P112" s="322"/>
      <c r="Q112" s="322"/>
      <c r="R112" s="322"/>
      <c r="S112" s="332" t="s">
        <v>816</v>
      </c>
      <c r="T112" s="322"/>
      <c r="U112" s="356" t="s">
        <v>816</v>
      </c>
      <c r="V112" s="322"/>
      <c r="W112" s="322"/>
      <c r="X112" s="322" t="s">
        <v>862</v>
      </c>
      <c r="Y112" s="322"/>
      <c r="Z112" s="322" t="s">
        <v>2129</v>
      </c>
      <c r="AA112" s="322" t="s">
        <v>863</v>
      </c>
      <c r="AB112" s="322" t="s">
        <v>863</v>
      </c>
      <c r="AC112" s="320" t="s">
        <v>1692</v>
      </c>
      <c r="AD112" s="322"/>
      <c r="AE112" s="322"/>
      <c r="AF112" s="322"/>
      <c r="AG112" s="322"/>
      <c r="AH112" s="322">
        <v>1</v>
      </c>
      <c r="AI112" s="324" t="s">
        <v>819</v>
      </c>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1">
        <v>105</v>
      </c>
      <c r="B113" s="341"/>
      <c r="C113" s="341" t="s">
        <v>2130</v>
      </c>
      <c r="D113" s="341"/>
      <c r="E113" s="341"/>
      <c r="F113" s="341"/>
      <c r="G113" s="341"/>
      <c r="H113" s="316" t="s">
        <v>2131</v>
      </c>
      <c r="I113" s="316" t="s">
        <v>2132</v>
      </c>
      <c r="J113" s="316" t="s">
        <v>1281</v>
      </c>
      <c r="K113" s="316"/>
      <c r="L113" s="316" t="s">
        <v>2133</v>
      </c>
      <c r="M113" s="316"/>
      <c r="N113" s="316" t="s">
        <v>2133</v>
      </c>
      <c r="O113" s="316"/>
      <c r="P113" s="316"/>
      <c r="Q113" s="316"/>
      <c r="R113" s="316"/>
      <c r="S113" s="326" t="s">
        <v>816</v>
      </c>
      <c r="T113" s="348"/>
      <c r="U113" s="357" t="s">
        <v>816</v>
      </c>
      <c r="V113" s="316"/>
      <c r="W113" s="316"/>
      <c r="X113" s="316" t="s">
        <v>862</v>
      </c>
      <c r="Y113" s="316"/>
      <c r="Z113" s="316"/>
      <c r="AA113" s="316" t="s">
        <v>863</v>
      </c>
      <c r="AB113" s="316" t="s">
        <v>863</v>
      </c>
      <c r="AC113" s="320" t="s">
        <v>1692</v>
      </c>
      <c r="AD113" s="316"/>
      <c r="AE113" s="316"/>
      <c r="AF113" s="316"/>
      <c r="AG113" s="316"/>
      <c r="AH113" s="316"/>
      <c r="AI113" s="326" t="s">
        <v>816</v>
      </c>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4">
        <v>106</v>
      </c>
      <c r="B114" s="344"/>
      <c r="C114" s="344" t="s">
        <v>2134</v>
      </c>
      <c r="D114" s="346"/>
      <c r="E114" s="346"/>
      <c r="F114" s="346"/>
      <c r="G114" s="346"/>
      <c r="H114" s="322" t="s">
        <v>2135</v>
      </c>
      <c r="I114" s="322" t="s">
        <v>2136</v>
      </c>
      <c r="J114" s="329"/>
      <c r="K114" s="322" t="s">
        <v>863</v>
      </c>
      <c r="L114" s="322" t="s">
        <v>2137</v>
      </c>
      <c r="M114" s="322"/>
      <c r="N114" s="322" t="s">
        <v>2137</v>
      </c>
      <c r="O114" s="322"/>
      <c r="P114" s="322"/>
      <c r="Q114" s="322"/>
      <c r="R114" s="322"/>
      <c r="S114" s="330" t="s">
        <v>822</v>
      </c>
      <c r="T114" s="322"/>
      <c r="U114" s="355" t="s">
        <v>822</v>
      </c>
      <c r="V114" s="322"/>
      <c r="W114" s="322" t="s">
        <v>863</v>
      </c>
      <c r="X114" s="322" t="s">
        <v>1263</v>
      </c>
      <c r="Y114" s="322"/>
      <c r="Z114" s="322"/>
      <c r="AA114" s="322" t="s">
        <v>863</v>
      </c>
      <c r="AB114" s="322" t="s">
        <v>863</v>
      </c>
      <c r="AC114" s="320" t="s">
        <v>1692</v>
      </c>
      <c r="AD114" s="322"/>
      <c r="AE114" s="322"/>
      <c r="AF114" s="322"/>
      <c r="AG114" s="322"/>
      <c r="AH114" s="322"/>
      <c r="AI114" s="330" t="s">
        <v>822</v>
      </c>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1">
        <v>107</v>
      </c>
      <c r="B115" s="341"/>
      <c r="C115" s="341"/>
      <c r="D115" s="341" t="s">
        <v>2138</v>
      </c>
      <c r="E115" s="341"/>
      <c r="F115" s="341"/>
      <c r="G115" s="341"/>
      <c r="H115" s="316" t="s">
        <v>2139</v>
      </c>
      <c r="I115" s="316" t="s">
        <v>2140</v>
      </c>
      <c r="J115" s="316" t="s">
        <v>1267</v>
      </c>
      <c r="K115" s="316" t="s">
        <v>863</v>
      </c>
      <c r="L115" s="316" t="s">
        <v>1782</v>
      </c>
      <c r="M115" s="316"/>
      <c r="N115" s="316" t="s">
        <v>1782</v>
      </c>
      <c r="O115" s="316"/>
      <c r="P115" s="316"/>
      <c r="Q115" s="316"/>
      <c r="R115" s="316"/>
      <c r="S115" s="319" t="s">
        <v>819</v>
      </c>
      <c r="T115" s="316"/>
      <c r="U115" s="358" t="s">
        <v>819</v>
      </c>
      <c r="V115" s="316"/>
      <c r="W115" s="316"/>
      <c r="X115" s="316" t="s">
        <v>862</v>
      </c>
      <c r="Y115" s="316"/>
      <c r="Z115" s="316" t="s">
        <v>1268</v>
      </c>
      <c r="AA115" s="316" t="s">
        <v>863</v>
      </c>
      <c r="AB115" s="316" t="s">
        <v>863</v>
      </c>
      <c r="AC115" s="331" t="s">
        <v>1692</v>
      </c>
      <c r="AD115" s="316"/>
      <c r="AE115" s="316"/>
      <c r="AF115" s="316"/>
      <c r="AG115" s="316"/>
      <c r="AH115" s="316"/>
      <c r="AI115" s="319" t="s">
        <v>819</v>
      </c>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4">
        <v>108</v>
      </c>
      <c r="B116" s="344"/>
      <c r="C116" s="344"/>
      <c r="D116" s="344" t="s">
        <v>2141</v>
      </c>
      <c r="E116" s="344"/>
      <c r="F116" s="344"/>
      <c r="G116" s="344"/>
      <c r="H116" s="322" t="s">
        <v>2142</v>
      </c>
      <c r="I116" s="322" t="s">
        <v>2143</v>
      </c>
      <c r="J116" s="375">
        <v>606070707</v>
      </c>
      <c r="K116" s="322" t="s">
        <v>863</v>
      </c>
      <c r="L116" s="322" t="s">
        <v>2144</v>
      </c>
      <c r="M116" s="322"/>
      <c r="N116" s="322" t="s">
        <v>2144</v>
      </c>
      <c r="O116" s="322"/>
      <c r="P116" s="322"/>
      <c r="Q116" s="322"/>
      <c r="R116" s="322"/>
      <c r="S116" s="324" t="s">
        <v>819</v>
      </c>
      <c r="T116" s="322"/>
      <c r="U116" s="351" t="s">
        <v>819</v>
      </c>
      <c r="V116" s="322"/>
      <c r="W116" s="322"/>
      <c r="X116" s="322" t="s">
        <v>862</v>
      </c>
      <c r="Y116" s="322"/>
      <c r="Z116" s="322"/>
      <c r="AA116" s="322" t="s">
        <v>863</v>
      </c>
      <c r="AB116" s="322" t="s">
        <v>863</v>
      </c>
      <c r="AC116" s="320" t="s">
        <v>1692</v>
      </c>
      <c r="AD116" s="322"/>
      <c r="AE116" s="322"/>
      <c r="AF116" s="322"/>
      <c r="AG116" s="322"/>
      <c r="AH116" s="322"/>
      <c r="AI116" s="324" t="s">
        <v>819</v>
      </c>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59">
        <f>COUNTA(A9:A116)</f>
        <v>108</v>
      </c>
      <c r="B117" s="359">
        <f t="shared" ref="B117:G117" si="0">COUNTA(B9:B116)</f>
        <v>4</v>
      </c>
      <c r="C117" s="359">
        <f t="shared" si="0"/>
        <v>54</v>
      </c>
      <c r="D117" s="359">
        <f t="shared" si="0"/>
        <v>41</v>
      </c>
      <c r="E117" s="359">
        <f t="shared" si="0"/>
        <v>8</v>
      </c>
      <c r="F117" s="359">
        <f t="shared" si="0"/>
        <v>3</v>
      </c>
      <c r="G117" s="359">
        <f t="shared" si="0"/>
        <v>0</v>
      </c>
      <c r="H117" s="360"/>
      <c r="I117" s="360"/>
      <c r="J117" s="360"/>
      <c r="K117" s="360"/>
      <c r="L117" s="360"/>
      <c r="M117" s="360"/>
      <c r="N117" s="360"/>
      <c r="O117" s="360"/>
      <c r="P117" s="360"/>
      <c r="Q117" s="360"/>
      <c r="R117" s="360"/>
      <c r="S117" s="360"/>
      <c r="T117" s="360"/>
      <c r="U117" s="360"/>
      <c r="V117" s="360"/>
      <c r="W117" s="360">
        <v>21</v>
      </c>
      <c r="X117" s="360">
        <v>128</v>
      </c>
      <c r="Y117" s="360"/>
      <c r="Z117" s="360"/>
      <c r="AA117" s="360"/>
      <c r="AB117" s="360"/>
      <c r="AC117" s="361" t="s">
        <v>1692</v>
      </c>
      <c r="AD117" s="360">
        <v>11</v>
      </c>
      <c r="AE117" s="360">
        <v>1</v>
      </c>
      <c r="AF117" s="360">
        <v>0</v>
      </c>
      <c r="AG117" s="360">
        <v>82</v>
      </c>
      <c r="AH117" s="360">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2"/>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3"/>
      <c r="C119" s="363"/>
      <c r="D119" s="363"/>
      <c r="E119" s="363"/>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2"/>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2"/>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2"/>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2"/>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2"/>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2"/>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2"/>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2"/>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2"/>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2"/>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4"/>
      <c r="C139" s="364"/>
      <c r="D139" s="364"/>
      <c r="E139" s="364"/>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5"/>
      <c r="B140" s="366"/>
      <c r="C140" s="366"/>
      <c r="D140" s="366"/>
      <c r="E140" s="366"/>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5"/>
      <c r="B141" s="366"/>
      <c r="C141" s="366"/>
      <c r="D141" s="366"/>
      <c r="E141" s="366"/>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5"/>
      <c r="B142" s="366"/>
      <c r="C142" s="366"/>
      <c r="D142" s="366"/>
      <c r="E142" s="366"/>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5"/>
      <c r="B143" s="366"/>
      <c r="C143" s="366"/>
      <c r="D143" s="366"/>
      <c r="E143" s="366"/>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5"/>
      <c r="B144" s="366"/>
      <c r="C144" s="366"/>
      <c r="D144" s="366"/>
      <c r="E144" s="366"/>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5"/>
      <c r="B145" s="366"/>
      <c r="C145" s="366"/>
      <c r="D145" s="366"/>
      <c r="E145" s="366"/>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5"/>
      <c r="B146" s="366"/>
      <c r="C146" s="366"/>
      <c r="D146" s="366"/>
      <c r="E146" s="366"/>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7"/>
      <c r="B147" s="368"/>
      <c r="C147" s="368"/>
      <c r="D147" s="368"/>
      <c r="E147" s="368"/>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7"/>
      <c r="B148" s="368"/>
      <c r="C148" s="368"/>
      <c r="D148" s="368"/>
      <c r="E148" s="368"/>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7"/>
      <c r="B149" s="368"/>
      <c r="C149" s="368"/>
      <c r="D149" s="368"/>
      <c r="E149" s="368"/>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7"/>
      <c r="B150" s="368"/>
      <c r="C150" s="368"/>
      <c r="D150" s="368"/>
      <c r="E150" s="368"/>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7"/>
      <c r="B151" s="368"/>
      <c r="C151" s="368"/>
      <c r="D151" s="368"/>
      <c r="E151" s="368"/>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7"/>
      <c r="B152" s="368"/>
      <c r="C152" s="368"/>
      <c r="D152" s="368"/>
      <c r="E152" s="368"/>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7"/>
      <c r="B153" s="368"/>
      <c r="C153" s="368"/>
      <c r="D153" s="368"/>
      <c r="E153" s="368"/>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7"/>
      <c r="B154" s="368"/>
      <c r="C154" s="368"/>
      <c r="D154" s="368"/>
      <c r="E154" s="368"/>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5"/>
      <c r="B155" s="366"/>
      <c r="C155" s="366"/>
      <c r="D155" s="366"/>
      <c r="E155" s="366"/>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69"/>
      <c r="B156" s="370"/>
      <c r="C156" s="370"/>
      <c r="D156" s="370"/>
      <c r="E156" s="370"/>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69"/>
      <c r="B157" s="370"/>
      <c r="C157" s="370"/>
      <c r="D157" s="370"/>
      <c r="E157" s="370"/>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69"/>
      <c r="B158" s="370"/>
      <c r="C158" s="370"/>
      <c r="D158" s="370"/>
      <c r="E158" s="370"/>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69"/>
      <c r="B159" s="370"/>
      <c r="C159" s="370"/>
      <c r="D159" s="370"/>
      <c r="E159" s="370"/>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69"/>
      <c r="B160" s="370"/>
      <c r="C160" s="370"/>
      <c r="D160" s="370"/>
      <c r="E160" s="370"/>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69"/>
      <c r="B161" s="370"/>
      <c r="C161" s="370"/>
      <c r="D161" s="370"/>
      <c r="E161" s="370"/>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69"/>
      <c r="B162" s="370"/>
      <c r="C162" s="370"/>
      <c r="D162" s="370"/>
      <c r="E162" s="370"/>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5"/>
      <c r="B163" s="366"/>
      <c r="C163" s="366"/>
      <c r="D163" s="366"/>
      <c r="E163" s="366"/>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5"/>
      <c r="B164" s="366"/>
      <c r="C164" s="366"/>
      <c r="D164" s="366"/>
      <c r="E164" s="366"/>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5"/>
      <c r="B165" s="366"/>
      <c r="C165" s="366"/>
      <c r="D165" s="366"/>
      <c r="E165" s="366"/>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1"/>
      <c r="C166" s="371"/>
      <c r="D166" s="371"/>
      <c r="E166" s="371"/>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1"/>
      <c r="C167" s="371"/>
      <c r="D167" s="371"/>
      <c r="E167" s="371"/>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3">
    <mergeCell ref="H1:L2"/>
    <mergeCell ref="O7:R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sheetPr>
    <tabColor theme="4" tint="0.79998168889431442"/>
  </sheetPr>
  <dimension ref="A1:ALU100"/>
  <sheetViews>
    <sheetView zoomScaleNormal="100" workbookViewId="0">
      <pane xSplit="7" ySplit="8" topLeftCell="I17" activePane="bottomRight" state="frozen"/>
      <selection pane="topRight" activeCell="H1" sqref="H1"/>
      <selection pane="bottomLeft" activeCell="A9" sqref="A9"/>
      <selection pane="bottomRight" activeCell="D24" sqref="D24"/>
    </sheetView>
  </sheetViews>
  <sheetFormatPr baseColWidth="10" defaultColWidth="9.5" defaultRowHeight="12" customHeight="1"/>
  <cols>
    <col min="1" max="1" width="6" style="128" customWidth="1"/>
    <col min="2" max="2" width="21.125" style="128" customWidth="1"/>
    <col min="3" max="3" width="29.375" style="128" customWidth="1"/>
    <col min="4" max="4" width="27.375" style="128" customWidth="1"/>
    <col min="5" max="5" width="9.125" style="128" customWidth="1"/>
    <col min="6" max="6" width="8.625" style="128" customWidth="1"/>
    <col min="7" max="7" width="9.125" style="96" customWidth="1"/>
    <col min="8" max="8" width="63.875" style="96" customWidth="1"/>
    <col min="9" max="9" width="33.5" style="225" customWidth="1"/>
    <col min="10" max="10" width="17.875" style="159" hidden="1" customWidth="1"/>
    <col min="11" max="11" width="10.5" style="96" customWidth="1"/>
    <col min="12" max="12" width="6" style="173" customWidth="1"/>
    <col min="13" max="13" width="18.5" style="96" customWidth="1"/>
    <col min="14" max="14" width="12.625" style="277" customWidth="1"/>
    <col min="15" max="15" width="28.125" style="96" customWidth="1"/>
    <col min="16" max="16" width="8.875" style="96" customWidth="1"/>
    <col min="17" max="17" width="9.5" style="96" customWidth="1"/>
    <col min="18" max="18" width="10.625" customWidth="1"/>
    <col min="19" max="19" width="4" style="179" customWidth="1"/>
    <col min="20" max="20" width="16.375" style="96" customWidth="1"/>
    <col min="21" max="21" width="13.375" style="159" customWidth="1"/>
    <col min="22" max="22" width="12.875" style="96" customWidth="1"/>
    <col min="23" max="23" width="11.125" style="96" customWidth="1"/>
    <col min="25" max="1005" width="9.5" style="128"/>
    <col min="1006" max="1006" width="9" style="128" customWidth="1"/>
    <col min="1007" max="1008" width="9" customWidth="1"/>
  </cols>
  <sheetData>
    <row r="1" spans="1:1006" ht="13.5" customHeight="1">
      <c r="A1" s="228" t="s">
        <v>2670</v>
      </c>
      <c r="C1" s="130"/>
      <c r="F1" s="157"/>
      <c r="G1" s="128"/>
      <c r="H1" s="820"/>
      <c r="I1" s="820"/>
      <c r="X1" s="128"/>
      <c r="ALR1"/>
    </row>
    <row r="2" spans="1:1006" ht="13.5" customHeight="1">
      <c r="C2" s="141"/>
      <c r="D2" s="284"/>
      <c r="E2" s="157"/>
      <c r="F2" s="157"/>
      <c r="G2" s="128"/>
      <c r="H2" s="820"/>
      <c r="I2" s="820"/>
      <c r="X2" s="128"/>
      <c r="ALR2"/>
    </row>
    <row r="3" spans="1:1006" ht="13.5" customHeight="1">
      <c r="A3" s="128" t="s">
        <v>850</v>
      </c>
      <c r="B3" s="128" t="s">
        <v>2145</v>
      </c>
      <c r="C3" s="142"/>
      <c r="E3" s="157"/>
      <c r="G3" s="128"/>
      <c r="X3" s="128"/>
      <c r="ALR3"/>
    </row>
    <row r="4" spans="1:1006" ht="13.5" customHeight="1">
      <c r="C4" s="128" t="s">
        <v>2663</v>
      </c>
      <c r="G4" s="137"/>
      <c r="X4" s="128"/>
      <c r="ALR4"/>
    </row>
    <row r="5" spans="1:1006" s="149" customFormat="1" ht="13.5" customHeight="1">
      <c r="A5" s="128"/>
      <c r="B5" s="128"/>
      <c r="C5" s="128" t="s">
        <v>2146</v>
      </c>
      <c r="D5" s="146"/>
      <c r="E5" s="128"/>
      <c r="F5" s="146"/>
      <c r="G5" s="148"/>
      <c r="H5" s="148"/>
      <c r="I5" s="275"/>
      <c r="J5" s="160"/>
      <c r="K5" s="148"/>
      <c r="L5" s="186"/>
      <c r="M5" s="148"/>
      <c r="N5" s="279"/>
      <c r="O5" s="148"/>
      <c r="P5" s="148"/>
      <c r="Q5" s="148"/>
      <c r="R5"/>
      <c r="S5" s="181"/>
      <c r="T5" s="148"/>
      <c r="U5" s="160"/>
      <c r="V5" s="148"/>
      <c r="W5" s="148"/>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row>
    <row r="6" spans="1:1006" ht="13.5" customHeight="1">
      <c r="C6" s="128" t="s">
        <v>2650</v>
      </c>
      <c r="D6" s="138"/>
      <c r="E6" s="146"/>
      <c r="F6" s="138"/>
      <c r="X6" s="128"/>
      <c r="ALR6"/>
    </row>
    <row r="7" spans="1:1006" ht="13.5" customHeight="1">
      <c r="A7"/>
      <c r="B7"/>
      <c r="C7" s="138"/>
      <c r="D7" s="377"/>
      <c r="E7" s="138"/>
      <c r="F7" s="138"/>
      <c r="Q7" s="787" t="s">
        <v>828</v>
      </c>
      <c r="R7" s="787" t="s">
        <v>828</v>
      </c>
      <c r="W7" s="655" t="s">
        <v>685</v>
      </c>
      <c r="X7" s="128"/>
      <c r="ALR7"/>
    </row>
    <row r="8" spans="1:1006" s="238" customFormat="1" ht="55.5" customHeight="1">
      <c r="A8" s="233" t="s">
        <v>830</v>
      </c>
      <c r="B8" s="381" t="s">
        <v>831</v>
      </c>
      <c r="C8" s="278" t="s">
        <v>832</v>
      </c>
      <c r="D8" s="278" t="s">
        <v>833</v>
      </c>
      <c r="E8" s="278" t="s">
        <v>834</v>
      </c>
      <c r="F8" s="278" t="s">
        <v>835</v>
      </c>
      <c r="G8" s="278" t="s">
        <v>836</v>
      </c>
      <c r="H8" s="234" t="s">
        <v>9</v>
      </c>
      <c r="I8" s="234" t="s">
        <v>837</v>
      </c>
      <c r="J8" s="234" t="s">
        <v>840</v>
      </c>
      <c r="K8" s="234" t="s">
        <v>841</v>
      </c>
      <c r="L8" s="234" t="s">
        <v>677</v>
      </c>
      <c r="M8" s="234" t="s">
        <v>3</v>
      </c>
      <c r="N8" s="234" t="s">
        <v>912</v>
      </c>
      <c r="O8" s="283" t="s">
        <v>913</v>
      </c>
      <c r="P8" s="234" t="s">
        <v>848</v>
      </c>
      <c r="Q8" s="229" t="s">
        <v>849</v>
      </c>
      <c r="R8" s="229" t="s">
        <v>850</v>
      </c>
      <c r="S8" s="230" t="s">
        <v>851</v>
      </c>
      <c r="T8" s="235" t="s">
        <v>852</v>
      </c>
      <c r="U8" s="235" t="s">
        <v>853</v>
      </c>
      <c r="V8" s="236" t="s">
        <v>854</v>
      </c>
      <c r="W8" s="235" t="s">
        <v>855</v>
      </c>
      <c r="X8" s="237" t="s">
        <v>914</v>
      </c>
    </row>
    <row r="9" spans="1:1006" s="224" customFormat="1" ht="13.5" customHeight="1">
      <c r="A9" s="225">
        <v>1</v>
      </c>
      <c r="B9" s="217" t="s">
        <v>915</v>
      </c>
      <c r="C9" s="240"/>
      <c r="D9" s="677"/>
      <c r="E9" s="677"/>
      <c r="F9" s="677"/>
      <c r="G9" s="677"/>
      <c r="H9" s="668" t="s">
        <v>949</v>
      </c>
      <c r="I9" s="316" t="s">
        <v>950</v>
      </c>
      <c r="J9" s="716"/>
      <c r="K9" s="666" t="s">
        <v>918</v>
      </c>
      <c r="L9" s="668" t="s">
        <v>819</v>
      </c>
      <c r="M9" s="669"/>
      <c r="N9" s="668" t="s">
        <v>862</v>
      </c>
      <c r="O9" s="670"/>
      <c r="P9" s="668"/>
      <c r="Q9" s="667"/>
      <c r="R9" s="667" t="s">
        <v>863</v>
      </c>
      <c r="S9" s="232"/>
      <c r="T9" s="671"/>
      <c r="U9" s="668"/>
      <c r="V9" s="672"/>
      <c r="W9" s="668"/>
      <c r="X9" s="670"/>
    </row>
    <row r="10" spans="1:1006" s="224" customFormat="1" ht="13.5" customHeight="1">
      <c r="A10" s="225">
        <v>2</v>
      </c>
      <c r="B10" s="217" t="s">
        <v>2147</v>
      </c>
      <c r="C10" s="240"/>
      <c r="D10" s="241"/>
      <c r="E10" s="241"/>
      <c r="F10" s="241"/>
      <c r="G10" s="241"/>
      <c r="H10" s="668" t="s">
        <v>2148</v>
      </c>
      <c r="I10" s="707"/>
      <c r="J10" s="707"/>
      <c r="K10" s="666" t="s">
        <v>2149</v>
      </c>
      <c r="L10" s="668" t="s">
        <v>819</v>
      </c>
      <c r="M10" s="669"/>
      <c r="N10" s="668" t="s">
        <v>862</v>
      </c>
      <c r="O10" s="670"/>
      <c r="P10" s="668"/>
      <c r="Q10" s="667"/>
      <c r="R10" s="667" t="s">
        <v>863</v>
      </c>
      <c r="S10" s="232"/>
      <c r="T10" s="671"/>
      <c r="U10" s="668"/>
      <c r="V10" s="672"/>
      <c r="W10" s="668"/>
      <c r="X10" s="670"/>
    </row>
    <row r="11" spans="1:1006" s="224" customFormat="1" ht="13.5" customHeight="1">
      <c r="A11" s="225">
        <v>3</v>
      </c>
      <c r="B11" s="217" t="s">
        <v>2162</v>
      </c>
      <c r="C11" s="240"/>
      <c r="D11" s="241"/>
      <c r="E11" s="241"/>
      <c r="F11" s="241"/>
      <c r="G11" s="241"/>
      <c r="H11" s="775" t="s">
        <v>2659</v>
      </c>
      <c r="I11" s="776"/>
      <c r="J11" s="777"/>
      <c r="K11" s="778" t="s">
        <v>2658</v>
      </c>
      <c r="L11" s="668" t="s">
        <v>816</v>
      </c>
      <c r="M11" s="779"/>
      <c r="N11" s="668" t="s">
        <v>862</v>
      </c>
      <c r="O11" s="780"/>
      <c r="P11" s="775"/>
      <c r="Q11" s="781"/>
      <c r="R11" s="781" t="s">
        <v>863</v>
      </c>
      <c r="S11" s="232"/>
      <c r="T11" s="782"/>
      <c r="U11" s="775"/>
      <c r="V11" s="783"/>
      <c r="W11" s="775"/>
      <c r="X11" s="780"/>
    </row>
    <row r="12" spans="1:1006" s="224" customFormat="1" ht="14.25" customHeight="1">
      <c r="A12" s="225">
        <v>4</v>
      </c>
      <c r="B12" s="217" t="s">
        <v>2031</v>
      </c>
      <c r="C12" s="240"/>
      <c r="D12" s="241"/>
      <c r="E12" s="241"/>
      <c r="F12" s="241"/>
      <c r="G12" s="241"/>
      <c r="H12" s="668" t="s">
        <v>2150</v>
      </c>
      <c r="I12" s="666"/>
      <c r="J12" s="666"/>
      <c r="K12" s="666" t="s">
        <v>2151</v>
      </c>
      <c r="L12" s="668" t="s">
        <v>822</v>
      </c>
      <c r="M12" s="669" t="s">
        <v>863</v>
      </c>
      <c r="N12" s="243" t="s">
        <v>1364</v>
      </c>
      <c r="O12" s="670"/>
      <c r="P12" s="668"/>
      <c r="Q12" s="667"/>
      <c r="R12" s="667" t="s">
        <v>863</v>
      </c>
      <c r="S12" s="232"/>
      <c r="T12" s="671"/>
      <c r="U12" s="668"/>
      <c r="V12" s="672"/>
      <c r="W12" s="668"/>
      <c r="X12" s="670"/>
    </row>
    <row r="13" spans="1:1006" s="224" customFormat="1" ht="14.25" customHeight="1">
      <c r="A13" s="225">
        <v>5</v>
      </c>
      <c r="B13" s="217"/>
      <c r="C13" s="677" t="s">
        <v>2152</v>
      </c>
      <c r="D13" s="241"/>
      <c r="E13" s="241"/>
      <c r="F13" s="241"/>
      <c r="G13" s="241"/>
      <c r="H13" s="668" t="s">
        <v>2153</v>
      </c>
      <c r="I13" s="666"/>
      <c r="J13" s="666"/>
      <c r="K13" s="666" t="s">
        <v>2154</v>
      </c>
      <c r="L13" s="668" t="s">
        <v>819</v>
      </c>
      <c r="M13" s="669"/>
      <c r="N13" s="668" t="s">
        <v>878</v>
      </c>
      <c r="O13" s="670"/>
      <c r="P13" s="668" t="s">
        <v>931</v>
      </c>
      <c r="Q13" s="667"/>
      <c r="R13" s="667" t="s">
        <v>863</v>
      </c>
      <c r="S13" s="232"/>
      <c r="T13" s="671"/>
      <c r="U13" s="668"/>
      <c r="V13" s="672"/>
      <c r="W13" s="668"/>
      <c r="X13" s="670"/>
    </row>
    <row r="14" spans="1:1006" s="158" customFormat="1" ht="13.5" customHeight="1">
      <c r="A14" s="225">
        <v>6</v>
      </c>
      <c r="B14" s="219"/>
      <c r="C14" s="219" t="s">
        <v>2155</v>
      </c>
      <c r="D14" s="219"/>
      <c r="E14" s="219"/>
      <c r="F14" s="219"/>
      <c r="G14" s="219"/>
      <c r="H14" s="263" t="s">
        <v>2156</v>
      </c>
      <c r="I14" s="264"/>
      <c r="J14" s="264"/>
      <c r="K14" s="264" t="s">
        <v>2157</v>
      </c>
      <c r="L14" s="263" t="s">
        <v>819</v>
      </c>
      <c r="M14" s="265"/>
      <c r="N14" s="263" t="s">
        <v>862</v>
      </c>
      <c r="O14" s="268"/>
      <c r="P14" s="263"/>
      <c r="Q14" s="260"/>
      <c r="R14" s="260" t="s">
        <v>863</v>
      </c>
      <c r="S14" s="673"/>
      <c r="T14" s="266" t="s">
        <v>2158</v>
      </c>
      <c r="U14" s="263"/>
      <c r="V14" s="261"/>
      <c r="W14" s="263"/>
      <c r="X14" s="268"/>
    </row>
    <row r="15" spans="1:1006" s="224" customFormat="1" ht="13.5" customHeight="1">
      <c r="A15" s="225">
        <v>7</v>
      </c>
      <c r="B15" s="217"/>
      <c r="C15" s="218" t="s">
        <v>2159</v>
      </c>
      <c r="D15" s="241"/>
      <c r="E15" s="241"/>
      <c r="F15" s="241"/>
      <c r="G15" s="241"/>
      <c r="H15" s="668" t="s">
        <v>2160</v>
      </c>
      <c r="I15" s="666"/>
      <c r="J15" s="666"/>
      <c r="K15" s="666" t="s">
        <v>2161</v>
      </c>
      <c r="L15" s="255" t="s">
        <v>819</v>
      </c>
      <c r="M15" s="669"/>
      <c r="N15" s="263" t="s">
        <v>862</v>
      </c>
      <c r="O15" s="670"/>
      <c r="P15" s="668"/>
      <c r="Q15" s="667"/>
      <c r="R15" s="260" t="s">
        <v>863</v>
      </c>
      <c r="S15" s="232"/>
      <c r="T15" s="671"/>
      <c r="U15" s="668"/>
      <c r="V15" s="672"/>
      <c r="W15" s="668"/>
      <c r="X15" s="670"/>
    </row>
    <row r="16" spans="1:1006" s="224" customFormat="1" ht="13.5" customHeight="1">
      <c r="A16" s="225">
        <v>8</v>
      </c>
      <c r="B16" s="217"/>
      <c r="C16" s="218" t="s">
        <v>2162</v>
      </c>
      <c r="D16" s="241"/>
      <c r="E16" s="241"/>
      <c r="F16" s="241"/>
      <c r="G16" s="241"/>
      <c r="H16" s="668" t="s">
        <v>2163</v>
      </c>
      <c r="I16" s="666"/>
      <c r="J16" s="666"/>
      <c r="K16" s="666" t="s">
        <v>2164</v>
      </c>
      <c r="L16" s="668" t="s">
        <v>816</v>
      </c>
      <c r="M16" s="669"/>
      <c r="N16" s="263" t="s">
        <v>862</v>
      </c>
      <c r="O16" s="670"/>
      <c r="P16" s="668"/>
      <c r="Q16" s="667"/>
      <c r="R16" s="260" t="s">
        <v>863</v>
      </c>
      <c r="S16" s="232"/>
      <c r="T16" s="671"/>
      <c r="U16" s="668"/>
      <c r="V16" s="672"/>
      <c r="W16" s="668"/>
      <c r="X16" s="670"/>
    </row>
    <row r="17" spans="1:24" s="224" customFormat="1" ht="13.5" customHeight="1">
      <c r="A17" s="225">
        <v>9</v>
      </c>
      <c r="B17" s="217"/>
      <c r="C17" s="241" t="s">
        <v>2585</v>
      </c>
      <c r="D17" s="241"/>
      <c r="E17" s="241"/>
      <c r="F17" s="241"/>
      <c r="G17" s="241"/>
      <c r="H17" s="668" t="s">
        <v>2651</v>
      </c>
      <c r="I17" s="666"/>
      <c r="J17" s="666"/>
      <c r="K17" s="666" t="s">
        <v>1676</v>
      </c>
      <c r="L17" s="668" t="s">
        <v>819</v>
      </c>
      <c r="M17" s="669"/>
      <c r="N17" s="668" t="s">
        <v>862</v>
      </c>
      <c r="O17" s="670" t="s">
        <v>863</v>
      </c>
      <c r="P17" s="255" t="s">
        <v>2165</v>
      </c>
      <c r="Q17" s="667"/>
      <c r="R17" s="667" t="s">
        <v>863</v>
      </c>
      <c r="S17" s="232"/>
      <c r="T17" s="671" t="s">
        <v>2655</v>
      </c>
      <c r="U17" s="668"/>
      <c r="V17" s="672"/>
      <c r="W17" s="668"/>
      <c r="X17" s="670"/>
    </row>
    <row r="18" spans="1:24" s="224" customFormat="1" ht="13.5" customHeight="1">
      <c r="A18" s="225">
        <v>10</v>
      </c>
      <c r="B18" s="217"/>
      <c r="C18" s="241" t="s">
        <v>1673</v>
      </c>
      <c r="D18" s="241"/>
      <c r="E18" s="241"/>
      <c r="F18" s="241"/>
      <c r="G18" s="241"/>
      <c r="H18" s="754" t="s">
        <v>2652</v>
      </c>
      <c r="I18" s="755"/>
      <c r="J18" s="225"/>
      <c r="K18" s="755" t="s">
        <v>2654</v>
      </c>
      <c r="L18" s="754" t="s">
        <v>816</v>
      </c>
      <c r="M18" s="756"/>
      <c r="N18" s="754" t="s">
        <v>862</v>
      </c>
      <c r="O18" s="757" t="s">
        <v>863</v>
      </c>
      <c r="P18" s="754"/>
      <c r="Q18" s="758"/>
      <c r="R18" s="758"/>
      <c r="S18" s="232"/>
      <c r="T18" s="759" t="s">
        <v>2656</v>
      </c>
      <c r="U18" s="754"/>
      <c r="V18" s="760"/>
      <c r="W18" s="754"/>
      <c r="X18" s="757"/>
    </row>
    <row r="19" spans="1:24" s="224" customFormat="1" ht="13.5" customHeight="1">
      <c r="A19" s="225">
        <v>11</v>
      </c>
      <c r="B19" s="217"/>
      <c r="C19" s="677" t="s">
        <v>2166</v>
      </c>
      <c r="D19" s="241"/>
      <c r="E19" s="241"/>
      <c r="F19" s="241"/>
      <c r="G19" s="241"/>
      <c r="H19" s="668" t="s">
        <v>2653</v>
      </c>
      <c r="I19" s="666"/>
      <c r="J19" s="666"/>
      <c r="K19" s="666" t="s">
        <v>2167</v>
      </c>
      <c r="L19" s="668" t="s">
        <v>816</v>
      </c>
      <c r="M19" s="669"/>
      <c r="N19" s="668" t="s">
        <v>862</v>
      </c>
      <c r="O19" s="670"/>
      <c r="P19" s="668"/>
      <c r="Q19" s="667"/>
      <c r="R19" s="667" t="s">
        <v>863</v>
      </c>
      <c r="S19" s="232"/>
      <c r="T19" s="671"/>
      <c r="U19" s="668"/>
      <c r="V19" s="672"/>
      <c r="W19" s="668"/>
      <c r="X19" s="670"/>
    </row>
    <row r="20" spans="1:24" s="224" customFormat="1" ht="13.5" customHeight="1">
      <c r="A20" s="225">
        <v>12</v>
      </c>
      <c r="B20" s="217"/>
      <c r="C20" s="241" t="s">
        <v>1103</v>
      </c>
      <c r="D20" s="241"/>
      <c r="E20" s="241"/>
      <c r="F20" s="241"/>
      <c r="G20" s="241"/>
      <c r="H20" s="668" t="s">
        <v>2168</v>
      </c>
      <c r="I20" s="666"/>
      <c r="J20" s="666"/>
      <c r="K20" s="666" t="s">
        <v>870</v>
      </c>
      <c r="L20" s="668" t="s">
        <v>816</v>
      </c>
      <c r="M20" s="669"/>
      <c r="N20" s="668" t="s">
        <v>862</v>
      </c>
      <c r="O20" s="670"/>
      <c r="P20" s="668"/>
      <c r="Q20" s="667"/>
      <c r="R20" s="667" t="s">
        <v>863</v>
      </c>
      <c r="S20" s="232"/>
      <c r="T20" s="671"/>
      <c r="U20" s="668"/>
      <c r="V20" s="672"/>
      <c r="W20" s="668"/>
      <c r="X20" s="670"/>
    </row>
    <row r="21" spans="1:24" s="224" customFormat="1" ht="13.5" customHeight="1">
      <c r="A21" s="225">
        <v>13</v>
      </c>
      <c r="B21" s="217"/>
      <c r="C21" s="241" t="s">
        <v>2169</v>
      </c>
      <c r="D21" s="241"/>
      <c r="E21" s="241"/>
      <c r="F21" s="241"/>
      <c r="G21" s="241"/>
      <c r="H21" s="668" t="s">
        <v>2170</v>
      </c>
      <c r="I21" s="666"/>
      <c r="J21" s="666"/>
      <c r="K21" s="666" t="s">
        <v>2171</v>
      </c>
      <c r="L21" s="668" t="s">
        <v>816</v>
      </c>
      <c r="M21" s="669"/>
      <c r="N21" s="668" t="s">
        <v>862</v>
      </c>
      <c r="O21" s="670"/>
      <c r="P21" s="668"/>
      <c r="Q21" s="667"/>
      <c r="R21" s="667" t="s">
        <v>863</v>
      </c>
      <c r="S21" s="232"/>
      <c r="T21" s="671"/>
      <c r="U21" s="668"/>
      <c r="V21" s="672"/>
      <c r="W21" s="668"/>
      <c r="X21" s="670"/>
    </row>
    <row r="22" spans="1:24" s="224" customFormat="1" ht="13.5" customHeight="1">
      <c r="A22" s="225">
        <v>14</v>
      </c>
      <c r="B22" s="217"/>
      <c r="C22" s="241" t="s">
        <v>2172</v>
      </c>
      <c r="D22" s="241"/>
      <c r="E22" s="241"/>
      <c r="F22" s="241"/>
      <c r="G22" s="241"/>
      <c r="H22" s="668" t="s">
        <v>2173</v>
      </c>
      <c r="I22" s="666"/>
      <c r="J22" s="666"/>
      <c r="K22" s="666" t="s">
        <v>2174</v>
      </c>
      <c r="L22" s="668" t="s">
        <v>816</v>
      </c>
      <c r="M22" s="669"/>
      <c r="N22" s="668" t="s">
        <v>862</v>
      </c>
      <c r="O22" s="670"/>
      <c r="P22" s="668"/>
      <c r="Q22" s="667"/>
      <c r="R22" s="667" t="s">
        <v>863</v>
      </c>
      <c r="S22" s="232"/>
      <c r="T22" s="671"/>
      <c r="U22" s="668"/>
      <c r="V22" s="672"/>
      <c r="W22" s="668"/>
      <c r="X22" s="670"/>
    </row>
    <row r="23" spans="1:24" s="224" customFormat="1" ht="13.5" customHeight="1">
      <c r="A23" s="225">
        <v>15</v>
      </c>
      <c r="B23" s="217"/>
      <c r="C23" s="241" t="s">
        <v>2175</v>
      </c>
      <c r="D23" s="241"/>
      <c r="E23" s="241"/>
      <c r="F23" s="241"/>
      <c r="G23" s="241"/>
      <c r="H23" s="668"/>
      <c r="I23" s="666"/>
      <c r="J23" s="666"/>
      <c r="K23" s="666" t="s">
        <v>2176</v>
      </c>
      <c r="L23" s="668" t="s">
        <v>816</v>
      </c>
      <c r="M23" s="669"/>
      <c r="N23" s="668" t="s">
        <v>862</v>
      </c>
      <c r="O23" s="670"/>
      <c r="P23" s="668"/>
      <c r="Q23" s="667"/>
      <c r="R23" s="667" t="s">
        <v>863</v>
      </c>
      <c r="S23" s="232"/>
      <c r="T23" s="671"/>
      <c r="U23" s="668"/>
      <c r="V23" s="672"/>
      <c r="W23" s="668"/>
      <c r="X23" s="670"/>
    </row>
    <row r="24" spans="1:24" s="224" customFormat="1" ht="13.5" customHeight="1">
      <c r="A24" s="225">
        <v>16</v>
      </c>
      <c r="B24" s="217"/>
      <c r="C24" s="241" t="s">
        <v>2177</v>
      </c>
      <c r="D24" s="241"/>
      <c r="E24" s="241"/>
      <c r="F24" s="241"/>
      <c r="G24" s="241"/>
      <c r="H24" s="668" t="s">
        <v>2178</v>
      </c>
      <c r="I24" s="666"/>
      <c r="J24" s="666"/>
      <c r="K24" s="666" t="s">
        <v>2179</v>
      </c>
      <c r="L24" s="668" t="s">
        <v>816</v>
      </c>
      <c r="M24" s="669"/>
      <c r="N24" s="668" t="s">
        <v>862</v>
      </c>
      <c r="O24" s="670"/>
      <c r="P24" s="668"/>
      <c r="Q24" s="667"/>
      <c r="R24" s="667" t="s">
        <v>863</v>
      </c>
      <c r="S24" s="232"/>
      <c r="T24" s="671"/>
      <c r="U24" s="668"/>
      <c r="V24" s="672"/>
      <c r="W24" s="668"/>
      <c r="X24" s="670"/>
    </row>
    <row r="25" spans="1:24" s="224" customFormat="1" ht="13.5" customHeight="1">
      <c r="A25" s="225">
        <v>17</v>
      </c>
      <c r="B25" s="217"/>
      <c r="C25" s="241" t="s">
        <v>2180</v>
      </c>
      <c r="D25" s="241"/>
      <c r="E25" s="241"/>
      <c r="F25" s="241"/>
      <c r="G25" s="241"/>
      <c r="H25" s="668" t="s">
        <v>2180</v>
      </c>
      <c r="I25" s="666"/>
      <c r="J25" s="666"/>
      <c r="K25" s="666" t="s">
        <v>2181</v>
      </c>
      <c r="L25" s="668" t="s">
        <v>816</v>
      </c>
      <c r="M25" s="669"/>
      <c r="N25" s="668" t="s">
        <v>862</v>
      </c>
      <c r="O25" s="670"/>
      <c r="P25" s="668"/>
      <c r="Q25" s="667"/>
      <c r="R25" s="667" t="s">
        <v>863</v>
      </c>
      <c r="S25" s="232"/>
      <c r="T25" s="671"/>
      <c r="U25" s="668"/>
      <c r="V25" s="672"/>
      <c r="W25" s="668"/>
      <c r="X25" s="670"/>
    </row>
    <row r="26" spans="1:24" s="224" customFormat="1" ht="13.5" customHeight="1">
      <c r="A26" s="225">
        <v>18</v>
      </c>
      <c r="B26" s="217"/>
      <c r="C26" s="241" t="s">
        <v>2182</v>
      </c>
      <c r="D26" s="241"/>
      <c r="E26" s="241"/>
      <c r="F26" s="241"/>
      <c r="G26" s="241"/>
      <c r="H26" s="668" t="s">
        <v>2182</v>
      </c>
      <c r="I26" s="666"/>
      <c r="J26" s="666"/>
      <c r="K26" s="666" t="s">
        <v>2183</v>
      </c>
      <c r="L26" s="668" t="s">
        <v>816</v>
      </c>
      <c r="M26" s="669"/>
      <c r="N26" s="668" t="s">
        <v>862</v>
      </c>
      <c r="O26" s="670"/>
      <c r="P26" s="668"/>
      <c r="Q26" s="667"/>
      <c r="R26" s="667" t="s">
        <v>863</v>
      </c>
      <c r="S26" s="232"/>
      <c r="T26" s="671"/>
      <c r="U26" s="668"/>
      <c r="V26" s="672"/>
      <c r="W26" s="668"/>
      <c r="X26" s="670"/>
    </row>
    <row r="27" spans="1:24" s="224" customFormat="1" ht="13.5" customHeight="1">
      <c r="A27" s="225">
        <v>19</v>
      </c>
      <c r="B27" s="217"/>
      <c r="C27" s="241" t="s">
        <v>2184</v>
      </c>
      <c r="D27" s="241"/>
      <c r="E27" s="241"/>
      <c r="F27" s="241"/>
      <c r="G27" s="241"/>
      <c r="H27" s="668" t="s">
        <v>2185</v>
      </c>
      <c r="I27" s="666"/>
      <c r="J27" s="666"/>
      <c r="K27" s="666" t="s">
        <v>2186</v>
      </c>
      <c r="L27" s="668" t="s">
        <v>816</v>
      </c>
      <c r="M27" s="669" t="s">
        <v>863</v>
      </c>
      <c r="N27" s="243" t="s">
        <v>2186</v>
      </c>
      <c r="O27" s="670"/>
      <c r="P27" s="668"/>
      <c r="Q27" s="667"/>
      <c r="R27" s="667" t="s">
        <v>863</v>
      </c>
      <c r="S27" s="232"/>
      <c r="T27" s="671"/>
      <c r="U27" s="668"/>
      <c r="V27" s="672"/>
      <c r="W27" s="668"/>
      <c r="X27" s="670"/>
    </row>
    <row r="28" spans="1:24" s="224" customFormat="1" ht="13.5" customHeight="1">
      <c r="A28" s="225">
        <v>20</v>
      </c>
      <c r="B28" s="217"/>
      <c r="C28" s="241"/>
      <c r="D28" s="241" t="s">
        <v>1101</v>
      </c>
      <c r="E28" s="241"/>
      <c r="F28" s="241"/>
      <c r="G28" s="241"/>
      <c r="H28" s="668" t="s">
        <v>2187</v>
      </c>
      <c r="I28" s="666"/>
      <c r="J28" s="666"/>
      <c r="K28" s="666" t="s">
        <v>1574</v>
      </c>
      <c r="L28" s="668" t="s">
        <v>816</v>
      </c>
      <c r="M28" s="669"/>
      <c r="N28" s="668" t="s">
        <v>862</v>
      </c>
      <c r="O28" s="670" t="s">
        <v>863</v>
      </c>
      <c r="P28" s="668" t="s">
        <v>2188</v>
      </c>
      <c r="Q28" s="667"/>
      <c r="R28" s="667" t="s">
        <v>863</v>
      </c>
      <c r="S28" s="232"/>
      <c r="T28" s="671" t="s">
        <v>2189</v>
      </c>
      <c r="U28" s="668"/>
      <c r="V28" s="672"/>
      <c r="W28" s="668"/>
      <c r="X28" s="670"/>
    </row>
    <row r="29" spans="1:24" s="224" customFormat="1" ht="13.5" customHeight="1">
      <c r="A29" s="225">
        <v>21</v>
      </c>
      <c r="B29" s="217"/>
      <c r="C29" s="241"/>
      <c r="D29" s="241" t="s">
        <v>1103</v>
      </c>
      <c r="E29" s="241"/>
      <c r="F29" s="241"/>
      <c r="G29" s="241"/>
      <c r="H29" s="668" t="s">
        <v>2190</v>
      </c>
      <c r="I29" s="666"/>
      <c r="J29" s="666"/>
      <c r="K29" s="666" t="s">
        <v>870</v>
      </c>
      <c r="L29" s="668" t="s">
        <v>816</v>
      </c>
      <c r="M29" s="669"/>
      <c r="N29" s="668" t="s">
        <v>862</v>
      </c>
      <c r="O29" s="670"/>
      <c r="P29" s="668"/>
      <c r="Q29" s="667"/>
      <c r="R29" s="667" t="s">
        <v>863</v>
      </c>
      <c r="S29" s="232"/>
      <c r="T29" s="671"/>
      <c r="U29" s="668"/>
      <c r="V29" s="672"/>
      <c r="W29" s="668"/>
      <c r="X29" s="670"/>
    </row>
    <row r="30" spans="1:24" s="249" customFormat="1" ht="13.5" customHeight="1">
      <c r="A30" s="225">
        <v>22</v>
      </c>
      <c r="B30" s="218"/>
      <c r="C30" s="790" t="s">
        <v>2191</v>
      </c>
      <c r="D30" s="218"/>
      <c r="E30" s="218"/>
      <c r="F30" s="218"/>
      <c r="G30" s="218"/>
      <c r="H30" s="255"/>
      <c r="I30" s="499"/>
      <c r="J30" s="499"/>
      <c r="K30" s="499" t="s">
        <v>2192</v>
      </c>
      <c r="L30" s="255" t="s">
        <v>822</v>
      </c>
      <c r="M30" s="376" t="s">
        <v>863</v>
      </c>
      <c r="N30" s="700" t="s">
        <v>2192</v>
      </c>
      <c r="O30" s="373"/>
      <c r="P30" s="255"/>
      <c r="Q30" s="374"/>
      <c r="R30" s="374" t="s">
        <v>863</v>
      </c>
      <c r="S30" s="502"/>
      <c r="T30" s="379"/>
      <c r="U30" s="255"/>
      <c r="V30" s="245"/>
      <c r="W30" s="255"/>
      <c r="X30" s="373"/>
    </row>
    <row r="31" spans="1:24" s="224" customFormat="1" ht="13.5" customHeight="1">
      <c r="A31" s="225">
        <v>23</v>
      </c>
      <c r="B31" s="217"/>
      <c r="C31" s="790"/>
      <c r="D31" s="241" t="s">
        <v>2193</v>
      </c>
      <c r="E31" s="241"/>
      <c r="F31" s="241"/>
      <c r="G31" s="241"/>
      <c r="H31" s="668"/>
      <c r="I31" s="666"/>
      <c r="J31" s="666"/>
      <c r="K31" s="666" t="s">
        <v>2154</v>
      </c>
      <c r="L31" s="668" t="s">
        <v>816</v>
      </c>
      <c r="M31" s="669"/>
      <c r="N31" s="668" t="s">
        <v>878</v>
      </c>
      <c r="O31" s="670"/>
      <c r="P31" s="668" t="s">
        <v>931</v>
      </c>
      <c r="Q31" s="667"/>
      <c r="R31" s="667" t="s">
        <v>863</v>
      </c>
      <c r="S31" s="232"/>
      <c r="T31" s="671"/>
      <c r="U31" s="668"/>
      <c r="V31" s="672"/>
      <c r="W31" s="668"/>
      <c r="X31" s="670"/>
    </row>
    <row r="32" spans="1:24" s="224" customFormat="1" ht="13.5" customHeight="1">
      <c r="A32" s="225">
        <v>24</v>
      </c>
      <c r="B32" s="217"/>
      <c r="C32" s="790"/>
      <c r="D32" s="241" t="s">
        <v>2194</v>
      </c>
      <c r="E32" s="241"/>
      <c r="F32" s="241"/>
      <c r="G32" s="241"/>
      <c r="H32" s="775" t="s">
        <v>2662</v>
      </c>
      <c r="I32" s="666"/>
      <c r="J32" s="666"/>
      <c r="K32" s="666" t="s">
        <v>887</v>
      </c>
      <c r="L32" s="668" t="s">
        <v>816</v>
      </c>
      <c r="M32" s="669"/>
      <c r="N32" s="668" t="s">
        <v>862</v>
      </c>
      <c r="O32" s="670" t="s">
        <v>863</v>
      </c>
      <c r="P32" s="668" t="s">
        <v>2196</v>
      </c>
      <c r="Q32" s="667"/>
      <c r="R32" s="667" t="s">
        <v>863</v>
      </c>
      <c r="S32" s="232"/>
      <c r="T32" s="671"/>
      <c r="U32" s="668"/>
      <c r="V32" s="672"/>
      <c r="W32" s="668"/>
      <c r="X32" s="670"/>
    </row>
    <row r="33" spans="1:32" s="224" customFormat="1" ht="13.5" customHeight="1">
      <c r="A33" s="225">
        <v>25</v>
      </c>
      <c r="B33" s="217"/>
      <c r="C33" s="790"/>
      <c r="D33" s="241" t="s">
        <v>2197</v>
      </c>
      <c r="E33" s="241"/>
      <c r="F33" s="241"/>
      <c r="G33" s="241"/>
      <c r="H33" s="668" t="s">
        <v>2198</v>
      </c>
      <c r="I33" s="666"/>
      <c r="J33" s="666"/>
      <c r="K33" s="666" t="s">
        <v>2199</v>
      </c>
      <c r="L33" s="668" t="s">
        <v>816</v>
      </c>
      <c r="M33" s="669"/>
      <c r="N33" s="668" t="s">
        <v>862</v>
      </c>
      <c r="O33" s="670" t="s">
        <v>863</v>
      </c>
      <c r="P33" s="668" t="s">
        <v>2200</v>
      </c>
      <c r="Q33" s="667"/>
      <c r="R33" s="667" t="s">
        <v>863</v>
      </c>
      <c r="S33" s="232"/>
      <c r="T33" s="671"/>
      <c r="U33" s="668"/>
      <c r="V33" s="672"/>
      <c r="W33" s="668"/>
      <c r="X33" s="670"/>
    </row>
    <row r="34" spans="1:32" s="249" customFormat="1" ht="13.5" customHeight="1">
      <c r="A34" s="225">
        <v>26</v>
      </c>
      <c r="B34" s="218"/>
      <c r="C34" s="790" t="s">
        <v>2201</v>
      </c>
      <c r="D34" s="218"/>
      <c r="E34" s="218"/>
      <c r="F34" s="218"/>
      <c r="G34" s="218"/>
      <c r="H34" s="255"/>
      <c r="I34" s="499"/>
      <c r="J34" s="499"/>
      <c r="K34" s="666" t="s">
        <v>1168</v>
      </c>
      <c r="L34" s="668" t="s">
        <v>816</v>
      </c>
      <c r="M34" s="376" t="s">
        <v>863</v>
      </c>
      <c r="N34" s="378" t="s">
        <v>1168</v>
      </c>
      <c r="O34" s="373"/>
      <c r="P34" s="255"/>
      <c r="Q34" s="374"/>
      <c r="R34" s="667" t="s">
        <v>863</v>
      </c>
      <c r="S34" s="502"/>
      <c r="T34" s="379"/>
      <c r="U34" s="255"/>
      <c r="V34" s="245"/>
      <c r="W34" s="255"/>
      <c r="X34" s="373"/>
    </row>
    <row r="35" spans="1:32" s="224" customFormat="1" ht="13.5" customHeight="1">
      <c r="A35" s="225">
        <v>27</v>
      </c>
      <c r="B35" s="217"/>
      <c r="C35" s="217"/>
      <c r="D35" s="217" t="s">
        <v>1169</v>
      </c>
      <c r="E35" s="241"/>
      <c r="F35" s="241"/>
      <c r="G35" s="241"/>
      <c r="H35" s="668" t="s">
        <v>1170</v>
      </c>
      <c r="I35" s="666" t="s">
        <v>1171</v>
      </c>
      <c r="J35" s="666"/>
      <c r="K35" s="666" t="s">
        <v>1172</v>
      </c>
      <c r="L35" s="668" t="s">
        <v>819</v>
      </c>
      <c r="M35" s="669"/>
      <c r="N35" s="668" t="s">
        <v>1091</v>
      </c>
      <c r="O35" s="670"/>
      <c r="P35" s="668"/>
      <c r="Q35" s="667"/>
      <c r="R35" s="667" t="s">
        <v>863</v>
      </c>
      <c r="S35" s="232"/>
      <c r="T35" s="671"/>
      <c r="U35" s="668"/>
      <c r="V35" s="672"/>
      <c r="W35" s="668"/>
      <c r="X35" s="670"/>
    </row>
    <row r="36" spans="1:32" s="224" customFormat="1" ht="13.5" customHeight="1">
      <c r="A36" s="225">
        <v>28</v>
      </c>
      <c r="B36" s="217"/>
      <c r="C36" s="217"/>
      <c r="D36" s="217" t="s">
        <v>1175</v>
      </c>
      <c r="E36" s="241"/>
      <c r="F36" s="241"/>
      <c r="G36" s="241"/>
      <c r="H36" s="668" t="s">
        <v>1176</v>
      </c>
      <c r="I36" s="666" t="s">
        <v>1177</v>
      </c>
      <c r="J36" s="666"/>
      <c r="K36" s="666" t="s">
        <v>1178</v>
      </c>
      <c r="L36" s="668" t="s">
        <v>819</v>
      </c>
      <c r="M36" s="669"/>
      <c r="N36" s="668" t="s">
        <v>1091</v>
      </c>
      <c r="O36" s="670"/>
      <c r="P36" s="668"/>
      <c r="Q36" s="667"/>
      <c r="R36" s="667" t="s">
        <v>863</v>
      </c>
      <c r="S36" s="232"/>
      <c r="T36" s="671"/>
      <c r="U36" s="668"/>
      <c r="V36" s="672"/>
      <c r="W36" s="668"/>
      <c r="X36" s="670"/>
    </row>
    <row r="37" spans="1:32" s="224" customFormat="1" ht="13.5" customHeight="1">
      <c r="A37" s="225">
        <v>29</v>
      </c>
      <c r="B37" s="217"/>
      <c r="C37" s="217"/>
      <c r="D37" s="222" t="s">
        <v>1179</v>
      </c>
      <c r="E37" s="241"/>
      <c r="F37" s="241"/>
      <c r="G37" s="241"/>
      <c r="H37" s="668" t="s">
        <v>1180</v>
      </c>
      <c r="I37" s="666">
        <v>120</v>
      </c>
      <c r="J37" s="666"/>
      <c r="K37" s="668" t="s">
        <v>1181</v>
      </c>
      <c r="L37" s="668" t="s">
        <v>816</v>
      </c>
      <c r="M37" s="669"/>
      <c r="N37" s="668" t="s">
        <v>1091</v>
      </c>
      <c r="O37" s="670"/>
      <c r="P37" s="668"/>
      <c r="Q37" s="667"/>
      <c r="R37" s="667" t="s">
        <v>863</v>
      </c>
      <c r="S37" s="232"/>
      <c r="T37" s="671"/>
      <c r="U37" s="668"/>
      <c r="V37" s="672"/>
      <c r="W37" s="668"/>
      <c r="X37" s="670"/>
    </row>
    <row r="38" spans="1:32" s="224" customFormat="1" ht="13.5" customHeight="1">
      <c r="A38" s="225">
        <v>30</v>
      </c>
      <c r="B38" s="217"/>
      <c r="C38" s="217"/>
      <c r="D38" s="241" t="s">
        <v>1183</v>
      </c>
      <c r="E38" s="241"/>
      <c r="F38" s="241"/>
      <c r="G38" s="241"/>
      <c r="H38" s="668" t="s">
        <v>1184</v>
      </c>
      <c r="I38" s="666">
        <v>96</v>
      </c>
      <c r="J38" s="666"/>
      <c r="K38" s="668" t="s">
        <v>1185</v>
      </c>
      <c r="L38" s="668" t="s">
        <v>816</v>
      </c>
      <c r="M38" s="669"/>
      <c r="N38" s="668" t="s">
        <v>1091</v>
      </c>
      <c r="O38" s="670"/>
      <c r="P38" s="668"/>
      <c r="Q38" s="667"/>
      <c r="R38" s="667" t="s">
        <v>863</v>
      </c>
      <c r="S38" s="232"/>
      <c r="T38" s="671"/>
      <c r="U38" s="668"/>
      <c r="V38" s="672"/>
      <c r="W38" s="668"/>
      <c r="X38" s="670"/>
    </row>
    <row r="39" spans="1:32" s="224" customFormat="1" ht="13.5" customHeight="1">
      <c r="A39" s="225">
        <v>31</v>
      </c>
      <c r="B39" s="217"/>
      <c r="C39" s="217"/>
      <c r="D39" s="241" t="s">
        <v>1187</v>
      </c>
      <c r="E39" s="241"/>
      <c r="F39" s="241"/>
      <c r="G39" s="241"/>
      <c r="H39" s="668" t="s">
        <v>1188</v>
      </c>
      <c r="I39" s="666">
        <v>34</v>
      </c>
      <c r="J39" s="666"/>
      <c r="K39" s="668" t="s">
        <v>1189</v>
      </c>
      <c r="L39" s="668" t="s">
        <v>816</v>
      </c>
      <c r="M39" s="669"/>
      <c r="N39" s="668" t="s">
        <v>1091</v>
      </c>
      <c r="O39" s="670"/>
      <c r="P39" s="668"/>
      <c r="Q39" s="667"/>
      <c r="R39" s="667" t="s">
        <v>863</v>
      </c>
      <c r="S39" s="232"/>
      <c r="T39" s="671"/>
      <c r="U39" s="668"/>
      <c r="V39" s="672"/>
      <c r="W39" s="668"/>
      <c r="X39" s="670"/>
    </row>
    <row r="40" spans="1:32" s="224" customFormat="1" ht="13.5" customHeight="1">
      <c r="A40" s="225">
        <v>32</v>
      </c>
      <c r="B40" s="217"/>
      <c r="C40" s="217"/>
      <c r="D40" s="241" t="s">
        <v>1191</v>
      </c>
      <c r="E40" s="241"/>
      <c r="F40" s="241"/>
      <c r="G40" s="241"/>
      <c r="H40" s="668" t="s">
        <v>1192</v>
      </c>
      <c r="I40" s="666" t="s">
        <v>1193</v>
      </c>
      <c r="J40" s="666"/>
      <c r="K40" s="666" t="s">
        <v>1194</v>
      </c>
      <c r="L40" s="668" t="s">
        <v>819</v>
      </c>
      <c r="M40" s="669"/>
      <c r="N40" s="668" t="s">
        <v>862</v>
      </c>
      <c r="O40" s="670" t="s">
        <v>863</v>
      </c>
      <c r="P40" s="668" t="s">
        <v>1195</v>
      </c>
      <c r="Q40" s="667"/>
      <c r="R40" s="667" t="s">
        <v>863</v>
      </c>
      <c r="S40" s="232"/>
      <c r="T40" s="671"/>
      <c r="U40" s="668"/>
      <c r="V40" s="672"/>
      <c r="W40" s="668"/>
      <c r="X40" s="670"/>
    </row>
    <row r="41" spans="1:32" s="224" customFormat="1" ht="13.5" customHeight="1">
      <c r="A41" s="225">
        <v>33</v>
      </c>
      <c r="B41" s="217"/>
      <c r="C41" s="677" t="s">
        <v>1258</v>
      </c>
      <c r="D41" s="241"/>
      <c r="E41" s="241"/>
      <c r="F41" s="241"/>
      <c r="G41" s="241"/>
      <c r="H41" s="668" t="s">
        <v>2202</v>
      </c>
      <c r="I41" s="666"/>
      <c r="J41" s="666"/>
      <c r="K41" s="666" t="s">
        <v>1263</v>
      </c>
      <c r="L41" s="668" t="s">
        <v>816</v>
      </c>
      <c r="M41" s="669" t="s">
        <v>863</v>
      </c>
      <c r="N41" s="668" t="s">
        <v>1263</v>
      </c>
      <c r="O41" s="670"/>
      <c r="P41" s="668"/>
      <c r="Q41" s="667"/>
      <c r="R41" s="667" t="s">
        <v>863</v>
      </c>
      <c r="S41" s="232"/>
      <c r="T41" s="671"/>
      <c r="U41" s="668"/>
      <c r="V41" s="672"/>
      <c r="W41" s="668"/>
      <c r="X41" s="670"/>
    </row>
    <row r="42" spans="1:32" s="224" customFormat="1" ht="13.5" customHeight="1">
      <c r="A42" s="225">
        <v>34</v>
      </c>
      <c r="B42" s="217"/>
      <c r="C42" s="241"/>
      <c r="D42" s="241" t="s">
        <v>1265</v>
      </c>
      <c r="E42" s="241"/>
      <c r="F42" s="241"/>
      <c r="G42" s="241"/>
      <c r="H42" s="668" t="s">
        <v>2203</v>
      </c>
      <c r="I42" s="666" t="s">
        <v>1267</v>
      </c>
      <c r="J42" s="666"/>
      <c r="K42" s="666" t="s">
        <v>969</v>
      </c>
      <c r="L42" s="668" t="s">
        <v>816</v>
      </c>
      <c r="M42" s="669"/>
      <c r="N42" s="668" t="s">
        <v>862</v>
      </c>
      <c r="O42" s="670" t="s">
        <v>863</v>
      </c>
      <c r="P42" s="668" t="s">
        <v>1268</v>
      </c>
      <c r="Q42" s="667"/>
      <c r="R42" s="667" t="s">
        <v>863</v>
      </c>
      <c r="S42" s="232"/>
      <c r="T42" s="671"/>
      <c r="U42" s="668"/>
      <c r="V42" s="672"/>
      <c r="W42" s="668"/>
      <c r="X42" s="670"/>
    </row>
    <row r="43" spans="1:32" s="224" customFormat="1" ht="13.5" customHeight="1">
      <c r="A43" s="225">
        <v>35</v>
      </c>
      <c r="B43" s="217"/>
      <c r="D43" s="224" t="s">
        <v>1270</v>
      </c>
      <c r="F43" s="225"/>
      <c r="G43" s="241"/>
      <c r="H43" s="668" t="s">
        <v>2204</v>
      </c>
      <c r="I43" s="273" t="s">
        <v>1272</v>
      </c>
      <c r="J43" s="273"/>
      <c r="K43" s="666" t="s">
        <v>1012</v>
      </c>
      <c r="L43" s="668" t="s">
        <v>816</v>
      </c>
      <c r="M43" s="669"/>
      <c r="N43" s="668" t="s">
        <v>862</v>
      </c>
      <c r="O43" s="277"/>
      <c r="P43" s="668"/>
      <c r="Q43" s="667"/>
      <c r="R43" s="667" t="s">
        <v>863</v>
      </c>
      <c r="S43" s="232"/>
      <c r="T43" s="671"/>
      <c r="U43" s="668"/>
      <c r="V43" s="672"/>
      <c r="W43" s="668"/>
      <c r="X43" s="670"/>
    </row>
    <row r="44" spans="1:32" s="224" customFormat="1" ht="13.5" customHeight="1">
      <c r="A44" s="225">
        <v>36</v>
      </c>
      <c r="B44" s="217"/>
      <c r="C44" s="677" t="s">
        <v>12</v>
      </c>
      <c r="D44" s="241"/>
      <c r="E44" s="241"/>
      <c r="F44" s="241"/>
      <c r="G44" s="241"/>
      <c r="H44" s="775" t="s">
        <v>2668</v>
      </c>
      <c r="I44" s="666"/>
      <c r="J44" s="666"/>
      <c r="K44" s="666" t="s">
        <v>938</v>
      </c>
      <c r="L44" s="668" t="s">
        <v>822</v>
      </c>
      <c r="M44" s="669"/>
      <c r="N44" s="668" t="s">
        <v>862</v>
      </c>
      <c r="O44" s="670"/>
      <c r="P44" s="668"/>
      <c r="Q44" s="668"/>
      <c r="R44" s="670" t="s">
        <v>863</v>
      </c>
      <c r="S44" s="232"/>
      <c r="T44" s="671"/>
      <c r="U44" s="668"/>
      <c r="V44" s="672"/>
      <c r="W44" s="668"/>
      <c r="X44" s="670"/>
    </row>
    <row r="45" spans="1:32" s="224" customFormat="1" ht="13.5" customHeight="1">
      <c r="A45" s="225">
        <v>37</v>
      </c>
      <c r="B45" s="217"/>
      <c r="C45" s="217" t="s">
        <v>2664</v>
      </c>
      <c r="D45" s="241"/>
      <c r="E45" s="241"/>
      <c r="F45" s="241"/>
      <c r="G45" s="217"/>
      <c r="H45" s="263" t="s">
        <v>2667</v>
      </c>
      <c r="I45" s="666"/>
      <c r="J45" s="666"/>
      <c r="K45" s="255" t="s">
        <v>2228</v>
      </c>
      <c r="L45" s="668" t="s">
        <v>816</v>
      </c>
      <c r="M45" s="668" t="s">
        <v>863</v>
      </c>
      <c r="N45" s="243" t="s">
        <v>1053</v>
      </c>
      <c r="O45" s="280"/>
      <c r="P45" s="668"/>
      <c r="Q45" s="669"/>
      <c r="R45" s="670" t="s">
        <v>863</v>
      </c>
      <c r="S45" s="232"/>
      <c r="T45" s="671"/>
      <c r="U45" s="668"/>
      <c r="V45" s="672"/>
      <c r="W45" s="667"/>
      <c r="X45" s="667"/>
      <c r="Y45" s="670"/>
      <c r="AA45" s="671"/>
      <c r="AB45" s="668"/>
      <c r="AC45" s="666"/>
      <c r="AD45" s="668"/>
      <c r="AE45" s="670"/>
      <c r="AF45" s="670"/>
    </row>
    <row r="46" spans="1:32" s="224" customFormat="1" ht="13.5" customHeight="1">
      <c r="A46" s="225">
        <v>38</v>
      </c>
      <c r="B46" s="217"/>
      <c r="C46" s="217"/>
      <c r="D46" s="241" t="s">
        <v>1054</v>
      </c>
      <c r="E46" s="241"/>
      <c r="F46" s="241"/>
      <c r="G46" s="217"/>
      <c r="H46" s="668" t="s">
        <v>1055</v>
      </c>
      <c r="I46" s="666" t="s">
        <v>1056</v>
      </c>
      <c r="J46" s="666"/>
      <c r="K46" s="668" t="s">
        <v>1057</v>
      </c>
      <c r="L46" s="668" t="s">
        <v>816</v>
      </c>
      <c r="M46" s="668"/>
      <c r="N46" s="668" t="s">
        <v>862</v>
      </c>
      <c r="O46" s="670"/>
      <c r="P46" s="668"/>
      <c r="Q46" s="669"/>
      <c r="R46" s="670" t="s">
        <v>863</v>
      </c>
      <c r="S46" s="232"/>
      <c r="T46" s="671"/>
      <c r="U46" s="668"/>
      <c r="V46" s="672"/>
      <c r="W46" s="667"/>
      <c r="X46" s="667"/>
      <c r="Y46" s="670"/>
      <c r="AA46" s="671"/>
      <c r="AB46" s="668"/>
      <c r="AC46" s="666"/>
      <c r="AD46" s="668"/>
      <c r="AE46" s="670"/>
      <c r="AF46" s="670"/>
    </row>
    <row r="47" spans="1:32" s="224" customFormat="1" ht="13.5" customHeight="1">
      <c r="A47" s="225">
        <v>39</v>
      </c>
      <c r="B47" s="217"/>
      <c r="C47" s="217"/>
      <c r="D47" s="241" t="s">
        <v>2229</v>
      </c>
      <c r="E47" s="241"/>
      <c r="F47" s="241"/>
      <c r="G47" s="241"/>
      <c r="H47" s="668"/>
      <c r="I47" s="269" t="s">
        <v>2230</v>
      </c>
      <c r="J47" s="269"/>
      <c r="K47" s="666" t="s">
        <v>969</v>
      </c>
      <c r="L47" s="668" t="s">
        <v>816</v>
      </c>
      <c r="M47" s="669"/>
      <c r="N47" s="668" t="s">
        <v>862</v>
      </c>
      <c r="O47" s="268" t="s">
        <v>863</v>
      </c>
      <c r="P47" s="263" t="s">
        <v>1581</v>
      </c>
      <c r="Q47" s="667"/>
      <c r="R47" s="670" t="s">
        <v>863</v>
      </c>
      <c r="S47" s="232"/>
      <c r="T47" s="671"/>
      <c r="U47" s="668"/>
      <c r="V47" s="672"/>
      <c r="W47" s="686"/>
      <c r="X47" s="667"/>
      <c r="Y47" s="670"/>
      <c r="AA47" s="671"/>
      <c r="AB47" s="668"/>
      <c r="AC47" s="666"/>
      <c r="AD47" s="668"/>
      <c r="AE47" s="670"/>
      <c r="AF47" s="670"/>
    </row>
    <row r="48" spans="1:32" s="249" customFormat="1" ht="13.5" customHeight="1">
      <c r="A48" s="225">
        <v>40</v>
      </c>
      <c r="B48" s="217"/>
      <c r="C48" s="217"/>
      <c r="D48" s="241" t="s">
        <v>1058</v>
      </c>
      <c r="E48" s="241"/>
      <c r="F48" s="241"/>
      <c r="G48" s="220"/>
      <c r="H48" s="668" t="s">
        <v>1631</v>
      </c>
      <c r="I48" s="666" t="s">
        <v>1060</v>
      </c>
      <c r="J48" s="666"/>
      <c r="K48" s="668" t="s">
        <v>1061</v>
      </c>
      <c r="L48" s="668" t="s">
        <v>816</v>
      </c>
      <c r="M48" s="668"/>
      <c r="N48" s="668" t="s">
        <v>862</v>
      </c>
      <c r="O48" s="670"/>
      <c r="P48" s="668"/>
      <c r="Q48" s="252"/>
      <c r="R48" s="670" t="s">
        <v>863</v>
      </c>
      <c r="S48" s="502"/>
      <c r="T48" s="671"/>
      <c r="U48" s="668"/>
      <c r="V48" s="672"/>
      <c r="W48" s="667"/>
      <c r="X48" s="667"/>
      <c r="Y48" s="670"/>
      <c r="Z48" s="224"/>
      <c r="AA48" s="671"/>
      <c r="AB48" s="668"/>
      <c r="AC48" s="666"/>
      <c r="AD48" s="668"/>
      <c r="AE48" s="670"/>
      <c r="AF48" s="670"/>
    </row>
    <row r="49" spans="1:32" s="224" customFormat="1" ht="13.5" customHeight="1">
      <c r="A49" s="225">
        <v>41</v>
      </c>
      <c r="B49" s="217"/>
      <c r="C49" s="217"/>
      <c r="D49" s="241" t="s">
        <v>1062</v>
      </c>
      <c r="E49" s="241"/>
      <c r="F49" s="241"/>
      <c r="G49" s="217"/>
      <c r="H49" s="263" t="s">
        <v>1063</v>
      </c>
      <c r="I49" s="666" t="s">
        <v>1064</v>
      </c>
      <c r="J49" s="666"/>
      <c r="K49" s="668" t="s">
        <v>870</v>
      </c>
      <c r="L49" s="668" t="s">
        <v>816</v>
      </c>
      <c r="M49" s="668"/>
      <c r="N49" s="668" t="s">
        <v>862</v>
      </c>
      <c r="O49" s="670"/>
      <c r="P49" s="668"/>
      <c r="Q49" s="252"/>
      <c r="R49" s="670" t="s">
        <v>863</v>
      </c>
      <c r="S49" s="232"/>
      <c r="T49" s="671"/>
      <c r="U49" s="668"/>
      <c r="V49" s="672"/>
      <c r="W49" s="667"/>
      <c r="X49" s="667"/>
      <c r="Y49" s="670"/>
      <c r="AA49" s="671"/>
      <c r="AB49" s="668"/>
      <c r="AC49" s="666"/>
      <c r="AD49" s="668"/>
      <c r="AE49" s="670"/>
      <c r="AF49" s="670"/>
    </row>
    <row r="50" spans="1:32" s="158" customFormat="1" ht="13.5" customHeight="1">
      <c r="A50" s="225">
        <v>42</v>
      </c>
      <c r="B50" s="217"/>
      <c r="C50" s="219"/>
      <c r="D50" s="241" t="s">
        <v>1067</v>
      </c>
      <c r="E50" s="241"/>
      <c r="F50" s="241"/>
      <c r="G50" s="262"/>
      <c r="H50" s="263" t="s">
        <v>1068</v>
      </c>
      <c r="I50" s="264"/>
      <c r="J50" s="264"/>
      <c r="K50" s="264" t="s">
        <v>1069</v>
      </c>
      <c r="L50" s="263" t="s">
        <v>822</v>
      </c>
      <c r="M50" s="263" t="s">
        <v>863</v>
      </c>
      <c r="N50" s="524" t="s">
        <v>1069</v>
      </c>
      <c r="O50" s="268"/>
      <c r="P50" s="268"/>
      <c r="Q50" s="265"/>
      <c r="R50" s="268" t="s">
        <v>863</v>
      </c>
      <c r="S50" s="673"/>
      <c r="T50" s="266"/>
      <c r="U50" s="263"/>
      <c r="V50" s="261"/>
      <c r="W50" s="260"/>
      <c r="X50" s="260"/>
      <c r="Y50" s="268"/>
      <c r="AA50" s="266"/>
      <c r="AB50" s="263"/>
      <c r="AC50" s="264"/>
      <c r="AD50" s="263"/>
      <c r="AE50" s="268"/>
      <c r="AF50" s="268"/>
    </row>
    <row r="51" spans="1:32" s="224" customFormat="1" ht="13.5" customHeight="1">
      <c r="A51" s="225">
        <v>43</v>
      </c>
      <c r="B51" s="217"/>
      <c r="C51" s="217"/>
      <c r="D51" s="241"/>
      <c r="E51" s="241" t="s">
        <v>1070</v>
      </c>
      <c r="F51" s="241"/>
      <c r="G51" s="241"/>
      <c r="H51" s="668" t="s">
        <v>1071</v>
      </c>
      <c r="I51" s="679" t="s">
        <v>1072</v>
      </c>
      <c r="J51" s="679"/>
      <c r="K51" s="666" t="s">
        <v>907</v>
      </c>
      <c r="L51" s="668" t="s">
        <v>819</v>
      </c>
      <c r="M51" s="668"/>
      <c r="N51" s="668" t="s">
        <v>862</v>
      </c>
      <c r="O51" s="670" t="s">
        <v>863</v>
      </c>
      <c r="P51" s="666" t="s">
        <v>1073</v>
      </c>
      <c r="Q51" s="669"/>
      <c r="R51" s="670" t="s">
        <v>863</v>
      </c>
      <c r="S51" s="232"/>
      <c r="T51" s="671"/>
      <c r="U51" s="668"/>
      <c r="V51" s="672"/>
      <c r="W51" s="374"/>
      <c r="X51" s="260"/>
      <c r="Y51" s="670"/>
      <c r="AA51" s="266"/>
      <c r="AB51" s="668"/>
      <c r="AC51" s="499"/>
      <c r="AD51" s="668"/>
      <c r="AE51" s="670"/>
      <c r="AF51" s="670"/>
    </row>
    <row r="52" spans="1:32" s="224" customFormat="1" ht="13.5" customHeight="1">
      <c r="A52" s="225">
        <v>44</v>
      </c>
      <c r="B52" s="217"/>
      <c r="C52" s="217"/>
      <c r="D52" s="241"/>
      <c r="E52" s="241" t="s">
        <v>1076</v>
      </c>
      <c r="F52" s="241"/>
      <c r="G52" s="241"/>
      <c r="H52" s="668" t="s">
        <v>1077</v>
      </c>
      <c r="I52" s="679" t="s">
        <v>1078</v>
      </c>
      <c r="J52" s="679"/>
      <c r="K52" s="666" t="s">
        <v>1079</v>
      </c>
      <c r="L52" s="668" t="s">
        <v>819</v>
      </c>
      <c r="M52" s="668"/>
      <c r="N52" s="668" t="s">
        <v>862</v>
      </c>
      <c r="O52" s="670"/>
      <c r="P52" s="670"/>
      <c r="Q52" s="669"/>
      <c r="R52" s="670" t="s">
        <v>863</v>
      </c>
      <c r="S52" s="232"/>
      <c r="T52" s="671"/>
      <c r="U52" s="668"/>
      <c r="V52" s="672"/>
      <c r="W52" s="374"/>
      <c r="X52" s="260"/>
      <c r="Y52" s="670"/>
      <c r="AA52" s="671"/>
      <c r="AB52" s="668"/>
      <c r="AC52" s="499"/>
      <c r="AD52" s="668"/>
      <c r="AE52" s="670"/>
      <c r="AF52" s="670"/>
    </row>
    <row r="53" spans="1:32" s="224" customFormat="1" ht="13.5" customHeight="1">
      <c r="A53" s="225">
        <v>45</v>
      </c>
      <c r="B53" s="217"/>
      <c r="C53" s="217"/>
      <c r="D53" s="241" t="s">
        <v>1080</v>
      </c>
      <c r="E53" s="241"/>
      <c r="F53" s="241"/>
      <c r="G53" s="221"/>
      <c r="H53" s="668"/>
      <c r="I53" s="666"/>
      <c r="J53" s="666"/>
      <c r="K53" s="666" t="s">
        <v>1081</v>
      </c>
      <c r="L53" s="668" t="s">
        <v>816</v>
      </c>
      <c r="M53" s="668" t="s">
        <v>863</v>
      </c>
      <c r="N53" s="243" t="s">
        <v>1081</v>
      </c>
      <c r="O53" s="670"/>
      <c r="P53" s="668"/>
      <c r="Q53" s="669"/>
      <c r="R53" s="670" t="s">
        <v>863</v>
      </c>
      <c r="S53" s="232"/>
      <c r="T53" s="671"/>
      <c r="U53" s="668"/>
      <c r="V53" s="672"/>
      <c r="W53" s="667"/>
      <c r="X53" s="667"/>
      <c r="Y53" s="670"/>
      <c r="AA53" s="671"/>
      <c r="AB53" s="668"/>
      <c r="AC53" s="666"/>
      <c r="AD53" s="668"/>
      <c r="AE53" s="670"/>
      <c r="AF53" s="670"/>
    </row>
    <row r="54" spans="1:32" s="224" customFormat="1" ht="13.5" customHeight="1">
      <c r="A54" s="225">
        <v>46</v>
      </c>
      <c r="B54" s="217"/>
      <c r="C54" s="217"/>
      <c r="D54" s="241"/>
      <c r="E54" s="241" t="s">
        <v>1082</v>
      </c>
      <c r="F54" s="241"/>
      <c r="G54" s="239"/>
      <c r="H54" s="668" t="s">
        <v>1632</v>
      </c>
      <c r="I54" s="666" t="s">
        <v>1084</v>
      </c>
      <c r="J54" s="666"/>
      <c r="K54" s="666" t="s">
        <v>1086</v>
      </c>
      <c r="L54" s="668" t="s">
        <v>819</v>
      </c>
      <c r="M54" s="668"/>
      <c r="N54" s="668" t="s">
        <v>862</v>
      </c>
      <c r="O54" s="670"/>
      <c r="P54" s="668" t="s">
        <v>1087</v>
      </c>
      <c r="Q54" s="669"/>
      <c r="R54" s="670" t="s">
        <v>863</v>
      </c>
      <c r="S54" s="232"/>
      <c r="T54" s="671"/>
      <c r="U54" s="668"/>
      <c r="V54" s="672"/>
      <c r="W54" s="667"/>
      <c r="X54" s="667"/>
      <c r="Y54" s="670"/>
      <c r="AA54" s="671"/>
      <c r="AB54" s="668"/>
      <c r="AC54" s="666"/>
      <c r="AD54" s="668"/>
      <c r="AE54" s="670"/>
      <c r="AF54" s="670"/>
    </row>
    <row r="55" spans="1:32" s="254" customFormat="1" ht="13.5" customHeight="1">
      <c r="A55" s="225">
        <v>47</v>
      </c>
      <c r="B55" s="217"/>
      <c r="C55" s="217"/>
      <c r="D55" s="241"/>
      <c r="E55" s="241" t="s">
        <v>1088</v>
      </c>
      <c r="F55" s="241"/>
      <c r="G55" s="221"/>
      <c r="H55" s="668" t="s">
        <v>1089</v>
      </c>
      <c r="I55" s="666" t="s">
        <v>1090</v>
      </c>
      <c r="J55" s="666"/>
      <c r="K55" s="666" t="s">
        <v>1091</v>
      </c>
      <c r="L55" s="668" t="s">
        <v>816</v>
      </c>
      <c r="M55" s="668"/>
      <c r="N55" s="668" t="s">
        <v>862</v>
      </c>
      <c r="O55" s="670"/>
      <c r="P55" s="668"/>
      <c r="Q55" s="669"/>
      <c r="R55" s="670" t="s">
        <v>863</v>
      </c>
      <c r="S55" s="680"/>
      <c r="T55" s="671"/>
      <c r="U55" s="668"/>
      <c r="V55" s="672"/>
      <c r="W55" s="667"/>
      <c r="X55" s="667"/>
      <c r="Y55" s="670"/>
      <c r="Z55" s="224"/>
      <c r="AA55" s="671"/>
      <c r="AB55" s="668"/>
      <c r="AC55" s="666"/>
      <c r="AD55" s="668"/>
      <c r="AE55" s="670"/>
      <c r="AF55" s="670"/>
    </row>
    <row r="56" spans="1:32" s="254" customFormat="1" ht="13.5" customHeight="1">
      <c r="A56" s="225">
        <v>48</v>
      </c>
      <c r="B56" s="217"/>
      <c r="C56" s="217"/>
      <c r="D56" s="241"/>
      <c r="E56" s="241" t="s">
        <v>1093</v>
      </c>
      <c r="F56" s="241"/>
      <c r="G56" s="221"/>
      <c r="H56" s="668"/>
      <c r="I56" s="666"/>
      <c r="J56" s="666"/>
      <c r="K56" s="666" t="s">
        <v>1094</v>
      </c>
      <c r="L56" s="668" t="s">
        <v>816</v>
      </c>
      <c r="M56" s="668" t="s">
        <v>863</v>
      </c>
      <c r="N56" s="243" t="s">
        <v>1094</v>
      </c>
      <c r="O56" s="670"/>
      <c r="P56" s="668"/>
      <c r="Q56" s="669"/>
      <c r="R56" s="670" t="s">
        <v>863</v>
      </c>
      <c r="S56" s="680"/>
      <c r="T56" s="671"/>
      <c r="U56" s="668"/>
      <c r="V56" s="672"/>
      <c r="W56" s="667"/>
      <c r="X56" s="667"/>
      <c r="Y56" s="670"/>
      <c r="Z56" s="224"/>
      <c r="AA56" s="671"/>
      <c r="AB56" s="668"/>
      <c r="AC56" s="666"/>
      <c r="AD56" s="668"/>
      <c r="AE56" s="670"/>
      <c r="AF56" s="670"/>
    </row>
    <row r="57" spans="1:32" s="254" customFormat="1" ht="13.5" customHeight="1">
      <c r="A57" s="225">
        <v>49</v>
      </c>
      <c r="B57" s="217"/>
      <c r="C57" s="217"/>
      <c r="D57" s="241"/>
      <c r="E57" s="241"/>
      <c r="F57" s="241" t="s">
        <v>1097</v>
      </c>
      <c r="G57" s="241"/>
      <c r="H57" s="668" t="s">
        <v>1098</v>
      </c>
      <c r="I57" s="666" t="s">
        <v>1099</v>
      </c>
      <c r="J57" s="666"/>
      <c r="K57" s="666" t="s">
        <v>1086</v>
      </c>
      <c r="L57" s="668" t="s">
        <v>819</v>
      </c>
      <c r="M57" s="668"/>
      <c r="N57" s="668" t="s">
        <v>862</v>
      </c>
      <c r="O57" s="670"/>
      <c r="P57" s="668" t="s">
        <v>1100</v>
      </c>
      <c r="Q57" s="669"/>
      <c r="R57" s="670" t="s">
        <v>863</v>
      </c>
      <c r="S57" s="680"/>
      <c r="T57" s="671"/>
      <c r="U57" s="668"/>
      <c r="V57" s="672"/>
      <c r="W57" s="667"/>
      <c r="X57" s="667"/>
      <c r="Y57" s="670"/>
      <c r="Z57" s="224"/>
      <c r="AA57" s="671"/>
      <c r="AB57" s="668"/>
      <c r="AC57" s="666"/>
      <c r="AD57" s="668"/>
      <c r="AE57" s="670"/>
      <c r="AF57" s="670"/>
    </row>
    <row r="58" spans="1:32" s="224" customFormat="1" ht="13.5" customHeight="1">
      <c r="A58" s="225">
        <v>50</v>
      </c>
      <c r="B58" s="217"/>
      <c r="C58" s="217"/>
      <c r="D58" s="241"/>
      <c r="E58" s="241"/>
      <c r="F58" s="241" t="s">
        <v>1101</v>
      </c>
      <c r="G58" s="241"/>
      <c r="H58" s="668" t="s">
        <v>1633</v>
      </c>
      <c r="I58" s="666" t="s">
        <v>1102</v>
      </c>
      <c r="J58" s="666"/>
      <c r="K58" s="666" t="s">
        <v>969</v>
      </c>
      <c r="L58" s="668" t="s">
        <v>816</v>
      </c>
      <c r="M58" s="668"/>
      <c r="N58" s="668" t="s">
        <v>862</v>
      </c>
      <c r="O58" s="670"/>
      <c r="P58" s="668"/>
      <c r="Q58" s="669"/>
      <c r="R58" s="670" t="s">
        <v>863</v>
      </c>
      <c r="S58" s="232"/>
      <c r="T58" s="671"/>
      <c r="U58" s="668"/>
      <c r="V58" s="672"/>
      <c r="W58" s="667"/>
      <c r="X58" s="667"/>
      <c r="Y58" s="670"/>
      <c r="AA58" s="671"/>
      <c r="AB58" s="668"/>
      <c r="AC58" s="666"/>
      <c r="AD58" s="668"/>
      <c r="AE58" s="670"/>
      <c r="AF58" s="670"/>
    </row>
    <row r="59" spans="1:32" s="224" customFormat="1" ht="13.5" customHeight="1">
      <c r="A59" s="225">
        <v>51</v>
      </c>
      <c r="B59" s="217"/>
      <c r="C59" s="217"/>
      <c r="D59" s="241"/>
      <c r="E59" s="241"/>
      <c r="F59" s="241" t="s">
        <v>1103</v>
      </c>
      <c r="G59" s="241"/>
      <c r="H59" s="668" t="s">
        <v>1634</v>
      </c>
      <c r="I59" s="666" t="s">
        <v>1104</v>
      </c>
      <c r="J59" s="666"/>
      <c r="K59" s="666" t="s">
        <v>870</v>
      </c>
      <c r="L59" s="668" t="s">
        <v>816</v>
      </c>
      <c r="M59" s="668"/>
      <c r="N59" s="668" t="s">
        <v>862</v>
      </c>
      <c r="O59" s="670"/>
      <c r="P59" s="668"/>
      <c r="Q59" s="669"/>
      <c r="R59" s="670" t="s">
        <v>863</v>
      </c>
      <c r="S59" s="232"/>
      <c r="T59" s="671"/>
      <c r="U59" s="668"/>
      <c r="V59" s="672"/>
      <c r="W59" s="667"/>
      <c r="X59" s="667"/>
      <c r="Y59" s="670"/>
      <c r="AA59" s="671"/>
      <c r="AB59" s="668"/>
      <c r="AC59" s="666"/>
      <c r="AD59" s="668"/>
      <c r="AE59" s="670"/>
      <c r="AF59" s="670"/>
    </row>
    <row r="60" spans="1:32" s="224" customFormat="1" ht="13.5" customHeight="1">
      <c r="A60" s="225">
        <v>52</v>
      </c>
      <c r="B60" s="217"/>
      <c r="C60" s="217"/>
      <c r="D60" s="241" t="s">
        <v>1105</v>
      </c>
      <c r="E60" s="241"/>
      <c r="F60" s="241"/>
      <c r="G60" s="221"/>
      <c r="H60" s="668"/>
      <c r="I60" s="666"/>
      <c r="J60" s="666"/>
      <c r="K60" s="666" t="s">
        <v>1106</v>
      </c>
      <c r="L60" s="668" t="s">
        <v>816</v>
      </c>
      <c r="M60" s="668" t="s">
        <v>863</v>
      </c>
      <c r="N60" s="243" t="s">
        <v>1106</v>
      </c>
      <c r="O60" s="670"/>
      <c r="P60" s="668"/>
      <c r="Q60" s="669"/>
      <c r="R60" s="670" t="s">
        <v>863</v>
      </c>
      <c r="S60" s="232"/>
      <c r="T60" s="671"/>
      <c r="U60" s="668"/>
      <c r="V60" s="672"/>
      <c r="W60" s="667"/>
      <c r="X60" s="667"/>
      <c r="Y60" s="670"/>
      <c r="AA60" s="671"/>
      <c r="AB60" s="668"/>
      <c r="AC60" s="666"/>
      <c r="AD60" s="668"/>
      <c r="AE60" s="670"/>
      <c r="AF60" s="670"/>
    </row>
    <row r="61" spans="1:32" s="676" customFormat="1" ht="13.5" customHeight="1">
      <c r="A61" s="225">
        <v>53</v>
      </c>
      <c r="B61" s="217"/>
      <c r="C61" s="217"/>
      <c r="D61" s="241"/>
      <c r="E61" s="241" t="s">
        <v>388</v>
      </c>
      <c r="F61" s="241"/>
      <c r="G61" s="217"/>
      <c r="H61" s="668" t="s">
        <v>1107</v>
      </c>
      <c r="I61" s="666" t="s">
        <v>1108</v>
      </c>
      <c r="J61" s="666"/>
      <c r="K61" s="666" t="s">
        <v>870</v>
      </c>
      <c r="L61" s="668" t="s">
        <v>816</v>
      </c>
      <c r="M61" s="668"/>
      <c r="N61" s="668" t="s">
        <v>862</v>
      </c>
      <c r="O61" s="670"/>
      <c r="P61" s="668"/>
      <c r="Q61" s="252"/>
      <c r="R61" s="670" t="s">
        <v>863</v>
      </c>
      <c r="S61" s="681"/>
      <c r="T61" s="671"/>
      <c r="U61" s="668"/>
      <c r="V61" s="672"/>
      <c r="W61" s="667"/>
      <c r="X61" s="667"/>
      <c r="Y61" s="670"/>
      <c r="Z61" s="224"/>
      <c r="AA61" s="671"/>
      <c r="AB61" s="255"/>
      <c r="AC61" s="499"/>
      <c r="AD61" s="668"/>
      <c r="AE61" s="670"/>
      <c r="AF61" s="670"/>
    </row>
    <row r="62" spans="1:32" s="224" customFormat="1" ht="13.5" customHeight="1">
      <c r="A62" s="225">
        <v>54</v>
      </c>
      <c r="B62" s="217"/>
      <c r="C62" s="217"/>
      <c r="D62" s="241"/>
      <c r="E62" s="241" t="s">
        <v>392</v>
      </c>
      <c r="F62" s="241"/>
      <c r="G62" s="217"/>
      <c r="H62" s="668" t="s">
        <v>1111</v>
      </c>
      <c r="I62" s="666">
        <v>59350</v>
      </c>
      <c r="J62" s="666"/>
      <c r="K62" s="666" t="s">
        <v>1113</v>
      </c>
      <c r="L62" s="668" t="s">
        <v>816</v>
      </c>
      <c r="M62" s="668"/>
      <c r="N62" s="668" t="s">
        <v>862</v>
      </c>
      <c r="O62" s="670"/>
      <c r="P62" s="668" t="s">
        <v>1115</v>
      </c>
      <c r="Q62" s="252"/>
      <c r="R62" s="670" t="s">
        <v>863</v>
      </c>
      <c r="S62" s="232"/>
      <c r="T62" s="671"/>
      <c r="U62" s="668"/>
      <c r="V62" s="672"/>
      <c r="W62" s="667"/>
      <c r="X62" s="667"/>
      <c r="Y62" s="670"/>
      <c r="AA62" s="671"/>
      <c r="AB62" s="668"/>
      <c r="AC62" s="666"/>
      <c r="AD62" s="668"/>
      <c r="AE62" s="670"/>
      <c r="AF62" s="670"/>
    </row>
    <row r="63" spans="1:32" s="224" customFormat="1" ht="13.5" customHeight="1">
      <c r="A63" s="225">
        <v>55</v>
      </c>
      <c r="B63" s="217"/>
      <c r="C63" s="217"/>
      <c r="D63" s="241"/>
      <c r="E63" s="241" t="s">
        <v>1116</v>
      </c>
      <c r="F63" s="241"/>
      <c r="G63" s="241"/>
      <c r="H63" s="263" t="s">
        <v>1635</v>
      </c>
      <c r="I63" s="666" t="s">
        <v>1118</v>
      </c>
      <c r="J63" s="666"/>
      <c r="K63" s="666" t="s">
        <v>1119</v>
      </c>
      <c r="L63" s="668" t="s">
        <v>816</v>
      </c>
      <c r="M63" s="668"/>
      <c r="N63" s="678" t="s">
        <v>862</v>
      </c>
      <c r="O63" s="281"/>
      <c r="P63" s="668"/>
      <c r="Q63" s="669"/>
      <c r="R63" s="670" t="s">
        <v>863</v>
      </c>
      <c r="S63" s="232"/>
      <c r="T63" s="671"/>
      <c r="U63" s="668"/>
      <c r="V63" s="672"/>
      <c r="W63" s="667"/>
      <c r="X63" s="667"/>
      <c r="Y63" s="670"/>
      <c r="AA63" s="671"/>
      <c r="AB63" s="668"/>
      <c r="AC63" s="666"/>
      <c r="AD63" s="668"/>
      <c r="AE63" s="670"/>
      <c r="AF63" s="670"/>
    </row>
    <row r="64" spans="1:32" s="256" customFormat="1" ht="13.5" customHeight="1">
      <c r="A64" s="225">
        <v>56</v>
      </c>
      <c r="B64" s="217"/>
      <c r="C64" s="217"/>
      <c r="D64" s="241" t="s">
        <v>1120</v>
      </c>
      <c r="E64" s="241"/>
      <c r="F64" s="241"/>
      <c r="G64" s="221"/>
      <c r="H64" s="668" t="s">
        <v>1636</v>
      </c>
      <c r="I64" s="666"/>
      <c r="J64" s="666"/>
      <c r="K64" s="666" t="s">
        <v>1122</v>
      </c>
      <c r="L64" s="668" t="s">
        <v>816</v>
      </c>
      <c r="M64" s="668" t="s">
        <v>863</v>
      </c>
      <c r="N64" s="243" t="s">
        <v>1122</v>
      </c>
      <c r="O64" s="670"/>
      <c r="P64" s="668"/>
      <c r="Q64" s="669"/>
      <c r="R64" s="670" t="s">
        <v>863</v>
      </c>
      <c r="S64" s="682"/>
      <c r="T64" s="671"/>
      <c r="U64" s="668"/>
      <c r="V64" s="672"/>
      <c r="W64" s="667"/>
      <c r="X64" s="667"/>
      <c r="Y64" s="670"/>
      <c r="Z64" s="224"/>
      <c r="AA64" s="671"/>
      <c r="AB64" s="668"/>
      <c r="AC64" s="666"/>
      <c r="AD64" s="668"/>
      <c r="AE64" s="670"/>
      <c r="AF64" s="670"/>
    </row>
    <row r="65" spans="1:32" s="256" customFormat="1" ht="13.5" customHeight="1">
      <c r="A65" s="225">
        <v>57</v>
      </c>
      <c r="B65" s="217"/>
      <c r="C65" s="217"/>
      <c r="D65" s="241"/>
      <c r="E65" s="241" t="s">
        <v>415</v>
      </c>
      <c r="F65" s="241"/>
      <c r="G65" s="221"/>
      <c r="H65" s="668" t="s">
        <v>1123</v>
      </c>
      <c r="I65" s="666" t="s">
        <v>1124</v>
      </c>
      <c r="J65" s="666"/>
      <c r="K65" s="666" t="s">
        <v>1125</v>
      </c>
      <c r="L65" s="668" t="s">
        <v>816</v>
      </c>
      <c r="M65" s="668"/>
      <c r="N65" s="678" t="s">
        <v>862</v>
      </c>
      <c r="O65" s="281"/>
      <c r="P65" s="668"/>
      <c r="Q65" s="669"/>
      <c r="R65" s="670" t="s">
        <v>863</v>
      </c>
      <c r="S65" s="682"/>
      <c r="T65" s="671"/>
      <c r="U65" s="668"/>
      <c r="V65" s="672"/>
      <c r="W65" s="667"/>
      <c r="X65" s="667"/>
      <c r="Y65" s="670"/>
      <c r="Z65" s="224"/>
      <c r="AA65" s="671"/>
      <c r="AB65" s="668"/>
      <c r="AC65" s="666"/>
      <c r="AD65" s="668"/>
      <c r="AE65" s="670"/>
      <c r="AF65" s="670"/>
    </row>
    <row r="66" spans="1:32" s="256" customFormat="1" ht="13.5" customHeight="1">
      <c r="A66" s="225">
        <v>58</v>
      </c>
      <c r="B66" s="217"/>
      <c r="C66" s="217"/>
      <c r="D66" s="241"/>
      <c r="E66" s="241" t="s">
        <v>1127</v>
      </c>
      <c r="F66" s="241"/>
      <c r="G66" s="221"/>
      <c r="H66" s="668" t="s">
        <v>1128</v>
      </c>
      <c r="I66" s="666" t="s">
        <v>1129</v>
      </c>
      <c r="J66" s="666"/>
      <c r="K66" s="666" t="s">
        <v>1130</v>
      </c>
      <c r="L66" s="668" t="s">
        <v>816</v>
      </c>
      <c r="M66" s="668"/>
      <c r="N66" s="678" t="s">
        <v>862</v>
      </c>
      <c r="O66" s="281"/>
      <c r="P66" s="668"/>
      <c r="Q66" s="669"/>
      <c r="R66" s="670" t="s">
        <v>863</v>
      </c>
      <c r="S66" s="682"/>
      <c r="T66" s="671"/>
      <c r="U66" s="668"/>
      <c r="V66" s="672"/>
      <c r="W66" s="667"/>
      <c r="X66" s="667"/>
      <c r="Y66" s="670"/>
      <c r="Z66" s="224"/>
      <c r="AA66" s="671"/>
      <c r="AB66" s="668"/>
      <c r="AC66" s="666"/>
      <c r="AD66" s="668"/>
      <c r="AE66" s="670"/>
      <c r="AF66" s="670"/>
    </row>
    <row r="67" spans="1:32" s="244" customFormat="1" ht="13.5" customHeight="1">
      <c r="A67" s="225">
        <v>59</v>
      </c>
      <c r="B67" s="217"/>
      <c r="C67" s="217"/>
      <c r="D67" s="241"/>
      <c r="E67" s="241" t="s">
        <v>429</v>
      </c>
      <c r="F67" s="241"/>
      <c r="G67" s="221"/>
      <c r="H67" s="668" t="s">
        <v>1132</v>
      </c>
      <c r="I67" s="666" t="s">
        <v>1133</v>
      </c>
      <c r="J67" s="666"/>
      <c r="K67" s="666" t="s">
        <v>1134</v>
      </c>
      <c r="L67" s="668" t="s">
        <v>816</v>
      </c>
      <c r="M67" s="668"/>
      <c r="N67" s="678" t="s">
        <v>862</v>
      </c>
      <c r="O67" s="281"/>
      <c r="P67" s="668"/>
      <c r="Q67" s="669"/>
      <c r="R67" s="670" t="s">
        <v>863</v>
      </c>
      <c r="S67" s="683"/>
      <c r="T67" s="671"/>
      <c r="U67" s="668"/>
      <c r="V67" s="672"/>
      <c r="W67" s="667"/>
      <c r="X67" s="667"/>
      <c r="Y67" s="670"/>
      <c r="Z67" s="224"/>
      <c r="AA67" s="671"/>
      <c r="AB67" s="668"/>
      <c r="AC67" s="666"/>
      <c r="AD67" s="668"/>
      <c r="AE67" s="670"/>
      <c r="AF67" s="670"/>
    </row>
    <row r="68" spans="1:32" s="244" customFormat="1" ht="13.5" customHeight="1">
      <c r="A68" s="225">
        <v>60</v>
      </c>
      <c r="B68" s="217"/>
      <c r="C68" s="217"/>
      <c r="D68" s="241"/>
      <c r="E68" s="241" t="s">
        <v>426</v>
      </c>
      <c r="F68" s="241"/>
      <c r="G68" s="221"/>
      <c r="H68" s="668" t="s">
        <v>1135</v>
      </c>
      <c r="I68" s="666" t="s">
        <v>1136</v>
      </c>
      <c r="J68" s="666"/>
      <c r="K68" s="666" t="s">
        <v>1137</v>
      </c>
      <c r="L68" s="668" t="s">
        <v>822</v>
      </c>
      <c r="M68" s="668"/>
      <c r="N68" s="678" t="s">
        <v>862</v>
      </c>
      <c r="O68" s="281"/>
      <c r="P68" s="668"/>
      <c r="Q68" s="669"/>
      <c r="R68" s="670" t="s">
        <v>863</v>
      </c>
      <c r="S68" s="683"/>
      <c r="T68" s="671"/>
      <c r="U68" s="668"/>
      <c r="V68" s="672"/>
      <c r="W68" s="667"/>
      <c r="X68" s="667"/>
      <c r="Y68" s="670"/>
      <c r="Z68" s="224"/>
      <c r="AA68" s="671"/>
      <c r="AB68" s="668"/>
      <c r="AC68" s="666"/>
      <c r="AD68" s="668"/>
      <c r="AE68" s="670"/>
      <c r="AF68" s="670"/>
    </row>
    <row r="69" spans="1:32" s="244" customFormat="1" ht="13.5" customHeight="1">
      <c r="A69" s="225">
        <v>61</v>
      </c>
      <c r="B69" s="217"/>
      <c r="C69" s="217"/>
      <c r="D69" s="241"/>
      <c r="E69" s="241" t="s">
        <v>1139</v>
      </c>
      <c r="F69" s="241"/>
      <c r="G69" s="221"/>
      <c r="H69" s="668" t="s">
        <v>1140</v>
      </c>
      <c r="I69" s="666" t="s">
        <v>1141</v>
      </c>
      <c r="J69" s="666"/>
      <c r="K69" s="666" t="s">
        <v>1142</v>
      </c>
      <c r="L69" s="668" t="s">
        <v>816</v>
      </c>
      <c r="M69" s="668"/>
      <c r="N69" s="678" t="s">
        <v>862</v>
      </c>
      <c r="O69" s="281"/>
      <c r="P69" s="668"/>
      <c r="Q69" s="669"/>
      <c r="R69" s="670" t="s">
        <v>863</v>
      </c>
      <c r="S69" s="683"/>
      <c r="T69" s="671"/>
      <c r="U69" s="668"/>
      <c r="V69" s="672"/>
      <c r="W69" s="667"/>
      <c r="X69" s="667"/>
      <c r="Y69" s="670"/>
      <c r="Z69" s="224"/>
      <c r="AA69" s="671"/>
      <c r="AB69" s="668"/>
      <c r="AC69" s="666"/>
      <c r="AD69" s="668"/>
      <c r="AE69" s="670"/>
      <c r="AF69" s="670"/>
    </row>
    <row r="70" spans="1:32" s="257" customFormat="1" ht="13.5" customHeight="1">
      <c r="A70" s="225">
        <v>62</v>
      </c>
      <c r="B70" s="217"/>
      <c r="C70" s="217"/>
      <c r="D70" s="241"/>
      <c r="E70" s="241" t="s">
        <v>1143</v>
      </c>
      <c r="F70" s="241"/>
      <c r="G70" s="221"/>
      <c r="H70" s="668" t="s">
        <v>410</v>
      </c>
      <c r="I70" s="666" t="s">
        <v>1144</v>
      </c>
      <c r="J70" s="666"/>
      <c r="K70" s="666" t="s">
        <v>1145</v>
      </c>
      <c r="L70" s="668" t="s">
        <v>816</v>
      </c>
      <c r="M70" s="668"/>
      <c r="N70" s="678" t="s">
        <v>862</v>
      </c>
      <c r="O70" s="281"/>
      <c r="P70" s="668"/>
      <c r="Q70" s="669"/>
      <c r="R70" s="670" t="s">
        <v>863</v>
      </c>
      <c r="S70" s="684"/>
      <c r="T70" s="671"/>
      <c r="U70" s="668"/>
      <c r="V70" s="672"/>
      <c r="W70" s="667"/>
      <c r="X70" s="667"/>
      <c r="Y70" s="670"/>
      <c r="Z70" s="224"/>
      <c r="AA70" s="671"/>
      <c r="AB70" s="668"/>
      <c r="AC70" s="666"/>
      <c r="AD70" s="668"/>
      <c r="AE70" s="670"/>
      <c r="AF70" s="670"/>
    </row>
    <row r="71" spans="1:32" s="258" customFormat="1" ht="13.5" customHeight="1">
      <c r="A71" s="225">
        <v>63</v>
      </c>
      <c r="B71" s="217"/>
      <c r="C71" s="217"/>
      <c r="D71" s="241"/>
      <c r="E71" s="241" t="s">
        <v>1146</v>
      </c>
      <c r="F71" s="241"/>
      <c r="G71" s="221"/>
      <c r="H71" s="668"/>
      <c r="I71" s="666" t="s">
        <v>1147</v>
      </c>
      <c r="J71" s="666"/>
      <c r="K71" s="666" t="s">
        <v>1148</v>
      </c>
      <c r="L71" s="668" t="s">
        <v>816</v>
      </c>
      <c r="M71" s="668"/>
      <c r="N71" s="678" t="s">
        <v>862</v>
      </c>
      <c r="O71" s="281"/>
      <c r="P71" s="668"/>
      <c r="Q71" s="669"/>
      <c r="R71" s="670" t="s">
        <v>863</v>
      </c>
      <c r="S71" s="685"/>
      <c r="T71" s="671"/>
      <c r="U71" s="668"/>
      <c r="V71" s="672"/>
      <c r="W71" s="667"/>
      <c r="X71" s="667"/>
      <c r="Y71" s="670"/>
      <c r="Z71" s="224"/>
      <c r="AA71" s="671"/>
      <c r="AB71" s="668"/>
      <c r="AC71" s="666"/>
      <c r="AD71" s="668"/>
      <c r="AE71" s="670"/>
      <c r="AF71" s="670"/>
    </row>
    <row r="72" spans="1:32" s="256" customFormat="1" ht="13.5" customHeight="1">
      <c r="A72" s="225">
        <v>64</v>
      </c>
      <c r="B72" s="217"/>
      <c r="C72" s="217"/>
      <c r="D72" s="241"/>
      <c r="E72" s="241" t="s">
        <v>178</v>
      </c>
      <c r="F72" s="241"/>
      <c r="G72" s="221"/>
      <c r="H72" s="668" t="s">
        <v>1149</v>
      </c>
      <c r="I72" s="666" t="s">
        <v>1150</v>
      </c>
      <c r="J72" s="666"/>
      <c r="K72" s="666" t="s">
        <v>1151</v>
      </c>
      <c r="L72" s="668" t="s">
        <v>816</v>
      </c>
      <c r="M72" s="668"/>
      <c r="N72" s="678" t="s">
        <v>862</v>
      </c>
      <c r="O72" s="281"/>
      <c r="P72" s="668"/>
      <c r="Q72" s="669"/>
      <c r="R72" s="670" t="s">
        <v>863</v>
      </c>
      <c r="S72" s="682"/>
      <c r="T72" s="671"/>
      <c r="U72" s="668"/>
      <c r="V72" s="672"/>
      <c r="W72" s="667"/>
      <c r="X72" s="667"/>
      <c r="Y72" s="670"/>
      <c r="Z72" s="224"/>
      <c r="AA72" s="671"/>
      <c r="AB72" s="668"/>
      <c r="AC72" s="666"/>
      <c r="AD72" s="668"/>
      <c r="AE72" s="670"/>
      <c r="AF72" s="670"/>
    </row>
    <row r="73" spans="1:32" s="256" customFormat="1" ht="13.5" customHeight="1">
      <c r="A73" s="225">
        <v>65</v>
      </c>
      <c r="B73" s="217"/>
      <c r="C73" s="217"/>
      <c r="D73" s="241"/>
      <c r="E73" s="241" t="s">
        <v>1152</v>
      </c>
      <c r="F73" s="241"/>
      <c r="G73" s="241"/>
      <c r="H73" s="668" t="s">
        <v>1153</v>
      </c>
      <c r="I73" s="666">
        <v>33123452323</v>
      </c>
      <c r="J73" s="666"/>
      <c r="K73" s="666" t="s">
        <v>1154</v>
      </c>
      <c r="L73" s="668" t="s">
        <v>816</v>
      </c>
      <c r="M73" s="668"/>
      <c r="N73" s="668" t="s">
        <v>1091</v>
      </c>
      <c r="O73" s="670"/>
      <c r="P73" s="668"/>
      <c r="Q73" s="669"/>
      <c r="R73" s="670" t="s">
        <v>863</v>
      </c>
      <c r="S73" s="682"/>
      <c r="T73" s="671"/>
      <c r="U73" s="668"/>
      <c r="V73" s="672"/>
      <c r="W73" s="667"/>
      <c r="X73" s="667"/>
      <c r="Y73" s="670"/>
      <c r="Z73" s="224"/>
      <c r="AA73" s="671"/>
      <c r="AB73" s="668"/>
      <c r="AC73" s="666"/>
      <c r="AD73" s="668"/>
      <c r="AE73" s="670"/>
      <c r="AF73" s="670"/>
    </row>
    <row r="74" spans="1:32" s="224" customFormat="1" ht="13.5" customHeight="1">
      <c r="A74" s="225">
        <v>66</v>
      </c>
      <c r="B74" s="217"/>
      <c r="C74" s="217"/>
      <c r="D74" s="241" t="s">
        <v>1156</v>
      </c>
      <c r="E74" s="241"/>
      <c r="F74" s="241"/>
      <c r="G74" s="217"/>
      <c r="H74" s="668"/>
      <c r="I74" s="666"/>
      <c r="J74" s="666"/>
      <c r="K74" s="666" t="s">
        <v>1158</v>
      </c>
      <c r="L74" s="668" t="s">
        <v>816</v>
      </c>
      <c r="M74" s="668" t="s">
        <v>863</v>
      </c>
      <c r="N74" s="243" t="s">
        <v>1158</v>
      </c>
      <c r="O74" s="670"/>
      <c r="P74" s="668"/>
      <c r="Q74" s="252"/>
      <c r="R74" s="670" t="s">
        <v>863</v>
      </c>
      <c r="S74" s="232"/>
      <c r="T74" s="671"/>
      <c r="U74" s="668"/>
      <c r="V74" s="672"/>
      <c r="W74" s="667"/>
      <c r="X74" s="667"/>
      <c r="Y74" s="670"/>
      <c r="AA74" s="671"/>
      <c r="AB74" s="668"/>
      <c r="AC74" s="666"/>
      <c r="AD74" s="668"/>
      <c r="AE74" s="670"/>
      <c r="AF74" s="670"/>
    </row>
    <row r="75" spans="1:32" s="224" customFormat="1" ht="13.5" customHeight="1">
      <c r="A75" s="225">
        <v>67</v>
      </c>
      <c r="B75" s="217"/>
      <c r="C75" s="217"/>
      <c r="D75" s="241"/>
      <c r="E75" s="241" t="s">
        <v>1159</v>
      </c>
      <c r="F75" s="241"/>
      <c r="G75" s="241"/>
      <c r="H75" s="668" t="s">
        <v>1160</v>
      </c>
      <c r="I75" s="666" t="s">
        <v>929</v>
      </c>
      <c r="J75" s="666"/>
      <c r="K75" s="666" t="s">
        <v>1161</v>
      </c>
      <c r="L75" s="668" t="s">
        <v>819</v>
      </c>
      <c r="M75" s="668"/>
      <c r="N75" s="668" t="s">
        <v>878</v>
      </c>
      <c r="O75" s="670"/>
      <c r="P75" s="668"/>
      <c r="Q75" s="669"/>
      <c r="R75" s="670" t="s">
        <v>863</v>
      </c>
      <c r="S75" s="232"/>
      <c r="T75" s="671"/>
      <c r="U75" s="668"/>
      <c r="V75" s="672"/>
      <c r="W75" s="667"/>
      <c r="X75" s="667"/>
      <c r="Y75" s="670"/>
      <c r="AA75" s="671"/>
      <c r="AB75" s="668"/>
      <c r="AC75" s="666"/>
      <c r="AD75" s="668"/>
      <c r="AE75" s="670"/>
      <c r="AF75" s="670"/>
    </row>
    <row r="76" spans="1:32" s="224" customFormat="1" ht="13.5" customHeight="1">
      <c r="A76" s="225">
        <v>68</v>
      </c>
      <c r="B76" s="217"/>
      <c r="C76" s="217"/>
      <c r="D76" s="241"/>
      <c r="E76" s="241" t="s">
        <v>1163</v>
      </c>
      <c r="F76" s="241"/>
      <c r="G76" s="217"/>
      <c r="H76" s="668" t="s">
        <v>1164</v>
      </c>
      <c r="I76" s="666"/>
      <c r="J76" s="666"/>
      <c r="K76" s="666" t="s">
        <v>1165</v>
      </c>
      <c r="L76" s="668" t="s">
        <v>816</v>
      </c>
      <c r="M76" s="668" t="s">
        <v>863</v>
      </c>
      <c r="N76" s="243" t="s">
        <v>1165</v>
      </c>
      <c r="O76" s="670"/>
      <c r="P76" s="668"/>
      <c r="Q76" s="252"/>
      <c r="R76" s="670" t="s">
        <v>863</v>
      </c>
      <c r="S76" s="232"/>
      <c r="T76" s="671"/>
      <c r="U76" s="668"/>
      <c r="V76" s="672"/>
      <c r="W76" s="667"/>
      <c r="X76" s="667"/>
      <c r="Y76" s="670"/>
      <c r="AA76" s="671"/>
      <c r="AB76" s="668"/>
      <c r="AC76" s="666"/>
      <c r="AD76" s="668"/>
      <c r="AE76" s="670"/>
      <c r="AF76" s="670"/>
    </row>
    <row r="77" spans="1:32" s="224" customFormat="1" ht="13.5" customHeight="1">
      <c r="A77" s="225">
        <v>69</v>
      </c>
      <c r="B77" s="217"/>
      <c r="C77" s="217"/>
      <c r="D77" s="241"/>
      <c r="E77" s="241"/>
      <c r="F77" s="241" t="s">
        <v>1166</v>
      </c>
      <c r="G77" s="217"/>
      <c r="H77" s="668" t="s">
        <v>1167</v>
      </c>
      <c r="I77" s="666"/>
      <c r="J77" s="666"/>
      <c r="K77" s="666" t="s">
        <v>1168</v>
      </c>
      <c r="L77" s="668" t="s">
        <v>819</v>
      </c>
      <c r="M77" s="668" t="s">
        <v>863</v>
      </c>
      <c r="N77" s="243" t="s">
        <v>1168</v>
      </c>
      <c r="O77" s="670"/>
      <c r="P77" s="668"/>
      <c r="Q77" s="252"/>
      <c r="R77" s="670" t="s">
        <v>863</v>
      </c>
      <c r="S77" s="232"/>
      <c r="T77" s="671"/>
      <c r="U77" s="668"/>
      <c r="V77" s="672"/>
      <c r="W77" s="667"/>
      <c r="X77" s="667"/>
      <c r="Y77" s="670"/>
      <c r="AA77" s="671"/>
      <c r="AB77" s="668"/>
      <c r="AC77" s="666"/>
      <c r="AD77" s="668"/>
      <c r="AE77" s="670"/>
      <c r="AF77" s="670"/>
    </row>
    <row r="78" spans="1:32" s="224" customFormat="1" ht="13.5" customHeight="1">
      <c r="A78" s="225">
        <v>70</v>
      </c>
      <c r="B78" s="217"/>
      <c r="C78" s="217"/>
      <c r="D78" s="241"/>
      <c r="E78" s="241"/>
      <c r="F78" s="241"/>
      <c r="G78" s="217" t="s">
        <v>1169</v>
      </c>
      <c r="H78" s="668" t="s">
        <v>1170</v>
      </c>
      <c r="I78" s="666" t="s">
        <v>1171</v>
      </c>
      <c r="J78" s="666"/>
      <c r="K78" s="666" t="s">
        <v>1172</v>
      </c>
      <c r="L78" s="668" t="s">
        <v>819</v>
      </c>
      <c r="M78" s="668"/>
      <c r="N78" s="668" t="s">
        <v>1091</v>
      </c>
      <c r="O78" s="670"/>
      <c r="P78" s="668"/>
      <c r="Q78" s="252"/>
      <c r="R78" s="670" t="s">
        <v>863</v>
      </c>
      <c r="S78" s="232"/>
      <c r="T78" s="671"/>
      <c r="U78" s="668"/>
      <c r="V78" s="672"/>
      <c r="W78" s="667"/>
      <c r="X78" s="667"/>
      <c r="Y78" s="670"/>
      <c r="AA78" s="668"/>
      <c r="AB78" s="668"/>
      <c r="AC78" s="499"/>
      <c r="AD78" s="668"/>
      <c r="AE78" s="670"/>
      <c r="AF78" s="670"/>
    </row>
    <row r="79" spans="1:32" s="256" customFormat="1" ht="13.5" customHeight="1">
      <c r="A79" s="225">
        <v>71</v>
      </c>
      <c r="B79" s="217"/>
      <c r="C79" s="217"/>
      <c r="D79" s="241"/>
      <c r="E79" s="241"/>
      <c r="F79" s="241"/>
      <c r="G79" s="217" t="s">
        <v>1175</v>
      </c>
      <c r="H79" s="668" t="s">
        <v>1176</v>
      </c>
      <c r="I79" s="666" t="s">
        <v>1177</v>
      </c>
      <c r="J79" s="666"/>
      <c r="K79" s="666" t="s">
        <v>1178</v>
      </c>
      <c r="L79" s="668" t="s">
        <v>819</v>
      </c>
      <c r="M79" s="668"/>
      <c r="N79" s="668" t="s">
        <v>1091</v>
      </c>
      <c r="O79" s="670"/>
      <c r="P79" s="668"/>
      <c r="Q79" s="252"/>
      <c r="R79" s="670" t="s">
        <v>863</v>
      </c>
      <c r="S79" s="682"/>
      <c r="T79" s="671"/>
      <c r="U79" s="668"/>
      <c r="V79" s="672"/>
      <c r="W79" s="667"/>
      <c r="X79" s="667"/>
      <c r="Y79" s="670"/>
      <c r="Z79" s="224"/>
      <c r="AA79" s="668"/>
      <c r="AB79" s="668"/>
      <c r="AC79" s="499"/>
      <c r="AD79" s="668"/>
      <c r="AE79" s="670"/>
      <c r="AF79" s="670"/>
    </row>
    <row r="80" spans="1:32" s="244" customFormat="1" ht="13.5" customHeight="1">
      <c r="A80" s="225">
        <v>72</v>
      </c>
      <c r="B80" s="217"/>
      <c r="C80" s="217"/>
      <c r="D80" s="241"/>
      <c r="E80" s="241"/>
      <c r="F80" s="241"/>
      <c r="G80" s="699" t="s">
        <v>1179</v>
      </c>
      <c r="H80" s="668" t="s">
        <v>1180</v>
      </c>
      <c r="I80" s="666">
        <v>120</v>
      </c>
      <c r="J80" s="666"/>
      <c r="K80" s="668" t="s">
        <v>1181</v>
      </c>
      <c r="L80" s="668" t="s">
        <v>816</v>
      </c>
      <c r="M80" s="668"/>
      <c r="N80" s="668" t="s">
        <v>1091</v>
      </c>
      <c r="O80" s="670"/>
      <c r="P80" s="668"/>
      <c r="Q80" s="669"/>
      <c r="R80" s="670" t="s">
        <v>863</v>
      </c>
      <c r="S80" s="683"/>
      <c r="T80" s="671"/>
      <c r="U80" s="668"/>
      <c r="V80" s="672"/>
      <c r="W80" s="667"/>
      <c r="X80" s="667"/>
      <c r="Y80" s="670"/>
      <c r="Z80" s="224"/>
      <c r="AA80" s="668"/>
      <c r="AB80" s="668"/>
      <c r="AC80" s="666"/>
      <c r="AD80" s="668"/>
      <c r="AE80" s="670"/>
      <c r="AF80" s="670"/>
    </row>
    <row r="81" spans="1:1009" s="688" customFormat="1" ht="13.5" customHeight="1">
      <c r="A81" s="225">
        <v>73</v>
      </c>
      <c r="B81" s="217"/>
      <c r="C81" s="218"/>
      <c r="D81" s="241"/>
      <c r="E81" s="241"/>
      <c r="F81" s="241"/>
      <c r="G81" s="690" t="s">
        <v>1183</v>
      </c>
      <c r="H81" s="689" t="s">
        <v>1184</v>
      </c>
      <c r="I81" s="692">
        <v>96</v>
      </c>
      <c r="J81" s="692"/>
      <c r="K81" s="689" t="s">
        <v>1185</v>
      </c>
      <c r="L81" s="689" t="s">
        <v>816</v>
      </c>
      <c r="M81" s="689"/>
      <c r="N81" s="689" t="s">
        <v>1091</v>
      </c>
      <c r="O81" s="693"/>
      <c r="P81" s="689"/>
      <c r="Q81" s="694"/>
      <c r="R81" s="670"/>
      <c r="S81" s="687"/>
      <c r="T81" s="695"/>
      <c r="U81" s="689"/>
      <c r="V81" s="696"/>
      <c r="W81" s="697"/>
      <c r="X81" s="697"/>
      <c r="Y81" s="693"/>
      <c r="Z81" s="698"/>
      <c r="AA81" s="689"/>
      <c r="AB81" s="689"/>
      <c r="AC81" s="692"/>
      <c r="AD81" s="689"/>
      <c r="AE81" s="693"/>
      <c r="AF81" s="693"/>
    </row>
    <row r="82" spans="1:1009" s="688" customFormat="1" ht="13.5" customHeight="1">
      <c r="A82" s="225">
        <v>74</v>
      </c>
      <c r="B82" s="217"/>
      <c r="C82" s="218"/>
      <c r="D82" s="241"/>
      <c r="E82" s="241"/>
      <c r="F82" s="241"/>
      <c r="G82" s="690" t="s">
        <v>1187</v>
      </c>
      <c r="H82" s="689" t="s">
        <v>1188</v>
      </c>
      <c r="I82" s="692">
        <v>34</v>
      </c>
      <c r="J82" s="692"/>
      <c r="K82" s="689" t="s">
        <v>1189</v>
      </c>
      <c r="L82" s="689" t="s">
        <v>816</v>
      </c>
      <c r="M82" s="689"/>
      <c r="N82" s="689" t="s">
        <v>1091</v>
      </c>
      <c r="O82" s="693"/>
      <c r="P82" s="689"/>
      <c r="Q82" s="694"/>
      <c r="R82" s="670"/>
      <c r="S82" s="687"/>
      <c r="T82" s="695"/>
      <c r="U82" s="689"/>
      <c r="V82" s="696"/>
      <c r="W82" s="697"/>
      <c r="X82" s="697"/>
      <c r="Y82" s="693"/>
      <c r="Z82" s="698"/>
      <c r="AA82" s="689"/>
      <c r="AB82" s="689"/>
      <c r="AC82" s="692"/>
      <c r="AD82" s="689"/>
      <c r="AE82" s="693"/>
      <c r="AF82" s="693"/>
    </row>
    <row r="83" spans="1:1009" s="244" customFormat="1" ht="13.5" customHeight="1">
      <c r="A83" s="225">
        <v>75</v>
      </c>
      <c r="B83" s="217"/>
      <c r="C83" s="217"/>
      <c r="D83" s="241"/>
      <c r="E83" s="241"/>
      <c r="F83" s="241"/>
      <c r="G83" s="241" t="s">
        <v>1191</v>
      </c>
      <c r="H83" s="668" t="s">
        <v>1192</v>
      </c>
      <c r="I83" s="666" t="s">
        <v>1193</v>
      </c>
      <c r="J83" s="666"/>
      <c r="K83" s="666" t="s">
        <v>1194</v>
      </c>
      <c r="L83" s="668" t="s">
        <v>819</v>
      </c>
      <c r="M83" s="668"/>
      <c r="N83" s="668" t="s">
        <v>862</v>
      </c>
      <c r="O83" s="670" t="s">
        <v>863</v>
      </c>
      <c r="P83" s="668" t="s">
        <v>1195</v>
      </c>
      <c r="Q83" s="669"/>
      <c r="R83" s="670" t="s">
        <v>863</v>
      </c>
      <c r="S83" s="683"/>
      <c r="T83" s="671"/>
      <c r="U83" s="668"/>
      <c r="V83" s="672"/>
      <c r="W83" s="667"/>
      <c r="X83" s="667"/>
      <c r="Y83" s="670"/>
      <c r="Z83" s="224"/>
      <c r="AA83" s="671"/>
      <c r="AB83" s="668"/>
      <c r="AC83" s="666"/>
      <c r="AD83" s="668"/>
      <c r="AE83" s="670"/>
      <c r="AF83" s="670"/>
    </row>
    <row r="84" spans="1:1009" s="256" customFormat="1" ht="13.5" customHeight="1">
      <c r="A84" s="225">
        <v>76</v>
      </c>
      <c r="B84" s="217"/>
      <c r="C84" s="217"/>
      <c r="D84" s="241"/>
      <c r="E84" s="241"/>
      <c r="F84" s="241" t="s">
        <v>1196</v>
      </c>
      <c r="G84" s="217"/>
      <c r="H84" s="668" t="s">
        <v>1197</v>
      </c>
      <c r="I84" s="666" t="s">
        <v>1198</v>
      </c>
      <c r="J84" s="666"/>
      <c r="K84" s="666" t="s">
        <v>1200</v>
      </c>
      <c r="L84" s="668" t="s">
        <v>816</v>
      </c>
      <c r="M84" s="668"/>
      <c r="N84" s="668" t="s">
        <v>862</v>
      </c>
      <c r="O84" s="670"/>
      <c r="P84" s="668"/>
      <c r="Q84" s="669"/>
      <c r="R84" s="670" t="s">
        <v>863</v>
      </c>
      <c r="S84" s="682"/>
      <c r="T84" s="671"/>
      <c r="U84" s="668"/>
      <c r="V84" s="672"/>
      <c r="W84" s="667"/>
      <c r="X84" s="667"/>
      <c r="Y84" s="670"/>
      <c r="Z84" s="224"/>
      <c r="AA84" s="671"/>
      <c r="AB84" s="668"/>
      <c r="AC84" s="666"/>
      <c r="AD84" s="668"/>
      <c r="AE84" s="670"/>
      <c r="AF84" s="670"/>
    </row>
    <row r="85" spans="1:1009" s="256" customFormat="1" ht="13.5" customHeight="1">
      <c r="A85" s="225">
        <v>77</v>
      </c>
      <c r="B85" s="217"/>
      <c r="C85" s="217"/>
      <c r="D85" s="241"/>
      <c r="E85" s="241" t="s">
        <v>1201</v>
      </c>
      <c r="F85" s="241"/>
      <c r="G85" s="217"/>
      <c r="H85" s="668" t="s">
        <v>1202</v>
      </c>
      <c r="I85" s="666"/>
      <c r="J85" s="666"/>
      <c r="K85" s="666" t="s">
        <v>1203</v>
      </c>
      <c r="L85" s="668" t="s">
        <v>816</v>
      </c>
      <c r="M85" s="668"/>
      <c r="N85" s="668" t="s">
        <v>862</v>
      </c>
      <c r="O85" s="670"/>
      <c r="P85" s="668"/>
      <c r="Q85" s="252"/>
      <c r="R85" s="670" t="s">
        <v>863</v>
      </c>
      <c r="S85" s="682"/>
      <c r="T85" s="671"/>
      <c r="U85" s="668"/>
      <c r="V85" s="672"/>
      <c r="W85" s="667"/>
      <c r="X85" s="667"/>
      <c r="Y85" s="670"/>
      <c r="Z85" s="224"/>
      <c r="AA85" s="671"/>
      <c r="AB85" s="668"/>
      <c r="AC85" s="666"/>
      <c r="AD85" s="668"/>
      <c r="AE85" s="670"/>
      <c r="AF85" s="670"/>
    </row>
    <row r="86" spans="1:1009" s="224" customFormat="1" ht="13.5" customHeight="1">
      <c r="A86" s="225">
        <v>78</v>
      </c>
      <c r="B86" s="217"/>
      <c r="C86" s="217"/>
      <c r="D86" s="241" t="s">
        <v>1204</v>
      </c>
      <c r="E86" s="241"/>
      <c r="F86" s="241"/>
      <c r="G86" s="217"/>
      <c r="H86" s="668" t="s">
        <v>1205</v>
      </c>
      <c r="I86" s="666"/>
      <c r="J86" s="666"/>
      <c r="K86" s="666" t="s">
        <v>1206</v>
      </c>
      <c r="L86" s="668" t="s">
        <v>822</v>
      </c>
      <c r="M86" s="668" t="s">
        <v>863</v>
      </c>
      <c r="N86" s="243" t="s">
        <v>1206</v>
      </c>
      <c r="O86" s="670"/>
      <c r="P86" s="668"/>
      <c r="Q86" s="252"/>
      <c r="R86" s="670" t="s">
        <v>863</v>
      </c>
      <c r="S86" s="232"/>
      <c r="T86" s="671"/>
      <c r="U86" s="668"/>
      <c r="V86" s="672"/>
      <c r="W86" s="667"/>
      <c r="X86" s="667"/>
      <c r="Y86" s="670"/>
      <c r="AA86" s="671"/>
      <c r="AB86" s="668"/>
      <c r="AC86" s="666"/>
      <c r="AD86" s="668"/>
      <c r="AE86" s="670"/>
      <c r="AF86" s="670"/>
    </row>
    <row r="87" spans="1:1009" s="224" customFormat="1" ht="13.5" customHeight="1">
      <c r="A87" s="225">
        <v>79</v>
      </c>
      <c r="B87" s="217"/>
      <c r="C87" s="217"/>
      <c r="D87" s="241"/>
      <c r="E87" s="241" t="s">
        <v>1207</v>
      </c>
      <c r="F87" s="241"/>
      <c r="G87" s="217"/>
      <c r="H87" s="668" t="s">
        <v>1208</v>
      </c>
      <c r="I87" s="666" t="s">
        <v>1209</v>
      </c>
      <c r="J87" s="666"/>
      <c r="K87" s="666" t="s">
        <v>938</v>
      </c>
      <c r="L87" s="668" t="s">
        <v>819</v>
      </c>
      <c r="M87" s="668"/>
      <c r="N87" s="668" t="s">
        <v>862</v>
      </c>
      <c r="O87" s="670" t="s">
        <v>863</v>
      </c>
      <c r="P87" s="668" t="s">
        <v>1210</v>
      </c>
      <c r="Q87" s="252"/>
      <c r="R87" s="670" t="s">
        <v>863</v>
      </c>
      <c r="S87" s="232"/>
      <c r="T87" s="671"/>
      <c r="U87" s="668"/>
      <c r="V87" s="672"/>
      <c r="W87" s="667"/>
      <c r="X87" s="667"/>
      <c r="Y87" s="670"/>
      <c r="AA87" s="671"/>
      <c r="AB87" s="668"/>
      <c r="AC87" s="666"/>
      <c r="AD87" s="668"/>
      <c r="AE87" s="670"/>
      <c r="AF87" s="670"/>
    </row>
    <row r="88" spans="1:1009" s="224" customFormat="1" ht="13.5" customHeight="1">
      <c r="A88" s="225">
        <v>80</v>
      </c>
      <c r="B88" s="217"/>
      <c r="C88" s="217"/>
      <c r="D88" s="241"/>
      <c r="E88" s="241" t="s">
        <v>1211</v>
      </c>
      <c r="F88" s="241"/>
      <c r="G88" s="217"/>
      <c r="H88" s="668" t="s">
        <v>1212</v>
      </c>
      <c r="I88" s="666" t="s">
        <v>1213</v>
      </c>
      <c r="J88" s="666"/>
      <c r="K88" s="666" t="s">
        <v>969</v>
      </c>
      <c r="L88" s="668" t="s">
        <v>819</v>
      </c>
      <c r="M88" s="668"/>
      <c r="N88" s="668" t="s">
        <v>862</v>
      </c>
      <c r="O88" s="670" t="s">
        <v>863</v>
      </c>
      <c r="P88" s="668" t="s">
        <v>1214</v>
      </c>
      <c r="Q88" s="252"/>
      <c r="R88" s="670" t="s">
        <v>863</v>
      </c>
      <c r="S88" s="232"/>
      <c r="T88" s="671"/>
      <c r="U88" s="668"/>
      <c r="V88" s="672"/>
      <c r="W88" s="667"/>
      <c r="X88" s="667"/>
      <c r="Y88" s="670"/>
      <c r="AA88" s="671"/>
      <c r="AB88" s="668"/>
      <c r="AC88" s="666"/>
      <c r="AD88" s="668"/>
      <c r="AE88" s="670"/>
      <c r="AF88" s="670"/>
    </row>
    <row r="89" spans="1:1009" s="676" customFormat="1" ht="13.5" customHeight="1">
      <c r="A89" s="225">
        <v>81</v>
      </c>
      <c r="B89" s="217"/>
      <c r="C89" s="217"/>
      <c r="D89" s="241"/>
      <c r="E89" s="241" t="s">
        <v>1076</v>
      </c>
      <c r="F89" s="241"/>
      <c r="G89" s="217"/>
      <c r="H89" s="668" t="s">
        <v>1215</v>
      </c>
      <c r="I89" s="666" t="s">
        <v>1216</v>
      </c>
      <c r="J89" s="666"/>
      <c r="K89" s="666" t="s">
        <v>1218</v>
      </c>
      <c r="L89" s="668" t="s">
        <v>819</v>
      </c>
      <c r="M89" s="668"/>
      <c r="N89" s="678" t="s">
        <v>862</v>
      </c>
      <c r="O89" s="281"/>
      <c r="P89" s="668"/>
      <c r="Q89" s="252"/>
      <c r="R89" s="670" t="s">
        <v>863</v>
      </c>
      <c r="S89" s="681"/>
      <c r="T89" s="671"/>
      <c r="U89" s="668"/>
      <c r="V89" s="672"/>
      <c r="W89" s="667"/>
      <c r="X89" s="667"/>
      <c r="Y89" s="670"/>
      <c r="Z89" s="224"/>
      <c r="AA89" s="671"/>
      <c r="AB89" s="668"/>
      <c r="AC89" s="666"/>
      <c r="AD89" s="668"/>
      <c r="AE89" s="670"/>
      <c r="AF89" s="670"/>
    </row>
    <row r="90" spans="1:1009" s="224" customFormat="1" ht="13.5" customHeight="1">
      <c r="A90" s="225">
        <v>82</v>
      </c>
      <c r="B90" s="217"/>
      <c r="C90" s="217"/>
      <c r="D90" s="241" t="s">
        <v>264</v>
      </c>
      <c r="E90" s="241"/>
      <c r="F90" s="241"/>
      <c r="G90" s="217"/>
      <c r="H90" s="668"/>
      <c r="I90" s="666" t="s">
        <v>1219</v>
      </c>
      <c r="J90" s="666"/>
      <c r="K90" s="668" t="s">
        <v>1220</v>
      </c>
      <c r="L90" s="668" t="s">
        <v>819</v>
      </c>
      <c r="M90" s="668"/>
      <c r="N90" s="678" t="s">
        <v>862</v>
      </c>
      <c r="O90" s="281" t="s">
        <v>863</v>
      </c>
      <c r="P90" s="668" t="s">
        <v>1221</v>
      </c>
      <c r="Q90" s="252"/>
      <c r="R90" s="670" t="s">
        <v>863</v>
      </c>
      <c r="S90" s="232"/>
      <c r="T90" s="671"/>
      <c r="U90" s="668"/>
      <c r="V90" s="672"/>
      <c r="W90" s="667"/>
      <c r="X90" s="667"/>
      <c r="Y90" s="670"/>
      <c r="AA90" s="671"/>
      <c r="AB90" s="668"/>
      <c r="AC90" s="499"/>
      <c r="AD90" s="668"/>
      <c r="AE90" s="670"/>
      <c r="AF90" s="670"/>
    </row>
    <row r="91" spans="1:1009" s="224" customFormat="1" ht="13.5" customHeight="1">
      <c r="A91" s="225">
        <v>83</v>
      </c>
      <c r="B91" s="217"/>
      <c r="C91" s="217"/>
      <c r="D91" s="241" t="s">
        <v>1637</v>
      </c>
      <c r="E91" s="241"/>
      <c r="F91" s="241"/>
      <c r="G91" s="217"/>
      <c r="H91" s="668" t="s">
        <v>1224</v>
      </c>
      <c r="I91" s="666" t="s">
        <v>1225</v>
      </c>
      <c r="J91" s="666"/>
      <c r="K91" s="666" t="s">
        <v>938</v>
      </c>
      <c r="L91" s="668" t="s">
        <v>816</v>
      </c>
      <c r="M91" s="668"/>
      <c r="N91" s="668" t="s">
        <v>862</v>
      </c>
      <c r="O91" s="670"/>
      <c r="P91" s="668"/>
      <c r="Q91" s="252"/>
      <c r="R91" s="670" t="s">
        <v>863</v>
      </c>
      <c r="S91" s="232"/>
      <c r="T91" s="671"/>
      <c r="U91" s="668"/>
      <c r="V91" s="672"/>
      <c r="W91" s="667"/>
      <c r="X91" s="667"/>
      <c r="Y91" s="670"/>
      <c r="AA91" s="671"/>
      <c r="AB91" s="668"/>
      <c r="AC91" s="666"/>
      <c r="AD91" s="668"/>
      <c r="AE91" s="670"/>
      <c r="AF91" s="670"/>
    </row>
    <row r="92" spans="1:1009" s="224" customFormat="1" ht="13.5" customHeight="1">
      <c r="A92" s="225">
        <v>84</v>
      </c>
      <c r="B92" s="217"/>
      <c r="C92" s="217" t="s">
        <v>1576</v>
      </c>
      <c r="D92" s="241" t="s">
        <v>2231</v>
      </c>
      <c r="E92" s="241"/>
      <c r="F92" s="241"/>
      <c r="G92" s="217"/>
      <c r="H92" s="263" t="s">
        <v>2232</v>
      </c>
      <c r="I92" s="666"/>
      <c r="J92" s="666"/>
      <c r="K92" s="255" t="s">
        <v>1584</v>
      </c>
      <c r="L92" s="668" t="s">
        <v>816</v>
      </c>
      <c r="M92" s="668" t="s">
        <v>863</v>
      </c>
      <c r="N92" s="243" t="s">
        <v>1053</v>
      </c>
      <c r="O92" s="280"/>
      <c r="P92" s="668"/>
      <c r="Q92" s="669"/>
      <c r="R92" s="670" t="s">
        <v>863</v>
      </c>
      <c r="S92" s="232"/>
      <c r="T92" s="671"/>
      <c r="U92" s="668"/>
      <c r="V92" s="672"/>
      <c r="W92" s="667"/>
      <c r="X92" s="667"/>
      <c r="Y92" s="670"/>
      <c r="AA92" s="671"/>
      <c r="AB92" s="668"/>
      <c r="AC92" s="666"/>
      <c r="AD92" s="668"/>
      <c r="AE92" s="670"/>
      <c r="AF92" s="670"/>
    </row>
    <row r="93" spans="1:1009" s="224" customFormat="1" ht="12" customHeight="1">
      <c r="A93" s="225">
        <f>SUBTOTAL(103,createCase1418[ID])</f>
        <v>84</v>
      </c>
      <c r="C93" s="225">
        <f>SUBTOTAL(103,createCase1418[Donnée (Niveau 2)])</f>
        <v>21</v>
      </c>
      <c r="D93" s="225">
        <f>SUBTOTAL(103,createCase1418[Donnée (Niveau 3)])</f>
        <v>26</v>
      </c>
      <c r="E93" s="225">
        <f>SUBTOTAL(103,createCase1418[Donnée (Niveau 4)])</f>
        <v>23</v>
      </c>
      <c r="F93" s="225">
        <f>SUBTOTAL(103,createCase1418[Donnée (Niveau 5)])</f>
        <v>5</v>
      </c>
      <c r="G93" s="225">
        <f>SUBTOTAL(103,createCase1418[Donnée (Niveau 6)])</f>
        <v>6</v>
      </c>
      <c r="H93" s="225">
        <f>SUBTOTAL(103,createCase1418[Description])</f>
        <v>73</v>
      </c>
      <c r="I93" s="225">
        <f>SUBTOTAL(103,createCase1418[Exemples])</f>
        <v>45</v>
      </c>
      <c r="J93" s="225"/>
      <c r="K93" s="239">
        <f>SUBTOTAL(103,createCase1418[Nouvelle balise])</f>
        <v>84</v>
      </c>
      <c r="L93" s="225"/>
      <c r="M93" s="234">
        <f>SUBTOTAL(103,createCase1418[Objet])</f>
        <v>16</v>
      </c>
      <c r="N93" s="225">
        <f>SUBTOTAL(103,createCase1418[Format (ou type)])</f>
        <v>84</v>
      </c>
      <c r="O93" s="274"/>
      <c r="P93" s="225"/>
      <c r="Q93" s="225"/>
      <c r="R93" s="225"/>
      <c r="T93" s="271">
        <f>SUBTOTAL(103,createCase1418[Commentaire Hub Santé])</f>
        <v>4</v>
      </c>
      <c r="U93" s="225">
        <f>SUBTOTAL(103,createCase1418[Commentaire Philippe Dreyfus])</f>
        <v>0</v>
      </c>
      <c r="V93" s="239"/>
      <c r="W93" s="225">
        <f>SUBTOTAL(103,createCase1418[Commentaire Yann Penverne])</f>
        <v>0</v>
      </c>
      <c r="X93" s="225">
        <f>SUBTOTAL(103,createCase1418[Métier])-COUNTIFS(createCase1418[Métier],"=X")</f>
        <v>0</v>
      </c>
    </row>
    <row r="94" spans="1:1009" s="128" customFormat="1" ht="12" customHeight="1">
      <c r="A94" s="3"/>
      <c r="B94" s="3"/>
      <c r="C94" s="131"/>
      <c r="D94" s="131"/>
      <c r="E94" s="131"/>
      <c r="F94" s="131"/>
      <c r="G94" s="5"/>
      <c r="H94" s="155"/>
      <c r="I94" s="225"/>
      <c r="J94" s="155"/>
      <c r="K94" s="5"/>
      <c r="L94" s="188"/>
      <c r="M94" s="5"/>
      <c r="N94" s="56"/>
      <c r="O94" s="56"/>
      <c r="P94" s="668"/>
      <c r="Q94" s="668"/>
      <c r="R94"/>
      <c r="S94" s="178"/>
      <c r="T94" s="5"/>
      <c r="U94" s="159"/>
      <c r="V94" s="56"/>
      <c r="W94" s="56"/>
      <c r="ALS94"/>
      <c r="ALT94"/>
      <c r="ALU94"/>
    </row>
    <row r="95" spans="1:1009" s="128" customFormat="1" ht="12" customHeight="1">
      <c r="A95" s="129"/>
      <c r="B95" s="129"/>
      <c r="C95" s="129"/>
      <c r="D95" s="129"/>
      <c r="E95" s="129"/>
      <c r="F95" s="129"/>
      <c r="G95" s="96"/>
      <c r="H95" s="96"/>
      <c r="I95" s="225"/>
      <c r="J95" s="159"/>
      <c r="K95" s="96"/>
      <c r="L95" s="173"/>
      <c r="M95" s="96"/>
      <c r="N95" s="277"/>
      <c r="O95" s="96"/>
      <c r="P95" s="96"/>
      <c r="Q95" s="96"/>
      <c r="R95"/>
      <c r="S95" s="179"/>
      <c r="T95" s="96"/>
      <c r="U95" s="159"/>
      <c r="V95" s="96"/>
      <c r="W95" s="96"/>
      <c r="ALS95"/>
      <c r="ALT95"/>
      <c r="ALU95"/>
    </row>
    <row r="96" spans="1:1009" s="128" customFormat="1" ht="12" customHeight="1">
      <c r="I96" s="224"/>
      <c r="L96" s="173"/>
      <c r="M96" s="96"/>
      <c r="N96" s="277"/>
      <c r="O96" s="96"/>
      <c r="P96" s="96"/>
      <c r="Q96" s="96"/>
      <c r="R96"/>
      <c r="S96" s="179"/>
      <c r="T96" s="96"/>
      <c r="U96" s="159"/>
      <c r="V96" s="96"/>
      <c r="W96" s="96"/>
      <c r="ALS96"/>
      <c r="ALT96"/>
      <c r="ALU96"/>
    </row>
    <row r="97" spans="1:1009" s="128" customFormat="1" ht="12" customHeight="1">
      <c r="I97" s="224"/>
      <c r="L97" s="173"/>
      <c r="M97" s="96"/>
      <c r="N97" s="277"/>
      <c r="O97" s="96"/>
      <c r="P97" s="96"/>
      <c r="Q97" s="96"/>
      <c r="R97"/>
      <c r="S97" s="179"/>
      <c r="T97" s="96"/>
      <c r="U97" s="159"/>
      <c r="V97" s="96"/>
      <c r="W97" s="96"/>
      <c r="ALS97"/>
      <c r="ALT97"/>
      <c r="ALU97"/>
    </row>
    <row r="98" spans="1:1009" ht="12" customHeight="1">
      <c r="A98" s="123"/>
      <c r="B98" s="675"/>
      <c r="C98" s="674"/>
      <c r="D98" s="123"/>
      <c r="E98" s="123"/>
      <c r="F98" s="123"/>
      <c r="G98" s="112"/>
      <c r="H98" s="112"/>
      <c r="I98" s="276"/>
      <c r="J98" s="161"/>
      <c r="K98" s="112"/>
      <c r="L98" s="190"/>
      <c r="M98" s="112"/>
      <c r="N98" s="125"/>
      <c r="O98" s="112"/>
      <c r="P98" s="112"/>
      <c r="Q98" s="112"/>
      <c r="S98" s="180"/>
      <c r="T98" s="112"/>
      <c r="V98" s="112"/>
      <c r="W98" s="112"/>
    </row>
    <row r="99" spans="1:1009" ht="12" customHeight="1">
      <c r="A99" s="123"/>
      <c r="B99" s="674"/>
      <c r="C99" s="674"/>
      <c r="D99" s="123"/>
      <c r="E99" s="123"/>
      <c r="F99" s="123"/>
      <c r="G99" s="112"/>
      <c r="H99" s="112"/>
      <c r="I99" s="276"/>
      <c r="J99" s="161"/>
      <c r="K99" s="112"/>
      <c r="L99" s="190"/>
      <c r="M99" s="112"/>
      <c r="N99" s="125"/>
      <c r="O99" s="112"/>
      <c r="P99" s="112"/>
      <c r="Q99" s="112"/>
      <c r="S99" s="180"/>
      <c r="T99" s="112"/>
      <c r="V99" s="112"/>
      <c r="W99" s="112"/>
    </row>
    <row r="100" spans="1:1009" ht="12" customHeight="1">
      <c r="A100" s="130"/>
      <c r="B100" s="674"/>
      <c r="C100" s="674"/>
      <c r="D100" s="130"/>
      <c r="E100" s="130"/>
      <c r="F100" s="130"/>
    </row>
  </sheetData>
  <mergeCells count="1">
    <mergeCell ref="H1:I2"/>
  </mergeCells>
  <phoneticPr fontId="82" type="noConversion"/>
  <conditionalFormatting sqref="A94:F95 A98 C98:F98 A99:F100 A147:F916">
    <cfRule type="expression" dxfId="1045" priority="161">
      <formula>OR($W94="X",$V94="X")</formula>
    </cfRule>
    <cfRule type="expression" dxfId="1044" priority="162">
      <formula>AND($W94=1,$V94=1)</formula>
    </cfRule>
    <cfRule type="expression" dxfId="1043" priority="163">
      <formula>$W94=1</formula>
    </cfRule>
    <cfRule type="expression" dxfId="1042" priority="164">
      <formula>$V94=1</formula>
    </cfRule>
  </conditionalFormatting>
  <conditionalFormatting sqref="A9:G9 B10:G11 A10:A92">
    <cfRule type="expression" dxfId="1041" priority="165">
      <formula>#REF!=1</formula>
    </cfRule>
    <cfRule type="expression" dxfId="1040" priority="168">
      <formula>OR($X9="X",#REF!="X")</formula>
    </cfRule>
  </conditionalFormatting>
  <conditionalFormatting sqref="A9:G19 A10:A92 A20:B20 D20:G20 B21:C26 E21:G26 B27:G29 D30:G34 B30:B43 E35:G40 B44:G44">
    <cfRule type="expression" dxfId="1039" priority="166">
      <formula>AND($X9=1,#REF!=1)</formula>
    </cfRule>
    <cfRule type="expression" dxfId="1038" priority="167">
      <formula>AND(NOT(ISBLANK($R9)),ISBLANK(#REF!),ISBLANK($X9))</formula>
    </cfRule>
  </conditionalFormatting>
  <conditionalFormatting sqref="B12:G19 D20:G20 B20:B26 C21:C26 E21:G26 B27:G29 D30:G34 B30:B43 E35:G40 B44:G44">
    <cfRule type="expression" dxfId="1037" priority="169">
      <formula>OR($X12="X",#REF!="X")</formula>
    </cfRule>
    <cfRule type="expression" dxfId="1036" priority="170">
      <formula>#REF!=1</formula>
    </cfRule>
  </conditionalFormatting>
  <conditionalFormatting sqref="C9:C29 D20 C44">
    <cfRule type="expression" dxfId="1035" priority="4251">
      <formula>AND($M9="X",$B9&lt;&gt;"")</formula>
    </cfRule>
  </conditionalFormatting>
  <conditionalFormatting sqref="C20">
    <cfRule type="expression" dxfId="1034" priority="126">
      <formula>$X20=1</formula>
    </cfRule>
    <cfRule type="expression" dxfId="1033" priority="127">
      <formula>AND($X20=1,#REF!=1)</formula>
    </cfRule>
    <cfRule type="expression" dxfId="1032" priority="128">
      <formula>AND(NOT(ISBLANK($R20)),ISBLANK(#REF!),ISBLANK($X20))</formula>
    </cfRule>
    <cfRule type="expression" dxfId="1031" priority="129">
      <formula>OR($X20="X",#REF!="X")</formula>
    </cfRule>
    <cfRule type="expression" dxfId="1030" priority="130">
      <formula>#REF!=1</formula>
    </cfRule>
  </conditionalFormatting>
  <conditionalFormatting sqref="C30:C40">
    <cfRule type="expression" dxfId="1029" priority="4254">
      <formula>AND($X30=1,#REF!=1)</formula>
    </cfRule>
    <cfRule type="expression" dxfId="1028" priority="4255">
      <formula>$X30=1</formula>
    </cfRule>
    <cfRule type="expression" dxfId="1027" priority="4256">
      <formula>AND(NOT(ISBLANK($R30)),ISBLANK(#REF!),ISBLANK($X30))</formula>
    </cfRule>
    <cfRule type="expression" dxfId="1026" priority="4257">
      <formula>OR($X30="X",#REF!="X")</formula>
    </cfRule>
    <cfRule type="expression" dxfId="1025" priority="4258">
      <formula>#REF!=1</formula>
    </cfRule>
    <cfRule type="expression" dxfId="1024" priority="4259">
      <formula>AND($M30="X",$B30&lt;&gt;"")</formula>
    </cfRule>
  </conditionalFormatting>
  <conditionalFormatting sqref="C41 C42:F42">
    <cfRule type="expression" dxfId="1023" priority="124">
      <formula>$AD41=1</formula>
    </cfRule>
  </conditionalFormatting>
  <conditionalFormatting sqref="C41 C42:F43">
    <cfRule type="expression" dxfId="1022" priority="121">
      <formula>AND($AE41=1,$AD41=1)</formula>
    </cfRule>
    <cfRule type="expression" dxfId="1021" priority="122">
      <formula>$AE41=1</formula>
    </cfRule>
    <cfRule type="expression" dxfId="1020" priority="123">
      <formula>OR($AE41="X",$AD41="X")</formula>
    </cfRule>
    <cfRule type="expression" dxfId="1019" priority="125">
      <formula>AND(NOT(ISBLANK($X41)),ISBLANK($AD41),ISBLANK($AE41))</formula>
    </cfRule>
  </conditionalFormatting>
  <conditionalFormatting sqref="C41:C43">
    <cfRule type="expression" dxfId="1018" priority="4264">
      <formula>AND($S41="X",OR($B41&lt;&gt;"",$C41&lt;&gt;""))</formula>
    </cfRule>
  </conditionalFormatting>
  <conditionalFormatting sqref="C45:G49 C50:D50 E50:E52 C51:C52 G51:G52 C53:G92">
    <cfRule type="expression" dxfId="1017" priority="7">
      <formula>OR($AF45="X",$AE45="X")</formula>
    </cfRule>
  </conditionalFormatting>
  <conditionalFormatting sqref="C45:G49 C50:E50 C51:C52 E51:E52 G51:G52 C53:G92">
    <cfRule type="expression" dxfId="1016" priority="8">
      <formula>AND($AF45=1,$AE45=1)</formula>
    </cfRule>
    <cfRule type="expression" dxfId="1015" priority="9">
      <formula>$AF45=1</formula>
    </cfRule>
  </conditionalFormatting>
  <conditionalFormatting sqref="C45:G49 E50:G50 C50:D52 E51:E52 G51:G52 C53:G92">
    <cfRule type="expression" dxfId="1014" priority="11">
      <formula>AND(NOT(ISBLANK($X45)),ISBLANK($AE45),ISBLANK($AF45))</formula>
    </cfRule>
  </conditionalFormatting>
  <conditionalFormatting sqref="C45:G50 C51:C52 E51:E52 G51:G52 C53:G92">
    <cfRule type="expression" dxfId="1013" priority="10">
      <formula>$AE45=1</formula>
    </cfRule>
  </conditionalFormatting>
  <conditionalFormatting sqref="D9:D19 D27:D34 D44 D41">
    <cfRule type="expression" dxfId="1012" priority="4266">
      <formula>AND($M9="X",OR($B9&lt;&gt;"",$C9&lt;&gt;""))</formula>
    </cfRule>
  </conditionalFormatting>
  <conditionalFormatting sqref="D35:D40">
    <cfRule type="expression" dxfId="1011" priority="50">
      <formula>OR($AF35="X",$AE35="X")</formula>
    </cfRule>
    <cfRule type="expression" dxfId="1010" priority="51">
      <formula>AND($AF35=1,$AE35=1)</formula>
    </cfRule>
    <cfRule type="expression" dxfId="1009" priority="52">
      <formula>$AF35=1</formula>
    </cfRule>
    <cfRule type="expression" dxfId="1008" priority="53">
      <formula>$AE35=1</formula>
    </cfRule>
    <cfRule type="expression" dxfId="1007" priority="54">
      <formula>AND(NOT(ISBLANK($X35)),ISBLANK($AE35),ISBLANK($AF35))</formula>
    </cfRule>
  </conditionalFormatting>
  <conditionalFormatting sqref="D42:D43">
    <cfRule type="expression" dxfId="1006" priority="4270">
      <formula>AND($S42="X",OR($B42&lt;&gt;"",$C42&lt;&gt;"",$D42&lt;&gt;""))</formula>
    </cfRule>
  </conditionalFormatting>
  <conditionalFormatting sqref="D45:D49 D53:D92">
    <cfRule type="expression" dxfId="1005" priority="4558">
      <formula>AND($M45="X",$C45&lt;&gt;"")</formula>
    </cfRule>
  </conditionalFormatting>
  <conditionalFormatting sqref="D50 E50:E52">
    <cfRule type="expression" dxfId="1004" priority="4567">
      <formula>AND($M50="X",OR($C50&lt;&gt;"",#REF!&lt;&gt;""))</formula>
    </cfRule>
  </conditionalFormatting>
  <conditionalFormatting sqref="D51:D52">
    <cfRule type="expression" dxfId="1003" priority="4560">
      <formula>AND($M51="X",OR(#REF!&lt;&gt;"",$C51&lt;&gt;""))</formula>
    </cfRule>
    <cfRule type="expression" dxfId="1002" priority="4561">
      <formula>OR($AF51="X",$AE51="X")</formula>
    </cfRule>
    <cfRule type="expression" dxfId="1001" priority="4562">
      <formula>AND($AF51=1,$AE51=1)</formula>
    </cfRule>
    <cfRule type="expression" dxfId="1000" priority="4563">
      <formula>$AF51=1</formula>
    </cfRule>
    <cfRule type="expression" dxfId="999" priority="4564">
      <formula>$AE51=1</formula>
    </cfRule>
  </conditionalFormatting>
  <conditionalFormatting sqref="D41:G41 A9:G19 A10:A92 A20:B20 D20:G20 B21:C26 E21:G26 B27:G29 D30:G34 B30:B43 E35:G40 B44:G44">
    <cfRule type="expression" dxfId="998" priority="155">
      <formula>$X9=1</formula>
    </cfRule>
  </conditionalFormatting>
  <conditionalFormatting sqref="D41:G41">
    <cfRule type="expression" dxfId="997" priority="108">
      <formula>AND($X41=1,#REF!=1)</formula>
    </cfRule>
    <cfRule type="expression" dxfId="996" priority="109">
      <formula>AND(NOT(ISBLANK($R41)),ISBLANK(#REF!),ISBLANK($X41))</formula>
    </cfRule>
    <cfRule type="expression" dxfId="995" priority="110">
      <formula>OR($X41="X",#REF!="X")</formula>
    </cfRule>
    <cfRule type="expression" dxfId="994" priority="111">
      <formula>#REF!=1</formula>
    </cfRule>
  </conditionalFormatting>
  <conditionalFormatting sqref="E2:E3">
    <cfRule type="dataBar" priority="106">
      <dataBar>
        <cfvo type="num" val="0"/>
        <cfvo type="num" val="1"/>
        <color rgb="FF63C384"/>
      </dataBar>
      <extLst>
        <ext xmlns:x14="http://schemas.microsoft.com/office/spreadsheetml/2009/9/main" uri="{B025F937-C7B1-47D3-B67F-A62EFF666E3E}">
          <x14:id>{353620B0-817E-4A29-B217-2CC937CE171A}</x14:id>
        </ext>
      </extLst>
    </cfRule>
  </conditionalFormatting>
  <conditionalFormatting sqref="E9:E19 E27:E41 E44">
    <cfRule type="expression" dxfId="993" priority="4282">
      <formula>AND($M9="X",OR($B9&lt;&gt;"",$C9&lt;&gt;"",$D9&lt;&gt;""))</formula>
    </cfRule>
  </conditionalFormatting>
  <conditionalFormatting sqref="E20">
    <cfRule type="expression" dxfId="992" priority="4285">
      <formula>AND($M20="X",OR($B20&lt;&gt;"",$D20&lt;&gt;"",#REF!&lt;&gt;""))</formula>
    </cfRule>
  </conditionalFormatting>
  <conditionalFormatting sqref="E21:E26">
    <cfRule type="expression" dxfId="991" priority="4286">
      <formula>AND($M21="X",OR($B21&lt;&gt;"",$C21&lt;&gt;"",#REF!&lt;&gt;""))</formula>
    </cfRule>
  </conditionalFormatting>
  <conditionalFormatting sqref="E42:E43 D35:D40">
    <cfRule type="expression" dxfId="990" priority="4287">
      <formula>AND($S35="X",OR($B35&lt;&gt;"",$C35&lt;&gt;"",$D35&lt;&gt;"",$E35&lt;&gt;""))</formula>
    </cfRule>
  </conditionalFormatting>
  <conditionalFormatting sqref="E45:E49 E53:E92">
    <cfRule type="expression" dxfId="989" priority="4565">
      <formula>AND($M45="X",OR($C45&lt;&gt;"",$D45&lt;&gt;""))</formula>
    </cfRule>
  </conditionalFormatting>
  <conditionalFormatting sqref="E50">
    <cfRule type="expression" dxfId="988" priority="4569">
      <formula>AND($M50="X",OR($C50&lt;&gt;"",#REF!&lt;&gt;"",$D50&lt;&gt;""))</formula>
    </cfRule>
    <cfRule type="expression" dxfId="987" priority="4570">
      <formula>AND($M50="X",OR($C50&lt;&gt;"",#REF!&lt;&gt;"",$D50&lt;&gt;"",$E50&lt;&gt;""))</formula>
    </cfRule>
    <cfRule type="expression" dxfId="986" priority="4571">
      <formula>AND($M50="X",OR($C50&lt;&gt;"",#REF!&lt;&gt;"",$E50&lt;&gt;"",#REF!&lt;&gt;""))</formula>
    </cfRule>
    <cfRule type="expression" dxfId="985" priority="4572">
      <formula>$AE50=1</formula>
    </cfRule>
    <cfRule type="expression" dxfId="984" priority="4573">
      <formula>AND($M50="X",OR($C50&lt;&gt;"",#REF!&lt;&gt;"",$D50&lt;&gt;""))</formula>
    </cfRule>
    <cfRule type="expression" dxfId="983" priority="4574">
      <formula>AND($AF50=1,$AE50=1)</formula>
    </cfRule>
    <cfRule type="expression" dxfId="982" priority="4575">
      <formula>$AF50=1</formula>
    </cfRule>
    <cfRule type="expression" dxfId="981" priority="4576">
      <formula>AND($M50="X",$C50&lt;&gt;"")</formula>
    </cfRule>
    <cfRule type="expression" dxfId="980" priority="4577">
      <formula>AND($M50="X",OR($C50&lt;&gt;"",#REF!&lt;&gt;""))</formula>
    </cfRule>
  </conditionalFormatting>
  <conditionalFormatting sqref="E50:G50">
    <cfRule type="expression" dxfId="979" priority="4578">
      <formula>AND($M50="X",OR($C50&lt;&gt;"",$D50&lt;&gt;"",$E50&lt;&gt;"",$F50&lt;&gt;"",$G50&lt;&gt;""))</formula>
    </cfRule>
    <cfRule type="expression" dxfId="978" priority="4579">
      <formula>AND($AF50=1,$AE50=1)</formula>
    </cfRule>
    <cfRule type="expression" dxfId="977" priority="4580">
      <formula>$AF50=1</formula>
    </cfRule>
    <cfRule type="expression" dxfId="976" priority="4581">
      <formula>OR($AF50="X",$AE50="X")</formula>
    </cfRule>
  </conditionalFormatting>
  <conditionalFormatting sqref="F1:F2">
    <cfRule type="dataBar" priority="153">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9 F27:F41 F44">
    <cfRule type="expression" dxfId="975" priority="4288">
      <formula>AND($M9="X",OR($B9&lt;&gt;"",$C9&lt;&gt;"",$D9&lt;&gt;"",$E9&lt;&gt;""))</formula>
    </cfRule>
  </conditionalFormatting>
  <conditionalFormatting sqref="F20">
    <cfRule type="expression" dxfId="974" priority="4291">
      <formula>AND($M20="X",OR($B20&lt;&gt;"",$D20&lt;&gt;"",#REF!&lt;&gt;"",$E20&lt;&gt;""))</formula>
    </cfRule>
  </conditionalFormatting>
  <conditionalFormatting sqref="F21:F26">
    <cfRule type="expression" dxfId="973" priority="4292">
      <formula>AND($M21="X",OR($B21&lt;&gt;"",$C21&lt;&gt;"",#REF!&lt;&gt;"",$E21&lt;&gt;""))</formula>
    </cfRule>
  </conditionalFormatting>
  <conditionalFormatting sqref="F42:F43">
    <cfRule type="expression" dxfId="972" priority="4293">
      <formula>AND($S42="X",OR($B42&lt;&gt;"",$C42&lt;&gt;"",$D42&lt;&gt;"",$E42&lt;&gt;"",$F42&lt;&gt;""))</formula>
    </cfRule>
  </conditionalFormatting>
  <conditionalFormatting sqref="F45:F49 F53:F92">
    <cfRule type="expression" dxfId="971" priority="4582">
      <formula>AND($M45="X",OR($C45&lt;&gt;"",$D45&lt;&gt;"",$E45&lt;&gt;""))</formula>
    </cfRule>
  </conditionalFormatting>
  <conditionalFormatting sqref="F51:F52">
    <cfRule type="expression" dxfId="970" priority="4584">
      <formula>OR($AF51="X",$AE51="X")</formula>
    </cfRule>
    <cfRule type="expression" dxfId="969" priority="4585">
      <formula>AND($AF51=1,$AE51=1)</formula>
    </cfRule>
    <cfRule type="expression" dxfId="968" priority="4586">
      <formula>$AF51=1</formula>
    </cfRule>
    <cfRule type="expression" dxfId="967" priority="4587">
      <formula>$AE51=1</formula>
    </cfRule>
    <cfRule type="expression" dxfId="966" priority="4588">
      <formula>AND(NOT(ISBLANK($X51)),ISBLANK($AE51),ISBLANK($AF51))</formula>
    </cfRule>
    <cfRule type="expression" dxfId="965" priority="4589">
      <formula>AND($M51="X",OR($C51&lt;&gt;"",#REF!&lt;&gt;"",$E51&lt;&gt;"",#REF!&lt;&gt;""))</formula>
    </cfRule>
  </conditionalFormatting>
  <conditionalFormatting sqref="G9:G19 G27:G41 G44">
    <cfRule type="expression" dxfId="964" priority="4294">
      <formula>AND($M9="X",OR($B9&lt;&gt;"",$C9&lt;&gt;"",$D9&lt;&gt;"",$E9&lt;&gt;"",$F9&lt;&gt;""))</formula>
    </cfRule>
  </conditionalFormatting>
  <conditionalFormatting sqref="G20">
    <cfRule type="expression" dxfId="963" priority="4297">
      <formula>AND($M20="X",OR($B20&lt;&gt;"",$D20&lt;&gt;"",#REF!&lt;&gt;"",$E20&lt;&gt;"",$F20&lt;&gt;""))</formula>
    </cfRule>
  </conditionalFormatting>
  <conditionalFormatting sqref="G21:G26">
    <cfRule type="expression" dxfId="962" priority="4298">
      <formula>AND($M21="X",OR($B21&lt;&gt;"",$C21&lt;&gt;"",#REF!&lt;&gt;"",$E21&lt;&gt;"",$F21&lt;&gt;""))</formula>
    </cfRule>
  </conditionalFormatting>
  <conditionalFormatting sqref="G45:G49 G53:G92">
    <cfRule type="expression" dxfId="961" priority="4590">
      <formula>AND($M45="X",OR($C45&lt;&gt;"",$D45&lt;&gt;"",$E45&lt;&gt;"",$F45&lt;&gt;""))</formula>
    </cfRule>
  </conditionalFormatting>
  <conditionalFormatting sqref="G51:G52">
    <cfRule type="expression" dxfId="960" priority="4592">
      <formula>AND($M51="X",OR($C51&lt;&gt;"",#REF!&lt;&gt;"",$E51&lt;&gt;"",#REF!&lt;&gt;""))</formula>
    </cfRule>
  </conditionalFormatting>
  <conditionalFormatting sqref="H94:H95 H98:H100 H147:H916">
    <cfRule type="expression" dxfId="959" priority="154">
      <formula>$K94="X"</formula>
    </cfRule>
  </conditionalFormatting>
  <conditionalFormatting sqref="I12:J34">
    <cfRule type="expression" dxfId="958" priority="152">
      <formula>$M12="X"</formula>
    </cfRule>
  </conditionalFormatting>
  <conditionalFormatting sqref="I35:J43">
    <cfRule type="expression" dxfId="957" priority="48">
      <formula>$S35="X"</formula>
    </cfRule>
  </conditionalFormatting>
  <conditionalFormatting sqref="I41:J46 I48:J92">
    <cfRule type="expression" dxfId="956" priority="12">
      <formula>$M41="X"</formula>
    </cfRule>
  </conditionalFormatting>
  <conditionalFormatting sqref="K91">
    <cfRule type="cellIs" dxfId="955" priority="1" operator="equal">
      <formula>"1..1"</formula>
    </cfRule>
    <cfRule type="cellIs" dxfId="954" priority="2" operator="equal">
      <formula>"0..n"</formula>
    </cfRule>
    <cfRule type="cellIs" dxfId="953" priority="3" operator="equal">
      <formula>"0..1"</formula>
    </cfRule>
  </conditionalFormatting>
  <conditionalFormatting sqref="L9:L91 K50:K89">
    <cfRule type="cellIs" dxfId="952" priority="4" operator="equal">
      <formula>"1..1"</formula>
    </cfRule>
    <cfRule type="cellIs" dxfId="951" priority="5" operator="equal">
      <formula>"0..n"</formula>
    </cfRule>
    <cfRule type="cellIs" dxfId="950" priority="6"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3620B0-817E-4A29-B217-2CC937CE171A}">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sheetPr>
    <tabColor theme="4" tint="0.79998168889431442"/>
  </sheetPr>
  <dimension ref="A1:ALU76"/>
  <sheetViews>
    <sheetView zoomScale="85" zoomScaleNormal="85" workbookViewId="0">
      <pane xSplit="7" ySplit="8" topLeftCell="H11" activePane="bottomRight" state="frozen"/>
      <selection pane="topRight" activeCell="H1" sqref="H1"/>
      <selection pane="bottomLeft" activeCell="A9" sqref="A9"/>
      <selection pane="bottomRight" activeCell="A64" sqref="A17:XFD64"/>
    </sheetView>
  </sheetViews>
  <sheetFormatPr baseColWidth="10" defaultColWidth="9.5" defaultRowHeight="12" customHeight="1"/>
  <cols>
    <col min="1" max="1" width="6.375" style="128" customWidth="1"/>
    <col min="2" max="2" width="23.625" style="128" customWidth="1"/>
    <col min="3" max="3" width="29.375" style="128" customWidth="1"/>
    <col min="4" max="4" width="27.375" style="128" customWidth="1"/>
    <col min="5" max="5" width="20" style="128" customWidth="1"/>
    <col min="6" max="6" width="8.625" style="128" customWidth="1"/>
    <col min="7" max="7" width="15.125" style="96" customWidth="1"/>
    <col min="8" max="8" width="63.875" style="96" customWidth="1"/>
    <col min="9" max="9" width="33.5" style="225" customWidth="1"/>
    <col min="10" max="10" width="17.875" style="159" hidden="1" customWidth="1"/>
    <col min="11" max="11" width="10.5" style="96" customWidth="1"/>
    <col min="12" max="12" width="6" style="173" customWidth="1"/>
    <col min="13" max="13" width="18.5" style="96" customWidth="1"/>
    <col min="14" max="14" width="12.625" style="277" customWidth="1"/>
    <col min="15" max="15" width="28.125" style="96" customWidth="1"/>
    <col min="16" max="16" width="8.875" style="96" customWidth="1"/>
    <col min="17" max="17" width="9.5" style="96" customWidth="1"/>
    <col min="18" max="18" width="11" customWidth="1"/>
    <col min="19" max="19" width="22.625" style="179" customWidth="1"/>
    <col min="20" max="20" width="16.375" style="96" customWidth="1"/>
    <col min="21" max="21" width="13.375" style="159" customWidth="1"/>
    <col min="22" max="22" width="12.875" style="96" customWidth="1"/>
    <col min="23" max="23" width="11.125" style="96" customWidth="1"/>
    <col min="25" max="1005" width="9.5" style="128"/>
    <col min="1006" max="1006" width="9" style="128" customWidth="1"/>
    <col min="1007" max="1008" width="9" customWidth="1"/>
  </cols>
  <sheetData>
    <row r="1" spans="1:1006" ht="13.5" customHeight="1">
      <c r="A1" s="228" t="s">
        <v>2671</v>
      </c>
      <c r="C1" s="129"/>
      <c r="G1" s="128"/>
      <c r="H1" s="128"/>
      <c r="I1" s="128"/>
      <c r="X1" s="128"/>
      <c r="ALR1"/>
    </row>
    <row r="2" spans="1:1006" ht="13.5" customHeight="1">
      <c r="A2" s="128" t="s">
        <v>850</v>
      </c>
      <c r="B2" s="128" t="s">
        <v>2206</v>
      </c>
      <c r="C2" s="142"/>
      <c r="E2" s="157"/>
      <c r="G2" s="128"/>
      <c r="X2" s="128"/>
      <c r="ALR2"/>
    </row>
    <row r="3" spans="1:1006" ht="13.5" customHeight="1">
      <c r="C3" s="128" t="s">
        <v>2207</v>
      </c>
      <c r="G3" s="137"/>
      <c r="X3" s="128"/>
      <c r="ALR3"/>
    </row>
    <row r="4" spans="1:1006" s="149" customFormat="1" ht="13.5" customHeight="1">
      <c r="A4" s="128"/>
      <c r="B4" s="128"/>
      <c r="C4" s="128" t="s">
        <v>2208</v>
      </c>
      <c r="D4" s="146"/>
      <c r="E4" s="128"/>
      <c r="F4" s="146"/>
      <c r="G4" s="148"/>
      <c r="H4" s="148"/>
      <c r="I4" s="275"/>
      <c r="J4" s="160"/>
      <c r="K4" s="148"/>
      <c r="L4" s="186"/>
      <c r="M4" s="148"/>
      <c r="N4" s="279"/>
      <c r="O4" s="148"/>
      <c r="P4" s="148"/>
      <c r="Q4" s="148"/>
      <c r="R4"/>
      <c r="S4" s="181"/>
      <c r="T4" s="148"/>
      <c r="U4" s="160"/>
      <c r="V4" s="148"/>
      <c r="W4" s="148"/>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47"/>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c r="CF4" s="147"/>
      <c r="CG4" s="147"/>
      <c r="CH4" s="147"/>
      <c r="CI4" s="147"/>
      <c r="CJ4" s="147"/>
      <c r="CK4" s="147"/>
      <c r="CL4" s="147"/>
      <c r="CM4" s="147"/>
      <c r="CN4" s="147"/>
      <c r="CO4" s="147"/>
      <c r="CP4" s="147"/>
      <c r="CQ4" s="147"/>
      <c r="CR4" s="147"/>
      <c r="CS4" s="147"/>
      <c r="CT4" s="147"/>
      <c r="CU4" s="147"/>
      <c r="CV4" s="147"/>
      <c r="CW4" s="147"/>
      <c r="CX4" s="147"/>
      <c r="CY4" s="147"/>
      <c r="CZ4" s="147"/>
      <c r="DA4" s="147"/>
      <c r="DB4" s="147"/>
      <c r="DC4" s="147"/>
      <c r="DD4" s="147"/>
      <c r="DE4" s="147"/>
      <c r="DF4" s="147"/>
      <c r="DG4" s="147"/>
      <c r="DH4" s="147"/>
      <c r="DI4" s="147"/>
      <c r="DJ4" s="147"/>
      <c r="DK4" s="147"/>
      <c r="DL4" s="147"/>
      <c r="DM4" s="147"/>
      <c r="DN4" s="147"/>
      <c r="DO4" s="147"/>
      <c r="DP4" s="147"/>
      <c r="DQ4" s="147"/>
      <c r="DR4" s="147"/>
      <c r="DS4" s="147"/>
      <c r="DT4" s="147"/>
      <c r="DU4" s="147"/>
      <c r="DV4" s="147"/>
      <c r="DW4" s="147"/>
      <c r="DX4" s="147"/>
      <c r="DY4" s="147"/>
      <c r="DZ4" s="147"/>
      <c r="EA4" s="147"/>
      <c r="EB4" s="147"/>
      <c r="EC4" s="147"/>
      <c r="ED4" s="147"/>
      <c r="EE4" s="147"/>
      <c r="EF4" s="147"/>
      <c r="EG4" s="147"/>
      <c r="EH4" s="147"/>
      <c r="EI4" s="147"/>
      <c r="EJ4" s="147"/>
      <c r="EK4" s="147"/>
      <c r="EL4" s="147"/>
      <c r="EM4" s="147"/>
      <c r="EN4" s="147"/>
      <c r="EO4" s="147"/>
      <c r="EP4" s="147"/>
      <c r="EQ4" s="147"/>
      <c r="ER4" s="147"/>
      <c r="ES4" s="147"/>
      <c r="ET4" s="147"/>
      <c r="EU4" s="147"/>
      <c r="EV4" s="147"/>
      <c r="EW4" s="147"/>
      <c r="EX4" s="147"/>
      <c r="EY4" s="147"/>
      <c r="EZ4" s="147"/>
      <c r="FA4" s="147"/>
      <c r="FB4" s="147"/>
      <c r="FC4" s="147"/>
      <c r="FD4" s="147"/>
      <c r="FE4" s="147"/>
      <c r="FF4" s="147"/>
      <c r="FG4" s="147"/>
      <c r="FH4" s="147"/>
      <c r="FI4" s="147"/>
      <c r="FJ4" s="147"/>
      <c r="FK4" s="147"/>
      <c r="FL4" s="147"/>
      <c r="FM4" s="147"/>
      <c r="FN4" s="147"/>
      <c r="FO4" s="147"/>
      <c r="FP4" s="147"/>
      <c r="FQ4" s="147"/>
      <c r="FR4" s="147"/>
      <c r="FS4" s="147"/>
      <c r="FT4" s="147"/>
      <c r="FU4" s="147"/>
      <c r="FV4" s="147"/>
      <c r="FW4" s="147"/>
      <c r="FX4" s="147"/>
      <c r="FY4" s="147"/>
      <c r="FZ4" s="147"/>
      <c r="GA4" s="147"/>
      <c r="GB4" s="147"/>
      <c r="GC4" s="147"/>
      <c r="GD4" s="147"/>
      <c r="GE4" s="147"/>
      <c r="GF4" s="147"/>
      <c r="GG4" s="147"/>
      <c r="GH4" s="147"/>
      <c r="GI4" s="147"/>
      <c r="GJ4" s="147"/>
      <c r="GK4" s="147"/>
      <c r="GL4" s="147"/>
      <c r="GM4" s="147"/>
      <c r="GN4" s="147"/>
      <c r="GO4" s="147"/>
      <c r="GP4" s="147"/>
      <c r="GQ4" s="147"/>
      <c r="GR4" s="147"/>
      <c r="GS4" s="147"/>
      <c r="GT4" s="147"/>
      <c r="GU4" s="147"/>
      <c r="GV4" s="147"/>
      <c r="GW4" s="147"/>
      <c r="GX4" s="147"/>
      <c r="GY4" s="147"/>
      <c r="GZ4" s="147"/>
      <c r="HA4" s="147"/>
      <c r="HB4" s="147"/>
      <c r="HC4" s="147"/>
      <c r="HD4" s="147"/>
      <c r="HE4" s="147"/>
      <c r="HF4" s="147"/>
      <c r="HG4" s="147"/>
      <c r="HH4" s="147"/>
      <c r="HI4" s="147"/>
      <c r="HJ4" s="147"/>
      <c r="HK4" s="147"/>
      <c r="HL4" s="147"/>
      <c r="HM4" s="147"/>
      <c r="HN4" s="147"/>
      <c r="HO4" s="147"/>
      <c r="HP4" s="147"/>
      <c r="HQ4" s="147"/>
      <c r="HR4" s="147"/>
      <c r="HS4" s="147"/>
      <c r="HT4" s="147"/>
      <c r="HU4" s="147"/>
      <c r="HV4" s="147"/>
      <c r="HW4" s="147"/>
      <c r="HX4" s="147"/>
      <c r="HY4" s="147"/>
      <c r="HZ4" s="147"/>
      <c r="IA4" s="147"/>
      <c r="IB4" s="147"/>
      <c r="IC4" s="147"/>
      <c r="ID4" s="147"/>
      <c r="IE4" s="147"/>
      <c r="IF4" s="147"/>
      <c r="IG4" s="147"/>
      <c r="IH4" s="147"/>
      <c r="II4" s="147"/>
      <c r="IJ4" s="147"/>
      <c r="IK4" s="147"/>
      <c r="IL4" s="147"/>
      <c r="IM4" s="147"/>
      <c r="IN4" s="147"/>
      <c r="IO4" s="147"/>
      <c r="IP4" s="147"/>
      <c r="IQ4" s="147"/>
      <c r="IR4" s="147"/>
      <c r="IS4" s="147"/>
      <c r="IT4" s="147"/>
      <c r="IU4" s="147"/>
      <c r="IV4" s="147"/>
      <c r="IW4" s="147"/>
      <c r="IX4" s="147"/>
      <c r="IY4" s="147"/>
      <c r="IZ4" s="147"/>
      <c r="JA4" s="147"/>
      <c r="JB4" s="147"/>
      <c r="JC4" s="147"/>
      <c r="JD4" s="147"/>
      <c r="JE4" s="147"/>
      <c r="JF4" s="147"/>
      <c r="JG4" s="147"/>
      <c r="JH4" s="147"/>
      <c r="JI4" s="147"/>
      <c r="JJ4" s="147"/>
      <c r="JK4" s="147"/>
      <c r="JL4" s="147"/>
      <c r="JM4" s="147"/>
      <c r="JN4" s="147"/>
      <c r="JO4" s="147"/>
      <c r="JP4" s="147"/>
      <c r="JQ4" s="147"/>
      <c r="JR4" s="147"/>
      <c r="JS4" s="147"/>
      <c r="JT4" s="147"/>
      <c r="JU4" s="147"/>
      <c r="JV4" s="147"/>
      <c r="JW4" s="147"/>
      <c r="JX4" s="147"/>
      <c r="JY4" s="147"/>
      <c r="JZ4" s="147"/>
      <c r="KA4" s="147"/>
      <c r="KB4" s="147"/>
      <c r="KC4" s="147"/>
      <c r="KD4" s="147"/>
      <c r="KE4" s="147"/>
      <c r="KF4" s="147"/>
      <c r="KG4" s="147"/>
      <c r="KH4" s="147"/>
      <c r="KI4" s="147"/>
      <c r="KJ4" s="147"/>
      <c r="KK4" s="147"/>
      <c r="KL4" s="147"/>
      <c r="KM4" s="147"/>
      <c r="KN4" s="147"/>
      <c r="KO4" s="147"/>
      <c r="KP4" s="147"/>
      <c r="KQ4" s="147"/>
      <c r="KR4" s="147"/>
      <c r="KS4" s="147"/>
      <c r="KT4" s="147"/>
      <c r="KU4" s="147"/>
      <c r="KV4" s="147"/>
      <c r="KW4" s="147"/>
      <c r="KX4" s="147"/>
      <c r="KY4" s="147"/>
      <c r="KZ4" s="147"/>
      <c r="LA4" s="147"/>
      <c r="LB4" s="147"/>
      <c r="LC4" s="147"/>
      <c r="LD4" s="147"/>
      <c r="LE4" s="147"/>
      <c r="LF4" s="147"/>
      <c r="LG4" s="147"/>
      <c r="LH4" s="147"/>
      <c r="LI4" s="147"/>
      <c r="LJ4" s="147"/>
      <c r="LK4" s="147"/>
      <c r="LL4" s="147"/>
      <c r="LM4" s="147"/>
      <c r="LN4" s="147"/>
      <c r="LO4" s="147"/>
      <c r="LP4" s="147"/>
      <c r="LQ4" s="147"/>
      <c r="LR4" s="147"/>
      <c r="LS4" s="147"/>
      <c r="LT4" s="147"/>
      <c r="LU4" s="147"/>
      <c r="LV4" s="147"/>
      <c r="LW4" s="147"/>
      <c r="LX4" s="147"/>
      <c r="LY4" s="147"/>
      <c r="LZ4" s="147"/>
      <c r="MA4" s="147"/>
      <c r="MB4" s="147"/>
      <c r="MC4" s="147"/>
      <c r="MD4" s="147"/>
      <c r="ME4" s="147"/>
      <c r="MF4" s="147"/>
      <c r="MG4" s="147"/>
      <c r="MH4" s="147"/>
      <c r="MI4" s="147"/>
      <c r="MJ4" s="147"/>
      <c r="MK4" s="147"/>
      <c r="ML4" s="147"/>
      <c r="MM4" s="147"/>
      <c r="MN4" s="147"/>
      <c r="MO4" s="147"/>
      <c r="MP4" s="147"/>
      <c r="MQ4" s="147"/>
      <c r="MR4" s="147"/>
      <c r="MS4" s="147"/>
      <c r="MT4" s="147"/>
      <c r="MU4" s="147"/>
      <c r="MV4" s="147"/>
      <c r="MW4" s="147"/>
      <c r="MX4" s="147"/>
      <c r="MY4" s="147"/>
      <c r="MZ4" s="147"/>
      <c r="NA4" s="147"/>
      <c r="NB4" s="147"/>
      <c r="NC4" s="147"/>
      <c r="ND4" s="147"/>
      <c r="NE4" s="147"/>
      <c r="NF4" s="147"/>
      <c r="NG4" s="147"/>
      <c r="NH4" s="147"/>
      <c r="NI4" s="147"/>
      <c r="NJ4" s="147"/>
      <c r="NK4" s="147"/>
      <c r="NL4" s="147"/>
      <c r="NM4" s="147"/>
      <c r="NN4" s="147"/>
      <c r="NO4" s="147"/>
      <c r="NP4" s="147"/>
      <c r="NQ4" s="147"/>
      <c r="NR4" s="147"/>
      <c r="NS4" s="147"/>
      <c r="NT4" s="147"/>
      <c r="NU4" s="147"/>
      <c r="NV4" s="147"/>
      <c r="NW4" s="147"/>
      <c r="NX4" s="147"/>
      <c r="NY4" s="147"/>
      <c r="NZ4" s="147"/>
      <c r="OA4" s="147"/>
      <c r="OB4" s="147"/>
      <c r="OC4" s="147"/>
      <c r="OD4" s="147"/>
      <c r="OE4" s="147"/>
      <c r="OF4" s="147"/>
      <c r="OG4" s="147"/>
      <c r="OH4" s="147"/>
      <c r="OI4" s="147"/>
      <c r="OJ4" s="147"/>
      <c r="OK4" s="147"/>
      <c r="OL4" s="147"/>
      <c r="OM4" s="147"/>
      <c r="ON4" s="147"/>
      <c r="OO4" s="147"/>
      <c r="OP4" s="147"/>
      <c r="OQ4" s="147"/>
      <c r="OR4" s="147"/>
      <c r="OS4" s="147"/>
      <c r="OT4" s="147"/>
      <c r="OU4" s="147"/>
      <c r="OV4" s="147"/>
      <c r="OW4" s="147"/>
      <c r="OX4" s="147"/>
      <c r="OY4" s="147"/>
      <c r="OZ4" s="147"/>
      <c r="PA4" s="147"/>
      <c r="PB4" s="147"/>
      <c r="PC4" s="147"/>
      <c r="PD4" s="147"/>
      <c r="PE4" s="147"/>
      <c r="PF4" s="147"/>
      <c r="PG4" s="147"/>
      <c r="PH4" s="147"/>
      <c r="PI4" s="147"/>
      <c r="PJ4" s="147"/>
      <c r="PK4" s="147"/>
      <c r="PL4" s="147"/>
      <c r="PM4" s="147"/>
      <c r="PN4" s="147"/>
      <c r="PO4" s="147"/>
      <c r="PP4" s="147"/>
      <c r="PQ4" s="147"/>
      <c r="PR4" s="147"/>
      <c r="PS4" s="147"/>
      <c r="PT4" s="147"/>
      <c r="PU4" s="147"/>
      <c r="PV4" s="147"/>
      <c r="PW4" s="147"/>
      <c r="PX4" s="147"/>
      <c r="PY4" s="147"/>
      <c r="PZ4" s="147"/>
      <c r="QA4" s="147"/>
      <c r="QB4" s="147"/>
      <c r="QC4" s="147"/>
      <c r="QD4" s="147"/>
      <c r="QE4" s="147"/>
      <c r="QF4" s="147"/>
      <c r="QG4" s="147"/>
      <c r="QH4" s="147"/>
      <c r="QI4" s="147"/>
      <c r="QJ4" s="147"/>
      <c r="QK4" s="147"/>
      <c r="QL4" s="147"/>
      <c r="QM4" s="147"/>
      <c r="QN4" s="147"/>
      <c r="QO4" s="147"/>
      <c r="QP4" s="147"/>
      <c r="QQ4" s="147"/>
      <c r="QR4" s="147"/>
      <c r="QS4" s="147"/>
      <c r="QT4" s="147"/>
      <c r="QU4" s="147"/>
      <c r="QV4" s="147"/>
      <c r="QW4" s="147"/>
      <c r="QX4" s="147"/>
      <c r="QY4" s="147"/>
      <c r="QZ4" s="147"/>
      <c r="RA4" s="147"/>
      <c r="RB4" s="147"/>
      <c r="RC4" s="147"/>
      <c r="RD4" s="147"/>
      <c r="RE4" s="147"/>
      <c r="RF4" s="147"/>
      <c r="RG4" s="147"/>
      <c r="RH4" s="147"/>
      <c r="RI4" s="147"/>
      <c r="RJ4" s="147"/>
      <c r="RK4" s="147"/>
      <c r="RL4" s="147"/>
      <c r="RM4" s="147"/>
      <c r="RN4" s="147"/>
      <c r="RO4" s="147"/>
      <c r="RP4" s="147"/>
      <c r="RQ4" s="147"/>
      <c r="RR4" s="147"/>
      <c r="RS4" s="147"/>
      <c r="RT4" s="147"/>
      <c r="RU4" s="147"/>
      <c r="RV4" s="147"/>
      <c r="RW4" s="147"/>
      <c r="RX4" s="147"/>
      <c r="RY4" s="147"/>
      <c r="RZ4" s="147"/>
      <c r="SA4" s="147"/>
      <c r="SB4" s="147"/>
      <c r="SC4" s="147"/>
      <c r="SD4" s="147"/>
      <c r="SE4" s="147"/>
      <c r="SF4" s="147"/>
      <c r="SG4" s="147"/>
      <c r="SH4" s="147"/>
      <c r="SI4" s="147"/>
      <c r="SJ4" s="147"/>
      <c r="SK4" s="147"/>
      <c r="SL4" s="147"/>
      <c r="SM4" s="147"/>
      <c r="SN4" s="147"/>
      <c r="SO4" s="147"/>
      <c r="SP4" s="147"/>
      <c r="SQ4" s="147"/>
      <c r="SR4" s="147"/>
      <c r="SS4" s="147"/>
      <c r="ST4" s="147"/>
      <c r="SU4" s="147"/>
      <c r="SV4" s="147"/>
      <c r="SW4" s="147"/>
      <c r="SX4" s="147"/>
      <c r="SY4" s="147"/>
      <c r="SZ4" s="147"/>
      <c r="TA4" s="147"/>
      <c r="TB4" s="147"/>
      <c r="TC4" s="147"/>
      <c r="TD4" s="147"/>
      <c r="TE4" s="147"/>
      <c r="TF4" s="147"/>
      <c r="TG4" s="147"/>
      <c r="TH4" s="147"/>
      <c r="TI4" s="147"/>
      <c r="TJ4" s="147"/>
      <c r="TK4" s="147"/>
      <c r="TL4" s="147"/>
      <c r="TM4" s="147"/>
      <c r="TN4" s="147"/>
      <c r="TO4" s="147"/>
      <c r="TP4" s="147"/>
      <c r="TQ4" s="147"/>
      <c r="TR4" s="147"/>
      <c r="TS4" s="147"/>
      <c r="TT4" s="147"/>
      <c r="TU4" s="147"/>
      <c r="TV4" s="147"/>
      <c r="TW4" s="147"/>
      <c r="TX4" s="147"/>
      <c r="TY4" s="147"/>
      <c r="TZ4" s="147"/>
      <c r="UA4" s="147"/>
      <c r="UB4" s="147"/>
      <c r="UC4" s="147"/>
      <c r="UD4" s="147"/>
      <c r="UE4" s="147"/>
      <c r="UF4" s="147"/>
      <c r="UG4" s="147"/>
      <c r="UH4" s="147"/>
      <c r="UI4" s="147"/>
      <c r="UJ4" s="147"/>
      <c r="UK4" s="147"/>
      <c r="UL4" s="147"/>
      <c r="UM4" s="147"/>
      <c r="UN4" s="147"/>
      <c r="UO4" s="147"/>
      <c r="UP4" s="147"/>
      <c r="UQ4" s="147"/>
      <c r="UR4" s="147"/>
      <c r="US4" s="147"/>
      <c r="UT4" s="147"/>
      <c r="UU4" s="147"/>
      <c r="UV4" s="147"/>
      <c r="UW4" s="147"/>
      <c r="UX4" s="147"/>
      <c r="UY4" s="147"/>
      <c r="UZ4" s="147"/>
      <c r="VA4" s="147"/>
      <c r="VB4" s="147"/>
      <c r="VC4" s="147"/>
      <c r="VD4" s="147"/>
      <c r="VE4" s="147"/>
      <c r="VF4" s="147"/>
      <c r="VG4" s="147"/>
      <c r="VH4" s="147"/>
      <c r="VI4" s="147"/>
      <c r="VJ4" s="147"/>
      <c r="VK4" s="147"/>
      <c r="VL4" s="147"/>
      <c r="VM4" s="147"/>
      <c r="VN4" s="147"/>
      <c r="VO4" s="147"/>
      <c r="VP4" s="147"/>
      <c r="VQ4" s="147"/>
      <c r="VR4" s="147"/>
      <c r="VS4" s="147"/>
      <c r="VT4" s="147"/>
      <c r="VU4" s="147"/>
      <c r="VV4" s="147"/>
      <c r="VW4" s="147"/>
      <c r="VX4" s="147"/>
      <c r="VY4" s="147"/>
      <c r="VZ4" s="147"/>
      <c r="WA4" s="147"/>
      <c r="WB4" s="147"/>
      <c r="WC4" s="147"/>
      <c r="WD4" s="147"/>
      <c r="WE4" s="147"/>
      <c r="WF4" s="147"/>
      <c r="WG4" s="147"/>
      <c r="WH4" s="147"/>
      <c r="WI4" s="147"/>
      <c r="WJ4" s="147"/>
      <c r="WK4" s="147"/>
      <c r="WL4" s="147"/>
      <c r="WM4" s="147"/>
      <c r="WN4" s="147"/>
      <c r="WO4" s="147"/>
      <c r="WP4" s="147"/>
      <c r="WQ4" s="147"/>
      <c r="WR4" s="147"/>
      <c r="WS4" s="147"/>
      <c r="WT4" s="147"/>
      <c r="WU4" s="147"/>
      <c r="WV4" s="147"/>
      <c r="WW4" s="147"/>
      <c r="WX4" s="147"/>
      <c r="WY4" s="147"/>
      <c r="WZ4" s="147"/>
      <c r="XA4" s="147"/>
      <c r="XB4" s="147"/>
      <c r="XC4" s="147"/>
      <c r="XD4" s="147"/>
      <c r="XE4" s="147"/>
      <c r="XF4" s="147"/>
      <c r="XG4" s="147"/>
      <c r="XH4" s="147"/>
      <c r="XI4" s="147"/>
      <c r="XJ4" s="147"/>
      <c r="XK4" s="147"/>
      <c r="XL4" s="147"/>
      <c r="XM4" s="147"/>
      <c r="XN4" s="147"/>
      <c r="XO4" s="147"/>
      <c r="XP4" s="147"/>
      <c r="XQ4" s="147"/>
      <c r="XR4" s="147"/>
      <c r="XS4" s="147"/>
      <c r="XT4" s="147"/>
      <c r="XU4" s="147"/>
      <c r="XV4" s="147"/>
      <c r="XW4" s="147"/>
      <c r="XX4" s="147"/>
      <c r="XY4" s="147"/>
      <c r="XZ4" s="147"/>
      <c r="YA4" s="147"/>
      <c r="YB4" s="147"/>
      <c r="YC4" s="147"/>
      <c r="YD4" s="147"/>
      <c r="YE4" s="147"/>
      <c r="YF4" s="147"/>
      <c r="YG4" s="147"/>
      <c r="YH4" s="147"/>
      <c r="YI4" s="147"/>
      <c r="YJ4" s="147"/>
      <c r="YK4" s="147"/>
      <c r="YL4" s="147"/>
      <c r="YM4" s="147"/>
      <c r="YN4" s="147"/>
      <c r="YO4" s="147"/>
      <c r="YP4" s="147"/>
      <c r="YQ4" s="147"/>
      <c r="YR4" s="147"/>
      <c r="YS4" s="147"/>
      <c r="YT4" s="147"/>
      <c r="YU4" s="147"/>
      <c r="YV4" s="147"/>
      <c r="YW4" s="147"/>
      <c r="YX4" s="147"/>
      <c r="YY4" s="147"/>
      <c r="YZ4" s="147"/>
      <c r="ZA4" s="147"/>
      <c r="ZB4" s="147"/>
      <c r="ZC4" s="147"/>
      <c r="ZD4" s="147"/>
      <c r="ZE4" s="147"/>
      <c r="ZF4" s="147"/>
      <c r="ZG4" s="147"/>
      <c r="ZH4" s="147"/>
      <c r="ZI4" s="147"/>
      <c r="ZJ4" s="147"/>
      <c r="ZK4" s="147"/>
      <c r="ZL4" s="147"/>
      <c r="ZM4" s="147"/>
      <c r="ZN4" s="147"/>
      <c r="ZO4" s="147"/>
      <c r="ZP4" s="147"/>
      <c r="ZQ4" s="147"/>
      <c r="ZR4" s="147"/>
      <c r="ZS4" s="147"/>
      <c r="ZT4" s="147"/>
      <c r="ZU4" s="147"/>
      <c r="ZV4" s="147"/>
      <c r="ZW4" s="147"/>
      <c r="ZX4" s="147"/>
      <c r="ZY4" s="147"/>
      <c r="ZZ4" s="147"/>
      <c r="AAA4" s="147"/>
      <c r="AAB4" s="147"/>
      <c r="AAC4" s="147"/>
      <c r="AAD4" s="147"/>
      <c r="AAE4" s="147"/>
      <c r="AAF4" s="147"/>
      <c r="AAG4" s="147"/>
      <c r="AAH4" s="147"/>
      <c r="AAI4" s="147"/>
      <c r="AAJ4" s="147"/>
      <c r="AAK4" s="147"/>
      <c r="AAL4" s="147"/>
      <c r="AAM4" s="147"/>
      <c r="AAN4" s="147"/>
      <c r="AAO4" s="147"/>
      <c r="AAP4" s="147"/>
      <c r="AAQ4" s="147"/>
      <c r="AAR4" s="147"/>
      <c r="AAS4" s="147"/>
      <c r="AAT4" s="147"/>
      <c r="AAU4" s="147"/>
      <c r="AAV4" s="147"/>
      <c r="AAW4" s="147"/>
      <c r="AAX4" s="147"/>
      <c r="AAY4" s="147"/>
      <c r="AAZ4" s="147"/>
      <c r="ABA4" s="147"/>
      <c r="ABB4" s="147"/>
      <c r="ABC4" s="147"/>
      <c r="ABD4" s="147"/>
      <c r="ABE4" s="147"/>
      <c r="ABF4" s="147"/>
      <c r="ABG4" s="147"/>
      <c r="ABH4" s="147"/>
      <c r="ABI4" s="147"/>
      <c r="ABJ4" s="147"/>
      <c r="ABK4" s="147"/>
      <c r="ABL4" s="147"/>
      <c r="ABM4" s="147"/>
      <c r="ABN4" s="147"/>
      <c r="ABO4" s="147"/>
      <c r="ABP4" s="147"/>
      <c r="ABQ4" s="147"/>
      <c r="ABR4" s="147"/>
      <c r="ABS4" s="147"/>
      <c r="ABT4" s="147"/>
      <c r="ABU4" s="147"/>
      <c r="ABV4" s="147"/>
      <c r="ABW4" s="147"/>
      <c r="ABX4" s="147"/>
      <c r="ABY4" s="147"/>
      <c r="ABZ4" s="147"/>
      <c r="ACA4" s="147"/>
      <c r="ACB4" s="147"/>
      <c r="ACC4" s="147"/>
      <c r="ACD4" s="147"/>
      <c r="ACE4" s="147"/>
      <c r="ACF4" s="147"/>
      <c r="ACG4" s="147"/>
      <c r="ACH4" s="147"/>
      <c r="ACI4" s="147"/>
      <c r="ACJ4" s="147"/>
      <c r="ACK4" s="147"/>
      <c r="ACL4" s="147"/>
      <c r="ACM4" s="147"/>
      <c r="ACN4" s="147"/>
      <c r="ACO4" s="147"/>
      <c r="ACP4" s="147"/>
      <c r="ACQ4" s="147"/>
      <c r="ACR4" s="147"/>
      <c r="ACS4" s="147"/>
      <c r="ACT4" s="147"/>
      <c r="ACU4" s="147"/>
      <c r="ACV4" s="147"/>
      <c r="ACW4" s="147"/>
      <c r="ACX4" s="147"/>
      <c r="ACY4" s="147"/>
      <c r="ACZ4" s="147"/>
      <c r="ADA4" s="147"/>
      <c r="ADB4" s="147"/>
      <c r="ADC4" s="147"/>
      <c r="ADD4" s="147"/>
      <c r="ADE4" s="147"/>
      <c r="ADF4" s="147"/>
      <c r="ADG4" s="147"/>
      <c r="ADH4" s="147"/>
      <c r="ADI4" s="147"/>
      <c r="ADJ4" s="147"/>
      <c r="ADK4" s="147"/>
      <c r="ADL4" s="147"/>
      <c r="ADM4" s="147"/>
      <c r="ADN4" s="147"/>
      <c r="ADO4" s="147"/>
      <c r="ADP4" s="147"/>
      <c r="ADQ4" s="147"/>
      <c r="ADR4" s="147"/>
      <c r="ADS4" s="147"/>
      <c r="ADT4" s="147"/>
      <c r="ADU4" s="147"/>
      <c r="ADV4" s="147"/>
      <c r="ADW4" s="147"/>
      <c r="ADX4" s="147"/>
      <c r="ADY4" s="147"/>
      <c r="ADZ4" s="147"/>
      <c r="AEA4" s="147"/>
      <c r="AEB4" s="147"/>
      <c r="AEC4" s="147"/>
      <c r="AED4" s="147"/>
      <c r="AEE4" s="147"/>
      <c r="AEF4" s="147"/>
      <c r="AEG4" s="147"/>
      <c r="AEH4" s="147"/>
      <c r="AEI4" s="147"/>
      <c r="AEJ4" s="147"/>
      <c r="AEK4" s="147"/>
      <c r="AEL4" s="147"/>
      <c r="AEM4" s="147"/>
      <c r="AEN4" s="147"/>
      <c r="AEO4" s="147"/>
      <c r="AEP4" s="147"/>
      <c r="AEQ4" s="147"/>
      <c r="AER4" s="147"/>
      <c r="AES4" s="147"/>
      <c r="AET4" s="147"/>
      <c r="AEU4" s="147"/>
      <c r="AEV4" s="147"/>
      <c r="AEW4" s="147"/>
      <c r="AEX4" s="147"/>
      <c r="AEY4" s="147"/>
      <c r="AEZ4" s="147"/>
      <c r="AFA4" s="147"/>
      <c r="AFB4" s="147"/>
      <c r="AFC4" s="147"/>
      <c r="AFD4" s="147"/>
      <c r="AFE4" s="147"/>
      <c r="AFF4" s="147"/>
      <c r="AFG4" s="147"/>
      <c r="AFH4" s="147"/>
      <c r="AFI4" s="147"/>
      <c r="AFJ4" s="147"/>
      <c r="AFK4" s="147"/>
      <c r="AFL4" s="147"/>
      <c r="AFM4" s="147"/>
      <c r="AFN4" s="147"/>
      <c r="AFO4" s="147"/>
      <c r="AFP4" s="147"/>
      <c r="AFQ4" s="147"/>
      <c r="AFR4" s="147"/>
      <c r="AFS4" s="147"/>
      <c r="AFT4" s="147"/>
      <c r="AFU4" s="147"/>
      <c r="AFV4" s="147"/>
      <c r="AFW4" s="147"/>
      <c r="AFX4" s="147"/>
      <c r="AFY4" s="147"/>
      <c r="AFZ4" s="147"/>
      <c r="AGA4" s="147"/>
      <c r="AGB4" s="147"/>
      <c r="AGC4" s="147"/>
      <c r="AGD4" s="147"/>
      <c r="AGE4" s="147"/>
      <c r="AGF4" s="147"/>
      <c r="AGG4" s="147"/>
      <c r="AGH4" s="147"/>
      <c r="AGI4" s="147"/>
      <c r="AGJ4" s="147"/>
      <c r="AGK4" s="147"/>
      <c r="AGL4" s="147"/>
      <c r="AGM4" s="147"/>
      <c r="AGN4" s="147"/>
      <c r="AGO4" s="147"/>
      <c r="AGP4" s="147"/>
      <c r="AGQ4" s="147"/>
      <c r="AGR4" s="147"/>
      <c r="AGS4" s="147"/>
      <c r="AGT4" s="147"/>
      <c r="AGU4" s="147"/>
      <c r="AGV4" s="147"/>
      <c r="AGW4" s="147"/>
      <c r="AGX4" s="147"/>
      <c r="AGY4" s="147"/>
      <c r="AGZ4" s="147"/>
      <c r="AHA4" s="147"/>
      <c r="AHB4" s="147"/>
      <c r="AHC4" s="147"/>
      <c r="AHD4" s="147"/>
      <c r="AHE4" s="147"/>
      <c r="AHF4" s="147"/>
      <c r="AHG4" s="147"/>
      <c r="AHH4" s="147"/>
      <c r="AHI4" s="147"/>
      <c r="AHJ4" s="147"/>
      <c r="AHK4" s="147"/>
      <c r="AHL4" s="147"/>
      <c r="AHM4" s="147"/>
      <c r="AHN4" s="147"/>
      <c r="AHO4" s="147"/>
      <c r="AHP4" s="147"/>
      <c r="AHQ4" s="147"/>
      <c r="AHR4" s="147"/>
      <c r="AHS4" s="147"/>
      <c r="AHT4" s="147"/>
      <c r="AHU4" s="147"/>
      <c r="AHV4" s="147"/>
      <c r="AHW4" s="147"/>
      <c r="AHX4" s="147"/>
      <c r="AHY4" s="147"/>
      <c r="AHZ4" s="147"/>
      <c r="AIA4" s="147"/>
      <c r="AIB4" s="147"/>
      <c r="AIC4" s="147"/>
      <c r="AID4" s="147"/>
      <c r="AIE4" s="147"/>
      <c r="AIF4" s="147"/>
      <c r="AIG4" s="147"/>
      <c r="AIH4" s="147"/>
      <c r="AII4" s="147"/>
      <c r="AIJ4" s="147"/>
      <c r="AIK4" s="147"/>
      <c r="AIL4" s="147"/>
      <c r="AIM4" s="147"/>
      <c r="AIN4" s="147"/>
      <c r="AIO4" s="147"/>
      <c r="AIP4" s="147"/>
      <c r="AIQ4" s="147"/>
      <c r="AIR4" s="147"/>
      <c r="AIS4" s="147"/>
      <c r="AIT4" s="147"/>
      <c r="AIU4" s="147"/>
      <c r="AIV4" s="147"/>
      <c r="AIW4" s="147"/>
      <c r="AIX4" s="147"/>
      <c r="AIY4" s="147"/>
      <c r="AIZ4" s="147"/>
      <c r="AJA4" s="147"/>
      <c r="AJB4" s="147"/>
      <c r="AJC4" s="147"/>
      <c r="AJD4" s="147"/>
      <c r="AJE4" s="147"/>
      <c r="AJF4" s="147"/>
      <c r="AJG4" s="147"/>
      <c r="AJH4" s="147"/>
      <c r="AJI4" s="147"/>
      <c r="AJJ4" s="147"/>
      <c r="AJK4" s="147"/>
      <c r="AJL4" s="147"/>
      <c r="AJM4" s="147"/>
      <c r="AJN4" s="147"/>
      <c r="AJO4" s="147"/>
      <c r="AJP4" s="147"/>
      <c r="AJQ4" s="147"/>
      <c r="AJR4" s="147"/>
      <c r="AJS4" s="147"/>
      <c r="AJT4" s="147"/>
      <c r="AJU4" s="147"/>
      <c r="AJV4" s="147"/>
      <c r="AJW4" s="147"/>
      <c r="AJX4" s="147"/>
      <c r="AJY4" s="147"/>
      <c r="AJZ4" s="147"/>
      <c r="AKA4" s="147"/>
      <c r="AKB4" s="147"/>
      <c r="AKC4" s="147"/>
      <c r="AKD4" s="147"/>
      <c r="AKE4" s="147"/>
      <c r="AKF4" s="147"/>
      <c r="AKG4" s="147"/>
      <c r="AKH4" s="147"/>
      <c r="AKI4" s="147"/>
      <c r="AKJ4" s="147"/>
      <c r="AKK4" s="147"/>
      <c r="AKL4" s="147"/>
      <c r="AKM4" s="147"/>
      <c r="AKN4" s="147"/>
      <c r="AKO4" s="147"/>
      <c r="AKP4" s="147"/>
      <c r="AKQ4" s="147"/>
      <c r="AKR4" s="147"/>
      <c r="AKS4" s="147"/>
      <c r="AKT4" s="147"/>
      <c r="AKU4" s="147"/>
      <c r="AKV4" s="147"/>
      <c r="AKW4" s="147"/>
      <c r="AKX4" s="147"/>
      <c r="AKY4" s="147"/>
      <c r="AKZ4" s="147"/>
      <c r="ALA4" s="147"/>
      <c r="ALB4" s="147"/>
      <c r="ALC4" s="147"/>
      <c r="ALD4" s="147"/>
      <c r="ALE4" s="147"/>
      <c r="ALF4" s="147"/>
      <c r="ALG4" s="147"/>
      <c r="ALH4" s="147"/>
      <c r="ALI4" s="147"/>
      <c r="ALJ4" s="147"/>
      <c r="ALK4" s="147"/>
      <c r="ALL4" s="147"/>
      <c r="ALM4" s="147"/>
      <c r="ALN4" s="147"/>
      <c r="ALO4" s="147"/>
      <c r="ALP4" s="147"/>
      <c r="ALQ4" s="147"/>
    </row>
    <row r="5" spans="1:1006" ht="13.5" customHeight="1">
      <c r="C5" s="128" t="s">
        <v>2209</v>
      </c>
      <c r="D5" s="138"/>
      <c r="E5" s="146"/>
      <c r="F5" s="138"/>
      <c r="X5" s="128"/>
      <c r="ALR5"/>
    </row>
    <row r="6" spans="1:1006" ht="13.5" customHeight="1">
      <c r="C6" s="144"/>
      <c r="D6" s="138"/>
      <c r="G6" s="128"/>
      <c r="H6" s="128"/>
      <c r="I6" s="128"/>
      <c r="X6" s="128"/>
      <c r="ALR6"/>
    </row>
    <row r="7" spans="1:1006" ht="13.5" customHeight="1">
      <c r="A7"/>
      <c r="B7"/>
      <c r="C7" s="138"/>
      <c r="D7" s="377"/>
      <c r="E7" s="138"/>
      <c r="F7" s="138"/>
      <c r="P7" s="788"/>
      <c r="Q7" s="787" t="s">
        <v>828</v>
      </c>
      <c r="R7" s="787" t="s">
        <v>828</v>
      </c>
      <c r="W7" s="655" t="s">
        <v>685</v>
      </c>
      <c r="X7" s="128"/>
      <c r="ALR7"/>
    </row>
    <row r="8" spans="1:1006" s="238" customFormat="1" ht="55.5" customHeight="1">
      <c r="A8" s="233" t="s">
        <v>830</v>
      </c>
      <c r="B8" s="381" t="s">
        <v>831</v>
      </c>
      <c r="C8" s="278" t="s">
        <v>832</v>
      </c>
      <c r="D8" s="278" t="s">
        <v>833</v>
      </c>
      <c r="E8" s="278" t="s">
        <v>834</v>
      </c>
      <c r="F8" s="278" t="s">
        <v>835</v>
      </c>
      <c r="G8" s="278" t="s">
        <v>836</v>
      </c>
      <c r="H8" s="234" t="s">
        <v>9</v>
      </c>
      <c r="I8" s="234" t="s">
        <v>837</v>
      </c>
      <c r="J8" s="234" t="s">
        <v>840</v>
      </c>
      <c r="K8" s="234" t="s">
        <v>841</v>
      </c>
      <c r="L8" s="234" t="s">
        <v>677</v>
      </c>
      <c r="M8" s="234" t="s">
        <v>3</v>
      </c>
      <c r="N8" s="234" t="s">
        <v>912</v>
      </c>
      <c r="O8" s="283" t="s">
        <v>913</v>
      </c>
      <c r="P8" s="234" t="s">
        <v>848</v>
      </c>
      <c r="Q8" s="229" t="s">
        <v>849</v>
      </c>
      <c r="R8" s="229" t="s">
        <v>850</v>
      </c>
      <c r="S8" s="230" t="s">
        <v>851</v>
      </c>
      <c r="T8" s="235" t="s">
        <v>852</v>
      </c>
      <c r="U8" s="235" t="s">
        <v>853</v>
      </c>
      <c r="V8" s="236" t="s">
        <v>854</v>
      </c>
      <c r="W8" s="235" t="s">
        <v>855</v>
      </c>
      <c r="X8" s="237" t="s">
        <v>914</v>
      </c>
    </row>
    <row r="9" spans="1:1006" s="224" customFormat="1" ht="13.5" customHeight="1">
      <c r="A9" s="225">
        <v>1</v>
      </c>
      <c r="B9" s="217" t="s">
        <v>915</v>
      </c>
      <c r="C9" s="240"/>
      <c r="D9" s="677"/>
      <c r="E9" s="677"/>
      <c r="F9" s="677"/>
      <c r="G9" s="677"/>
      <c r="H9" s="668" t="s">
        <v>949</v>
      </c>
      <c r="I9" s="316" t="s">
        <v>950</v>
      </c>
      <c r="J9" s="716"/>
      <c r="K9" s="666" t="s">
        <v>918</v>
      </c>
      <c r="L9" s="668" t="s">
        <v>819</v>
      </c>
      <c r="M9" s="669"/>
      <c r="N9" s="668" t="s">
        <v>862</v>
      </c>
      <c r="O9" s="670"/>
      <c r="P9" s="668"/>
      <c r="Q9" s="667"/>
      <c r="R9" s="667" t="s">
        <v>863</v>
      </c>
      <c r="S9" s="232"/>
      <c r="T9" s="671"/>
      <c r="U9" s="668"/>
      <c r="V9" s="672"/>
      <c r="W9" s="668"/>
      <c r="X9" s="670">
        <v>1</v>
      </c>
    </row>
    <row r="10" spans="1:1006" s="224" customFormat="1" ht="13.5" customHeight="1">
      <c r="A10" s="225">
        <v>2</v>
      </c>
      <c r="B10" s="217" t="s">
        <v>2210</v>
      </c>
      <c r="C10" s="240"/>
      <c r="D10" s="241"/>
      <c r="E10" s="241"/>
      <c r="F10" s="241"/>
      <c r="G10" s="241"/>
      <c r="H10" s="668" t="s">
        <v>2211</v>
      </c>
      <c r="I10" s="707"/>
      <c r="J10" s="707"/>
      <c r="K10" s="666" t="s">
        <v>2212</v>
      </c>
      <c r="L10" s="668" t="s">
        <v>819</v>
      </c>
      <c r="M10" s="669"/>
      <c r="N10" s="668" t="s">
        <v>862</v>
      </c>
      <c r="O10" s="670"/>
      <c r="P10" s="668"/>
      <c r="Q10" s="667"/>
      <c r="R10" s="667" t="s">
        <v>863</v>
      </c>
      <c r="S10" s="232"/>
      <c r="T10" s="671"/>
      <c r="U10" s="668"/>
      <c r="V10" s="672"/>
      <c r="W10" s="668"/>
      <c r="X10" s="670"/>
    </row>
    <row r="11" spans="1:1006" s="224" customFormat="1" ht="13.5" customHeight="1">
      <c r="A11" s="225">
        <v>3</v>
      </c>
      <c r="B11" s="217" t="s">
        <v>2213</v>
      </c>
      <c r="C11" s="240"/>
      <c r="D11" s="241"/>
      <c r="E11" s="241"/>
      <c r="F11" s="241"/>
      <c r="G11" s="241"/>
      <c r="H11" s="668" t="s">
        <v>2214</v>
      </c>
      <c r="I11" s="666" t="s">
        <v>929</v>
      </c>
      <c r="J11" s="666"/>
      <c r="K11" s="668" t="s">
        <v>2215</v>
      </c>
      <c r="L11" s="668" t="s">
        <v>816</v>
      </c>
      <c r="M11" s="669" t="s">
        <v>863</v>
      </c>
      <c r="N11" s="668" t="s">
        <v>2216</v>
      </c>
      <c r="O11" s="670"/>
      <c r="P11" s="668" t="s">
        <v>931</v>
      </c>
      <c r="Q11" s="667"/>
      <c r="R11" s="667" t="s">
        <v>863</v>
      </c>
      <c r="S11" s="232"/>
      <c r="T11" s="671"/>
      <c r="U11" s="668"/>
      <c r="V11" s="672"/>
      <c r="W11" s="668"/>
      <c r="X11" s="670"/>
    </row>
    <row r="12" spans="1:1006" s="224" customFormat="1" ht="13.5" customHeight="1">
      <c r="A12" s="225">
        <v>4</v>
      </c>
      <c r="B12" s="217"/>
      <c r="C12" s="217" t="s">
        <v>2217</v>
      </c>
      <c r="D12" s="241"/>
      <c r="E12" s="241"/>
      <c r="F12" s="241"/>
      <c r="G12" s="241"/>
      <c r="H12" s="668" t="s">
        <v>2218</v>
      </c>
      <c r="I12" s="707"/>
      <c r="J12" s="707"/>
      <c r="K12" s="666" t="s">
        <v>2154</v>
      </c>
      <c r="L12" s="668" t="s">
        <v>819</v>
      </c>
      <c r="M12" s="669"/>
      <c r="N12" s="668" t="s">
        <v>878</v>
      </c>
      <c r="O12" s="670"/>
      <c r="P12" s="668" t="s">
        <v>931</v>
      </c>
      <c r="Q12" s="667"/>
      <c r="R12" s="667" t="s">
        <v>863</v>
      </c>
      <c r="S12" s="232"/>
      <c r="T12" s="671"/>
      <c r="U12" s="668"/>
      <c r="V12" s="672"/>
      <c r="W12" s="668"/>
      <c r="X12" s="670"/>
    </row>
    <row r="13" spans="1:1006" s="224" customFormat="1" ht="13.5" customHeight="1">
      <c r="A13" s="225">
        <v>5</v>
      </c>
      <c r="B13" s="217"/>
      <c r="C13" s="217" t="s">
        <v>2219</v>
      </c>
      <c r="D13" s="241"/>
      <c r="E13" s="241"/>
      <c r="F13" s="241"/>
      <c r="G13" s="241"/>
      <c r="H13" s="668"/>
      <c r="I13" s="707"/>
      <c r="J13" s="707"/>
      <c r="K13" s="666" t="s">
        <v>2220</v>
      </c>
      <c r="L13" s="668" t="s">
        <v>816</v>
      </c>
      <c r="M13" s="669"/>
      <c r="N13" s="668" t="s">
        <v>862</v>
      </c>
      <c r="O13" s="670"/>
      <c r="P13" s="668"/>
      <c r="Q13" s="667"/>
      <c r="R13" s="667" t="s">
        <v>863</v>
      </c>
      <c r="S13" s="232"/>
      <c r="T13" s="671"/>
      <c r="U13" s="668"/>
      <c r="V13" s="672"/>
      <c r="W13" s="668"/>
      <c r="X13" s="670"/>
    </row>
    <row r="14" spans="1:1006" s="224" customFormat="1" ht="13.5" customHeight="1">
      <c r="A14" s="225">
        <v>6</v>
      </c>
      <c r="B14" s="217"/>
      <c r="C14" s="217" t="s">
        <v>2221</v>
      </c>
      <c r="D14" s="241"/>
      <c r="E14" s="241"/>
      <c r="F14" s="241"/>
      <c r="G14" s="241"/>
      <c r="H14" s="668"/>
      <c r="I14" s="707"/>
      <c r="J14" s="707"/>
      <c r="K14" s="666" t="s">
        <v>2222</v>
      </c>
      <c r="L14" s="668" t="s">
        <v>816</v>
      </c>
      <c r="M14" s="669"/>
      <c r="N14" s="668" t="s">
        <v>862</v>
      </c>
      <c r="O14" s="670"/>
      <c r="P14" s="668"/>
      <c r="Q14" s="667"/>
      <c r="R14" s="667" t="s">
        <v>863</v>
      </c>
      <c r="S14" s="232"/>
      <c r="T14" s="671"/>
      <c r="U14" s="668"/>
      <c r="V14" s="672"/>
      <c r="W14" s="668"/>
      <c r="X14" s="670"/>
    </row>
    <row r="15" spans="1:1006" s="224" customFormat="1" ht="13.5" customHeight="1">
      <c r="A15" s="225">
        <v>7</v>
      </c>
      <c r="B15" s="217"/>
      <c r="C15" s="253" t="s">
        <v>2223</v>
      </c>
      <c r="D15" s="221"/>
      <c r="E15" s="221"/>
      <c r="F15" s="221"/>
      <c r="G15" s="221"/>
      <c r="H15" s="668"/>
      <c r="I15" s="131"/>
      <c r="J15" s="131"/>
      <c r="K15" s="666" t="s">
        <v>2224</v>
      </c>
      <c r="L15" s="668" t="s">
        <v>819</v>
      </c>
      <c r="M15" s="669"/>
      <c r="N15" s="668" t="s">
        <v>862</v>
      </c>
      <c r="O15" s="670" t="s">
        <v>863</v>
      </c>
      <c r="P15" s="255" t="s">
        <v>2225</v>
      </c>
      <c r="Q15" s="667"/>
      <c r="R15" s="667" t="s">
        <v>863</v>
      </c>
      <c r="S15" s="232"/>
      <c r="T15" s="671" t="s">
        <v>2226</v>
      </c>
      <c r="U15" s="668"/>
      <c r="V15" s="672"/>
      <c r="W15" s="668"/>
      <c r="X15" s="670"/>
    </row>
    <row r="16" spans="1:1006" s="224" customFormat="1" ht="13.5" customHeight="1">
      <c r="A16" s="225">
        <v>8</v>
      </c>
      <c r="B16" s="217"/>
      <c r="C16" s="217" t="s">
        <v>2227</v>
      </c>
      <c r="D16" s="241"/>
      <c r="E16" s="241"/>
      <c r="F16" s="241"/>
      <c r="G16" s="241"/>
      <c r="H16" s="668"/>
      <c r="I16" s="666"/>
      <c r="J16" s="666"/>
      <c r="K16" s="666" t="s">
        <v>938</v>
      </c>
      <c r="L16" s="668" t="s">
        <v>816</v>
      </c>
      <c r="M16" s="669"/>
      <c r="N16" s="668" t="s">
        <v>862</v>
      </c>
      <c r="O16" s="668"/>
      <c r="P16" s="668"/>
      <c r="Q16" s="668"/>
      <c r="R16" s="670" t="s">
        <v>863</v>
      </c>
      <c r="S16" s="232"/>
      <c r="T16" s="668"/>
      <c r="U16" s="670"/>
      <c r="V16" s="670"/>
      <c r="W16" s="670"/>
      <c r="X16" s="670"/>
      <c r="Y16" s="232"/>
      <c r="Z16" s="671"/>
      <c r="AA16" s="668"/>
      <c r="AB16" s="672"/>
      <c r="AC16" s="668"/>
      <c r="AD16" s="670"/>
      <c r="AE16" s="670"/>
      <c r="AF16" s="667"/>
    </row>
    <row r="17" spans="1:32" s="224" customFormat="1" ht="13.5" customHeight="1">
      <c r="A17" s="225">
        <f t="shared" ref="A17:A64" si="0">ROW()-8</f>
        <v>9</v>
      </c>
      <c r="B17" s="217" t="s">
        <v>2664</v>
      </c>
      <c r="C17" s="216"/>
      <c r="D17" s="217"/>
      <c r="E17" s="217"/>
      <c r="F17" s="217"/>
      <c r="G17" s="217"/>
      <c r="H17" s="255" t="s">
        <v>2665</v>
      </c>
      <c r="I17" s="666"/>
      <c r="J17" s="666"/>
      <c r="K17" s="255" t="s">
        <v>2228</v>
      </c>
      <c r="L17" s="668" t="s">
        <v>816</v>
      </c>
      <c r="M17" s="668" t="s">
        <v>863</v>
      </c>
      <c r="N17" s="243" t="s">
        <v>1053</v>
      </c>
      <c r="O17" s="280"/>
      <c r="P17" s="668"/>
      <c r="Q17" s="669"/>
      <c r="R17" s="670" t="s">
        <v>863</v>
      </c>
      <c r="S17" s="232"/>
      <c r="T17" s="671"/>
      <c r="U17" s="668"/>
      <c r="V17" s="672"/>
      <c r="W17" s="667"/>
      <c r="X17" s="667"/>
      <c r="Y17" s="670"/>
      <c r="AA17" s="671"/>
      <c r="AB17" s="668"/>
      <c r="AC17" s="666"/>
      <c r="AD17" s="668"/>
      <c r="AE17" s="670"/>
      <c r="AF17" s="670"/>
    </row>
    <row r="18" spans="1:32" s="224" customFormat="1" ht="13.5" customHeight="1">
      <c r="A18" s="225">
        <f t="shared" si="0"/>
        <v>10</v>
      </c>
      <c r="B18" s="217"/>
      <c r="C18" s="217" t="s">
        <v>1054</v>
      </c>
      <c r="D18" s="217"/>
      <c r="E18" s="217"/>
      <c r="F18" s="217"/>
      <c r="G18" s="217"/>
      <c r="H18" s="668" t="s">
        <v>1055</v>
      </c>
      <c r="I18" s="666" t="s">
        <v>1056</v>
      </c>
      <c r="J18" s="666"/>
      <c r="K18" s="668" t="s">
        <v>1057</v>
      </c>
      <c r="L18" s="668" t="s">
        <v>816</v>
      </c>
      <c r="M18" s="668"/>
      <c r="N18" s="668" t="s">
        <v>862</v>
      </c>
      <c r="O18" s="670"/>
      <c r="P18" s="668"/>
      <c r="Q18" s="669"/>
      <c r="R18" s="670" t="s">
        <v>863</v>
      </c>
      <c r="S18" s="232"/>
      <c r="T18" s="671"/>
      <c r="U18" s="668"/>
      <c r="V18" s="672"/>
      <c r="W18" s="667"/>
      <c r="X18" s="667"/>
      <c r="Y18" s="670"/>
      <c r="AA18" s="671"/>
      <c r="AB18" s="668"/>
      <c r="AC18" s="666"/>
      <c r="AD18" s="668"/>
      <c r="AE18" s="670"/>
      <c r="AF18" s="670"/>
    </row>
    <row r="19" spans="1:32" s="224" customFormat="1" ht="13.5" customHeight="1">
      <c r="A19" s="225">
        <f t="shared" si="0"/>
        <v>11</v>
      </c>
      <c r="B19" s="217"/>
      <c r="C19" s="217" t="s">
        <v>2229</v>
      </c>
      <c r="D19" s="241"/>
      <c r="E19" s="241"/>
      <c r="F19" s="241"/>
      <c r="G19" s="241"/>
      <c r="H19" s="668"/>
      <c r="I19" s="269" t="s">
        <v>2230</v>
      </c>
      <c r="J19" s="269"/>
      <c r="K19" s="666" t="s">
        <v>969</v>
      </c>
      <c r="L19" s="668" t="s">
        <v>816</v>
      </c>
      <c r="M19" s="669"/>
      <c r="N19" s="668" t="s">
        <v>862</v>
      </c>
      <c r="O19" s="268" t="s">
        <v>863</v>
      </c>
      <c r="P19" s="263" t="s">
        <v>1581</v>
      </c>
      <c r="Q19" s="667"/>
      <c r="R19" s="670" t="s">
        <v>863</v>
      </c>
      <c r="S19" s="232"/>
      <c r="T19" s="671"/>
      <c r="U19" s="668"/>
      <c r="V19" s="672"/>
      <c r="W19" s="686"/>
      <c r="X19" s="667"/>
      <c r="Y19" s="670"/>
      <c r="AA19" s="671"/>
      <c r="AB19" s="668"/>
      <c r="AC19" s="666"/>
      <c r="AD19" s="668"/>
      <c r="AE19" s="670"/>
      <c r="AF19" s="670"/>
    </row>
    <row r="20" spans="1:32" s="249" customFormat="1" ht="13.5" customHeight="1">
      <c r="A20" s="225">
        <f t="shared" si="0"/>
        <v>12</v>
      </c>
      <c r="B20" s="217"/>
      <c r="C20" s="219" t="s">
        <v>1058</v>
      </c>
      <c r="D20" s="219"/>
      <c r="E20" s="220"/>
      <c r="F20" s="220"/>
      <c r="G20" s="220"/>
      <c r="H20" s="668" t="s">
        <v>1631</v>
      </c>
      <c r="I20" s="666" t="s">
        <v>1060</v>
      </c>
      <c r="J20" s="666"/>
      <c r="K20" s="668" t="s">
        <v>1061</v>
      </c>
      <c r="L20" s="668" t="s">
        <v>816</v>
      </c>
      <c r="M20" s="668"/>
      <c r="N20" s="668" t="s">
        <v>862</v>
      </c>
      <c r="O20" s="670"/>
      <c r="P20" s="668"/>
      <c r="Q20" s="252"/>
      <c r="R20" s="670" t="s">
        <v>863</v>
      </c>
      <c r="S20" s="502"/>
      <c r="T20" s="671"/>
      <c r="U20" s="668"/>
      <c r="V20" s="672"/>
      <c r="W20" s="667"/>
      <c r="X20" s="667"/>
      <c r="Y20" s="670"/>
      <c r="Z20" s="224"/>
      <c r="AA20" s="671"/>
      <c r="AB20" s="668"/>
      <c r="AC20" s="666"/>
      <c r="AD20" s="668"/>
      <c r="AE20" s="670"/>
      <c r="AF20" s="670"/>
    </row>
    <row r="21" spans="1:32" s="224" customFormat="1" ht="13.5" customHeight="1">
      <c r="A21" s="225">
        <f t="shared" si="0"/>
        <v>13</v>
      </c>
      <c r="B21" s="217"/>
      <c r="C21" s="217" t="s">
        <v>1062</v>
      </c>
      <c r="D21" s="217"/>
      <c r="E21" s="217"/>
      <c r="F21" s="217"/>
      <c r="G21" s="217"/>
      <c r="H21" s="263" t="s">
        <v>1063</v>
      </c>
      <c r="I21" s="666" t="s">
        <v>1064</v>
      </c>
      <c r="J21" s="666"/>
      <c r="K21" s="668" t="s">
        <v>870</v>
      </c>
      <c r="L21" s="668" t="s">
        <v>816</v>
      </c>
      <c r="M21" s="668"/>
      <c r="N21" s="668" t="s">
        <v>862</v>
      </c>
      <c r="O21" s="670"/>
      <c r="P21" s="668"/>
      <c r="Q21" s="252"/>
      <c r="R21" s="670" t="s">
        <v>863</v>
      </c>
      <c r="S21" s="232"/>
      <c r="T21" s="671"/>
      <c r="U21" s="668"/>
      <c r="V21" s="672"/>
      <c r="W21" s="667"/>
      <c r="X21" s="667"/>
      <c r="Y21" s="670"/>
      <c r="AA21" s="671"/>
      <c r="AB21" s="668"/>
      <c r="AC21" s="666"/>
      <c r="AD21" s="668"/>
      <c r="AE21" s="670"/>
      <c r="AF21" s="670"/>
    </row>
    <row r="22" spans="1:32" s="158" customFormat="1" ht="13.5" customHeight="1">
      <c r="A22" s="225">
        <f t="shared" si="0"/>
        <v>14</v>
      </c>
      <c r="B22" s="219"/>
      <c r="C22" s="219" t="s">
        <v>1067</v>
      </c>
      <c r="D22" s="262"/>
      <c r="E22" s="262"/>
      <c r="F22" s="262"/>
      <c r="G22" s="262"/>
      <c r="H22" s="263" t="s">
        <v>1068</v>
      </c>
      <c r="I22" s="264"/>
      <c r="J22" s="264"/>
      <c r="K22" s="264" t="s">
        <v>1069</v>
      </c>
      <c r="L22" s="263" t="s">
        <v>822</v>
      </c>
      <c r="M22" s="263" t="s">
        <v>863</v>
      </c>
      <c r="N22" s="524" t="s">
        <v>1069</v>
      </c>
      <c r="O22" s="268"/>
      <c r="P22" s="268"/>
      <c r="Q22" s="265"/>
      <c r="R22" s="268" t="s">
        <v>863</v>
      </c>
      <c r="S22" s="673"/>
      <c r="T22" s="266"/>
      <c r="U22" s="263"/>
      <c r="V22" s="261"/>
      <c r="W22" s="260"/>
      <c r="X22" s="260"/>
      <c r="Y22" s="268"/>
      <c r="AA22" s="266"/>
      <c r="AB22" s="263"/>
      <c r="AC22" s="264"/>
      <c r="AD22" s="263"/>
      <c r="AE22" s="268"/>
      <c r="AF22" s="268"/>
    </row>
    <row r="23" spans="1:32" s="224" customFormat="1" ht="13.5" customHeight="1">
      <c r="A23" s="225">
        <f t="shared" si="0"/>
        <v>15</v>
      </c>
      <c r="B23" s="217"/>
      <c r="C23" s="241"/>
      <c r="D23" s="241" t="s">
        <v>1070</v>
      </c>
      <c r="E23" s="241"/>
      <c r="F23" s="241"/>
      <c r="G23" s="241"/>
      <c r="H23" s="668" t="s">
        <v>1071</v>
      </c>
      <c r="I23" s="679" t="s">
        <v>1072</v>
      </c>
      <c r="J23" s="679"/>
      <c r="K23" s="666" t="s">
        <v>907</v>
      </c>
      <c r="L23" s="668" t="s">
        <v>819</v>
      </c>
      <c r="M23" s="668"/>
      <c r="N23" s="668" t="s">
        <v>862</v>
      </c>
      <c r="O23" s="670" t="s">
        <v>863</v>
      </c>
      <c r="P23" s="666" t="s">
        <v>1073</v>
      </c>
      <c r="Q23" s="669"/>
      <c r="R23" s="670" t="s">
        <v>863</v>
      </c>
      <c r="S23" s="232"/>
      <c r="T23" s="671"/>
      <c r="U23" s="668"/>
      <c r="V23" s="672"/>
      <c r="W23" s="374"/>
      <c r="X23" s="260"/>
      <c r="Y23" s="670"/>
      <c r="AA23" s="266"/>
      <c r="AB23" s="668"/>
      <c r="AC23" s="499"/>
      <c r="AD23" s="668"/>
      <c r="AE23" s="670"/>
      <c r="AF23" s="670"/>
    </row>
    <row r="24" spans="1:32" s="224" customFormat="1" ht="13.5" customHeight="1">
      <c r="A24" s="225">
        <f t="shared" si="0"/>
        <v>16</v>
      </c>
      <c r="B24" s="217"/>
      <c r="C24" s="241"/>
      <c r="D24" s="241" t="s">
        <v>1076</v>
      </c>
      <c r="E24" s="241"/>
      <c r="F24" s="241"/>
      <c r="G24" s="241"/>
      <c r="H24" s="668" t="s">
        <v>1077</v>
      </c>
      <c r="I24" s="679" t="s">
        <v>1078</v>
      </c>
      <c r="J24" s="679"/>
      <c r="K24" s="666" t="s">
        <v>1079</v>
      </c>
      <c r="L24" s="668" t="s">
        <v>819</v>
      </c>
      <c r="M24" s="668"/>
      <c r="N24" s="668" t="s">
        <v>862</v>
      </c>
      <c r="O24" s="670"/>
      <c r="P24" s="670"/>
      <c r="Q24" s="669"/>
      <c r="R24" s="670" t="s">
        <v>863</v>
      </c>
      <c r="S24" s="232"/>
      <c r="T24" s="671"/>
      <c r="U24" s="668"/>
      <c r="V24" s="672"/>
      <c r="W24" s="374"/>
      <c r="X24" s="260"/>
      <c r="Y24" s="670"/>
      <c r="AA24" s="671"/>
      <c r="AB24" s="668"/>
      <c r="AC24" s="499"/>
      <c r="AD24" s="668"/>
      <c r="AE24" s="670"/>
      <c r="AF24" s="670"/>
    </row>
    <row r="25" spans="1:32" s="224" customFormat="1" ht="13.5" customHeight="1">
      <c r="A25" s="225">
        <f t="shared" si="0"/>
        <v>17</v>
      </c>
      <c r="B25" s="217"/>
      <c r="C25" s="217" t="s">
        <v>1080</v>
      </c>
      <c r="D25" s="221"/>
      <c r="E25" s="221"/>
      <c r="F25" s="221"/>
      <c r="G25" s="221"/>
      <c r="H25" s="668"/>
      <c r="I25" s="666"/>
      <c r="J25" s="666"/>
      <c r="K25" s="666" t="s">
        <v>1081</v>
      </c>
      <c r="L25" s="668" t="s">
        <v>816</v>
      </c>
      <c r="M25" s="668" t="s">
        <v>863</v>
      </c>
      <c r="N25" s="243" t="s">
        <v>1081</v>
      </c>
      <c r="O25" s="670"/>
      <c r="P25" s="668"/>
      <c r="Q25" s="669"/>
      <c r="R25" s="670" t="s">
        <v>863</v>
      </c>
      <c r="S25" s="232"/>
      <c r="T25" s="671"/>
      <c r="U25" s="668"/>
      <c r="V25" s="672"/>
      <c r="W25" s="667"/>
      <c r="X25" s="667"/>
      <c r="Y25" s="670"/>
      <c r="AA25" s="671"/>
      <c r="AB25" s="668"/>
      <c r="AC25" s="666"/>
      <c r="AD25" s="668"/>
      <c r="AE25" s="670"/>
      <c r="AF25" s="670"/>
    </row>
    <row r="26" spans="1:32" s="224" customFormat="1" ht="13.5" customHeight="1">
      <c r="A26" s="225">
        <f t="shared" si="0"/>
        <v>18</v>
      </c>
      <c r="B26" s="217"/>
      <c r="C26" s="217"/>
      <c r="D26" s="677" t="s">
        <v>1082</v>
      </c>
      <c r="E26" s="253"/>
      <c r="F26" s="239"/>
      <c r="G26" s="239"/>
      <c r="H26" s="668" t="s">
        <v>1632</v>
      </c>
      <c r="I26" s="666" t="s">
        <v>1084</v>
      </c>
      <c r="J26" s="666"/>
      <c r="K26" s="666" t="s">
        <v>1086</v>
      </c>
      <c r="L26" s="668" t="s">
        <v>819</v>
      </c>
      <c r="M26" s="668"/>
      <c r="N26" s="668" t="s">
        <v>862</v>
      </c>
      <c r="O26" s="670"/>
      <c r="P26" s="668" t="s">
        <v>1087</v>
      </c>
      <c r="Q26" s="669"/>
      <c r="R26" s="670" t="s">
        <v>863</v>
      </c>
      <c r="S26" s="232"/>
      <c r="T26" s="671"/>
      <c r="U26" s="668"/>
      <c r="V26" s="672"/>
      <c r="W26" s="667"/>
      <c r="X26" s="667"/>
      <c r="Y26" s="670"/>
      <c r="AA26" s="671"/>
      <c r="AB26" s="668"/>
      <c r="AC26" s="666"/>
      <c r="AD26" s="668"/>
      <c r="AE26" s="670"/>
      <c r="AF26" s="670"/>
    </row>
    <row r="27" spans="1:32" s="254" customFormat="1" ht="13.5" customHeight="1">
      <c r="A27" s="225">
        <f t="shared" si="0"/>
        <v>19</v>
      </c>
      <c r="B27" s="217"/>
      <c r="C27" s="222"/>
      <c r="D27" s="677" t="s">
        <v>1088</v>
      </c>
      <c r="E27" s="221"/>
      <c r="F27" s="221"/>
      <c r="G27" s="221"/>
      <c r="H27" s="668" t="s">
        <v>1089</v>
      </c>
      <c r="I27" s="666" t="s">
        <v>1090</v>
      </c>
      <c r="J27" s="666"/>
      <c r="K27" s="666" t="s">
        <v>1091</v>
      </c>
      <c r="L27" s="668" t="s">
        <v>816</v>
      </c>
      <c r="M27" s="668"/>
      <c r="N27" s="668" t="s">
        <v>862</v>
      </c>
      <c r="O27" s="670"/>
      <c r="P27" s="668"/>
      <c r="Q27" s="669"/>
      <c r="R27" s="670" t="s">
        <v>863</v>
      </c>
      <c r="S27" s="680"/>
      <c r="T27" s="671"/>
      <c r="U27" s="668"/>
      <c r="V27" s="672"/>
      <c r="W27" s="667"/>
      <c r="X27" s="667"/>
      <c r="Y27" s="670"/>
      <c r="Z27" s="224"/>
      <c r="AA27" s="671"/>
      <c r="AB27" s="668"/>
      <c r="AC27" s="666"/>
      <c r="AD27" s="668"/>
      <c r="AE27" s="670"/>
      <c r="AF27" s="670"/>
    </row>
    <row r="28" spans="1:32" s="254" customFormat="1" ht="13.5" customHeight="1">
      <c r="A28" s="225">
        <f t="shared" si="0"/>
        <v>20</v>
      </c>
      <c r="B28" s="217"/>
      <c r="C28" s="222"/>
      <c r="D28" s="677" t="s">
        <v>1093</v>
      </c>
      <c r="E28" s="221"/>
      <c r="F28" s="221"/>
      <c r="G28" s="221"/>
      <c r="H28" s="668"/>
      <c r="I28" s="666"/>
      <c r="J28" s="666"/>
      <c r="K28" s="666" t="s">
        <v>1094</v>
      </c>
      <c r="L28" s="668" t="s">
        <v>816</v>
      </c>
      <c r="M28" s="668" t="s">
        <v>863</v>
      </c>
      <c r="N28" s="243" t="s">
        <v>1094</v>
      </c>
      <c r="O28" s="670"/>
      <c r="P28" s="668"/>
      <c r="Q28" s="669"/>
      <c r="R28" s="670" t="s">
        <v>863</v>
      </c>
      <c r="S28" s="680"/>
      <c r="T28" s="671"/>
      <c r="U28" s="668"/>
      <c r="V28" s="672"/>
      <c r="W28" s="667"/>
      <c r="X28" s="667"/>
      <c r="Y28" s="670"/>
      <c r="Z28" s="224"/>
      <c r="AA28" s="671"/>
      <c r="AB28" s="668"/>
      <c r="AC28" s="666"/>
      <c r="AD28" s="668"/>
      <c r="AE28" s="670"/>
      <c r="AF28" s="670"/>
    </row>
    <row r="29" spans="1:32" s="254" customFormat="1" ht="13.5" customHeight="1">
      <c r="A29" s="225">
        <f t="shared" si="0"/>
        <v>21</v>
      </c>
      <c r="B29" s="217"/>
      <c r="C29" s="222"/>
      <c r="D29" s="241"/>
      <c r="E29" s="241" t="s">
        <v>1097</v>
      </c>
      <c r="F29" s="241"/>
      <c r="G29" s="241"/>
      <c r="H29" s="668" t="s">
        <v>1098</v>
      </c>
      <c r="I29" s="666" t="s">
        <v>1099</v>
      </c>
      <c r="J29" s="666"/>
      <c r="K29" s="666" t="s">
        <v>1086</v>
      </c>
      <c r="L29" s="668" t="s">
        <v>819</v>
      </c>
      <c r="M29" s="668"/>
      <c r="N29" s="668" t="s">
        <v>862</v>
      </c>
      <c r="O29" s="670"/>
      <c r="P29" s="668" t="s">
        <v>1100</v>
      </c>
      <c r="Q29" s="669"/>
      <c r="R29" s="670" t="s">
        <v>863</v>
      </c>
      <c r="S29" s="680"/>
      <c r="T29" s="671"/>
      <c r="U29" s="668"/>
      <c r="V29" s="672"/>
      <c r="W29" s="667"/>
      <c r="X29" s="667"/>
      <c r="Y29" s="670"/>
      <c r="Z29" s="224"/>
      <c r="AA29" s="671"/>
      <c r="AB29" s="668"/>
      <c r="AC29" s="666"/>
      <c r="AD29" s="668"/>
      <c r="AE29" s="670"/>
      <c r="AF29" s="670"/>
    </row>
    <row r="30" spans="1:32" s="224" customFormat="1" ht="13.5" customHeight="1">
      <c r="A30" s="225">
        <f t="shared" si="0"/>
        <v>22</v>
      </c>
      <c r="B30" s="217"/>
      <c r="C30" s="217"/>
      <c r="D30" s="241"/>
      <c r="E30" s="241" t="s">
        <v>1101</v>
      </c>
      <c r="F30" s="241"/>
      <c r="G30" s="241"/>
      <c r="H30" s="668" t="s">
        <v>1633</v>
      </c>
      <c r="I30" s="666" t="s">
        <v>1102</v>
      </c>
      <c r="J30" s="666"/>
      <c r="K30" s="666" t="s">
        <v>969</v>
      </c>
      <c r="L30" s="668" t="s">
        <v>816</v>
      </c>
      <c r="M30" s="668"/>
      <c r="N30" s="668" t="s">
        <v>862</v>
      </c>
      <c r="O30" s="670"/>
      <c r="P30" s="668"/>
      <c r="Q30" s="669"/>
      <c r="R30" s="670" t="s">
        <v>863</v>
      </c>
      <c r="S30" s="232"/>
      <c r="T30" s="671"/>
      <c r="U30" s="668"/>
      <c r="V30" s="672"/>
      <c r="W30" s="667"/>
      <c r="X30" s="667"/>
      <c r="Y30" s="670"/>
      <c r="AA30" s="671"/>
      <c r="AB30" s="668"/>
      <c r="AC30" s="666"/>
      <c r="AD30" s="668"/>
      <c r="AE30" s="670"/>
      <c r="AF30" s="670"/>
    </row>
    <row r="31" spans="1:32" s="224" customFormat="1" ht="13.5" customHeight="1">
      <c r="A31" s="225">
        <f t="shared" si="0"/>
        <v>23</v>
      </c>
      <c r="B31" s="217"/>
      <c r="C31" s="217"/>
      <c r="D31" s="241"/>
      <c r="E31" s="241" t="s">
        <v>1103</v>
      </c>
      <c r="F31" s="241"/>
      <c r="G31" s="241"/>
      <c r="H31" s="668" t="s">
        <v>1634</v>
      </c>
      <c r="I31" s="666" t="s">
        <v>1104</v>
      </c>
      <c r="J31" s="666"/>
      <c r="K31" s="666" t="s">
        <v>870</v>
      </c>
      <c r="L31" s="668" t="s">
        <v>816</v>
      </c>
      <c r="M31" s="668"/>
      <c r="N31" s="668" t="s">
        <v>862</v>
      </c>
      <c r="O31" s="670"/>
      <c r="P31" s="668"/>
      <c r="Q31" s="669"/>
      <c r="R31" s="670" t="s">
        <v>863</v>
      </c>
      <c r="S31" s="232"/>
      <c r="T31" s="671"/>
      <c r="U31" s="668"/>
      <c r="V31" s="672"/>
      <c r="W31" s="667"/>
      <c r="X31" s="667"/>
      <c r="Y31" s="670"/>
      <c r="AA31" s="671"/>
      <c r="AB31" s="668"/>
      <c r="AC31" s="666"/>
      <c r="AD31" s="668"/>
      <c r="AE31" s="670"/>
      <c r="AF31" s="670"/>
    </row>
    <row r="32" spans="1:32" s="224" customFormat="1" ht="13.5" customHeight="1">
      <c r="A32" s="225">
        <f t="shared" si="0"/>
        <v>24</v>
      </c>
      <c r="B32" s="217"/>
      <c r="C32" s="217" t="s">
        <v>1105</v>
      </c>
      <c r="D32" s="221"/>
      <c r="E32" s="221"/>
      <c r="F32" s="221"/>
      <c r="G32" s="221"/>
      <c r="H32" s="668"/>
      <c r="I32" s="666"/>
      <c r="J32" s="666"/>
      <c r="K32" s="666" t="s">
        <v>1106</v>
      </c>
      <c r="L32" s="668" t="s">
        <v>816</v>
      </c>
      <c r="M32" s="668" t="s">
        <v>863</v>
      </c>
      <c r="N32" s="243" t="s">
        <v>1106</v>
      </c>
      <c r="O32" s="670"/>
      <c r="P32" s="668"/>
      <c r="Q32" s="669"/>
      <c r="R32" s="670" t="s">
        <v>863</v>
      </c>
      <c r="S32" s="232"/>
      <c r="T32" s="671"/>
      <c r="U32" s="668"/>
      <c r="V32" s="672"/>
      <c r="W32" s="667"/>
      <c r="X32" s="667"/>
      <c r="Y32" s="670"/>
      <c r="AA32" s="671"/>
      <c r="AB32" s="668"/>
      <c r="AC32" s="666"/>
      <c r="AD32" s="668"/>
      <c r="AE32" s="670"/>
      <c r="AF32" s="670"/>
    </row>
    <row r="33" spans="1:32" s="676" customFormat="1" ht="13.5" customHeight="1">
      <c r="A33" s="225">
        <f t="shared" si="0"/>
        <v>25</v>
      </c>
      <c r="B33" s="217"/>
      <c r="C33" s="217"/>
      <c r="D33" s="241" t="s">
        <v>388</v>
      </c>
      <c r="E33" s="217"/>
      <c r="F33" s="217"/>
      <c r="G33" s="217"/>
      <c r="H33" s="668" t="s">
        <v>1107</v>
      </c>
      <c r="I33" s="666" t="s">
        <v>1108</v>
      </c>
      <c r="J33" s="666"/>
      <c r="K33" s="666" t="s">
        <v>870</v>
      </c>
      <c r="L33" s="668" t="s">
        <v>816</v>
      </c>
      <c r="M33" s="668"/>
      <c r="N33" s="668" t="s">
        <v>862</v>
      </c>
      <c r="O33" s="670"/>
      <c r="P33" s="668"/>
      <c r="Q33" s="252"/>
      <c r="R33" s="670" t="s">
        <v>863</v>
      </c>
      <c r="S33" s="681"/>
      <c r="T33" s="671"/>
      <c r="U33" s="668"/>
      <c r="V33" s="672"/>
      <c r="W33" s="667"/>
      <c r="X33" s="667"/>
      <c r="Y33" s="670"/>
      <c r="Z33" s="224"/>
      <c r="AA33" s="671"/>
      <c r="AB33" s="255"/>
      <c r="AC33" s="499"/>
      <c r="AD33" s="668"/>
      <c r="AE33" s="670"/>
      <c r="AF33" s="670"/>
    </row>
    <row r="34" spans="1:32" s="224" customFormat="1" ht="13.5" customHeight="1">
      <c r="A34" s="225">
        <f t="shared" si="0"/>
        <v>26</v>
      </c>
      <c r="B34" s="217"/>
      <c r="C34" s="217"/>
      <c r="D34" s="241" t="s">
        <v>392</v>
      </c>
      <c r="E34" s="217"/>
      <c r="F34" s="217"/>
      <c r="G34" s="217"/>
      <c r="H34" s="668" t="s">
        <v>1111</v>
      </c>
      <c r="I34" s="666">
        <v>59350</v>
      </c>
      <c r="J34" s="666"/>
      <c r="K34" s="666" t="s">
        <v>1113</v>
      </c>
      <c r="L34" s="668" t="s">
        <v>816</v>
      </c>
      <c r="M34" s="668"/>
      <c r="N34" s="668" t="s">
        <v>862</v>
      </c>
      <c r="O34" s="670"/>
      <c r="P34" s="668" t="s">
        <v>1115</v>
      </c>
      <c r="Q34" s="252"/>
      <c r="R34" s="670" t="s">
        <v>863</v>
      </c>
      <c r="S34" s="232"/>
      <c r="T34" s="671"/>
      <c r="U34" s="668"/>
      <c r="V34" s="672"/>
      <c r="W34" s="667"/>
      <c r="X34" s="667"/>
      <c r="Y34" s="670"/>
      <c r="AA34" s="671"/>
      <c r="AB34" s="668"/>
      <c r="AC34" s="666"/>
      <c r="AD34" s="668"/>
      <c r="AE34" s="670"/>
      <c r="AF34" s="670"/>
    </row>
    <row r="35" spans="1:32" s="224" customFormat="1" ht="13.5" customHeight="1">
      <c r="A35" s="225">
        <f t="shared" si="0"/>
        <v>27</v>
      </c>
      <c r="B35" s="217"/>
      <c r="C35" s="217"/>
      <c r="D35" s="241" t="s">
        <v>1116</v>
      </c>
      <c r="E35" s="241"/>
      <c r="F35" s="241"/>
      <c r="G35" s="241"/>
      <c r="H35" s="263" t="s">
        <v>1635</v>
      </c>
      <c r="I35" s="666" t="s">
        <v>1118</v>
      </c>
      <c r="J35" s="666"/>
      <c r="K35" s="666" t="s">
        <v>1119</v>
      </c>
      <c r="L35" s="668" t="s">
        <v>816</v>
      </c>
      <c r="M35" s="668"/>
      <c r="N35" s="678" t="s">
        <v>862</v>
      </c>
      <c r="O35" s="281"/>
      <c r="P35" s="668"/>
      <c r="Q35" s="669"/>
      <c r="R35" s="670" t="s">
        <v>863</v>
      </c>
      <c r="S35" s="232"/>
      <c r="T35" s="671"/>
      <c r="U35" s="668"/>
      <c r="V35" s="672"/>
      <c r="W35" s="667"/>
      <c r="X35" s="667"/>
      <c r="Y35" s="670"/>
      <c r="AA35" s="671"/>
      <c r="AB35" s="668"/>
      <c r="AC35" s="666"/>
      <c r="AD35" s="668"/>
      <c r="AE35" s="670"/>
      <c r="AF35" s="670"/>
    </row>
    <row r="36" spans="1:32" s="256" customFormat="1" ht="13.5" customHeight="1">
      <c r="A36" s="225">
        <f t="shared" si="0"/>
        <v>28</v>
      </c>
      <c r="B36" s="217"/>
      <c r="C36" s="217" t="s">
        <v>1120</v>
      </c>
      <c r="D36" s="221"/>
      <c r="E36" s="221"/>
      <c r="F36" s="221"/>
      <c r="G36" s="221"/>
      <c r="H36" s="668" t="s">
        <v>1636</v>
      </c>
      <c r="I36" s="666"/>
      <c r="J36" s="666"/>
      <c r="K36" s="666" t="s">
        <v>1122</v>
      </c>
      <c r="L36" s="668" t="s">
        <v>816</v>
      </c>
      <c r="M36" s="668" t="s">
        <v>863</v>
      </c>
      <c r="N36" s="243" t="s">
        <v>1122</v>
      </c>
      <c r="O36" s="670"/>
      <c r="P36" s="668"/>
      <c r="Q36" s="669"/>
      <c r="R36" s="670" t="s">
        <v>863</v>
      </c>
      <c r="S36" s="682"/>
      <c r="T36" s="671"/>
      <c r="U36" s="668"/>
      <c r="V36" s="672"/>
      <c r="W36" s="667"/>
      <c r="X36" s="667"/>
      <c r="Y36" s="670"/>
      <c r="Z36" s="224"/>
      <c r="AA36" s="671"/>
      <c r="AB36" s="668"/>
      <c r="AC36" s="666"/>
      <c r="AD36" s="668"/>
      <c r="AE36" s="670"/>
      <c r="AF36" s="670"/>
    </row>
    <row r="37" spans="1:32" s="256" customFormat="1" ht="13.5" customHeight="1">
      <c r="A37" s="225">
        <f t="shared" si="0"/>
        <v>29</v>
      </c>
      <c r="B37" s="217"/>
      <c r="C37" s="217"/>
      <c r="D37" s="677" t="s">
        <v>415</v>
      </c>
      <c r="E37" s="221"/>
      <c r="F37" s="221"/>
      <c r="G37" s="221"/>
      <c r="H37" s="668" t="s">
        <v>1123</v>
      </c>
      <c r="I37" s="666" t="s">
        <v>1124</v>
      </c>
      <c r="J37" s="666"/>
      <c r="K37" s="666" t="s">
        <v>1125</v>
      </c>
      <c r="L37" s="668" t="s">
        <v>816</v>
      </c>
      <c r="M37" s="668"/>
      <c r="N37" s="678" t="s">
        <v>862</v>
      </c>
      <c r="O37" s="281"/>
      <c r="P37" s="668"/>
      <c r="Q37" s="669"/>
      <c r="R37" s="670" t="s">
        <v>863</v>
      </c>
      <c r="S37" s="682"/>
      <c r="T37" s="671"/>
      <c r="U37" s="668"/>
      <c r="V37" s="672"/>
      <c r="W37" s="667"/>
      <c r="X37" s="667"/>
      <c r="Y37" s="670"/>
      <c r="Z37" s="224"/>
      <c r="AA37" s="671"/>
      <c r="AB37" s="668"/>
      <c r="AC37" s="666"/>
      <c r="AD37" s="668"/>
      <c r="AE37" s="670"/>
      <c r="AF37" s="670"/>
    </row>
    <row r="38" spans="1:32" s="256" customFormat="1" ht="13.5" customHeight="1">
      <c r="A38" s="225">
        <f t="shared" si="0"/>
        <v>30</v>
      </c>
      <c r="B38" s="217"/>
      <c r="C38" s="217"/>
      <c r="D38" s="677" t="s">
        <v>1127</v>
      </c>
      <c r="E38" s="221"/>
      <c r="F38" s="221"/>
      <c r="G38" s="221"/>
      <c r="H38" s="668" t="s">
        <v>1128</v>
      </c>
      <c r="I38" s="666" t="s">
        <v>1129</v>
      </c>
      <c r="J38" s="666"/>
      <c r="K38" s="666" t="s">
        <v>1130</v>
      </c>
      <c r="L38" s="668" t="s">
        <v>816</v>
      </c>
      <c r="M38" s="668"/>
      <c r="N38" s="678" t="s">
        <v>862</v>
      </c>
      <c r="O38" s="281"/>
      <c r="P38" s="668"/>
      <c r="Q38" s="669"/>
      <c r="R38" s="670" t="s">
        <v>863</v>
      </c>
      <c r="S38" s="682"/>
      <c r="T38" s="671"/>
      <c r="U38" s="668"/>
      <c r="V38" s="672"/>
      <c r="W38" s="667"/>
      <c r="X38" s="667"/>
      <c r="Y38" s="670"/>
      <c r="Z38" s="224"/>
      <c r="AA38" s="671"/>
      <c r="AB38" s="668"/>
      <c r="AC38" s="666"/>
      <c r="AD38" s="668"/>
      <c r="AE38" s="670"/>
      <c r="AF38" s="670"/>
    </row>
    <row r="39" spans="1:32" s="244" customFormat="1" ht="13.5" customHeight="1">
      <c r="A39" s="225">
        <f t="shared" si="0"/>
        <v>31</v>
      </c>
      <c r="B39" s="217"/>
      <c r="C39" s="222"/>
      <c r="D39" s="677" t="s">
        <v>429</v>
      </c>
      <c r="E39" s="221"/>
      <c r="F39" s="221"/>
      <c r="G39" s="221"/>
      <c r="H39" s="668" t="s">
        <v>1132</v>
      </c>
      <c r="I39" s="666" t="s">
        <v>1133</v>
      </c>
      <c r="J39" s="666"/>
      <c r="K39" s="666" t="s">
        <v>1134</v>
      </c>
      <c r="L39" s="668" t="s">
        <v>816</v>
      </c>
      <c r="M39" s="668"/>
      <c r="N39" s="678" t="s">
        <v>862</v>
      </c>
      <c r="O39" s="281"/>
      <c r="P39" s="668"/>
      <c r="Q39" s="669"/>
      <c r="R39" s="670" t="s">
        <v>863</v>
      </c>
      <c r="S39" s="683"/>
      <c r="T39" s="671"/>
      <c r="U39" s="668"/>
      <c r="V39" s="672"/>
      <c r="W39" s="667"/>
      <c r="X39" s="667"/>
      <c r="Y39" s="670"/>
      <c r="Z39" s="224"/>
      <c r="AA39" s="671"/>
      <c r="AB39" s="668"/>
      <c r="AC39" s="666"/>
      <c r="AD39" s="668"/>
      <c r="AE39" s="670"/>
      <c r="AF39" s="670"/>
    </row>
    <row r="40" spans="1:32" s="244" customFormat="1" ht="13.5" customHeight="1">
      <c r="A40" s="225">
        <f t="shared" si="0"/>
        <v>32</v>
      </c>
      <c r="B40" s="217"/>
      <c r="C40" s="222"/>
      <c r="D40" s="677" t="s">
        <v>426</v>
      </c>
      <c r="E40" s="221"/>
      <c r="F40" s="221"/>
      <c r="G40" s="221"/>
      <c r="H40" s="668" t="s">
        <v>1135</v>
      </c>
      <c r="I40" s="666" t="s">
        <v>1136</v>
      </c>
      <c r="J40" s="666"/>
      <c r="K40" s="666" t="s">
        <v>1137</v>
      </c>
      <c r="L40" s="668" t="s">
        <v>822</v>
      </c>
      <c r="M40" s="668"/>
      <c r="N40" s="678" t="s">
        <v>862</v>
      </c>
      <c r="O40" s="281"/>
      <c r="P40" s="668"/>
      <c r="Q40" s="669"/>
      <c r="R40" s="670" t="s">
        <v>863</v>
      </c>
      <c r="S40" s="683"/>
      <c r="T40" s="671"/>
      <c r="U40" s="668"/>
      <c r="V40" s="672"/>
      <c r="W40" s="667"/>
      <c r="X40" s="667"/>
      <c r="Y40" s="670"/>
      <c r="Z40" s="224"/>
      <c r="AA40" s="671"/>
      <c r="AB40" s="668"/>
      <c r="AC40" s="666"/>
      <c r="AD40" s="668"/>
      <c r="AE40" s="670"/>
      <c r="AF40" s="670"/>
    </row>
    <row r="41" spans="1:32" s="244" customFormat="1" ht="13.5" customHeight="1">
      <c r="A41" s="225">
        <f t="shared" si="0"/>
        <v>33</v>
      </c>
      <c r="B41" s="217"/>
      <c r="C41" s="222"/>
      <c r="D41" s="677" t="s">
        <v>1139</v>
      </c>
      <c r="E41" s="221"/>
      <c r="F41" s="221"/>
      <c r="G41" s="221"/>
      <c r="H41" s="668" t="s">
        <v>1140</v>
      </c>
      <c r="I41" s="666" t="s">
        <v>1141</v>
      </c>
      <c r="J41" s="666"/>
      <c r="K41" s="666" t="s">
        <v>1142</v>
      </c>
      <c r="L41" s="668" t="s">
        <v>816</v>
      </c>
      <c r="M41" s="668"/>
      <c r="N41" s="678" t="s">
        <v>862</v>
      </c>
      <c r="O41" s="281"/>
      <c r="P41" s="668"/>
      <c r="Q41" s="669"/>
      <c r="R41" s="670" t="s">
        <v>863</v>
      </c>
      <c r="S41" s="683"/>
      <c r="T41" s="671"/>
      <c r="U41" s="668"/>
      <c r="V41" s="672"/>
      <c r="W41" s="667"/>
      <c r="X41" s="667"/>
      <c r="Y41" s="670"/>
      <c r="Z41" s="224"/>
      <c r="AA41" s="671"/>
      <c r="AB41" s="668"/>
      <c r="AC41" s="666"/>
      <c r="AD41" s="668"/>
      <c r="AE41" s="670"/>
      <c r="AF41" s="670"/>
    </row>
    <row r="42" spans="1:32" s="257" customFormat="1" ht="13.5" customHeight="1">
      <c r="A42" s="225">
        <f t="shared" si="0"/>
        <v>34</v>
      </c>
      <c r="B42" s="217"/>
      <c r="C42" s="222"/>
      <c r="D42" s="677" t="s">
        <v>1143</v>
      </c>
      <c r="E42" s="221"/>
      <c r="F42" s="221"/>
      <c r="G42" s="221"/>
      <c r="H42" s="668" t="s">
        <v>410</v>
      </c>
      <c r="I42" s="666" t="s">
        <v>1144</v>
      </c>
      <c r="J42" s="666"/>
      <c r="K42" s="666" t="s">
        <v>1145</v>
      </c>
      <c r="L42" s="668" t="s">
        <v>816</v>
      </c>
      <c r="M42" s="668"/>
      <c r="N42" s="678" t="s">
        <v>862</v>
      </c>
      <c r="O42" s="281"/>
      <c r="P42" s="668"/>
      <c r="Q42" s="669"/>
      <c r="R42" s="670" t="s">
        <v>863</v>
      </c>
      <c r="S42" s="684"/>
      <c r="T42" s="671"/>
      <c r="U42" s="668"/>
      <c r="V42" s="672"/>
      <c r="W42" s="667"/>
      <c r="X42" s="667"/>
      <c r="Y42" s="670"/>
      <c r="Z42" s="224"/>
      <c r="AA42" s="671"/>
      <c r="AB42" s="668"/>
      <c r="AC42" s="666"/>
      <c r="AD42" s="668"/>
      <c r="AE42" s="670"/>
      <c r="AF42" s="670"/>
    </row>
    <row r="43" spans="1:32" s="258" customFormat="1" ht="13.5" customHeight="1">
      <c r="A43" s="225">
        <f t="shared" si="0"/>
        <v>35</v>
      </c>
      <c r="B43" s="217"/>
      <c r="C43" s="218"/>
      <c r="D43" s="677" t="s">
        <v>1146</v>
      </c>
      <c r="E43" s="221"/>
      <c r="F43" s="221"/>
      <c r="G43" s="221"/>
      <c r="H43" s="668"/>
      <c r="I43" s="666" t="s">
        <v>1147</v>
      </c>
      <c r="J43" s="666"/>
      <c r="K43" s="666" t="s">
        <v>1148</v>
      </c>
      <c r="L43" s="668" t="s">
        <v>816</v>
      </c>
      <c r="M43" s="668"/>
      <c r="N43" s="678" t="s">
        <v>862</v>
      </c>
      <c r="O43" s="281"/>
      <c r="P43" s="668"/>
      <c r="Q43" s="669"/>
      <c r="R43" s="670" t="s">
        <v>863</v>
      </c>
      <c r="S43" s="685"/>
      <c r="T43" s="671"/>
      <c r="U43" s="668"/>
      <c r="V43" s="672"/>
      <c r="W43" s="667"/>
      <c r="X43" s="667"/>
      <c r="Y43" s="670"/>
      <c r="Z43" s="224"/>
      <c r="AA43" s="671"/>
      <c r="AB43" s="668"/>
      <c r="AC43" s="666"/>
      <c r="AD43" s="668"/>
      <c r="AE43" s="670"/>
      <c r="AF43" s="670"/>
    </row>
    <row r="44" spans="1:32" s="256" customFormat="1" ht="13.5" customHeight="1">
      <c r="A44" s="225">
        <f t="shared" si="0"/>
        <v>36</v>
      </c>
      <c r="B44" s="217"/>
      <c r="C44" s="218"/>
      <c r="D44" s="677" t="s">
        <v>178</v>
      </c>
      <c r="E44" s="221"/>
      <c r="F44" s="221"/>
      <c r="G44" s="221"/>
      <c r="H44" s="668" t="s">
        <v>1149</v>
      </c>
      <c r="I44" s="666" t="s">
        <v>1150</v>
      </c>
      <c r="J44" s="666"/>
      <c r="K44" s="666" t="s">
        <v>1151</v>
      </c>
      <c r="L44" s="668" t="s">
        <v>816</v>
      </c>
      <c r="M44" s="668"/>
      <c r="N44" s="678" t="s">
        <v>862</v>
      </c>
      <c r="O44" s="281"/>
      <c r="P44" s="668"/>
      <c r="Q44" s="669"/>
      <c r="R44" s="670" t="s">
        <v>863</v>
      </c>
      <c r="S44" s="682"/>
      <c r="T44" s="671"/>
      <c r="U44" s="668"/>
      <c r="V44" s="672"/>
      <c r="W44" s="667"/>
      <c r="X44" s="667"/>
      <c r="Y44" s="670"/>
      <c r="Z44" s="224"/>
      <c r="AA44" s="671"/>
      <c r="AB44" s="668"/>
      <c r="AC44" s="666"/>
      <c r="AD44" s="668"/>
      <c r="AE44" s="670"/>
      <c r="AF44" s="670"/>
    </row>
    <row r="45" spans="1:32" s="256" customFormat="1" ht="13.5" customHeight="1">
      <c r="A45" s="225">
        <f t="shared" si="0"/>
        <v>37</v>
      </c>
      <c r="B45" s="217"/>
      <c r="C45" s="218"/>
      <c r="D45" s="241" t="s">
        <v>1152</v>
      </c>
      <c r="E45" s="241"/>
      <c r="F45" s="241"/>
      <c r="G45" s="241"/>
      <c r="H45" s="668" t="s">
        <v>1153</v>
      </c>
      <c r="I45" s="666">
        <v>33123452323</v>
      </c>
      <c r="J45" s="666"/>
      <c r="K45" s="666" t="s">
        <v>1154</v>
      </c>
      <c r="L45" s="668" t="s">
        <v>816</v>
      </c>
      <c r="M45" s="668"/>
      <c r="N45" s="668" t="s">
        <v>1091</v>
      </c>
      <c r="O45" s="670"/>
      <c r="P45" s="668"/>
      <c r="Q45" s="669"/>
      <c r="R45" s="670" t="s">
        <v>863</v>
      </c>
      <c r="S45" s="682"/>
      <c r="T45" s="671"/>
      <c r="U45" s="668"/>
      <c r="V45" s="672"/>
      <c r="W45" s="667"/>
      <c r="X45" s="667"/>
      <c r="Y45" s="670"/>
      <c r="Z45" s="224"/>
      <c r="AA45" s="671"/>
      <c r="AB45" s="668"/>
      <c r="AC45" s="666"/>
      <c r="AD45" s="668"/>
      <c r="AE45" s="670"/>
      <c r="AF45" s="670"/>
    </row>
    <row r="46" spans="1:32" s="224" customFormat="1" ht="13.5" customHeight="1">
      <c r="A46" s="225">
        <f t="shared" si="0"/>
        <v>38</v>
      </c>
      <c r="B46" s="217"/>
      <c r="C46" s="217" t="s">
        <v>1156</v>
      </c>
      <c r="D46" s="217"/>
      <c r="E46" s="217"/>
      <c r="F46" s="217"/>
      <c r="G46" s="217"/>
      <c r="H46" s="668"/>
      <c r="I46" s="666"/>
      <c r="J46" s="666"/>
      <c r="K46" s="666" t="s">
        <v>1158</v>
      </c>
      <c r="L46" s="668" t="s">
        <v>816</v>
      </c>
      <c r="M46" s="668" t="s">
        <v>863</v>
      </c>
      <c r="N46" s="243" t="s">
        <v>1158</v>
      </c>
      <c r="O46" s="670"/>
      <c r="P46" s="668"/>
      <c r="Q46" s="252"/>
      <c r="R46" s="670" t="s">
        <v>863</v>
      </c>
      <c r="S46" s="232"/>
      <c r="T46" s="671"/>
      <c r="U46" s="668"/>
      <c r="V46" s="672"/>
      <c r="W46" s="667"/>
      <c r="X46" s="667"/>
      <c r="Y46" s="670"/>
      <c r="AA46" s="671"/>
      <c r="AB46" s="668"/>
      <c r="AC46" s="666"/>
      <c r="AD46" s="668"/>
      <c r="AE46" s="670"/>
      <c r="AF46" s="670"/>
    </row>
    <row r="47" spans="1:32" s="224" customFormat="1" ht="13.5" customHeight="1">
      <c r="A47" s="225">
        <f t="shared" si="0"/>
        <v>39</v>
      </c>
      <c r="B47" s="217"/>
      <c r="C47" s="217"/>
      <c r="D47" s="241" t="s">
        <v>1159</v>
      </c>
      <c r="E47" s="241"/>
      <c r="F47" s="241"/>
      <c r="G47" s="241"/>
      <c r="H47" s="668" t="s">
        <v>1160</v>
      </c>
      <c r="I47" s="666" t="s">
        <v>929</v>
      </c>
      <c r="J47" s="666"/>
      <c r="K47" s="666" t="s">
        <v>1161</v>
      </c>
      <c r="L47" s="668" t="s">
        <v>819</v>
      </c>
      <c r="M47" s="668"/>
      <c r="N47" s="668" t="s">
        <v>878</v>
      </c>
      <c r="O47" s="670"/>
      <c r="P47" s="668"/>
      <c r="Q47" s="669"/>
      <c r="R47" s="670" t="s">
        <v>863</v>
      </c>
      <c r="S47" s="232"/>
      <c r="T47" s="671"/>
      <c r="U47" s="668"/>
      <c r="V47" s="672"/>
      <c r="W47" s="667"/>
      <c r="X47" s="667"/>
      <c r="Y47" s="670"/>
      <c r="AA47" s="671"/>
      <c r="AB47" s="668"/>
      <c r="AC47" s="666"/>
      <c r="AD47" s="668"/>
      <c r="AE47" s="670"/>
      <c r="AF47" s="670"/>
    </row>
    <row r="48" spans="1:32" s="224" customFormat="1" ht="13.5" customHeight="1">
      <c r="A48" s="225">
        <f t="shared" si="0"/>
        <v>40</v>
      </c>
      <c r="B48" s="217"/>
      <c r="C48" s="217"/>
      <c r="D48" s="217" t="s">
        <v>1163</v>
      </c>
      <c r="E48" s="217"/>
      <c r="F48" s="217"/>
      <c r="G48" s="217"/>
      <c r="H48" s="668" t="s">
        <v>1164</v>
      </c>
      <c r="I48" s="666"/>
      <c r="J48" s="666"/>
      <c r="K48" s="666" t="s">
        <v>1165</v>
      </c>
      <c r="L48" s="668" t="s">
        <v>816</v>
      </c>
      <c r="M48" s="668" t="s">
        <v>863</v>
      </c>
      <c r="N48" s="243" t="s">
        <v>1165</v>
      </c>
      <c r="O48" s="670"/>
      <c r="P48" s="668"/>
      <c r="Q48" s="252"/>
      <c r="R48" s="670" t="s">
        <v>863</v>
      </c>
      <c r="S48" s="232"/>
      <c r="T48" s="671"/>
      <c r="U48" s="668"/>
      <c r="V48" s="672"/>
      <c r="W48" s="667"/>
      <c r="X48" s="667"/>
      <c r="Y48" s="670"/>
      <c r="AA48" s="671"/>
      <c r="AB48" s="668"/>
      <c r="AC48" s="666"/>
      <c r="AD48" s="668"/>
      <c r="AE48" s="670"/>
      <c r="AF48" s="670"/>
    </row>
    <row r="49" spans="1:32" s="224" customFormat="1" ht="13.5" customHeight="1">
      <c r="A49" s="225">
        <f t="shared" si="0"/>
        <v>41</v>
      </c>
      <c r="B49" s="217"/>
      <c r="C49" s="217"/>
      <c r="D49" s="217"/>
      <c r="E49" s="217" t="s">
        <v>1166</v>
      </c>
      <c r="F49" s="217"/>
      <c r="G49" s="217"/>
      <c r="H49" s="668" t="s">
        <v>1167</v>
      </c>
      <c r="I49" s="666"/>
      <c r="J49" s="666"/>
      <c r="K49" s="666" t="s">
        <v>1168</v>
      </c>
      <c r="L49" s="668" t="s">
        <v>819</v>
      </c>
      <c r="M49" s="668" t="s">
        <v>863</v>
      </c>
      <c r="N49" s="243" t="s">
        <v>1168</v>
      </c>
      <c r="O49" s="670"/>
      <c r="P49" s="668"/>
      <c r="Q49" s="252"/>
      <c r="R49" s="670" t="s">
        <v>863</v>
      </c>
      <c r="S49" s="232"/>
      <c r="T49" s="671"/>
      <c r="U49" s="668"/>
      <c r="V49" s="672"/>
      <c r="W49" s="667"/>
      <c r="X49" s="667"/>
      <c r="Y49" s="670"/>
      <c r="AA49" s="671"/>
      <c r="AB49" s="668"/>
      <c r="AC49" s="666"/>
      <c r="AD49" s="668"/>
      <c r="AE49" s="670"/>
      <c r="AF49" s="670"/>
    </row>
    <row r="50" spans="1:32" s="224" customFormat="1" ht="13.5" customHeight="1">
      <c r="A50" s="225">
        <f t="shared" si="0"/>
        <v>42</v>
      </c>
      <c r="B50" s="217"/>
      <c r="C50" s="217"/>
      <c r="D50" s="217"/>
      <c r="E50" s="217"/>
      <c r="F50" s="217" t="s">
        <v>1169</v>
      </c>
      <c r="G50" s="217"/>
      <c r="H50" s="668" t="s">
        <v>1170</v>
      </c>
      <c r="I50" s="666" t="s">
        <v>1171</v>
      </c>
      <c r="J50" s="666"/>
      <c r="K50" s="666" t="s">
        <v>1172</v>
      </c>
      <c r="L50" s="668" t="s">
        <v>819</v>
      </c>
      <c r="M50" s="668"/>
      <c r="N50" s="668" t="s">
        <v>1091</v>
      </c>
      <c r="O50" s="670"/>
      <c r="P50" s="668"/>
      <c r="Q50" s="252"/>
      <c r="R50" s="670" t="s">
        <v>863</v>
      </c>
      <c r="S50" s="232"/>
      <c r="T50" s="671"/>
      <c r="U50" s="668"/>
      <c r="V50" s="672"/>
      <c r="W50" s="667"/>
      <c r="X50" s="667"/>
      <c r="Y50" s="670"/>
      <c r="AA50" s="668"/>
      <c r="AB50" s="668"/>
      <c r="AC50" s="499"/>
      <c r="AD50" s="668"/>
      <c r="AE50" s="670"/>
      <c r="AF50" s="670"/>
    </row>
    <row r="51" spans="1:32" s="256" customFormat="1" ht="13.5" customHeight="1">
      <c r="A51" s="225">
        <f t="shared" si="0"/>
        <v>43</v>
      </c>
      <c r="B51" s="217"/>
      <c r="C51" s="217"/>
      <c r="D51" s="217"/>
      <c r="E51" s="217"/>
      <c r="F51" s="217" t="s">
        <v>1175</v>
      </c>
      <c r="G51" s="217"/>
      <c r="H51" s="668" t="s">
        <v>1176</v>
      </c>
      <c r="I51" s="666" t="s">
        <v>1177</v>
      </c>
      <c r="J51" s="666"/>
      <c r="K51" s="666" t="s">
        <v>1178</v>
      </c>
      <c r="L51" s="668" t="s">
        <v>819</v>
      </c>
      <c r="M51" s="668"/>
      <c r="N51" s="668" t="s">
        <v>1091</v>
      </c>
      <c r="O51" s="670"/>
      <c r="P51" s="668"/>
      <c r="Q51" s="252"/>
      <c r="R51" s="670" t="s">
        <v>863</v>
      </c>
      <c r="S51" s="682"/>
      <c r="T51" s="671"/>
      <c r="U51" s="668"/>
      <c r="V51" s="672"/>
      <c r="W51" s="667"/>
      <c r="X51" s="667"/>
      <c r="Y51" s="670"/>
      <c r="Z51" s="224"/>
      <c r="AA51" s="668"/>
      <c r="AB51" s="668"/>
      <c r="AC51" s="499"/>
      <c r="AD51" s="668"/>
      <c r="AE51" s="670"/>
      <c r="AF51" s="670"/>
    </row>
    <row r="52" spans="1:32" s="244" customFormat="1" ht="13.5" customHeight="1">
      <c r="A52" s="225">
        <f t="shared" si="0"/>
        <v>44</v>
      </c>
      <c r="B52" s="217"/>
      <c r="C52" s="222"/>
      <c r="D52" s="222"/>
      <c r="E52" s="222"/>
      <c r="F52" s="699" t="s">
        <v>1179</v>
      </c>
      <c r="G52" s="221"/>
      <c r="H52" s="668" t="s">
        <v>1180</v>
      </c>
      <c r="I52" s="666">
        <v>120</v>
      </c>
      <c r="J52" s="666"/>
      <c r="K52" s="668" t="s">
        <v>1181</v>
      </c>
      <c r="L52" s="668" t="s">
        <v>816</v>
      </c>
      <c r="M52" s="668"/>
      <c r="N52" s="668" t="s">
        <v>1091</v>
      </c>
      <c r="O52" s="670"/>
      <c r="P52" s="668"/>
      <c r="Q52" s="669"/>
      <c r="R52" s="670" t="s">
        <v>863</v>
      </c>
      <c r="S52" s="683"/>
      <c r="T52" s="671"/>
      <c r="U52" s="668"/>
      <c r="V52" s="672"/>
      <c r="W52" s="667"/>
      <c r="X52" s="667"/>
      <c r="Y52" s="670"/>
      <c r="Z52" s="224"/>
      <c r="AA52" s="668"/>
      <c r="AB52" s="668"/>
      <c r="AC52" s="666"/>
      <c r="AD52" s="668"/>
      <c r="AE52" s="670"/>
      <c r="AF52" s="670"/>
    </row>
    <row r="53" spans="1:32" s="688" customFormat="1" ht="13.5" customHeight="1">
      <c r="A53" s="225">
        <f t="shared" si="0"/>
        <v>45</v>
      </c>
      <c r="B53" s="690"/>
      <c r="C53" s="690"/>
      <c r="D53" s="690"/>
      <c r="E53" s="690"/>
      <c r="F53" s="690" t="s">
        <v>1183</v>
      </c>
      <c r="G53" s="691"/>
      <c r="H53" s="689" t="s">
        <v>1184</v>
      </c>
      <c r="I53" s="692">
        <v>96</v>
      </c>
      <c r="J53" s="692"/>
      <c r="K53" s="689" t="s">
        <v>1185</v>
      </c>
      <c r="L53" s="689" t="s">
        <v>816</v>
      </c>
      <c r="M53" s="689"/>
      <c r="N53" s="689" t="s">
        <v>1091</v>
      </c>
      <c r="O53" s="693"/>
      <c r="P53" s="689"/>
      <c r="Q53" s="694"/>
      <c r="R53" s="670"/>
      <c r="S53" s="687"/>
      <c r="T53" s="695"/>
      <c r="U53" s="689"/>
      <c r="V53" s="696"/>
      <c r="W53" s="697"/>
      <c r="X53" s="697"/>
      <c r="Y53" s="693"/>
      <c r="Z53" s="698"/>
      <c r="AA53" s="689"/>
      <c r="AB53" s="689"/>
      <c r="AC53" s="692"/>
      <c r="AD53" s="689"/>
      <c r="AE53" s="693"/>
      <c r="AF53" s="693"/>
    </row>
    <row r="54" spans="1:32" s="688" customFormat="1" ht="13.5" customHeight="1">
      <c r="A54" s="225">
        <f t="shared" si="0"/>
        <v>46</v>
      </c>
      <c r="B54" s="690"/>
      <c r="C54" s="690"/>
      <c r="D54" s="690"/>
      <c r="E54" s="690"/>
      <c r="F54" s="690" t="s">
        <v>1187</v>
      </c>
      <c r="G54" s="691"/>
      <c r="H54" s="689" t="s">
        <v>1188</v>
      </c>
      <c r="I54" s="692">
        <v>34</v>
      </c>
      <c r="J54" s="692"/>
      <c r="K54" s="689" t="s">
        <v>1189</v>
      </c>
      <c r="L54" s="689" t="s">
        <v>816</v>
      </c>
      <c r="M54" s="689"/>
      <c r="N54" s="689" t="s">
        <v>1091</v>
      </c>
      <c r="O54" s="693"/>
      <c r="P54" s="689"/>
      <c r="Q54" s="694"/>
      <c r="R54" s="670"/>
      <c r="S54" s="687"/>
      <c r="T54" s="695"/>
      <c r="U54" s="689"/>
      <c r="V54" s="696"/>
      <c r="W54" s="697"/>
      <c r="X54" s="697"/>
      <c r="Y54" s="693"/>
      <c r="Z54" s="698"/>
      <c r="AA54" s="689"/>
      <c r="AB54" s="689"/>
      <c r="AC54" s="692"/>
      <c r="AD54" s="689"/>
      <c r="AE54" s="693"/>
      <c r="AF54" s="693"/>
    </row>
    <row r="55" spans="1:32" s="244" customFormat="1" ht="13.5" customHeight="1">
      <c r="A55" s="225">
        <f t="shared" si="0"/>
        <v>47</v>
      </c>
      <c r="B55" s="217"/>
      <c r="C55" s="222"/>
      <c r="D55" s="241"/>
      <c r="E55" s="241"/>
      <c r="F55" s="241" t="s">
        <v>1191</v>
      </c>
      <c r="G55" s="241"/>
      <c r="H55" s="668" t="s">
        <v>1192</v>
      </c>
      <c r="I55" s="666" t="s">
        <v>1193</v>
      </c>
      <c r="J55" s="666"/>
      <c r="K55" s="666" t="s">
        <v>1194</v>
      </c>
      <c r="L55" s="668" t="s">
        <v>819</v>
      </c>
      <c r="M55" s="668"/>
      <c r="N55" s="668" t="s">
        <v>862</v>
      </c>
      <c r="O55" s="670" t="s">
        <v>863</v>
      </c>
      <c r="P55" s="668" t="s">
        <v>1195</v>
      </c>
      <c r="Q55" s="669"/>
      <c r="R55" s="670" t="s">
        <v>863</v>
      </c>
      <c r="S55" s="683"/>
      <c r="T55" s="671"/>
      <c r="U55" s="668"/>
      <c r="V55" s="672"/>
      <c r="W55" s="667"/>
      <c r="X55" s="667"/>
      <c r="Y55" s="670"/>
      <c r="Z55" s="224"/>
      <c r="AA55" s="671"/>
      <c r="AB55" s="668"/>
      <c r="AC55" s="666"/>
      <c r="AD55" s="668"/>
      <c r="AE55" s="670"/>
      <c r="AF55" s="670"/>
    </row>
    <row r="56" spans="1:32" s="256" customFormat="1" ht="13.5" customHeight="1">
      <c r="A56" s="225">
        <f t="shared" si="0"/>
        <v>48</v>
      </c>
      <c r="B56" s="217"/>
      <c r="C56" s="217"/>
      <c r="D56" s="217"/>
      <c r="E56" s="217" t="s">
        <v>1196</v>
      </c>
      <c r="F56" s="217"/>
      <c r="G56" s="217"/>
      <c r="H56" s="668" t="s">
        <v>1197</v>
      </c>
      <c r="I56" s="666" t="s">
        <v>1198</v>
      </c>
      <c r="J56" s="666"/>
      <c r="K56" s="666" t="s">
        <v>1200</v>
      </c>
      <c r="L56" s="668" t="s">
        <v>816</v>
      </c>
      <c r="M56" s="668"/>
      <c r="N56" s="668" t="s">
        <v>862</v>
      </c>
      <c r="O56" s="670"/>
      <c r="P56" s="668"/>
      <c r="Q56" s="669"/>
      <c r="R56" s="670" t="s">
        <v>863</v>
      </c>
      <c r="S56" s="682"/>
      <c r="T56" s="671"/>
      <c r="U56" s="668"/>
      <c r="V56" s="672"/>
      <c r="W56" s="667"/>
      <c r="X56" s="667"/>
      <c r="Y56" s="670"/>
      <c r="Z56" s="224"/>
      <c r="AA56" s="671"/>
      <c r="AB56" s="668"/>
      <c r="AC56" s="666"/>
      <c r="AD56" s="668"/>
      <c r="AE56" s="670"/>
      <c r="AF56" s="670"/>
    </row>
    <row r="57" spans="1:32" s="256" customFormat="1" ht="13.5" customHeight="1">
      <c r="A57" s="225">
        <f t="shared" si="0"/>
        <v>49</v>
      </c>
      <c r="B57" s="217"/>
      <c r="C57" s="217"/>
      <c r="D57" s="217" t="s">
        <v>1201</v>
      </c>
      <c r="E57" s="217"/>
      <c r="F57" s="217"/>
      <c r="G57" s="217"/>
      <c r="H57" s="668" t="s">
        <v>1202</v>
      </c>
      <c r="I57" s="666"/>
      <c r="J57" s="666"/>
      <c r="K57" s="666" t="s">
        <v>1203</v>
      </c>
      <c r="L57" s="668" t="s">
        <v>816</v>
      </c>
      <c r="M57" s="668"/>
      <c r="N57" s="668" t="s">
        <v>862</v>
      </c>
      <c r="O57" s="670"/>
      <c r="P57" s="668"/>
      <c r="Q57" s="252"/>
      <c r="R57" s="670" t="s">
        <v>863</v>
      </c>
      <c r="S57" s="682"/>
      <c r="T57" s="671"/>
      <c r="U57" s="668"/>
      <c r="V57" s="672"/>
      <c r="W57" s="667"/>
      <c r="X57" s="667"/>
      <c r="Y57" s="670"/>
      <c r="Z57" s="224"/>
      <c r="AA57" s="671"/>
      <c r="AB57" s="668"/>
      <c r="AC57" s="666"/>
      <c r="AD57" s="668"/>
      <c r="AE57" s="670"/>
      <c r="AF57" s="670"/>
    </row>
    <row r="58" spans="1:32" s="224" customFormat="1" ht="13.5" customHeight="1">
      <c r="A58" s="225">
        <f t="shared" si="0"/>
        <v>50</v>
      </c>
      <c r="B58" s="217"/>
      <c r="C58" s="217" t="s">
        <v>1204</v>
      </c>
      <c r="D58" s="217"/>
      <c r="E58" s="217"/>
      <c r="F58" s="217"/>
      <c r="G58" s="217"/>
      <c r="H58" s="668" t="s">
        <v>1205</v>
      </c>
      <c r="I58" s="666"/>
      <c r="J58" s="666"/>
      <c r="K58" s="666" t="s">
        <v>1206</v>
      </c>
      <c r="L58" s="668" t="s">
        <v>822</v>
      </c>
      <c r="M58" s="668" t="s">
        <v>863</v>
      </c>
      <c r="N58" s="243" t="s">
        <v>1206</v>
      </c>
      <c r="O58" s="670"/>
      <c r="P58" s="668"/>
      <c r="Q58" s="252"/>
      <c r="R58" s="670" t="s">
        <v>863</v>
      </c>
      <c r="S58" s="232"/>
      <c r="T58" s="671"/>
      <c r="U58" s="668"/>
      <c r="V58" s="672"/>
      <c r="W58" s="667"/>
      <c r="X58" s="667"/>
      <c r="Y58" s="670"/>
      <c r="AA58" s="671"/>
      <c r="AB58" s="668"/>
      <c r="AC58" s="666"/>
      <c r="AD58" s="668"/>
      <c r="AE58" s="670"/>
      <c r="AF58" s="670"/>
    </row>
    <row r="59" spans="1:32" s="224" customFormat="1" ht="13.5" customHeight="1">
      <c r="A59" s="225">
        <f t="shared" si="0"/>
        <v>51</v>
      </c>
      <c r="B59" s="217"/>
      <c r="C59" s="217"/>
      <c r="D59" s="217" t="s">
        <v>1207</v>
      </c>
      <c r="E59" s="217"/>
      <c r="F59" s="217"/>
      <c r="G59" s="217"/>
      <c r="H59" s="668" t="s">
        <v>1208</v>
      </c>
      <c r="I59" s="666" t="s">
        <v>1209</v>
      </c>
      <c r="J59" s="666"/>
      <c r="K59" s="666" t="s">
        <v>938</v>
      </c>
      <c r="L59" s="668" t="s">
        <v>819</v>
      </c>
      <c r="M59" s="668"/>
      <c r="N59" s="668" t="s">
        <v>862</v>
      </c>
      <c r="O59" s="670" t="s">
        <v>863</v>
      </c>
      <c r="P59" s="668" t="s">
        <v>1210</v>
      </c>
      <c r="Q59" s="252"/>
      <c r="R59" s="670" t="s">
        <v>863</v>
      </c>
      <c r="S59" s="232"/>
      <c r="T59" s="671"/>
      <c r="U59" s="668"/>
      <c r="V59" s="672"/>
      <c r="W59" s="667"/>
      <c r="X59" s="667"/>
      <c r="Y59" s="670"/>
      <c r="AA59" s="671"/>
      <c r="AB59" s="668"/>
      <c r="AC59" s="666"/>
      <c r="AD59" s="668"/>
      <c r="AE59" s="670"/>
      <c r="AF59" s="670"/>
    </row>
    <row r="60" spans="1:32" s="224" customFormat="1" ht="13.5" customHeight="1">
      <c r="A60" s="225">
        <f t="shared" si="0"/>
        <v>52</v>
      </c>
      <c r="B60" s="217"/>
      <c r="C60" s="217"/>
      <c r="D60" s="217" t="s">
        <v>1211</v>
      </c>
      <c r="E60" s="217"/>
      <c r="F60" s="217"/>
      <c r="G60" s="217"/>
      <c r="H60" s="668" t="s">
        <v>1212</v>
      </c>
      <c r="I60" s="666" t="s">
        <v>1213</v>
      </c>
      <c r="J60" s="666"/>
      <c r="K60" s="666" t="s">
        <v>969</v>
      </c>
      <c r="L60" s="668" t="s">
        <v>819</v>
      </c>
      <c r="M60" s="668"/>
      <c r="N60" s="668" t="s">
        <v>862</v>
      </c>
      <c r="O60" s="670" t="s">
        <v>863</v>
      </c>
      <c r="P60" s="668" t="s">
        <v>1214</v>
      </c>
      <c r="Q60" s="252"/>
      <c r="R60" s="670" t="s">
        <v>863</v>
      </c>
      <c r="S60" s="232"/>
      <c r="T60" s="671"/>
      <c r="U60" s="668"/>
      <c r="V60" s="672"/>
      <c r="W60" s="667"/>
      <c r="X60" s="667"/>
      <c r="Y60" s="670"/>
      <c r="AA60" s="671"/>
      <c r="AB60" s="668"/>
      <c r="AC60" s="666"/>
      <c r="AD60" s="668"/>
      <c r="AE60" s="670"/>
      <c r="AF60" s="670"/>
    </row>
    <row r="61" spans="1:32" s="676" customFormat="1" ht="13.5" customHeight="1">
      <c r="A61" s="225">
        <f t="shared" si="0"/>
        <v>53</v>
      </c>
      <c r="B61" s="217"/>
      <c r="C61" s="217"/>
      <c r="D61" s="217" t="s">
        <v>1076</v>
      </c>
      <c r="E61" s="217"/>
      <c r="F61" s="217"/>
      <c r="G61" s="217"/>
      <c r="H61" s="668" t="s">
        <v>1215</v>
      </c>
      <c r="I61" s="666" t="s">
        <v>1216</v>
      </c>
      <c r="J61" s="666"/>
      <c r="K61" s="666" t="s">
        <v>1218</v>
      </c>
      <c r="L61" s="668" t="s">
        <v>819</v>
      </c>
      <c r="M61" s="668"/>
      <c r="N61" s="678" t="s">
        <v>862</v>
      </c>
      <c r="O61" s="281"/>
      <c r="P61" s="668"/>
      <c r="Q61" s="252"/>
      <c r="R61" s="670" t="s">
        <v>863</v>
      </c>
      <c r="S61" s="681"/>
      <c r="T61" s="671"/>
      <c r="U61" s="668"/>
      <c r="V61" s="672"/>
      <c r="W61" s="667"/>
      <c r="X61" s="667"/>
      <c r="Y61" s="670"/>
      <c r="Z61" s="224"/>
      <c r="AA61" s="671"/>
      <c r="AB61" s="668"/>
      <c r="AC61" s="666"/>
      <c r="AD61" s="668"/>
      <c r="AE61" s="670"/>
      <c r="AF61" s="670"/>
    </row>
    <row r="62" spans="1:32" s="224" customFormat="1" ht="13.5" customHeight="1">
      <c r="A62" s="225">
        <f t="shared" si="0"/>
        <v>54</v>
      </c>
      <c r="B62" s="217"/>
      <c r="C62" s="217" t="s">
        <v>264</v>
      </c>
      <c r="D62" s="217"/>
      <c r="E62" s="217"/>
      <c r="F62" s="217"/>
      <c r="G62" s="217"/>
      <c r="H62" s="668"/>
      <c r="I62" s="666" t="s">
        <v>1219</v>
      </c>
      <c r="J62" s="666"/>
      <c r="K62" s="668" t="s">
        <v>1220</v>
      </c>
      <c r="L62" s="668" t="s">
        <v>819</v>
      </c>
      <c r="M62" s="668"/>
      <c r="N62" s="678" t="s">
        <v>862</v>
      </c>
      <c r="O62" s="281" t="s">
        <v>863</v>
      </c>
      <c r="P62" s="668" t="s">
        <v>1221</v>
      </c>
      <c r="Q62" s="252"/>
      <c r="R62" s="670" t="s">
        <v>863</v>
      </c>
      <c r="S62" s="232"/>
      <c r="T62" s="671"/>
      <c r="U62" s="668"/>
      <c r="V62" s="672"/>
      <c r="W62" s="667"/>
      <c r="X62" s="667"/>
      <c r="Y62" s="670"/>
      <c r="AA62" s="671"/>
      <c r="AB62" s="668"/>
      <c r="AC62" s="499"/>
      <c r="AD62" s="668"/>
      <c r="AE62" s="670"/>
      <c r="AF62" s="670"/>
    </row>
    <row r="63" spans="1:32" s="224" customFormat="1" ht="13.5" customHeight="1">
      <c r="A63" s="225">
        <f t="shared" si="0"/>
        <v>55</v>
      </c>
      <c r="B63" s="217"/>
      <c r="C63" s="217" t="s">
        <v>1637</v>
      </c>
      <c r="D63" s="217"/>
      <c r="E63" s="217"/>
      <c r="F63" s="217"/>
      <c r="G63" s="217"/>
      <c r="H63" s="668" t="s">
        <v>1224</v>
      </c>
      <c r="I63" s="666" t="s">
        <v>1225</v>
      </c>
      <c r="J63" s="666"/>
      <c r="K63" s="666" t="s">
        <v>938</v>
      </c>
      <c r="L63" s="668" t="s">
        <v>816</v>
      </c>
      <c r="M63" s="668"/>
      <c r="N63" s="668" t="s">
        <v>862</v>
      </c>
      <c r="O63" s="670"/>
      <c r="P63" s="668"/>
      <c r="Q63" s="252"/>
      <c r="R63" s="670" t="s">
        <v>863</v>
      </c>
      <c r="S63" s="232"/>
      <c r="T63" s="671"/>
      <c r="U63" s="668"/>
      <c r="V63" s="672"/>
      <c r="W63" s="667"/>
      <c r="X63" s="667"/>
      <c r="Y63" s="670"/>
      <c r="AA63" s="671"/>
      <c r="AB63" s="668"/>
      <c r="AC63" s="666"/>
      <c r="AD63" s="668"/>
      <c r="AE63" s="670"/>
      <c r="AF63" s="670"/>
    </row>
    <row r="64" spans="1:32" s="224" customFormat="1" ht="13.5" customHeight="1">
      <c r="A64" s="225">
        <f t="shared" si="0"/>
        <v>56</v>
      </c>
      <c r="B64" s="217" t="s">
        <v>1576</v>
      </c>
      <c r="C64" s="216" t="s">
        <v>2231</v>
      </c>
      <c r="D64" s="217"/>
      <c r="E64" s="217"/>
      <c r="F64" s="217"/>
      <c r="G64" s="217"/>
      <c r="H64" s="255" t="s">
        <v>2232</v>
      </c>
      <c r="I64" s="666"/>
      <c r="J64" s="666"/>
      <c r="K64" s="255" t="s">
        <v>1584</v>
      </c>
      <c r="L64" s="668" t="s">
        <v>816</v>
      </c>
      <c r="M64" s="668" t="s">
        <v>863</v>
      </c>
      <c r="N64" s="243" t="s">
        <v>1053</v>
      </c>
      <c r="O64" s="280"/>
      <c r="P64" s="668"/>
      <c r="Q64" s="669"/>
      <c r="R64" s="670" t="s">
        <v>863</v>
      </c>
      <c r="S64" s="232"/>
      <c r="T64" s="671"/>
      <c r="U64" s="668"/>
      <c r="V64" s="672"/>
      <c r="W64" s="667"/>
      <c r="X64" s="667"/>
      <c r="Y64" s="670"/>
      <c r="AA64" s="671"/>
      <c r="AB64" s="668"/>
      <c r="AC64" s="666"/>
      <c r="AD64" s="668"/>
      <c r="AE64" s="670"/>
      <c r="AF64" s="670"/>
    </row>
    <row r="65" spans="1:1009" s="224" customFormat="1" ht="12" customHeight="1">
      <c r="A65" s="225">
        <f>SUBTOTAL(103,createCase141814[ID])</f>
        <v>56</v>
      </c>
      <c r="C65" s="225">
        <f>SUBTOTAL(103,createCase141814[Donnée (Niveau 2)])</f>
        <v>18</v>
      </c>
      <c r="D65" s="225">
        <f>SUBTOTAL(103,createCase141814[Donnée (Niveau 3)])</f>
        <v>23</v>
      </c>
      <c r="E65" s="225">
        <f>SUBTOTAL(103,createCase141814[Donnée (Niveau 4)])</f>
        <v>5</v>
      </c>
      <c r="F65" s="225">
        <f>SUBTOTAL(103,createCase141814[Donnée (Niveau 5)])</f>
        <v>6</v>
      </c>
      <c r="G65" s="225">
        <f>SUBTOTAL(103,createCase141814[Donnée (Niveau 6)])</f>
        <v>0</v>
      </c>
      <c r="H65" s="225">
        <f>SUBTOTAL(103,createCase141814[Description])</f>
        <v>45</v>
      </c>
      <c r="I65" s="225">
        <f>SUBTOTAL(103,createCase141814[Exemples])</f>
        <v>38</v>
      </c>
      <c r="J65" s="225"/>
      <c r="K65" s="239">
        <f>SUBTOTAL(103,createCase141814[Nouvelle balise])</f>
        <v>56</v>
      </c>
      <c r="L65" s="225"/>
      <c r="M65" s="234">
        <f>SUBTOTAL(103,createCase141814[Objet])</f>
        <v>12</v>
      </c>
      <c r="N65" s="225">
        <f>SUBTOTAL(103,createCase141814[Format (ou type)])</f>
        <v>56</v>
      </c>
      <c r="O65" s="274"/>
      <c r="P65" s="225"/>
      <c r="Q65" s="225"/>
      <c r="R65" s="225"/>
      <c r="T65" s="271">
        <f>SUBTOTAL(103,createCase141814[Commentaire Hub Santé])</f>
        <v>1</v>
      </c>
      <c r="U65" s="225">
        <f>SUBTOTAL(103,createCase141814[Commentaire Philippe Dreyfus])</f>
        <v>0</v>
      </c>
      <c r="V65" s="225"/>
      <c r="W65" s="225">
        <f>SUBTOTAL(103,createCase141814[Commentaire Yann Penverne])</f>
        <v>0</v>
      </c>
      <c r="X65" s="225">
        <f>SUBTOTAL(103,createCase141814[Métier])-COUNTIFS(createCase141814[Métier],"=X")</f>
        <v>1</v>
      </c>
    </row>
    <row r="66" spans="1:1009" s="128" customFormat="1" ht="12" customHeight="1">
      <c r="A66" s="3"/>
      <c r="B66" s="3"/>
      <c r="C66" s="131"/>
      <c r="D66" s="131"/>
      <c r="E66" s="131"/>
      <c r="F66" s="131"/>
      <c r="G66" s="5"/>
      <c r="H66" s="155"/>
      <c r="I66" s="225"/>
      <c r="J66" s="155"/>
      <c r="K66" s="5"/>
      <c r="L66" s="188"/>
      <c r="M66" s="5"/>
      <c r="N66" s="56"/>
      <c r="O66" s="56"/>
      <c r="P66" s="668"/>
      <c r="Q66" s="668"/>
      <c r="R66"/>
      <c r="S66" s="178"/>
      <c r="T66" s="5"/>
      <c r="U66" s="159"/>
      <c r="V66" s="56"/>
      <c r="W66" s="56"/>
      <c r="ALS66"/>
      <c r="ALT66"/>
      <c r="ALU66"/>
    </row>
    <row r="67" spans="1:1009" s="128" customFormat="1" ht="12" customHeight="1">
      <c r="A67" s="129"/>
      <c r="B67" s="129"/>
      <c r="C67" s="129"/>
      <c r="D67" s="129"/>
      <c r="E67" s="129"/>
      <c r="F67" s="129"/>
      <c r="G67" s="96"/>
      <c r="H67" s="96"/>
      <c r="I67" s="225"/>
      <c r="J67" s="159"/>
      <c r="K67" s="96"/>
      <c r="L67" s="173"/>
      <c r="M67" s="96"/>
      <c r="N67" s="277"/>
      <c r="O67" s="96"/>
      <c r="P67" s="96"/>
      <c r="Q67" s="96"/>
      <c r="R67"/>
      <c r="S67" s="179"/>
      <c r="T67" s="96"/>
      <c r="U67" s="159"/>
      <c r="V67" s="96"/>
      <c r="W67" s="96"/>
      <c r="ALS67"/>
      <c r="ALT67"/>
      <c r="ALU67"/>
    </row>
    <row r="68" spans="1:1009" s="128" customFormat="1" ht="12" customHeight="1">
      <c r="I68" s="224"/>
      <c r="L68" s="173"/>
      <c r="M68" s="96"/>
      <c r="N68" s="277"/>
      <c r="O68" s="96"/>
      <c r="P68" s="96"/>
      <c r="Q68" s="96"/>
      <c r="R68"/>
      <c r="S68" s="179"/>
      <c r="T68" s="96"/>
      <c r="U68" s="159"/>
      <c r="V68" s="96"/>
      <c r="W68" s="96"/>
      <c r="ALS68"/>
      <c r="ALT68"/>
      <c r="ALU68"/>
    </row>
    <row r="69" spans="1:1009" s="128" customFormat="1" ht="12" customHeight="1">
      <c r="I69" s="224"/>
      <c r="L69" s="173"/>
      <c r="M69" s="96"/>
      <c r="N69" s="277"/>
      <c r="O69" s="96"/>
      <c r="P69" s="96"/>
      <c r="Q69" s="96"/>
      <c r="R69"/>
      <c r="S69" s="179"/>
      <c r="T69" s="96"/>
      <c r="U69" s="159"/>
      <c r="V69" s="96"/>
      <c r="W69" s="96"/>
      <c r="ALS69"/>
      <c r="ALT69"/>
      <c r="ALU69"/>
    </row>
    <row r="70" spans="1:1009" ht="12" customHeight="1">
      <c r="A70" s="123"/>
      <c r="B70" s="123"/>
      <c r="C70" s="123"/>
      <c r="D70" s="123"/>
      <c r="E70" s="123"/>
      <c r="F70" s="123"/>
      <c r="G70" s="112"/>
      <c r="H70" s="112"/>
      <c r="I70" s="276"/>
      <c r="J70" s="161"/>
      <c r="K70" s="112"/>
      <c r="L70" s="190"/>
      <c r="M70" s="112"/>
      <c r="N70" s="125"/>
      <c r="O70" s="112"/>
      <c r="P70" s="112"/>
      <c r="Q70" s="112"/>
      <c r="S70" s="180"/>
      <c r="T70" s="112"/>
      <c r="V70" s="112"/>
      <c r="W70" s="112"/>
    </row>
    <row r="71" spans="1:1009" ht="12" customHeight="1">
      <c r="A71" s="123"/>
      <c r="B71" s="123"/>
      <c r="C71" s="123"/>
      <c r="D71" s="123"/>
      <c r="E71" s="123"/>
      <c r="F71" s="123"/>
      <c r="G71" s="112"/>
      <c r="H71" s="112"/>
      <c r="I71" s="276"/>
      <c r="J71" s="161"/>
      <c r="K71" s="112"/>
      <c r="L71" s="190"/>
      <c r="M71" s="112"/>
      <c r="N71" s="125"/>
      <c r="O71" s="112"/>
      <c r="P71" s="112"/>
      <c r="Q71" s="112"/>
      <c r="S71" s="180"/>
      <c r="T71" s="112"/>
      <c r="V71" s="112"/>
      <c r="W71" s="112"/>
    </row>
    <row r="72" spans="1:1009" ht="12" customHeight="1">
      <c r="A72" s="130"/>
      <c r="B72" s="130"/>
      <c r="C72" s="130"/>
      <c r="D72" s="130"/>
      <c r="E72" s="130"/>
      <c r="F72" s="130"/>
    </row>
    <row r="73" spans="1:1009" ht="12" customHeight="1">
      <c r="A73" s="130"/>
      <c r="B73" s="130"/>
      <c r="C73" s="130"/>
      <c r="D73" s="130"/>
      <c r="E73" s="130"/>
      <c r="F73" s="130"/>
    </row>
    <row r="74" spans="1:1009" s="96" customFormat="1" ht="12" customHeight="1">
      <c r="A74" s="130"/>
      <c r="B74" s="130"/>
      <c r="C74" s="130"/>
      <c r="D74" s="130"/>
      <c r="E74" s="130"/>
      <c r="F74" s="130"/>
      <c r="I74" s="225"/>
      <c r="J74" s="159"/>
      <c r="L74" s="173"/>
      <c r="N74" s="277"/>
      <c r="R74"/>
      <c r="S74" s="179"/>
      <c r="U74" s="159"/>
      <c r="X74"/>
      <c r="Y74" s="128"/>
      <c r="Z74" s="128"/>
      <c r="AA74" s="128"/>
      <c r="AB74" s="128"/>
      <c r="AC74" s="128"/>
      <c r="AD74" s="128"/>
      <c r="AE74" s="128"/>
      <c r="AF74" s="128"/>
      <c r="AG74" s="128"/>
      <c r="AH74" s="128"/>
      <c r="AI74" s="128"/>
      <c r="AJ74" s="128"/>
      <c r="AK74" s="128"/>
      <c r="AL74" s="128"/>
      <c r="AM74" s="128"/>
      <c r="AN74" s="128"/>
      <c r="AO74" s="128"/>
      <c r="AP74" s="128"/>
      <c r="AQ74" s="128"/>
      <c r="AR74" s="128"/>
      <c r="AS74" s="128"/>
      <c r="AT74" s="128"/>
      <c r="AU74" s="128"/>
      <c r="AV74" s="128"/>
      <c r="AW74" s="128"/>
      <c r="AX74" s="128"/>
      <c r="AY74" s="128"/>
      <c r="AZ74" s="128"/>
      <c r="BA74" s="128"/>
      <c r="BB74" s="128"/>
      <c r="BC74" s="128"/>
      <c r="BD74" s="128"/>
      <c r="BE74" s="128"/>
      <c r="BF74" s="128"/>
      <c r="BG74" s="128"/>
      <c r="BH74" s="128"/>
      <c r="BI74" s="128"/>
      <c r="BJ74" s="128"/>
      <c r="BK74" s="128"/>
      <c r="BL74" s="128"/>
      <c r="BM74" s="128"/>
      <c r="BN74" s="128"/>
      <c r="BO74" s="128"/>
      <c r="BP74" s="128"/>
      <c r="BQ74" s="128"/>
      <c r="BR74" s="128"/>
      <c r="BS74" s="128"/>
      <c r="BT74" s="128"/>
      <c r="BU74" s="128"/>
      <c r="BV74" s="128"/>
      <c r="BW74" s="128"/>
      <c r="BX74" s="128"/>
      <c r="BY74" s="128"/>
      <c r="BZ74" s="128"/>
      <c r="CA74" s="128"/>
      <c r="CB74" s="128"/>
      <c r="CC74" s="128"/>
      <c r="CD74" s="128"/>
      <c r="CE74" s="128"/>
      <c r="CF74" s="128"/>
      <c r="CG74" s="128"/>
      <c r="CH74" s="128"/>
      <c r="CI74" s="128"/>
      <c r="CJ74" s="128"/>
      <c r="CK74" s="128"/>
      <c r="CL74" s="128"/>
      <c r="CM74" s="128"/>
      <c r="CN74" s="128"/>
      <c r="CO74" s="128"/>
      <c r="CP74" s="128"/>
      <c r="CQ74" s="128"/>
      <c r="CR74" s="128"/>
      <c r="CS74" s="128"/>
      <c r="CT74" s="128"/>
      <c r="CU74" s="128"/>
      <c r="CV74" s="128"/>
      <c r="CW74" s="128"/>
      <c r="CX74" s="128"/>
      <c r="CY74" s="128"/>
      <c r="CZ74" s="128"/>
      <c r="DA74" s="128"/>
      <c r="DB74" s="128"/>
      <c r="DC74" s="128"/>
      <c r="DD74" s="128"/>
      <c r="DE74" s="128"/>
      <c r="DF74" s="128"/>
      <c r="DG74" s="128"/>
      <c r="DH74" s="128"/>
      <c r="DI74" s="128"/>
      <c r="DJ74" s="128"/>
      <c r="DK74" s="128"/>
      <c r="DL74" s="128"/>
      <c r="DM74" s="128"/>
      <c r="DN74" s="128"/>
      <c r="DO74" s="128"/>
      <c r="DP74" s="128"/>
      <c r="DQ74" s="128"/>
      <c r="DR74" s="128"/>
      <c r="DS74" s="128"/>
      <c r="DT74" s="128"/>
      <c r="DU74" s="128"/>
      <c r="DV74" s="128"/>
      <c r="DW74" s="128"/>
      <c r="DX74" s="128"/>
      <c r="DY74" s="128"/>
      <c r="DZ74" s="128"/>
      <c r="EA74" s="128"/>
      <c r="EB74" s="128"/>
      <c r="EC74" s="128"/>
      <c r="ED74" s="128"/>
      <c r="EE74" s="128"/>
      <c r="EF74" s="128"/>
      <c r="EG74" s="128"/>
      <c r="EH74" s="128"/>
      <c r="EI74" s="128"/>
      <c r="EJ74" s="128"/>
      <c r="EK74" s="128"/>
      <c r="EL74" s="128"/>
      <c r="EM74" s="128"/>
      <c r="EN74" s="128"/>
      <c r="EO74" s="128"/>
      <c r="EP74" s="128"/>
      <c r="EQ74" s="128"/>
      <c r="ER74" s="128"/>
      <c r="ES74" s="128"/>
      <c r="ET74" s="128"/>
      <c r="EU74" s="128"/>
      <c r="EV74" s="128"/>
      <c r="EW74" s="128"/>
      <c r="EX74" s="128"/>
      <c r="EY74" s="128"/>
      <c r="EZ74" s="128"/>
      <c r="FA74" s="128"/>
      <c r="FB74" s="128"/>
      <c r="FC74" s="128"/>
      <c r="FD74" s="128"/>
      <c r="FE74" s="128"/>
      <c r="FF74" s="128"/>
      <c r="FG74" s="128"/>
      <c r="FH74" s="128"/>
      <c r="FI74" s="128"/>
      <c r="FJ74" s="128"/>
      <c r="FK74" s="128"/>
      <c r="FL74" s="128"/>
      <c r="FM74" s="128"/>
      <c r="FN74" s="128"/>
      <c r="FO74" s="128"/>
      <c r="FP74" s="128"/>
      <c r="FQ74" s="128"/>
      <c r="FR74" s="128"/>
      <c r="FS74" s="128"/>
      <c r="FT74" s="128"/>
      <c r="FU74" s="128"/>
      <c r="FV74" s="128"/>
      <c r="FW74" s="128"/>
      <c r="FX74" s="128"/>
      <c r="FY74" s="128"/>
      <c r="FZ74" s="128"/>
      <c r="GA74" s="128"/>
      <c r="GB74" s="128"/>
      <c r="GC74" s="128"/>
      <c r="GD74" s="128"/>
      <c r="GE74" s="128"/>
      <c r="GF74" s="128"/>
      <c r="GG74" s="128"/>
      <c r="GH74" s="128"/>
      <c r="GI74" s="128"/>
      <c r="GJ74" s="128"/>
      <c r="GK74" s="128"/>
      <c r="GL74" s="128"/>
      <c r="GM74" s="128"/>
      <c r="GN74" s="128"/>
      <c r="GO74" s="128"/>
      <c r="GP74" s="128"/>
      <c r="GQ74" s="128"/>
      <c r="GR74" s="128"/>
      <c r="GS74" s="128"/>
      <c r="GT74" s="128"/>
      <c r="GU74" s="128"/>
      <c r="GV74" s="128"/>
      <c r="GW74" s="128"/>
      <c r="GX74" s="128"/>
      <c r="GY74" s="128"/>
      <c r="GZ74" s="128"/>
      <c r="HA74" s="128"/>
      <c r="HB74" s="128"/>
      <c r="HC74" s="128"/>
      <c r="HD74" s="128"/>
      <c r="HE74" s="128"/>
      <c r="HF74" s="128"/>
      <c r="HG74" s="128"/>
      <c r="HH74" s="128"/>
      <c r="HI74" s="128"/>
      <c r="HJ74" s="128"/>
      <c r="HK74" s="128"/>
      <c r="HL74" s="128"/>
      <c r="HM74" s="128"/>
      <c r="HN74" s="128"/>
      <c r="HO74" s="128"/>
      <c r="HP74" s="128"/>
      <c r="HQ74" s="128"/>
      <c r="HR74" s="128"/>
      <c r="HS74" s="128"/>
      <c r="HT74" s="128"/>
      <c r="HU74" s="128"/>
      <c r="HV74" s="128"/>
      <c r="HW74" s="128"/>
      <c r="HX74" s="128"/>
      <c r="HY74" s="128"/>
      <c r="HZ74" s="128"/>
      <c r="IA74" s="128"/>
      <c r="IB74" s="128"/>
      <c r="IC74" s="128"/>
      <c r="ID74" s="128"/>
      <c r="IE74" s="128"/>
      <c r="IF74" s="128"/>
      <c r="IG74" s="128"/>
      <c r="IH74" s="128"/>
      <c r="II74" s="128"/>
      <c r="IJ74" s="128"/>
      <c r="IK74" s="128"/>
      <c r="IL74" s="128"/>
      <c r="IM74" s="128"/>
      <c r="IN74" s="128"/>
      <c r="IO74" s="128"/>
      <c r="IP74" s="128"/>
      <c r="IQ74" s="128"/>
      <c r="IR74" s="128"/>
      <c r="IS74" s="128"/>
      <c r="IT74" s="128"/>
      <c r="IU74" s="128"/>
      <c r="IV74" s="128"/>
      <c r="IW74" s="128"/>
      <c r="IX74" s="128"/>
      <c r="IY74" s="128"/>
      <c r="IZ74" s="128"/>
      <c r="JA74" s="128"/>
      <c r="JB74" s="128"/>
      <c r="JC74" s="128"/>
      <c r="JD74" s="128"/>
      <c r="JE74" s="128"/>
      <c r="JF74" s="128"/>
      <c r="JG74" s="128"/>
      <c r="JH74" s="128"/>
      <c r="JI74" s="128"/>
      <c r="JJ74" s="128"/>
      <c r="JK74" s="128"/>
      <c r="JL74" s="128"/>
      <c r="JM74" s="128"/>
      <c r="JN74" s="128"/>
      <c r="JO74" s="128"/>
      <c r="JP74" s="128"/>
      <c r="JQ74" s="128"/>
      <c r="JR74" s="128"/>
      <c r="JS74" s="128"/>
      <c r="JT74" s="128"/>
      <c r="JU74" s="128"/>
      <c r="JV74" s="128"/>
      <c r="JW74" s="128"/>
      <c r="JX74" s="128"/>
      <c r="JY74" s="128"/>
      <c r="JZ74" s="128"/>
      <c r="KA74" s="128"/>
      <c r="KB74" s="128"/>
      <c r="KC74" s="128"/>
      <c r="KD74" s="128"/>
      <c r="KE74" s="128"/>
      <c r="KF74" s="128"/>
      <c r="KG74" s="128"/>
      <c r="KH74" s="128"/>
      <c r="KI74" s="128"/>
      <c r="KJ74" s="128"/>
      <c r="KK74" s="128"/>
      <c r="KL74" s="128"/>
      <c r="KM74" s="128"/>
      <c r="KN74" s="128"/>
      <c r="KO74" s="128"/>
      <c r="KP74" s="128"/>
      <c r="KQ74" s="128"/>
      <c r="KR74" s="128"/>
      <c r="KS74" s="128"/>
      <c r="KT74" s="128"/>
      <c r="KU74" s="128"/>
      <c r="KV74" s="128"/>
      <c r="KW74" s="128"/>
      <c r="KX74" s="128"/>
      <c r="KY74" s="128"/>
      <c r="KZ74" s="128"/>
      <c r="LA74" s="128"/>
      <c r="LB74" s="128"/>
      <c r="LC74" s="128"/>
      <c r="LD74" s="128"/>
      <c r="LE74" s="128"/>
      <c r="LF74" s="128"/>
      <c r="LG74" s="128"/>
      <c r="LH74" s="128"/>
      <c r="LI74" s="128"/>
      <c r="LJ74" s="128"/>
      <c r="LK74" s="128"/>
      <c r="LL74" s="128"/>
      <c r="LM74" s="128"/>
      <c r="LN74" s="128"/>
      <c r="LO74" s="128"/>
      <c r="LP74" s="128"/>
      <c r="LQ74" s="128"/>
      <c r="LR74" s="128"/>
      <c r="LS74" s="128"/>
      <c r="LT74" s="128"/>
      <c r="LU74" s="128"/>
      <c r="LV74" s="128"/>
      <c r="LW74" s="128"/>
      <c r="LX74" s="128"/>
      <c r="LY74" s="128"/>
      <c r="LZ74" s="128"/>
      <c r="MA74" s="128"/>
      <c r="MB74" s="128"/>
      <c r="MC74" s="128"/>
      <c r="MD74" s="128"/>
      <c r="ME74" s="128"/>
      <c r="MF74" s="128"/>
      <c r="MG74" s="128"/>
      <c r="MH74" s="128"/>
      <c r="MI74" s="128"/>
      <c r="MJ74" s="128"/>
      <c r="MK74" s="128"/>
      <c r="ML74" s="128"/>
      <c r="MM74" s="128"/>
      <c r="MN74" s="128"/>
      <c r="MO74" s="128"/>
      <c r="MP74" s="128"/>
      <c r="MQ74" s="128"/>
      <c r="MR74" s="128"/>
      <c r="MS74" s="128"/>
      <c r="MT74" s="128"/>
      <c r="MU74" s="128"/>
      <c r="MV74" s="128"/>
      <c r="MW74" s="128"/>
      <c r="MX74" s="128"/>
      <c r="MY74" s="128"/>
      <c r="MZ74" s="128"/>
      <c r="NA74" s="128"/>
      <c r="NB74" s="128"/>
      <c r="NC74" s="128"/>
      <c r="ND74" s="128"/>
      <c r="NE74" s="128"/>
      <c r="NF74" s="128"/>
      <c r="NG74" s="128"/>
      <c r="NH74" s="128"/>
      <c r="NI74" s="128"/>
      <c r="NJ74" s="128"/>
      <c r="NK74" s="128"/>
      <c r="NL74" s="128"/>
      <c r="NM74" s="128"/>
      <c r="NN74" s="128"/>
      <c r="NO74" s="128"/>
      <c r="NP74" s="128"/>
      <c r="NQ74" s="128"/>
      <c r="NR74" s="128"/>
      <c r="NS74" s="128"/>
      <c r="NT74" s="128"/>
      <c r="NU74" s="128"/>
      <c r="NV74" s="128"/>
      <c r="NW74" s="128"/>
      <c r="NX74" s="128"/>
      <c r="NY74" s="128"/>
      <c r="NZ74" s="128"/>
      <c r="OA74" s="128"/>
      <c r="OB74" s="128"/>
      <c r="OC74" s="128"/>
      <c r="OD74" s="128"/>
      <c r="OE74" s="128"/>
      <c r="OF74" s="128"/>
      <c r="OG74" s="128"/>
      <c r="OH74" s="128"/>
      <c r="OI74" s="128"/>
      <c r="OJ74" s="128"/>
      <c r="OK74" s="128"/>
      <c r="OL74" s="128"/>
      <c r="OM74" s="128"/>
      <c r="ON74" s="128"/>
      <c r="OO74" s="128"/>
      <c r="OP74" s="128"/>
      <c r="OQ74" s="128"/>
      <c r="OR74" s="128"/>
      <c r="OS74" s="128"/>
      <c r="OT74" s="128"/>
      <c r="OU74" s="128"/>
      <c r="OV74" s="128"/>
      <c r="OW74" s="128"/>
      <c r="OX74" s="128"/>
      <c r="OY74" s="128"/>
      <c r="OZ74" s="128"/>
      <c r="PA74" s="128"/>
      <c r="PB74" s="128"/>
      <c r="PC74" s="128"/>
      <c r="PD74" s="128"/>
      <c r="PE74" s="128"/>
      <c r="PF74" s="128"/>
      <c r="PG74" s="128"/>
      <c r="PH74" s="128"/>
      <c r="PI74" s="128"/>
      <c r="PJ74" s="128"/>
      <c r="PK74" s="128"/>
      <c r="PL74" s="128"/>
      <c r="PM74" s="128"/>
      <c r="PN74" s="128"/>
      <c r="PO74" s="128"/>
      <c r="PP74" s="128"/>
      <c r="PQ74" s="128"/>
      <c r="PR74" s="128"/>
      <c r="PS74" s="128"/>
      <c r="PT74" s="128"/>
      <c r="PU74" s="128"/>
      <c r="PV74" s="128"/>
      <c r="PW74" s="128"/>
      <c r="PX74" s="128"/>
      <c r="PY74" s="128"/>
      <c r="PZ74" s="128"/>
      <c r="QA74" s="128"/>
      <c r="QB74" s="128"/>
      <c r="QC74" s="128"/>
      <c r="QD74" s="128"/>
      <c r="QE74" s="128"/>
      <c r="QF74" s="128"/>
      <c r="QG74" s="128"/>
      <c r="QH74" s="128"/>
      <c r="QI74" s="128"/>
      <c r="QJ74" s="128"/>
      <c r="QK74" s="128"/>
      <c r="QL74" s="128"/>
      <c r="QM74" s="128"/>
      <c r="QN74" s="128"/>
      <c r="QO74" s="128"/>
      <c r="QP74" s="128"/>
      <c r="QQ74" s="128"/>
      <c r="QR74" s="128"/>
      <c r="QS74" s="128"/>
      <c r="QT74" s="128"/>
      <c r="QU74" s="128"/>
      <c r="QV74" s="128"/>
      <c r="QW74" s="128"/>
      <c r="QX74" s="128"/>
      <c r="QY74" s="128"/>
      <c r="QZ74" s="128"/>
      <c r="RA74" s="128"/>
      <c r="RB74" s="128"/>
      <c r="RC74" s="128"/>
      <c r="RD74" s="128"/>
      <c r="RE74" s="128"/>
      <c r="RF74" s="128"/>
      <c r="RG74" s="128"/>
      <c r="RH74" s="128"/>
      <c r="RI74" s="128"/>
      <c r="RJ74" s="128"/>
      <c r="RK74" s="128"/>
      <c r="RL74" s="128"/>
      <c r="RM74" s="128"/>
      <c r="RN74" s="128"/>
      <c r="RO74" s="128"/>
      <c r="RP74" s="128"/>
      <c r="RQ74" s="128"/>
      <c r="RR74" s="128"/>
      <c r="RS74" s="128"/>
      <c r="RT74" s="128"/>
      <c r="RU74" s="128"/>
      <c r="RV74" s="128"/>
      <c r="RW74" s="128"/>
      <c r="RX74" s="128"/>
      <c r="RY74" s="128"/>
      <c r="RZ74" s="128"/>
      <c r="SA74" s="128"/>
      <c r="SB74" s="128"/>
      <c r="SC74" s="128"/>
      <c r="SD74" s="128"/>
      <c r="SE74" s="128"/>
      <c r="SF74" s="128"/>
      <c r="SG74" s="128"/>
      <c r="SH74" s="128"/>
      <c r="SI74" s="128"/>
      <c r="SJ74" s="128"/>
      <c r="SK74" s="128"/>
      <c r="SL74" s="128"/>
      <c r="SM74" s="128"/>
      <c r="SN74" s="128"/>
      <c r="SO74" s="128"/>
      <c r="SP74" s="128"/>
      <c r="SQ74" s="128"/>
      <c r="SR74" s="128"/>
      <c r="SS74" s="128"/>
      <c r="ST74" s="128"/>
      <c r="SU74" s="128"/>
      <c r="SV74" s="128"/>
      <c r="SW74" s="128"/>
      <c r="SX74" s="128"/>
      <c r="SY74" s="128"/>
      <c r="SZ74" s="128"/>
      <c r="TA74" s="128"/>
      <c r="TB74" s="128"/>
      <c r="TC74" s="128"/>
      <c r="TD74" s="128"/>
      <c r="TE74" s="128"/>
      <c r="TF74" s="128"/>
      <c r="TG74" s="128"/>
      <c r="TH74" s="128"/>
      <c r="TI74" s="128"/>
      <c r="TJ74" s="128"/>
      <c r="TK74" s="128"/>
      <c r="TL74" s="128"/>
      <c r="TM74" s="128"/>
      <c r="TN74" s="128"/>
      <c r="TO74" s="128"/>
      <c r="TP74" s="128"/>
      <c r="TQ74" s="128"/>
      <c r="TR74" s="128"/>
      <c r="TS74" s="128"/>
      <c r="TT74" s="128"/>
      <c r="TU74" s="128"/>
      <c r="TV74" s="128"/>
      <c r="TW74" s="128"/>
      <c r="TX74" s="128"/>
      <c r="TY74" s="128"/>
      <c r="TZ74" s="128"/>
      <c r="UA74" s="128"/>
      <c r="UB74" s="128"/>
      <c r="UC74" s="128"/>
      <c r="UD74" s="128"/>
      <c r="UE74" s="128"/>
      <c r="UF74" s="128"/>
      <c r="UG74" s="128"/>
      <c r="UH74" s="128"/>
      <c r="UI74" s="128"/>
      <c r="UJ74" s="128"/>
      <c r="UK74" s="128"/>
      <c r="UL74" s="128"/>
      <c r="UM74" s="128"/>
      <c r="UN74" s="128"/>
      <c r="UO74" s="128"/>
      <c r="UP74" s="128"/>
      <c r="UQ74" s="128"/>
      <c r="UR74" s="128"/>
      <c r="US74" s="128"/>
      <c r="UT74" s="128"/>
      <c r="UU74" s="128"/>
      <c r="UV74" s="128"/>
      <c r="UW74" s="128"/>
      <c r="UX74" s="128"/>
      <c r="UY74" s="128"/>
      <c r="UZ74" s="128"/>
      <c r="VA74" s="128"/>
      <c r="VB74" s="128"/>
      <c r="VC74" s="128"/>
      <c r="VD74" s="128"/>
      <c r="VE74" s="128"/>
      <c r="VF74" s="128"/>
      <c r="VG74" s="128"/>
      <c r="VH74" s="128"/>
      <c r="VI74" s="128"/>
      <c r="VJ74" s="128"/>
      <c r="VK74" s="128"/>
      <c r="VL74" s="128"/>
      <c r="VM74" s="128"/>
      <c r="VN74" s="128"/>
      <c r="VO74" s="128"/>
      <c r="VP74" s="128"/>
      <c r="VQ74" s="128"/>
      <c r="VR74" s="128"/>
      <c r="VS74" s="128"/>
      <c r="VT74" s="128"/>
      <c r="VU74" s="128"/>
      <c r="VV74" s="128"/>
      <c r="VW74" s="128"/>
      <c r="VX74" s="128"/>
      <c r="VY74" s="128"/>
      <c r="VZ74" s="128"/>
      <c r="WA74" s="128"/>
      <c r="WB74" s="128"/>
      <c r="WC74" s="128"/>
      <c r="WD74" s="128"/>
      <c r="WE74" s="128"/>
      <c r="WF74" s="128"/>
      <c r="WG74" s="128"/>
      <c r="WH74" s="128"/>
      <c r="WI74" s="128"/>
      <c r="WJ74" s="128"/>
      <c r="WK74" s="128"/>
      <c r="WL74" s="128"/>
      <c r="WM74" s="128"/>
      <c r="WN74" s="128"/>
      <c r="WO74" s="128"/>
      <c r="WP74" s="128"/>
      <c r="WQ74" s="128"/>
      <c r="WR74" s="128"/>
      <c r="WS74" s="128"/>
      <c r="WT74" s="128"/>
      <c r="WU74" s="128"/>
      <c r="WV74" s="128"/>
      <c r="WW74" s="128"/>
      <c r="WX74" s="128"/>
      <c r="WY74" s="128"/>
      <c r="WZ74" s="128"/>
      <c r="XA74" s="128"/>
      <c r="XB74" s="128"/>
      <c r="XC74" s="128"/>
      <c r="XD74" s="128"/>
      <c r="XE74" s="128"/>
      <c r="XF74" s="128"/>
      <c r="XG74" s="128"/>
      <c r="XH74" s="128"/>
      <c r="XI74" s="128"/>
      <c r="XJ74" s="128"/>
      <c r="XK74" s="128"/>
      <c r="XL74" s="128"/>
      <c r="XM74" s="128"/>
      <c r="XN74" s="128"/>
      <c r="XO74" s="128"/>
      <c r="XP74" s="128"/>
      <c r="XQ74" s="128"/>
      <c r="XR74" s="128"/>
      <c r="XS74" s="128"/>
      <c r="XT74" s="128"/>
      <c r="XU74" s="128"/>
      <c r="XV74" s="128"/>
      <c r="XW74" s="128"/>
      <c r="XX74" s="128"/>
      <c r="XY74" s="128"/>
      <c r="XZ74" s="128"/>
      <c r="YA74" s="128"/>
      <c r="YB74" s="128"/>
      <c r="YC74" s="128"/>
      <c r="YD74" s="128"/>
      <c r="YE74" s="128"/>
      <c r="YF74" s="128"/>
      <c r="YG74" s="128"/>
      <c r="YH74" s="128"/>
      <c r="YI74" s="128"/>
      <c r="YJ74" s="128"/>
      <c r="YK74" s="128"/>
      <c r="YL74" s="128"/>
      <c r="YM74" s="128"/>
      <c r="YN74" s="128"/>
      <c r="YO74" s="128"/>
      <c r="YP74" s="128"/>
      <c r="YQ74" s="128"/>
      <c r="YR74" s="128"/>
      <c r="YS74" s="128"/>
      <c r="YT74" s="128"/>
      <c r="YU74" s="128"/>
      <c r="YV74" s="128"/>
      <c r="YW74" s="128"/>
      <c r="YX74" s="128"/>
      <c r="YY74" s="128"/>
      <c r="YZ74" s="128"/>
      <c r="ZA74" s="128"/>
      <c r="ZB74" s="128"/>
      <c r="ZC74" s="128"/>
      <c r="ZD74" s="128"/>
      <c r="ZE74" s="128"/>
      <c r="ZF74" s="128"/>
      <c r="ZG74" s="128"/>
      <c r="ZH74" s="128"/>
      <c r="ZI74" s="128"/>
      <c r="ZJ74" s="128"/>
      <c r="ZK74" s="128"/>
      <c r="ZL74" s="128"/>
      <c r="ZM74" s="128"/>
      <c r="ZN74" s="128"/>
      <c r="ZO74" s="128"/>
      <c r="ZP74" s="128"/>
      <c r="ZQ74" s="128"/>
      <c r="ZR74" s="128"/>
      <c r="ZS74" s="128"/>
      <c r="ZT74" s="128"/>
      <c r="ZU74" s="128"/>
      <c r="ZV74" s="128"/>
      <c r="ZW74" s="128"/>
      <c r="ZX74" s="128"/>
      <c r="ZY74" s="128"/>
      <c r="ZZ74" s="128"/>
      <c r="AAA74" s="128"/>
      <c r="AAB74" s="128"/>
      <c r="AAC74" s="128"/>
      <c r="AAD74" s="128"/>
      <c r="AAE74" s="128"/>
      <c r="AAF74" s="128"/>
      <c r="AAG74" s="128"/>
      <c r="AAH74" s="128"/>
      <c r="AAI74" s="128"/>
      <c r="AAJ74" s="128"/>
      <c r="AAK74" s="128"/>
      <c r="AAL74" s="128"/>
      <c r="AAM74" s="128"/>
      <c r="AAN74" s="128"/>
      <c r="AAO74" s="128"/>
      <c r="AAP74" s="128"/>
      <c r="AAQ74" s="128"/>
      <c r="AAR74" s="128"/>
      <c r="AAS74" s="128"/>
      <c r="AAT74" s="128"/>
      <c r="AAU74" s="128"/>
      <c r="AAV74" s="128"/>
      <c r="AAW74" s="128"/>
      <c r="AAX74" s="128"/>
      <c r="AAY74" s="128"/>
      <c r="AAZ74" s="128"/>
      <c r="ABA74" s="128"/>
      <c r="ABB74" s="128"/>
      <c r="ABC74" s="128"/>
      <c r="ABD74" s="128"/>
      <c r="ABE74" s="128"/>
      <c r="ABF74" s="128"/>
      <c r="ABG74" s="128"/>
      <c r="ABH74" s="128"/>
      <c r="ABI74" s="128"/>
      <c r="ABJ74" s="128"/>
      <c r="ABK74" s="128"/>
      <c r="ABL74" s="128"/>
      <c r="ABM74" s="128"/>
      <c r="ABN74" s="128"/>
      <c r="ABO74" s="128"/>
      <c r="ABP74" s="128"/>
      <c r="ABQ74" s="128"/>
      <c r="ABR74" s="128"/>
      <c r="ABS74" s="128"/>
      <c r="ABT74" s="128"/>
      <c r="ABU74" s="128"/>
      <c r="ABV74" s="128"/>
      <c r="ABW74" s="128"/>
      <c r="ABX74" s="128"/>
      <c r="ABY74" s="128"/>
      <c r="ABZ74" s="128"/>
      <c r="ACA74" s="128"/>
      <c r="ACB74" s="128"/>
      <c r="ACC74" s="128"/>
      <c r="ACD74" s="128"/>
      <c r="ACE74" s="128"/>
      <c r="ACF74" s="128"/>
      <c r="ACG74" s="128"/>
      <c r="ACH74" s="128"/>
      <c r="ACI74" s="128"/>
      <c r="ACJ74" s="128"/>
      <c r="ACK74" s="128"/>
      <c r="ACL74" s="128"/>
      <c r="ACM74" s="128"/>
      <c r="ACN74" s="128"/>
      <c r="ACO74" s="128"/>
      <c r="ACP74" s="128"/>
      <c r="ACQ74" s="128"/>
      <c r="ACR74" s="128"/>
      <c r="ACS74" s="128"/>
      <c r="ACT74" s="128"/>
      <c r="ACU74" s="128"/>
      <c r="ACV74" s="128"/>
      <c r="ACW74" s="128"/>
      <c r="ACX74" s="128"/>
      <c r="ACY74" s="128"/>
      <c r="ACZ74" s="128"/>
      <c r="ADA74" s="128"/>
      <c r="ADB74" s="128"/>
      <c r="ADC74" s="128"/>
      <c r="ADD74" s="128"/>
      <c r="ADE74" s="128"/>
      <c r="ADF74" s="128"/>
      <c r="ADG74" s="128"/>
      <c r="ADH74" s="128"/>
      <c r="ADI74" s="128"/>
      <c r="ADJ74" s="128"/>
      <c r="ADK74" s="128"/>
      <c r="ADL74" s="128"/>
      <c r="ADM74" s="128"/>
      <c r="ADN74" s="128"/>
      <c r="ADO74" s="128"/>
      <c r="ADP74" s="128"/>
      <c r="ADQ74" s="128"/>
      <c r="ADR74" s="128"/>
      <c r="ADS74" s="128"/>
      <c r="ADT74" s="128"/>
      <c r="ADU74" s="128"/>
      <c r="ADV74" s="128"/>
      <c r="ADW74" s="128"/>
      <c r="ADX74" s="128"/>
      <c r="ADY74" s="128"/>
      <c r="ADZ74" s="128"/>
      <c r="AEA74" s="128"/>
      <c r="AEB74" s="128"/>
      <c r="AEC74" s="128"/>
      <c r="AED74" s="128"/>
      <c r="AEE74" s="128"/>
      <c r="AEF74" s="128"/>
      <c r="AEG74" s="128"/>
      <c r="AEH74" s="128"/>
      <c r="AEI74" s="128"/>
      <c r="AEJ74" s="128"/>
      <c r="AEK74" s="128"/>
      <c r="AEL74" s="128"/>
      <c r="AEM74" s="128"/>
      <c r="AEN74" s="128"/>
      <c r="AEO74" s="128"/>
      <c r="AEP74" s="128"/>
      <c r="AEQ74" s="128"/>
      <c r="AER74" s="128"/>
      <c r="AES74" s="128"/>
      <c r="AET74" s="128"/>
      <c r="AEU74" s="128"/>
      <c r="AEV74" s="128"/>
      <c r="AEW74" s="128"/>
      <c r="AEX74" s="128"/>
      <c r="AEY74" s="128"/>
      <c r="AEZ74" s="128"/>
      <c r="AFA74" s="128"/>
      <c r="AFB74" s="128"/>
      <c r="AFC74" s="128"/>
      <c r="AFD74" s="128"/>
      <c r="AFE74" s="128"/>
      <c r="AFF74" s="128"/>
      <c r="AFG74" s="128"/>
      <c r="AFH74" s="128"/>
      <c r="AFI74" s="128"/>
      <c r="AFJ74" s="128"/>
      <c r="AFK74" s="128"/>
      <c r="AFL74" s="128"/>
      <c r="AFM74" s="128"/>
      <c r="AFN74" s="128"/>
      <c r="AFO74" s="128"/>
      <c r="AFP74" s="128"/>
      <c r="AFQ74" s="128"/>
      <c r="AFR74" s="128"/>
      <c r="AFS74" s="128"/>
      <c r="AFT74" s="128"/>
      <c r="AFU74" s="128"/>
      <c r="AFV74" s="128"/>
      <c r="AFW74" s="128"/>
      <c r="AFX74" s="128"/>
      <c r="AFY74" s="128"/>
      <c r="AFZ74" s="128"/>
      <c r="AGA74" s="128"/>
      <c r="AGB74" s="128"/>
      <c r="AGC74" s="128"/>
      <c r="AGD74" s="128"/>
      <c r="AGE74" s="128"/>
      <c r="AGF74" s="128"/>
      <c r="AGG74" s="128"/>
      <c r="AGH74" s="128"/>
      <c r="AGI74" s="128"/>
      <c r="AGJ74" s="128"/>
      <c r="AGK74" s="128"/>
      <c r="AGL74" s="128"/>
      <c r="AGM74" s="128"/>
      <c r="AGN74" s="128"/>
      <c r="AGO74" s="128"/>
      <c r="AGP74" s="128"/>
      <c r="AGQ74" s="128"/>
      <c r="AGR74" s="128"/>
      <c r="AGS74" s="128"/>
      <c r="AGT74" s="128"/>
      <c r="AGU74" s="128"/>
      <c r="AGV74" s="128"/>
      <c r="AGW74" s="128"/>
      <c r="AGX74" s="128"/>
      <c r="AGY74" s="128"/>
      <c r="AGZ74" s="128"/>
      <c r="AHA74" s="128"/>
      <c r="AHB74" s="128"/>
      <c r="AHC74" s="128"/>
      <c r="AHD74" s="128"/>
      <c r="AHE74" s="128"/>
      <c r="AHF74" s="128"/>
      <c r="AHG74" s="128"/>
      <c r="AHH74" s="128"/>
      <c r="AHI74" s="128"/>
      <c r="AHJ74" s="128"/>
      <c r="AHK74" s="128"/>
      <c r="AHL74" s="128"/>
      <c r="AHM74" s="128"/>
      <c r="AHN74" s="128"/>
      <c r="AHO74" s="128"/>
      <c r="AHP74" s="128"/>
      <c r="AHQ74" s="128"/>
      <c r="AHR74" s="128"/>
      <c r="AHS74" s="128"/>
      <c r="AHT74" s="128"/>
      <c r="AHU74" s="128"/>
      <c r="AHV74" s="128"/>
      <c r="AHW74" s="128"/>
      <c r="AHX74" s="128"/>
      <c r="AHY74" s="128"/>
      <c r="AHZ74" s="128"/>
      <c r="AIA74" s="128"/>
      <c r="AIB74" s="128"/>
      <c r="AIC74" s="128"/>
      <c r="AID74" s="128"/>
      <c r="AIE74" s="128"/>
      <c r="AIF74" s="128"/>
      <c r="AIG74" s="128"/>
      <c r="AIH74" s="128"/>
      <c r="AII74" s="128"/>
      <c r="AIJ74" s="128"/>
      <c r="AIK74" s="128"/>
      <c r="AIL74" s="128"/>
      <c r="AIM74" s="128"/>
      <c r="AIN74" s="128"/>
      <c r="AIO74" s="128"/>
      <c r="AIP74" s="128"/>
      <c r="AIQ74" s="128"/>
      <c r="AIR74" s="128"/>
      <c r="AIS74" s="128"/>
      <c r="AIT74" s="128"/>
      <c r="AIU74" s="128"/>
      <c r="AIV74" s="128"/>
      <c r="AIW74" s="128"/>
      <c r="AIX74" s="128"/>
      <c r="AIY74" s="128"/>
      <c r="AIZ74" s="128"/>
      <c r="AJA74" s="128"/>
      <c r="AJB74" s="128"/>
      <c r="AJC74" s="128"/>
      <c r="AJD74" s="128"/>
      <c r="AJE74" s="128"/>
      <c r="AJF74" s="128"/>
      <c r="AJG74" s="128"/>
      <c r="AJH74" s="128"/>
      <c r="AJI74" s="128"/>
      <c r="AJJ74" s="128"/>
      <c r="AJK74" s="128"/>
      <c r="AJL74" s="128"/>
      <c r="AJM74" s="128"/>
      <c r="AJN74" s="128"/>
      <c r="AJO74" s="128"/>
      <c r="AJP74" s="128"/>
      <c r="AJQ74" s="128"/>
      <c r="AJR74" s="128"/>
      <c r="AJS74" s="128"/>
      <c r="AJT74" s="128"/>
      <c r="AJU74" s="128"/>
      <c r="AJV74" s="128"/>
      <c r="AJW74" s="128"/>
      <c r="AJX74" s="128"/>
      <c r="AJY74" s="128"/>
      <c r="AJZ74" s="128"/>
      <c r="AKA74" s="128"/>
      <c r="AKB74" s="128"/>
      <c r="AKC74" s="128"/>
      <c r="AKD74" s="128"/>
      <c r="AKE74" s="128"/>
      <c r="AKF74" s="128"/>
      <c r="AKG74" s="128"/>
      <c r="AKH74" s="128"/>
      <c r="AKI74" s="128"/>
      <c r="AKJ74" s="128"/>
      <c r="AKK74" s="128"/>
      <c r="AKL74" s="128"/>
      <c r="AKM74" s="128"/>
      <c r="AKN74" s="128"/>
      <c r="AKO74" s="128"/>
      <c r="AKP74" s="128"/>
      <c r="AKQ74" s="128"/>
      <c r="AKR74" s="128"/>
      <c r="AKS74" s="128"/>
      <c r="AKT74" s="128"/>
      <c r="AKU74" s="128"/>
      <c r="AKV74" s="128"/>
      <c r="AKW74" s="128"/>
      <c r="AKX74" s="128"/>
      <c r="AKY74" s="128"/>
      <c r="AKZ74" s="128"/>
      <c r="ALA74" s="128"/>
      <c r="ALB74" s="128"/>
      <c r="ALC74" s="128"/>
      <c r="ALD74" s="128"/>
      <c r="ALE74" s="128"/>
      <c r="ALF74" s="128"/>
      <c r="ALG74" s="128"/>
      <c r="ALH74" s="128"/>
      <c r="ALI74" s="128"/>
      <c r="ALJ74" s="128"/>
      <c r="ALK74" s="128"/>
      <c r="ALL74" s="128"/>
      <c r="ALM74" s="128"/>
      <c r="ALN74" s="128"/>
      <c r="ALO74" s="128"/>
      <c r="ALP74" s="128"/>
      <c r="ALQ74" s="128"/>
      <c r="ALR74" s="128"/>
      <c r="ALS74"/>
      <c r="ALT74"/>
      <c r="ALU74"/>
    </row>
    <row r="75" spans="1:1009" s="96" customFormat="1" ht="12" customHeight="1">
      <c r="A75" s="136"/>
      <c r="B75" s="136"/>
      <c r="C75" s="136"/>
      <c r="D75" s="136"/>
      <c r="E75" s="136"/>
      <c r="F75" s="136"/>
      <c r="I75" s="225"/>
      <c r="J75" s="159"/>
      <c r="L75" s="173"/>
      <c r="N75" s="277"/>
      <c r="R75"/>
      <c r="S75" s="179"/>
      <c r="U75" s="159"/>
      <c r="X75"/>
      <c r="Y75" s="128"/>
      <c r="Z75" s="128"/>
      <c r="AA75" s="128"/>
      <c r="AB75" s="128"/>
      <c r="AC75" s="128"/>
      <c r="AD75" s="128"/>
      <c r="AE75" s="128"/>
      <c r="AF75" s="128"/>
      <c r="AG75" s="128"/>
      <c r="AH75" s="128"/>
      <c r="AI75" s="128"/>
      <c r="AJ75" s="128"/>
      <c r="AK75" s="128"/>
      <c r="AL75" s="128"/>
      <c r="AM75" s="128"/>
      <c r="AN75" s="128"/>
      <c r="AO75" s="128"/>
      <c r="AP75" s="128"/>
      <c r="AQ75" s="128"/>
      <c r="AR75" s="128"/>
      <c r="AS75" s="128"/>
      <c r="AT75" s="128"/>
      <c r="AU75" s="128"/>
      <c r="AV75" s="128"/>
      <c r="AW75" s="128"/>
      <c r="AX75" s="128"/>
      <c r="AY75" s="128"/>
      <c r="AZ75" s="128"/>
      <c r="BA75" s="128"/>
      <c r="BB75" s="128"/>
      <c r="BC75" s="128"/>
      <c r="BD75" s="128"/>
      <c r="BE75" s="128"/>
      <c r="BF75" s="128"/>
      <c r="BG75" s="128"/>
      <c r="BH75" s="128"/>
      <c r="BI75" s="128"/>
      <c r="BJ75" s="128"/>
      <c r="BK75" s="128"/>
      <c r="BL75" s="128"/>
      <c r="BM75" s="128"/>
      <c r="BN75" s="128"/>
      <c r="BO75" s="128"/>
      <c r="BP75" s="128"/>
      <c r="BQ75" s="128"/>
      <c r="BR75" s="128"/>
      <c r="BS75" s="128"/>
      <c r="BT75" s="128"/>
      <c r="BU75" s="128"/>
      <c r="BV75" s="128"/>
      <c r="BW75" s="128"/>
      <c r="BX75" s="128"/>
      <c r="BY75" s="128"/>
      <c r="BZ75" s="128"/>
      <c r="CA75" s="128"/>
      <c r="CB75" s="128"/>
      <c r="CC75" s="128"/>
      <c r="CD75" s="128"/>
      <c r="CE75" s="128"/>
      <c r="CF75" s="128"/>
      <c r="CG75" s="128"/>
      <c r="CH75" s="128"/>
      <c r="CI75" s="128"/>
      <c r="CJ75" s="128"/>
      <c r="CK75" s="128"/>
      <c r="CL75" s="128"/>
      <c r="CM75" s="128"/>
      <c r="CN75" s="128"/>
      <c r="CO75" s="128"/>
      <c r="CP75" s="128"/>
      <c r="CQ75" s="128"/>
      <c r="CR75" s="128"/>
      <c r="CS75" s="128"/>
      <c r="CT75" s="128"/>
      <c r="CU75" s="128"/>
      <c r="CV75" s="128"/>
      <c r="CW75" s="128"/>
      <c r="CX75" s="128"/>
      <c r="CY75" s="128"/>
      <c r="CZ75" s="128"/>
      <c r="DA75" s="128"/>
      <c r="DB75" s="128"/>
      <c r="DC75" s="128"/>
      <c r="DD75" s="128"/>
      <c r="DE75" s="128"/>
      <c r="DF75" s="128"/>
      <c r="DG75" s="128"/>
      <c r="DH75" s="128"/>
      <c r="DI75" s="128"/>
      <c r="DJ75" s="128"/>
      <c r="DK75" s="128"/>
      <c r="DL75" s="128"/>
      <c r="DM75" s="128"/>
      <c r="DN75" s="128"/>
      <c r="DO75" s="128"/>
      <c r="DP75" s="128"/>
      <c r="DQ75" s="128"/>
      <c r="DR75" s="128"/>
      <c r="DS75" s="128"/>
      <c r="DT75" s="128"/>
      <c r="DU75" s="128"/>
      <c r="DV75" s="128"/>
      <c r="DW75" s="128"/>
      <c r="DX75" s="128"/>
      <c r="DY75" s="128"/>
      <c r="DZ75" s="128"/>
      <c r="EA75" s="128"/>
      <c r="EB75" s="128"/>
      <c r="EC75" s="128"/>
      <c r="ED75" s="128"/>
      <c r="EE75" s="128"/>
      <c r="EF75" s="128"/>
      <c r="EG75" s="128"/>
      <c r="EH75" s="128"/>
      <c r="EI75" s="128"/>
      <c r="EJ75" s="128"/>
      <c r="EK75" s="128"/>
      <c r="EL75" s="128"/>
      <c r="EM75" s="128"/>
      <c r="EN75" s="128"/>
      <c r="EO75" s="128"/>
      <c r="EP75" s="128"/>
      <c r="EQ75" s="128"/>
      <c r="ER75" s="128"/>
      <c r="ES75" s="128"/>
      <c r="ET75" s="128"/>
      <c r="EU75" s="128"/>
      <c r="EV75" s="128"/>
      <c r="EW75" s="128"/>
      <c r="EX75" s="128"/>
      <c r="EY75" s="128"/>
      <c r="EZ75" s="128"/>
      <c r="FA75" s="128"/>
      <c r="FB75" s="128"/>
      <c r="FC75" s="128"/>
      <c r="FD75" s="128"/>
      <c r="FE75" s="128"/>
      <c r="FF75" s="128"/>
      <c r="FG75" s="128"/>
      <c r="FH75" s="128"/>
      <c r="FI75" s="128"/>
      <c r="FJ75" s="128"/>
      <c r="FK75" s="128"/>
      <c r="FL75" s="128"/>
      <c r="FM75" s="128"/>
      <c r="FN75" s="128"/>
      <c r="FO75" s="128"/>
      <c r="FP75" s="128"/>
      <c r="FQ75" s="128"/>
      <c r="FR75" s="128"/>
      <c r="FS75" s="128"/>
      <c r="FT75" s="128"/>
      <c r="FU75" s="128"/>
      <c r="FV75" s="128"/>
      <c r="FW75" s="128"/>
      <c r="FX75" s="128"/>
      <c r="FY75" s="128"/>
      <c r="FZ75" s="128"/>
      <c r="GA75" s="128"/>
      <c r="GB75" s="128"/>
      <c r="GC75" s="128"/>
      <c r="GD75" s="128"/>
      <c r="GE75" s="128"/>
      <c r="GF75" s="128"/>
      <c r="GG75" s="128"/>
      <c r="GH75" s="128"/>
      <c r="GI75" s="128"/>
      <c r="GJ75" s="128"/>
      <c r="GK75" s="128"/>
      <c r="GL75" s="128"/>
      <c r="GM75" s="128"/>
      <c r="GN75" s="128"/>
      <c r="GO75" s="128"/>
      <c r="GP75" s="128"/>
      <c r="GQ75" s="128"/>
      <c r="GR75" s="128"/>
      <c r="GS75" s="128"/>
      <c r="GT75" s="128"/>
      <c r="GU75" s="128"/>
      <c r="GV75" s="128"/>
      <c r="GW75" s="128"/>
      <c r="GX75" s="128"/>
      <c r="GY75" s="128"/>
      <c r="GZ75" s="128"/>
      <c r="HA75" s="128"/>
      <c r="HB75" s="128"/>
      <c r="HC75" s="128"/>
      <c r="HD75" s="128"/>
      <c r="HE75" s="128"/>
      <c r="HF75" s="128"/>
      <c r="HG75" s="128"/>
      <c r="HH75" s="128"/>
      <c r="HI75" s="128"/>
      <c r="HJ75" s="128"/>
      <c r="HK75" s="128"/>
      <c r="HL75" s="128"/>
      <c r="HM75" s="128"/>
      <c r="HN75" s="128"/>
      <c r="HO75" s="128"/>
      <c r="HP75" s="128"/>
      <c r="HQ75" s="128"/>
      <c r="HR75" s="128"/>
      <c r="HS75" s="128"/>
      <c r="HT75" s="128"/>
      <c r="HU75" s="128"/>
      <c r="HV75" s="128"/>
      <c r="HW75" s="128"/>
      <c r="HX75" s="128"/>
      <c r="HY75" s="128"/>
      <c r="HZ75" s="128"/>
      <c r="IA75" s="128"/>
      <c r="IB75" s="128"/>
      <c r="IC75" s="128"/>
      <c r="ID75" s="128"/>
      <c r="IE75" s="128"/>
      <c r="IF75" s="128"/>
      <c r="IG75" s="128"/>
      <c r="IH75" s="128"/>
      <c r="II75" s="128"/>
      <c r="IJ75" s="128"/>
      <c r="IK75" s="128"/>
      <c r="IL75" s="128"/>
      <c r="IM75" s="128"/>
      <c r="IN75" s="128"/>
      <c r="IO75" s="128"/>
      <c r="IP75" s="128"/>
      <c r="IQ75" s="128"/>
      <c r="IR75" s="128"/>
      <c r="IS75" s="128"/>
      <c r="IT75" s="128"/>
      <c r="IU75" s="128"/>
      <c r="IV75" s="128"/>
      <c r="IW75" s="128"/>
      <c r="IX75" s="128"/>
      <c r="IY75" s="128"/>
      <c r="IZ75" s="128"/>
      <c r="JA75" s="128"/>
      <c r="JB75" s="128"/>
      <c r="JC75" s="128"/>
      <c r="JD75" s="128"/>
      <c r="JE75" s="128"/>
      <c r="JF75" s="128"/>
      <c r="JG75" s="128"/>
      <c r="JH75" s="128"/>
      <c r="JI75" s="128"/>
      <c r="JJ75" s="128"/>
      <c r="JK75" s="128"/>
      <c r="JL75" s="128"/>
      <c r="JM75" s="128"/>
      <c r="JN75" s="128"/>
      <c r="JO75" s="128"/>
      <c r="JP75" s="128"/>
      <c r="JQ75" s="128"/>
      <c r="JR75" s="128"/>
      <c r="JS75" s="128"/>
      <c r="JT75" s="128"/>
      <c r="JU75" s="128"/>
      <c r="JV75" s="128"/>
      <c r="JW75" s="128"/>
      <c r="JX75" s="128"/>
      <c r="JY75" s="128"/>
      <c r="JZ75" s="128"/>
      <c r="KA75" s="128"/>
      <c r="KB75" s="128"/>
      <c r="KC75" s="128"/>
      <c r="KD75" s="128"/>
      <c r="KE75" s="128"/>
      <c r="KF75" s="128"/>
      <c r="KG75" s="128"/>
      <c r="KH75" s="128"/>
      <c r="KI75" s="128"/>
      <c r="KJ75" s="128"/>
      <c r="KK75" s="128"/>
      <c r="KL75" s="128"/>
      <c r="KM75" s="128"/>
      <c r="KN75" s="128"/>
      <c r="KO75" s="128"/>
      <c r="KP75" s="128"/>
      <c r="KQ75" s="128"/>
      <c r="KR75" s="128"/>
      <c r="KS75" s="128"/>
      <c r="KT75" s="128"/>
      <c r="KU75" s="128"/>
      <c r="KV75" s="128"/>
      <c r="KW75" s="128"/>
      <c r="KX75" s="128"/>
      <c r="KY75" s="128"/>
      <c r="KZ75" s="128"/>
      <c r="LA75" s="128"/>
      <c r="LB75" s="128"/>
      <c r="LC75" s="128"/>
      <c r="LD75" s="128"/>
      <c r="LE75" s="128"/>
      <c r="LF75" s="128"/>
      <c r="LG75" s="128"/>
      <c r="LH75" s="128"/>
      <c r="LI75" s="128"/>
      <c r="LJ75" s="128"/>
      <c r="LK75" s="128"/>
      <c r="LL75" s="128"/>
      <c r="LM75" s="128"/>
      <c r="LN75" s="128"/>
      <c r="LO75" s="128"/>
      <c r="LP75" s="128"/>
      <c r="LQ75" s="128"/>
      <c r="LR75" s="128"/>
      <c r="LS75" s="128"/>
      <c r="LT75" s="128"/>
      <c r="LU75" s="128"/>
      <c r="LV75" s="128"/>
      <c r="LW75" s="128"/>
      <c r="LX75" s="128"/>
      <c r="LY75" s="128"/>
      <c r="LZ75" s="128"/>
      <c r="MA75" s="128"/>
      <c r="MB75" s="128"/>
      <c r="MC75" s="128"/>
      <c r="MD75" s="128"/>
      <c r="ME75" s="128"/>
      <c r="MF75" s="128"/>
      <c r="MG75" s="128"/>
      <c r="MH75" s="128"/>
      <c r="MI75" s="128"/>
      <c r="MJ75" s="128"/>
      <c r="MK75" s="128"/>
      <c r="ML75" s="128"/>
      <c r="MM75" s="128"/>
      <c r="MN75" s="128"/>
      <c r="MO75" s="128"/>
      <c r="MP75" s="128"/>
      <c r="MQ75" s="128"/>
      <c r="MR75" s="128"/>
      <c r="MS75" s="128"/>
      <c r="MT75" s="128"/>
      <c r="MU75" s="128"/>
      <c r="MV75" s="128"/>
      <c r="MW75" s="128"/>
      <c r="MX75" s="128"/>
      <c r="MY75" s="128"/>
      <c r="MZ75" s="128"/>
      <c r="NA75" s="128"/>
      <c r="NB75" s="128"/>
      <c r="NC75" s="128"/>
      <c r="ND75" s="128"/>
      <c r="NE75" s="128"/>
      <c r="NF75" s="128"/>
      <c r="NG75" s="128"/>
      <c r="NH75" s="128"/>
      <c r="NI75" s="128"/>
      <c r="NJ75" s="128"/>
      <c r="NK75" s="128"/>
      <c r="NL75" s="128"/>
      <c r="NM75" s="128"/>
      <c r="NN75" s="128"/>
      <c r="NO75" s="128"/>
      <c r="NP75" s="128"/>
      <c r="NQ75" s="128"/>
      <c r="NR75" s="128"/>
      <c r="NS75" s="128"/>
      <c r="NT75" s="128"/>
      <c r="NU75" s="128"/>
      <c r="NV75" s="128"/>
      <c r="NW75" s="128"/>
      <c r="NX75" s="128"/>
      <c r="NY75" s="128"/>
      <c r="NZ75" s="128"/>
      <c r="OA75" s="128"/>
      <c r="OB75" s="128"/>
      <c r="OC75" s="128"/>
      <c r="OD75" s="128"/>
      <c r="OE75" s="128"/>
      <c r="OF75" s="128"/>
      <c r="OG75" s="128"/>
      <c r="OH75" s="128"/>
      <c r="OI75" s="128"/>
      <c r="OJ75" s="128"/>
      <c r="OK75" s="128"/>
      <c r="OL75" s="128"/>
      <c r="OM75" s="128"/>
      <c r="ON75" s="128"/>
      <c r="OO75" s="128"/>
      <c r="OP75" s="128"/>
      <c r="OQ75" s="128"/>
      <c r="OR75" s="128"/>
      <c r="OS75" s="128"/>
      <c r="OT75" s="128"/>
      <c r="OU75" s="128"/>
      <c r="OV75" s="128"/>
      <c r="OW75" s="128"/>
      <c r="OX75" s="128"/>
      <c r="OY75" s="128"/>
      <c r="OZ75" s="128"/>
      <c r="PA75" s="128"/>
      <c r="PB75" s="128"/>
      <c r="PC75" s="128"/>
      <c r="PD75" s="128"/>
      <c r="PE75" s="128"/>
      <c r="PF75" s="128"/>
      <c r="PG75" s="128"/>
      <c r="PH75" s="128"/>
      <c r="PI75" s="128"/>
      <c r="PJ75" s="128"/>
      <c r="PK75" s="128"/>
      <c r="PL75" s="128"/>
      <c r="PM75" s="128"/>
      <c r="PN75" s="128"/>
      <c r="PO75" s="128"/>
      <c r="PP75" s="128"/>
      <c r="PQ75" s="128"/>
      <c r="PR75" s="128"/>
      <c r="PS75" s="128"/>
      <c r="PT75" s="128"/>
      <c r="PU75" s="128"/>
      <c r="PV75" s="128"/>
      <c r="PW75" s="128"/>
      <c r="PX75" s="128"/>
      <c r="PY75" s="128"/>
      <c r="PZ75" s="128"/>
      <c r="QA75" s="128"/>
      <c r="QB75" s="128"/>
      <c r="QC75" s="128"/>
      <c r="QD75" s="128"/>
      <c r="QE75" s="128"/>
      <c r="QF75" s="128"/>
      <c r="QG75" s="128"/>
      <c r="QH75" s="128"/>
      <c r="QI75" s="128"/>
      <c r="QJ75" s="128"/>
      <c r="QK75" s="128"/>
      <c r="QL75" s="128"/>
      <c r="QM75" s="128"/>
      <c r="QN75" s="128"/>
      <c r="QO75" s="128"/>
      <c r="QP75" s="128"/>
      <c r="QQ75" s="128"/>
      <c r="QR75" s="128"/>
      <c r="QS75" s="128"/>
      <c r="QT75" s="128"/>
      <c r="QU75" s="128"/>
      <c r="QV75" s="128"/>
      <c r="QW75" s="128"/>
      <c r="QX75" s="128"/>
      <c r="QY75" s="128"/>
      <c r="QZ75" s="128"/>
      <c r="RA75" s="128"/>
      <c r="RB75" s="128"/>
      <c r="RC75" s="128"/>
      <c r="RD75" s="128"/>
      <c r="RE75" s="128"/>
      <c r="RF75" s="128"/>
      <c r="RG75" s="128"/>
      <c r="RH75" s="128"/>
      <c r="RI75" s="128"/>
      <c r="RJ75" s="128"/>
      <c r="RK75" s="128"/>
      <c r="RL75" s="128"/>
      <c r="RM75" s="128"/>
      <c r="RN75" s="128"/>
      <c r="RO75" s="128"/>
      <c r="RP75" s="128"/>
      <c r="RQ75" s="128"/>
      <c r="RR75" s="128"/>
      <c r="RS75" s="128"/>
      <c r="RT75" s="128"/>
      <c r="RU75" s="128"/>
      <c r="RV75" s="128"/>
      <c r="RW75" s="128"/>
      <c r="RX75" s="128"/>
      <c r="RY75" s="128"/>
      <c r="RZ75" s="128"/>
      <c r="SA75" s="128"/>
      <c r="SB75" s="128"/>
      <c r="SC75" s="128"/>
      <c r="SD75" s="128"/>
      <c r="SE75" s="128"/>
      <c r="SF75" s="128"/>
      <c r="SG75" s="128"/>
      <c r="SH75" s="128"/>
      <c r="SI75" s="128"/>
      <c r="SJ75" s="128"/>
      <c r="SK75" s="128"/>
      <c r="SL75" s="128"/>
      <c r="SM75" s="128"/>
      <c r="SN75" s="128"/>
      <c r="SO75" s="128"/>
      <c r="SP75" s="128"/>
      <c r="SQ75" s="128"/>
      <c r="SR75" s="128"/>
      <c r="SS75" s="128"/>
      <c r="ST75" s="128"/>
      <c r="SU75" s="128"/>
      <c r="SV75" s="128"/>
      <c r="SW75" s="128"/>
      <c r="SX75" s="128"/>
      <c r="SY75" s="128"/>
      <c r="SZ75" s="128"/>
      <c r="TA75" s="128"/>
      <c r="TB75" s="128"/>
      <c r="TC75" s="128"/>
      <c r="TD75" s="128"/>
      <c r="TE75" s="128"/>
      <c r="TF75" s="128"/>
      <c r="TG75" s="128"/>
      <c r="TH75" s="128"/>
      <c r="TI75" s="128"/>
      <c r="TJ75" s="128"/>
      <c r="TK75" s="128"/>
      <c r="TL75" s="128"/>
      <c r="TM75" s="128"/>
      <c r="TN75" s="128"/>
      <c r="TO75" s="128"/>
      <c r="TP75" s="128"/>
      <c r="TQ75" s="128"/>
      <c r="TR75" s="128"/>
      <c r="TS75" s="128"/>
      <c r="TT75" s="128"/>
      <c r="TU75" s="128"/>
      <c r="TV75" s="128"/>
      <c r="TW75" s="128"/>
      <c r="TX75" s="128"/>
      <c r="TY75" s="128"/>
      <c r="TZ75" s="128"/>
      <c r="UA75" s="128"/>
      <c r="UB75" s="128"/>
      <c r="UC75" s="128"/>
      <c r="UD75" s="128"/>
      <c r="UE75" s="128"/>
      <c r="UF75" s="128"/>
      <c r="UG75" s="128"/>
      <c r="UH75" s="128"/>
      <c r="UI75" s="128"/>
      <c r="UJ75" s="128"/>
      <c r="UK75" s="128"/>
      <c r="UL75" s="128"/>
      <c r="UM75" s="128"/>
      <c r="UN75" s="128"/>
      <c r="UO75" s="128"/>
      <c r="UP75" s="128"/>
      <c r="UQ75" s="128"/>
      <c r="UR75" s="128"/>
      <c r="US75" s="128"/>
      <c r="UT75" s="128"/>
      <c r="UU75" s="128"/>
      <c r="UV75" s="128"/>
      <c r="UW75" s="128"/>
      <c r="UX75" s="128"/>
      <c r="UY75" s="128"/>
      <c r="UZ75" s="128"/>
      <c r="VA75" s="128"/>
      <c r="VB75" s="128"/>
      <c r="VC75" s="128"/>
      <c r="VD75" s="128"/>
      <c r="VE75" s="128"/>
      <c r="VF75" s="128"/>
      <c r="VG75" s="128"/>
      <c r="VH75" s="128"/>
      <c r="VI75" s="128"/>
      <c r="VJ75" s="128"/>
      <c r="VK75" s="128"/>
      <c r="VL75" s="128"/>
      <c r="VM75" s="128"/>
      <c r="VN75" s="128"/>
      <c r="VO75" s="128"/>
      <c r="VP75" s="128"/>
      <c r="VQ75" s="128"/>
      <c r="VR75" s="128"/>
      <c r="VS75" s="128"/>
      <c r="VT75" s="128"/>
      <c r="VU75" s="128"/>
      <c r="VV75" s="128"/>
      <c r="VW75" s="128"/>
      <c r="VX75" s="128"/>
      <c r="VY75" s="128"/>
      <c r="VZ75" s="128"/>
      <c r="WA75" s="128"/>
      <c r="WB75" s="128"/>
      <c r="WC75" s="128"/>
      <c r="WD75" s="128"/>
      <c r="WE75" s="128"/>
      <c r="WF75" s="128"/>
      <c r="WG75" s="128"/>
      <c r="WH75" s="128"/>
      <c r="WI75" s="128"/>
      <c r="WJ75" s="128"/>
      <c r="WK75" s="128"/>
      <c r="WL75" s="128"/>
      <c r="WM75" s="128"/>
      <c r="WN75" s="128"/>
      <c r="WO75" s="128"/>
      <c r="WP75" s="128"/>
      <c r="WQ75" s="128"/>
      <c r="WR75" s="128"/>
      <c r="WS75" s="128"/>
      <c r="WT75" s="128"/>
      <c r="WU75" s="128"/>
      <c r="WV75" s="128"/>
      <c r="WW75" s="128"/>
      <c r="WX75" s="128"/>
      <c r="WY75" s="128"/>
      <c r="WZ75" s="128"/>
      <c r="XA75" s="128"/>
      <c r="XB75" s="128"/>
      <c r="XC75" s="128"/>
      <c r="XD75" s="128"/>
      <c r="XE75" s="128"/>
      <c r="XF75" s="128"/>
      <c r="XG75" s="128"/>
      <c r="XH75" s="128"/>
      <c r="XI75" s="128"/>
      <c r="XJ75" s="128"/>
      <c r="XK75" s="128"/>
      <c r="XL75" s="128"/>
      <c r="XM75" s="128"/>
      <c r="XN75" s="128"/>
      <c r="XO75" s="128"/>
      <c r="XP75" s="128"/>
      <c r="XQ75" s="128"/>
      <c r="XR75" s="128"/>
      <c r="XS75" s="128"/>
      <c r="XT75" s="128"/>
      <c r="XU75" s="128"/>
      <c r="XV75" s="128"/>
      <c r="XW75" s="128"/>
      <c r="XX75" s="128"/>
      <c r="XY75" s="128"/>
      <c r="XZ75" s="128"/>
      <c r="YA75" s="128"/>
      <c r="YB75" s="128"/>
      <c r="YC75" s="128"/>
      <c r="YD75" s="128"/>
      <c r="YE75" s="128"/>
      <c r="YF75" s="128"/>
      <c r="YG75" s="128"/>
      <c r="YH75" s="128"/>
      <c r="YI75" s="128"/>
      <c r="YJ75" s="128"/>
      <c r="YK75" s="128"/>
      <c r="YL75" s="128"/>
      <c r="YM75" s="128"/>
      <c r="YN75" s="128"/>
      <c r="YO75" s="128"/>
      <c r="YP75" s="128"/>
      <c r="YQ75" s="128"/>
      <c r="YR75" s="128"/>
      <c r="YS75" s="128"/>
      <c r="YT75" s="128"/>
      <c r="YU75" s="128"/>
      <c r="YV75" s="128"/>
      <c r="YW75" s="128"/>
      <c r="YX75" s="128"/>
      <c r="YY75" s="128"/>
      <c r="YZ75" s="128"/>
      <c r="ZA75" s="128"/>
      <c r="ZB75" s="128"/>
      <c r="ZC75" s="128"/>
      <c r="ZD75" s="128"/>
      <c r="ZE75" s="128"/>
      <c r="ZF75" s="128"/>
      <c r="ZG75" s="128"/>
      <c r="ZH75" s="128"/>
      <c r="ZI75" s="128"/>
      <c r="ZJ75" s="128"/>
      <c r="ZK75" s="128"/>
      <c r="ZL75" s="128"/>
      <c r="ZM75" s="128"/>
      <c r="ZN75" s="128"/>
      <c r="ZO75" s="128"/>
      <c r="ZP75" s="128"/>
      <c r="ZQ75" s="128"/>
      <c r="ZR75" s="128"/>
      <c r="ZS75" s="128"/>
      <c r="ZT75" s="128"/>
      <c r="ZU75" s="128"/>
      <c r="ZV75" s="128"/>
      <c r="ZW75" s="128"/>
      <c r="ZX75" s="128"/>
      <c r="ZY75" s="128"/>
      <c r="ZZ75" s="128"/>
      <c r="AAA75" s="128"/>
      <c r="AAB75" s="128"/>
      <c r="AAC75" s="128"/>
      <c r="AAD75" s="128"/>
      <c r="AAE75" s="128"/>
      <c r="AAF75" s="128"/>
      <c r="AAG75" s="128"/>
      <c r="AAH75" s="128"/>
      <c r="AAI75" s="128"/>
      <c r="AAJ75" s="128"/>
      <c r="AAK75" s="128"/>
      <c r="AAL75" s="128"/>
      <c r="AAM75" s="128"/>
      <c r="AAN75" s="128"/>
      <c r="AAO75" s="128"/>
      <c r="AAP75" s="128"/>
      <c r="AAQ75" s="128"/>
      <c r="AAR75" s="128"/>
      <c r="AAS75" s="128"/>
      <c r="AAT75" s="128"/>
      <c r="AAU75" s="128"/>
      <c r="AAV75" s="128"/>
      <c r="AAW75" s="128"/>
      <c r="AAX75" s="128"/>
      <c r="AAY75" s="128"/>
      <c r="AAZ75" s="128"/>
      <c r="ABA75" s="128"/>
      <c r="ABB75" s="128"/>
      <c r="ABC75" s="128"/>
      <c r="ABD75" s="128"/>
      <c r="ABE75" s="128"/>
      <c r="ABF75" s="128"/>
      <c r="ABG75" s="128"/>
      <c r="ABH75" s="128"/>
      <c r="ABI75" s="128"/>
      <c r="ABJ75" s="128"/>
      <c r="ABK75" s="128"/>
      <c r="ABL75" s="128"/>
      <c r="ABM75" s="128"/>
      <c r="ABN75" s="128"/>
      <c r="ABO75" s="128"/>
      <c r="ABP75" s="128"/>
      <c r="ABQ75" s="128"/>
      <c r="ABR75" s="128"/>
      <c r="ABS75" s="128"/>
      <c r="ABT75" s="128"/>
      <c r="ABU75" s="128"/>
      <c r="ABV75" s="128"/>
      <c r="ABW75" s="128"/>
      <c r="ABX75" s="128"/>
      <c r="ABY75" s="128"/>
      <c r="ABZ75" s="128"/>
      <c r="ACA75" s="128"/>
      <c r="ACB75" s="128"/>
      <c r="ACC75" s="128"/>
      <c r="ACD75" s="128"/>
      <c r="ACE75" s="128"/>
      <c r="ACF75" s="128"/>
      <c r="ACG75" s="128"/>
      <c r="ACH75" s="128"/>
      <c r="ACI75" s="128"/>
      <c r="ACJ75" s="128"/>
      <c r="ACK75" s="128"/>
      <c r="ACL75" s="128"/>
      <c r="ACM75" s="128"/>
      <c r="ACN75" s="128"/>
      <c r="ACO75" s="128"/>
      <c r="ACP75" s="128"/>
      <c r="ACQ75" s="128"/>
      <c r="ACR75" s="128"/>
      <c r="ACS75" s="128"/>
      <c r="ACT75" s="128"/>
      <c r="ACU75" s="128"/>
      <c r="ACV75" s="128"/>
      <c r="ACW75" s="128"/>
      <c r="ACX75" s="128"/>
      <c r="ACY75" s="128"/>
      <c r="ACZ75" s="128"/>
      <c r="ADA75" s="128"/>
      <c r="ADB75" s="128"/>
      <c r="ADC75" s="128"/>
      <c r="ADD75" s="128"/>
      <c r="ADE75" s="128"/>
      <c r="ADF75" s="128"/>
      <c r="ADG75" s="128"/>
      <c r="ADH75" s="128"/>
      <c r="ADI75" s="128"/>
      <c r="ADJ75" s="128"/>
      <c r="ADK75" s="128"/>
      <c r="ADL75" s="128"/>
      <c r="ADM75" s="128"/>
      <c r="ADN75" s="128"/>
      <c r="ADO75" s="128"/>
      <c r="ADP75" s="128"/>
      <c r="ADQ75" s="128"/>
      <c r="ADR75" s="128"/>
      <c r="ADS75" s="128"/>
      <c r="ADT75" s="128"/>
      <c r="ADU75" s="128"/>
      <c r="ADV75" s="128"/>
      <c r="ADW75" s="128"/>
      <c r="ADX75" s="128"/>
      <c r="ADY75" s="128"/>
      <c r="ADZ75" s="128"/>
      <c r="AEA75" s="128"/>
      <c r="AEB75" s="128"/>
      <c r="AEC75" s="128"/>
      <c r="AED75" s="128"/>
      <c r="AEE75" s="128"/>
      <c r="AEF75" s="128"/>
      <c r="AEG75" s="128"/>
      <c r="AEH75" s="128"/>
      <c r="AEI75" s="128"/>
      <c r="AEJ75" s="128"/>
      <c r="AEK75" s="128"/>
      <c r="AEL75" s="128"/>
      <c r="AEM75" s="128"/>
      <c r="AEN75" s="128"/>
      <c r="AEO75" s="128"/>
      <c r="AEP75" s="128"/>
      <c r="AEQ75" s="128"/>
      <c r="AER75" s="128"/>
      <c r="AES75" s="128"/>
      <c r="AET75" s="128"/>
      <c r="AEU75" s="128"/>
      <c r="AEV75" s="128"/>
      <c r="AEW75" s="128"/>
      <c r="AEX75" s="128"/>
      <c r="AEY75" s="128"/>
      <c r="AEZ75" s="128"/>
      <c r="AFA75" s="128"/>
      <c r="AFB75" s="128"/>
      <c r="AFC75" s="128"/>
      <c r="AFD75" s="128"/>
      <c r="AFE75" s="128"/>
      <c r="AFF75" s="128"/>
      <c r="AFG75" s="128"/>
      <c r="AFH75" s="128"/>
      <c r="AFI75" s="128"/>
      <c r="AFJ75" s="128"/>
      <c r="AFK75" s="128"/>
      <c r="AFL75" s="128"/>
      <c r="AFM75" s="128"/>
      <c r="AFN75" s="128"/>
      <c r="AFO75" s="128"/>
      <c r="AFP75" s="128"/>
      <c r="AFQ75" s="128"/>
      <c r="AFR75" s="128"/>
      <c r="AFS75" s="128"/>
      <c r="AFT75" s="128"/>
      <c r="AFU75" s="128"/>
      <c r="AFV75" s="128"/>
      <c r="AFW75" s="128"/>
      <c r="AFX75" s="128"/>
      <c r="AFY75" s="128"/>
      <c r="AFZ75" s="128"/>
      <c r="AGA75" s="128"/>
      <c r="AGB75" s="128"/>
      <c r="AGC75" s="128"/>
      <c r="AGD75" s="128"/>
      <c r="AGE75" s="128"/>
      <c r="AGF75" s="128"/>
      <c r="AGG75" s="128"/>
      <c r="AGH75" s="128"/>
      <c r="AGI75" s="128"/>
      <c r="AGJ75" s="128"/>
      <c r="AGK75" s="128"/>
      <c r="AGL75" s="128"/>
      <c r="AGM75" s="128"/>
      <c r="AGN75" s="128"/>
      <c r="AGO75" s="128"/>
      <c r="AGP75" s="128"/>
      <c r="AGQ75" s="128"/>
      <c r="AGR75" s="128"/>
      <c r="AGS75" s="128"/>
      <c r="AGT75" s="128"/>
      <c r="AGU75" s="128"/>
      <c r="AGV75" s="128"/>
      <c r="AGW75" s="128"/>
      <c r="AGX75" s="128"/>
      <c r="AGY75" s="128"/>
      <c r="AGZ75" s="128"/>
      <c r="AHA75" s="128"/>
      <c r="AHB75" s="128"/>
      <c r="AHC75" s="128"/>
      <c r="AHD75" s="128"/>
      <c r="AHE75" s="128"/>
      <c r="AHF75" s="128"/>
      <c r="AHG75" s="128"/>
      <c r="AHH75" s="128"/>
      <c r="AHI75" s="128"/>
      <c r="AHJ75" s="128"/>
      <c r="AHK75" s="128"/>
      <c r="AHL75" s="128"/>
      <c r="AHM75" s="128"/>
      <c r="AHN75" s="128"/>
      <c r="AHO75" s="128"/>
      <c r="AHP75" s="128"/>
      <c r="AHQ75" s="128"/>
      <c r="AHR75" s="128"/>
      <c r="AHS75" s="128"/>
      <c r="AHT75" s="128"/>
      <c r="AHU75" s="128"/>
      <c r="AHV75" s="128"/>
      <c r="AHW75" s="128"/>
      <c r="AHX75" s="128"/>
      <c r="AHY75" s="128"/>
      <c r="AHZ75" s="128"/>
      <c r="AIA75" s="128"/>
      <c r="AIB75" s="128"/>
      <c r="AIC75" s="128"/>
      <c r="AID75" s="128"/>
      <c r="AIE75" s="128"/>
      <c r="AIF75" s="128"/>
      <c r="AIG75" s="128"/>
      <c r="AIH75" s="128"/>
      <c r="AII75" s="128"/>
      <c r="AIJ75" s="128"/>
      <c r="AIK75" s="128"/>
      <c r="AIL75" s="128"/>
      <c r="AIM75" s="128"/>
      <c r="AIN75" s="128"/>
      <c r="AIO75" s="128"/>
      <c r="AIP75" s="128"/>
      <c r="AIQ75" s="128"/>
      <c r="AIR75" s="128"/>
      <c r="AIS75" s="128"/>
      <c r="AIT75" s="128"/>
      <c r="AIU75" s="128"/>
      <c r="AIV75" s="128"/>
      <c r="AIW75" s="128"/>
      <c r="AIX75" s="128"/>
      <c r="AIY75" s="128"/>
      <c r="AIZ75" s="128"/>
      <c r="AJA75" s="128"/>
      <c r="AJB75" s="128"/>
      <c r="AJC75" s="128"/>
      <c r="AJD75" s="128"/>
      <c r="AJE75" s="128"/>
      <c r="AJF75" s="128"/>
      <c r="AJG75" s="128"/>
      <c r="AJH75" s="128"/>
      <c r="AJI75" s="128"/>
      <c r="AJJ75" s="128"/>
      <c r="AJK75" s="128"/>
      <c r="AJL75" s="128"/>
      <c r="AJM75" s="128"/>
      <c r="AJN75" s="128"/>
      <c r="AJO75" s="128"/>
      <c r="AJP75" s="128"/>
      <c r="AJQ75" s="128"/>
      <c r="AJR75" s="128"/>
      <c r="AJS75" s="128"/>
      <c r="AJT75" s="128"/>
      <c r="AJU75" s="128"/>
      <c r="AJV75" s="128"/>
      <c r="AJW75" s="128"/>
      <c r="AJX75" s="128"/>
      <c r="AJY75" s="128"/>
      <c r="AJZ75" s="128"/>
      <c r="AKA75" s="128"/>
      <c r="AKB75" s="128"/>
      <c r="AKC75" s="128"/>
      <c r="AKD75" s="128"/>
      <c r="AKE75" s="128"/>
      <c r="AKF75" s="128"/>
      <c r="AKG75" s="128"/>
      <c r="AKH75" s="128"/>
      <c r="AKI75" s="128"/>
      <c r="AKJ75" s="128"/>
      <c r="AKK75" s="128"/>
      <c r="AKL75" s="128"/>
      <c r="AKM75" s="128"/>
      <c r="AKN75" s="128"/>
      <c r="AKO75" s="128"/>
      <c r="AKP75" s="128"/>
      <c r="AKQ75" s="128"/>
      <c r="AKR75" s="128"/>
      <c r="AKS75" s="128"/>
      <c r="AKT75" s="128"/>
      <c r="AKU75" s="128"/>
      <c r="AKV75" s="128"/>
      <c r="AKW75" s="128"/>
      <c r="AKX75" s="128"/>
      <c r="AKY75" s="128"/>
      <c r="AKZ75" s="128"/>
      <c r="ALA75" s="128"/>
      <c r="ALB75" s="128"/>
      <c r="ALC75" s="128"/>
      <c r="ALD75" s="128"/>
      <c r="ALE75" s="128"/>
      <c r="ALF75" s="128"/>
      <c r="ALG75" s="128"/>
      <c r="ALH75" s="128"/>
      <c r="ALI75" s="128"/>
      <c r="ALJ75" s="128"/>
      <c r="ALK75" s="128"/>
      <c r="ALL75" s="128"/>
      <c r="ALM75" s="128"/>
      <c r="ALN75" s="128"/>
      <c r="ALO75" s="128"/>
      <c r="ALP75" s="128"/>
      <c r="ALQ75" s="128"/>
      <c r="ALR75" s="128"/>
      <c r="ALS75"/>
      <c r="ALT75"/>
      <c r="ALU75"/>
    </row>
    <row r="76" spans="1:1009" s="96" customFormat="1" ht="12" customHeight="1">
      <c r="A76" s="136"/>
      <c r="B76" s="136"/>
      <c r="C76" s="136"/>
      <c r="D76" s="136"/>
      <c r="E76" s="136"/>
      <c r="F76" s="136"/>
      <c r="I76" s="225"/>
      <c r="J76" s="159"/>
      <c r="L76" s="173"/>
      <c r="N76" s="277"/>
      <c r="R76"/>
      <c r="S76" s="179"/>
      <c r="U76" s="159"/>
      <c r="X76"/>
      <c r="Y76" s="128"/>
      <c r="Z76" s="128"/>
      <c r="AA76" s="128"/>
      <c r="AB76" s="128"/>
      <c r="AC76" s="128"/>
      <c r="AD76" s="128"/>
      <c r="AE76" s="128"/>
      <c r="AF76" s="128"/>
      <c r="AG76" s="128"/>
      <c r="AH76" s="128"/>
      <c r="AI76" s="128"/>
      <c r="AJ76" s="128"/>
      <c r="AK76" s="128"/>
      <c r="AL76" s="128"/>
      <c r="AM76" s="128"/>
      <c r="AN76" s="128"/>
      <c r="AO76" s="128"/>
      <c r="AP76" s="128"/>
      <c r="AQ76" s="128"/>
      <c r="AR76" s="128"/>
      <c r="AS76" s="128"/>
      <c r="AT76" s="128"/>
      <c r="AU76" s="128"/>
      <c r="AV76" s="128"/>
      <c r="AW76" s="128"/>
      <c r="AX76" s="128"/>
      <c r="AY76" s="128"/>
      <c r="AZ76" s="128"/>
      <c r="BA76" s="128"/>
      <c r="BB76" s="128"/>
      <c r="BC76" s="128"/>
      <c r="BD76" s="128"/>
      <c r="BE76" s="128"/>
      <c r="BF76" s="128"/>
      <c r="BG76" s="128"/>
      <c r="BH76" s="128"/>
      <c r="BI76" s="128"/>
      <c r="BJ76" s="128"/>
      <c r="BK76" s="128"/>
      <c r="BL76" s="128"/>
      <c r="BM76" s="128"/>
      <c r="BN76" s="128"/>
      <c r="BO76" s="128"/>
      <c r="BP76" s="128"/>
      <c r="BQ76" s="128"/>
      <c r="BR76" s="128"/>
      <c r="BS76" s="128"/>
      <c r="BT76" s="128"/>
      <c r="BU76" s="128"/>
      <c r="BV76" s="128"/>
      <c r="BW76" s="128"/>
      <c r="BX76" s="128"/>
      <c r="BY76" s="128"/>
      <c r="BZ76" s="128"/>
      <c r="CA76" s="128"/>
      <c r="CB76" s="128"/>
      <c r="CC76" s="128"/>
      <c r="CD76" s="128"/>
      <c r="CE76" s="128"/>
      <c r="CF76" s="128"/>
      <c r="CG76" s="128"/>
      <c r="CH76" s="128"/>
      <c r="CI76" s="128"/>
      <c r="CJ76" s="128"/>
      <c r="CK76" s="128"/>
      <c r="CL76" s="128"/>
      <c r="CM76" s="128"/>
      <c r="CN76" s="128"/>
      <c r="CO76" s="128"/>
      <c r="CP76" s="128"/>
      <c r="CQ76" s="128"/>
      <c r="CR76" s="128"/>
      <c r="CS76" s="128"/>
      <c r="CT76" s="128"/>
      <c r="CU76" s="128"/>
      <c r="CV76" s="128"/>
      <c r="CW76" s="128"/>
      <c r="CX76" s="128"/>
      <c r="CY76" s="128"/>
      <c r="CZ76" s="128"/>
      <c r="DA76" s="128"/>
      <c r="DB76" s="128"/>
      <c r="DC76" s="128"/>
      <c r="DD76" s="128"/>
      <c r="DE76" s="128"/>
      <c r="DF76" s="128"/>
      <c r="DG76" s="128"/>
      <c r="DH76" s="128"/>
      <c r="DI76" s="128"/>
      <c r="DJ76" s="128"/>
      <c r="DK76" s="128"/>
      <c r="DL76" s="128"/>
      <c r="DM76" s="128"/>
      <c r="DN76" s="128"/>
      <c r="DO76" s="128"/>
      <c r="DP76" s="128"/>
      <c r="DQ76" s="128"/>
      <c r="DR76" s="128"/>
      <c r="DS76" s="128"/>
      <c r="DT76" s="128"/>
      <c r="DU76" s="128"/>
      <c r="DV76" s="128"/>
      <c r="DW76" s="128"/>
      <c r="DX76" s="128"/>
      <c r="DY76" s="128"/>
      <c r="DZ76" s="128"/>
      <c r="EA76" s="128"/>
      <c r="EB76" s="128"/>
      <c r="EC76" s="128"/>
      <c r="ED76" s="128"/>
      <c r="EE76" s="128"/>
      <c r="EF76" s="128"/>
      <c r="EG76" s="128"/>
      <c r="EH76" s="128"/>
      <c r="EI76" s="128"/>
      <c r="EJ76" s="128"/>
      <c r="EK76" s="128"/>
      <c r="EL76" s="128"/>
      <c r="EM76" s="128"/>
      <c r="EN76" s="128"/>
      <c r="EO76" s="128"/>
      <c r="EP76" s="128"/>
      <c r="EQ76" s="128"/>
      <c r="ER76" s="128"/>
      <c r="ES76" s="128"/>
      <c r="ET76" s="128"/>
      <c r="EU76" s="128"/>
      <c r="EV76" s="128"/>
      <c r="EW76" s="128"/>
      <c r="EX76" s="128"/>
      <c r="EY76" s="128"/>
      <c r="EZ76" s="128"/>
      <c r="FA76" s="128"/>
      <c r="FB76" s="128"/>
      <c r="FC76" s="128"/>
      <c r="FD76" s="128"/>
      <c r="FE76" s="128"/>
      <c r="FF76" s="128"/>
      <c r="FG76" s="128"/>
      <c r="FH76" s="128"/>
      <c r="FI76" s="128"/>
      <c r="FJ76" s="128"/>
      <c r="FK76" s="128"/>
      <c r="FL76" s="128"/>
      <c r="FM76" s="128"/>
      <c r="FN76" s="128"/>
      <c r="FO76" s="128"/>
      <c r="FP76" s="128"/>
      <c r="FQ76" s="128"/>
      <c r="FR76" s="128"/>
      <c r="FS76" s="128"/>
      <c r="FT76" s="128"/>
      <c r="FU76" s="128"/>
      <c r="FV76" s="128"/>
      <c r="FW76" s="128"/>
      <c r="FX76" s="128"/>
      <c r="FY76" s="128"/>
      <c r="FZ76" s="128"/>
      <c r="GA76" s="128"/>
      <c r="GB76" s="128"/>
      <c r="GC76" s="128"/>
      <c r="GD76" s="128"/>
      <c r="GE76" s="128"/>
      <c r="GF76" s="128"/>
      <c r="GG76" s="128"/>
      <c r="GH76" s="128"/>
      <c r="GI76" s="128"/>
      <c r="GJ76" s="128"/>
      <c r="GK76" s="128"/>
      <c r="GL76" s="128"/>
      <c r="GM76" s="128"/>
      <c r="GN76" s="128"/>
      <c r="GO76" s="128"/>
      <c r="GP76" s="128"/>
      <c r="GQ76" s="128"/>
      <c r="GR76" s="128"/>
      <c r="GS76" s="128"/>
      <c r="GT76" s="128"/>
      <c r="GU76" s="128"/>
      <c r="GV76" s="128"/>
      <c r="GW76" s="128"/>
      <c r="GX76" s="128"/>
      <c r="GY76" s="128"/>
      <c r="GZ76" s="128"/>
      <c r="HA76" s="128"/>
      <c r="HB76" s="128"/>
      <c r="HC76" s="128"/>
      <c r="HD76" s="128"/>
      <c r="HE76" s="128"/>
      <c r="HF76" s="128"/>
      <c r="HG76" s="128"/>
      <c r="HH76" s="128"/>
      <c r="HI76" s="128"/>
      <c r="HJ76" s="128"/>
      <c r="HK76" s="128"/>
      <c r="HL76" s="128"/>
      <c r="HM76" s="128"/>
      <c r="HN76" s="128"/>
      <c r="HO76" s="128"/>
      <c r="HP76" s="128"/>
      <c r="HQ76" s="128"/>
      <c r="HR76" s="128"/>
      <c r="HS76" s="128"/>
      <c r="HT76" s="128"/>
      <c r="HU76" s="128"/>
      <c r="HV76" s="128"/>
      <c r="HW76" s="128"/>
      <c r="HX76" s="128"/>
      <c r="HY76" s="128"/>
      <c r="HZ76" s="128"/>
      <c r="IA76" s="128"/>
      <c r="IB76" s="128"/>
      <c r="IC76" s="128"/>
      <c r="ID76" s="128"/>
      <c r="IE76" s="128"/>
      <c r="IF76" s="128"/>
      <c r="IG76" s="128"/>
      <c r="IH76" s="128"/>
      <c r="II76" s="128"/>
      <c r="IJ76" s="128"/>
      <c r="IK76" s="128"/>
      <c r="IL76" s="128"/>
      <c r="IM76" s="128"/>
      <c r="IN76" s="128"/>
      <c r="IO76" s="128"/>
      <c r="IP76" s="128"/>
      <c r="IQ76" s="128"/>
      <c r="IR76" s="128"/>
      <c r="IS76" s="128"/>
      <c r="IT76" s="128"/>
      <c r="IU76" s="128"/>
      <c r="IV76" s="128"/>
      <c r="IW76" s="128"/>
      <c r="IX76" s="128"/>
      <c r="IY76" s="128"/>
      <c r="IZ76" s="128"/>
      <c r="JA76" s="128"/>
      <c r="JB76" s="128"/>
      <c r="JC76" s="128"/>
      <c r="JD76" s="128"/>
      <c r="JE76" s="128"/>
      <c r="JF76" s="128"/>
      <c r="JG76" s="128"/>
      <c r="JH76" s="128"/>
      <c r="JI76" s="128"/>
      <c r="JJ76" s="128"/>
      <c r="JK76" s="128"/>
      <c r="JL76" s="128"/>
      <c r="JM76" s="128"/>
      <c r="JN76" s="128"/>
      <c r="JO76" s="128"/>
      <c r="JP76" s="128"/>
      <c r="JQ76" s="128"/>
      <c r="JR76" s="128"/>
      <c r="JS76" s="128"/>
      <c r="JT76" s="128"/>
      <c r="JU76" s="128"/>
      <c r="JV76" s="128"/>
      <c r="JW76" s="128"/>
      <c r="JX76" s="128"/>
      <c r="JY76" s="128"/>
      <c r="JZ76" s="128"/>
      <c r="KA76" s="128"/>
      <c r="KB76" s="128"/>
      <c r="KC76" s="128"/>
      <c r="KD76" s="128"/>
      <c r="KE76" s="128"/>
      <c r="KF76" s="128"/>
      <c r="KG76" s="128"/>
      <c r="KH76" s="128"/>
      <c r="KI76" s="128"/>
      <c r="KJ76" s="128"/>
      <c r="KK76" s="128"/>
      <c r="KL76" s="128"/>
      <c r="KM76" s="128"/>
      <c r="KN76" s="128"/>
      <c r="KO76" s="128"/>
      <c r="KP76" s="128"/>
      <c r="KQ76" s="128"/>
      <c r="KR76" s="128"/>
      <c r="KS76" s="128"/>
      <c r="KT76" s="128"/>
      <c r="KU76" s="128"/>
      <c r="KV76" s="128"/>
      <c r="KW76" s="128"/>
      <c r="KX76" s="128"/>
      <c r="KY76" s="128"/>
      <c r="KZ76" s="128"/>
      <c r="LA76" s="128"/>
      <c r="LB76" s="128"/>
      <c r="LC76" s="128"/>
      <c r="LD76" s="128"/>
      <c r="LE76" s="128"/>
      <c r="LF76" s="128"/>
      <c r="LG76" s="128"/>
      <c r="LH76" s="128"/>
      <c r="LI76" s="128"/>
      <c r="LJ76" s="128"/>
      <c r="LK76" s="128"/>
      <c r="LL76" s="128"/>
      <c r="LM76" s="128"/>
      <c r="LN76" s="128"/>
      <c r="LO76" s="128"/>
      <c r="LP76" s="128"/>
      <c r="LQ76" s="128"/>
      <c r="LR76" s="128"/>
      <c r="LS76" s="128"/>
      <c r="LT76" s="128"/>
      <c r="LU76" s="128"/>
      <c r="LV76" s="128"/>
      <c r="LW76" s="128"/>
      <c r="LX76" s="128"/>
      <c r="LY76" s="128"/>
      <c r="LZ76" s="128"/>
      <c r="MA76" s="128"/>
      <c r="MB76" s="128"/>
      <c r="MC76" s="128"/>
      <c r="MD76" s="128"/>
      <c r="ME76" s="128"/>
      <c r="MF76" s="128"/>
      <c r="MG76" s="128"/>
      <c r="MH76" s="128"/>
      <c r="MI76" s="128"/>
      <c r="MJ76" s="128"/>
      <c r="MK76" s="128"/>
      <c r="ML76" s="128"/>
      <c r="MM76" s="128"/>
      <c r="MN76" s="128"/>
      <c r="MO76" s="128"/>
      <c r="MP76" s="128"/>
      <c r="MQ76" s="128"/>
      <c r="MR76" s="128"/>
      <c r="MS76" s="128"/>
      <c r="MT76" s="128"/>
      <c r="MU76" s="128"/>
      <c r="MV76" s="128"/>
      <c r="MW76" s="128"/>
      <c r="MX76" s="128"/>
      <c r="MY76" s="128"/>
      <c r="MZ76" s="128"/>
      <c r="NA76" s="128"/>
      <c r="NB76" s="128"/>
      <c r="NC76" s="128"/>
      <c r="ND76" s="128"/>
      <c r="NE76" s="128"/>
      <c r="NF76" s="128"/>
      <c r="NG76" s="128"/>
      <c r="NH76" s="128"/>
      <c r="NI76" s="128"/>
      <c r="NJ76" s="128"/>
      <c r="NK76" s="128"/>
      <c r="NL76" s="128"/>
      <c r="NM76" s="128"/>
      <c r="NN76" s="128"/>
      <c r="NO76" s="128"/>
      <c r="NP76" s="128"/>
      <c r="NQ76" s="128"/>
      <c r="NR76" s="128"/>
      <c r="NS76" s="128"/>
      <c r="NT76" s="128"/>
      <c r="NU76" s="128"/>
      <c r="NV76" s="128"/>
      <c r="NW76" s="128"/>
      <c r="NX76" s="128"/>
      <c r="NY76" s="128"/>
      <c r="NZ76" s="128"/>
      <c r="OA76" s="128"/>
      <c r="OB76" s="128"/>
      <c r="OC76" s="128"/>
      <c r="OD76" s="128"/>
      <c r="OE76" s="128"/>
      <c r="OF76" s="128"/>
      <c r="OG76" s="128"/>
      <c r="OH76" s="128"/>
      <c r="OI76" s="128"/>
      <c r="OJ76" s="128"/>
      <c r="OK76" s="128"/>
      <c r="OL76" s="128"/>
      <c r="OM76" s="128"/>
      <c r="ON76" s="128"/>
      <c r="OO76" s="128"/>
      <c r="OP76" s="128"/>
      <c r="OQ76" s="128"/>
      <c r="OR76" s="128"/>
      <c r="OS76" s="128"/>
      <c r="OT76" s="128"/>
      <c r="OU76" s="128"/>
      <c r="OV76" s="128"/>
      <c r="OW76" s="128"/>
      <c r="OX76" s="128"/>
      <c r="OY76" s="128"/>
      <c r="OZ76" s="128"/>
      <c r="PA76" s="128"/>
      <c r="PB76" s="128"/>
      <c r="PC76" s="128"/>
      <c r="PD76" s="128"/>
      <c r="PE76" s="128"/>
      <c r="PF76" s="128"/>
      <c r="PG76" s="128"/>
      <c r="PH76" s="128"/>
      <c r="PI76" s="128"/>
      <c r="PJ76" s="128"/>
      <c r="PK76" s="128"/>
      <c r="PL76" s="128"/>
      <c r="PM76" s="128"/>
      <c r="PN76" s="128"/>
      <c r="PO76" s="128"/>
      <c r="PP76" s="128"/>
      <c r="PQ76" s="128"/>
      <c r="PR76" s="128"/>
      <c r="PS76" s="128"/>
      <c r="PT76" s="128"/>
      <c r="PU76" s="128"/>
      <c r="PV76" s="128"/>
      <c r="PW76" s="128"/>
      <c r="PX76" s="128"/>
      <c r="PY76" s="128"/>
      <c r="PZ76" s="128"/>
      <c r="QA76" s="128"/>
      <c r="QB76" s="128"/>
      <c r="QC76" s="128"/>
      <c r="QD76" s="128"/>
      <c r="QE76" s="128"/>
      <c r="QF76" s="128"/>
      <c r="QG76" s="128"/>
      <c r="QH76" s="128"/>
      <c r="QI76" s="128"/>
      <c r="QJ76" s="128"/>
      <c r="QK76" s="128"/>
      <c r="QL76" s="128"/>
      <c r="QM76" s="128"/>
      <c r="QN76" s="128"/>
      <c r="QO76" s="128"/>
      <c r="QP76" s="128"/>
      <c r="QQ76" s="128"/>
      <c r="QR76" s="128"/>
      <c r="QS76" s="128"/>
      <c r="QT76" s="128"/>
      <c r="QU76" s="128"/>
      <c r="QV76" s="128"/>
      <c r="QW76" s="128"/>
      <c r="QX76" s="128"/>
      <c r="QY76" s="128"/>
      <c r="QZ76" s="128"/>
      <c r="RA76" s="128"/>
      <c r="RB76" s="128"/>
      <c r="RC76" s="128"/>
      <c r="RD76" s="128"/>
      <c r="RE76" s="128"/>
      <c r="RF76" s="128"/>
      <c r="RG76" s="128"/>
      <c r="RH76" s="128"/>
      <c r="RI76" s="128"/>
      <c r="RJ76" s="128"/>
      <c r="RK76" s="128"/>
      <c r="RL76" s="128"/>
      <c r="RM76" s="128"/>
      <c r="RN76" s="128"/>
      <c r="RO76" s="128"/>
      <c r="RP76" s="128"/>
      <c r="RQ76" s="128"/>
      <c r="RR76" s="128"/>
      <c r="RS76" s="128"/>
      <c r="RT76" s="128"/>
      <c r="RU76" s="128"/>
      <c r="RV76" s="128"/>
      <c r="RW76" s="128"/>
      <c r="RX76" s="128"/>
      <c r="RY76" s="128"/>
      <c r="RZ76" s="128"/>
      <c r="SA76" s="128"/>
      <c r="SB76" s="128"/>
      <c r="SC76" s="128"/>
      <c r="SD76" s="128"/>
      <c r="SE76" s="128"/>
      <c r="SF76" s="128"/>
      <c r="SG76" s="128"/>
      <c r="SH76" s="128"/>
      <c r="SI76" s="128"/>
      <c r="SJ76" s="128"/>
      <c r="SK76" s="128"/>
      <c r="SL76" s="128"/>
      <c r="SM76" s="128"/>
      <c r="SN76" s="128"/>
      <c r="SO76" s="128"/>
      <c r="SP76" s="128"/>
      <c r="SQ76" s="128"/>
      <c r="SR76" s="128"/>
      <c r="SS76" s="128"/>
      <c r="ST76" s="128"/>
      <c r="SU76" s="128"/>
      <c r="SV76" s="128"/>
      <c r="SW76" s="128"/>
      <c r="SX76" s="128"/>
      <c r="SY76" s="128"/>
      <c r="SZ76" s="128"/>
      <c r="TA76" s="128"/>
      <c r="TB76" s="128"/>
      <c r="TC76" s="128"/>
      <c r="TD76" s="128"/>
      <c r="TE76" s="128"/>
      <c r="TF76" s="128"/>
      <c r="TG76" s="128"/>
      <c r="TH76" s="128"/>
      <c r="TI76" s="128"/>
      <c r="TJ76" s="128"/>
      <c r="TK76" s="128"/>
      <c r="TL76" s="128"/>
      <c r="TM76" s="128"/>
      <c r="TN76" s="128"/>
      <c r="TO76" s="128"/>
      <c r="TP76" s="128"/>
      <c r="TQ76" s="128"/>
      <c r="TR76" s="128"/>
      <c r="TS76" s="128"/>
      <c r="TT76" s="128"/>
      <c r="TU76" s="128"/>
      <c r="TV76" s="128"/>
      <c r="TW76" s="128"/>
      <c r="TX76" s="128"/>
      <c r="TY76" s="128"/>
      <c r="TZ76" s="128"/>
      <c r="UA76" s="128"/>
      <c r="UB76" s="128"/>
      <c r="UC76" s="128"/>
      <c r="UD76" s="128"/>
      <c r="UE76" s="128"/>
      <c r="UF76" s="128"/>
      <c r="UG76" s="128"/>
      <c r="UH76" s="128"/>
      <c r="UI76" s="128"/>
      <c r="UJ76" s="128"/>
      <c r="UK76" s="128"/>
      <c r="UL76" s="128"/>
      <c r="UM76" s="128"/>
      <c r="UN76" s="128"/>
      <c r="UO76" s="128"/>
      <c r="UP76" s="128"/>
      <c r="UQ76" s="128"/>
      <c r="UR76" s="128"/>
      <c r="US76" s="128"/>
      <c r="UT76" s="128"/>
      <c r="UU76" s="128"/>
      <c r="UV76" s="128"/>
      <c r="UW76" s="128"/>
      <c r="UX76" s="128"/>
      <c r="UY76" s="128"/>
      <c r="UZ76" s="128"/>
      <c r="VA76" s="128"/>
      <c r="VB76" s="128"/>
      <c r="VC76" s="128"/>
      <c r="VD76" s="128"/>
      <c r="VE76" s="128"/>
      <c r="VF76" s="128"/>
      <c r="VG76" s="128"/>
      <c r="VH76" s="128"/>
      <c r="VI76" s="128"/>
      <c r="VJ76" s="128"/>
      <c r="VK76" s="128"/>
      <c r="VL76" s="128"/>
      <c r="VM76" s="128"/>
      <c r="VN76" s="128"/>
      <c r="VO76" s="128"/>
      <c r="VP76" s="128"/>
      <c r="VQ76" s="128"/>
      <c r="VR76" s="128"/>
      <c r="VS76" s="128"/>
      <c r="VT76" s="128"/>
      <c r="VU76" s="128"/>
      <c r="VV76" s="128"/>
      <c r="VW76" s="128"/>
      <c r="VX76" s="128"/>
      <c r="VY76" s="128"/>
      <c r="VZ76" s="128"/>
      <c r="WA76" s="128"/>
      <c r="WB76" s="128"/>
      <c r="WC76" s="128"/>
      <c r="WD76" s="128"/>
      <c r="WE76" s="128"/>
      <c r="WF76" s="128"/>
      <c r="WG76" s="128"/>
      <c r="WH76" s="128"/>
      <c r="WI76" s="128"/>
      <c r="WJ76" s="128"/>
      <c r="WK76" s="128"/>
      <c r="WL76" s="128"/>
      <c r="WM76" s="128"/>
      <c r="WN76" s="128"/>
      <c r="WO76" s="128"/>
      <c r="WP76" s="128"/>
      <c r="WQ76" s="128"/>
      <c r="WR76" s="128"/>
      <c r="WS76" s="128"/>
      <c r="WT76" s="128"/>
      <c r="WU76" s="128"/>
      <c r="WV76" s="128"/>
      <c r="WW76" s="128"/>
      <c r="WX76" s="128"/>
      <c r="WY76" s="128"/>
      <c r="WZ76" s="128"/>
      <c r="XA76" s="128"/>
      <c r="XB76" s="128"/>
      <c r="XC76" s="128"/>
      <c r="XD76" s="128"/>
      <c r="XE76" s="128"/>
      <c r="XF76" s="128"/>
      <c r="XG76" s="128"/>
      <c r="XH76" s="128"/>
      <c r="XI76" s="128"/>
      <c r="XJ76" s="128"/>
      <c r="XK76" s="128"/>
      <c r="XL76" s="128"/>
      <c r="XM76" s="128"/>
      <c r="XN76" s="128"/>
      <c r="XO76" s="128"/>
      <c r="XP76" s="128"/>
      <c r="XQ76" s="128"/>
      <c r="XR76" s="128"/>
      <c r="XS76" s="128"/>
      <c r="XT76" s="128"/>
      <c r="XU76" s="128"/>
      <c r="XV76" s="128"/>
      <c r="XW76" s="128"/>
      <c r="XX76" s="128"/>
      <c r="XY76" s="128"/>
      <c r="XZ76" s="128"/>
      <c r="YA76" s="128"/>
      <c r="YB76" s="128"/>
      <c r="YC76" s="128"/>
      <c r="YD76" s="128"/>
      <c r="YE76" s="128"/>
      <c r="YF76" s="128"/>
      <c r="YG76" s="128"/>
      <c r="YH76" s="128"/>
      <c r="YI76" s="128"/>
      <c r="YJ76" s="128"/>
      <c r="YK76" s="128"/>
      <c r="YL76" s="128"/>
      <c r="YM76" s="128"/>
      <c r="YN76" s="128"/>
      <c r="YO76" s="128"/>
      <c r="YP76" s="128"/>
      <c r="YQ76" s="128"/>
      <c r="YR76" s="128"/>
      <c r="YS76" s="128"/>
      <c r="YT76" s="128"/>
      <c r="YU76" s="128"/>
      <c r="YV76" s="128"/>
      <c r="YW76" s="128"/>
      <c r="YX76" s="128"/>
      <c r="YY76" s="128"/>
      <c r="YZ76" s="128"/>
      <c r="ZA76" s="128"/>
      <c r="ZB76" s="128"/>
      <c r="ZC76" s="128"/>
      <c r="ZD76" s="128"/>
      <c r="ZE76" s="128"/>
      <c r="ZF76" s="128"/>
      <c r="ZG76" s="128"/>
      <c r="ZH76" s="128"/>
      <c r="ZI76" s="128"/>
      <c r="ZJ76" s="128"/>
      <c r="ZK76" s="128"/>
      <c r="ZL76" s="128"/>
      <c r="ZM76" s="128"/>
      <c r="ZN76" s="128"/>
      <c r="ZO76" s="128"/>
      <c r="ZP76" s="128"/>
      <c r="ZQ76" s="128"/>
      <c r="ZR76" s="128"/>
      <c r="ZS76" s="128"/>
      <c r="ZT76" s="128"/>
      <c r="ZU76" s="128"/>
      <c r="ZV76" s="128"/>
      <c r="ZW76" s="128"/>
      <c r="ZX76" s="128"/>
      <c r="ZY76" s="128"/>
      <c r="ZZ76" s="128"/>
      <c r="AAA76" s="128"/>
      <c r="AAB76" s="128"/>
      <c r="AAC76" s="128"/>
      <c r="AAD76" s="128"/>
      <c r="AAE76" s="128"/>
      <c r="AAF76" s="128"/>
      <c r="AAG76" s="128"/>
      <c r="AAH76" s="128"/>
      <c r="AAI76" s="128"/>
      <c r="AAJ76" s="128"/>
      <c r="AAK76" s="128"/>
      <c r="AAL76" s="128"/>
      <c r="AAM76" s="128"/>
      <c r="AAN76" s="128"/>
      <c r="AAO76" s="128"/>
      <c r="AAP76" s="128"/>
      <c r="AAQ76" s="128"/>
      <c r="AAR76" s="128"/>
      <c r="AAS76" s="128"/>
      <c r="AAT76" s="128"/>
      <c r="AAU76" s="128"/>
      <c r="AAV76" s="128"/>
      <c r="AAW76" s="128"/>
      <c r="AAX76" s="128"/>
      <c r="AAY76" s="128"/>
      <c r="AAZ76" s="128"/>
      <c r="ABA76" s="128"/>
      <c r="ABB76" s="128"/>
      <c r="ABC76" s="128"/>
      <c r="ABD76" s="128"/>
      <c r="ABE76" s="128"/>
      <c r="ABF76" s="128"/>
      <c r="ABG76" s="128"/>
      <c r="ABH76" s="128"/>
      <c r="ABI76" s="128"/>
      <c r="ABJ76" s="128"/>
      <c r="ABK76" s="128"/>
      <c r="ABL76" s="128"/>
      <c r="ABM76" s="128"/>
      <c r="ABN76" s="128"/>
      <c r="ABO76" s="128"/>
      <c r="ABP76" s="128"/>
      <c r="ABQ76" s="128"/>
      <c r="ABR76" s="128"/>
      <c r="ABS76" s="128"/>
      <c r="ABT76" s="128"/>
      <c r="ABU76" s="128"/>
      <c r="ABV76" s="128"/>
      <c r="ABW76" s="128"/>
      <c r="ABX76" s="128"/>
      <c r="ABY76" s="128"/>
      <c r="ABZ76" s="128"/>
      <c r="ACA76" s="128"/>
      <c r="ACB76" s="128"/>
      <c r="ACC76" s="128"/>
      <c r="ACD76" s="128"/>
      <c r="ACE76" s="128"/>
      <c r="ACF76" s="128"/>
      <c r="ACG76" s="128"/>
      <c r="ACH76" s="128"/>
      <c r="ACI76" s="128"/>
      <c r="ACJ76" s="128"/>
      <c r="ACK76" s="128"/>
      <c r="ACL76" s="128"/>
      <c r="ACM76" s="128"/>
      <c r="ACN76" s="128"/>
      <c r="ACO76" s="128"/>
      <c r="ACP76" s="128"/>
      <c r="ACQ76" s="128"/>
      <c r="ACR76" s="128"/>
      <c r="ACS76" s="128"/>
      <c r="ACT76" s="128"/>
      <c r="ACU76" s="128"/>
      <c r="ACV76" s="128"/>
      <c r="ACW76" s="128"/>
      <c r="ACX76" s="128"/>
      <c r="ACY76" s="128"/>
      <c r="ACZ76" s="128"/>
      <c r="ADA76" s="128"/>
      <c r="ADB76" s="128"/>
      <c r="ADC76" s="128"/>
      <c r="ADD76" s="128"/>
      <c r="ADE76" s="128"/>
      <c r="ADF76" s="128"/>
      <c r="ADG76" s="128"/>
      <c r="ADH76" s="128"/>
      <c r="ADI76" s="128"/>
      <c r="ADJ76" s="128"/>
      <c r="ADK76" s="128"/>
      <c r="ADL76" s="128"/>
      <c r="ADM76" s="128"/>
      <c r="ADN76" s="128"/>
      <c r="ADO76" s="128"/>
      <c r="ADP76" s="128"/>
      <c r="ADQ76" s="128"/>
      <c r="ADR76" s="128"/>
      <c r="ADS76" s="128"/>
      <c r="ADT76" s="128"/>
      <c r="ADU76" s="128"/>
      <c r="ADV76" s="128"/>
      <c r="ADW76" s="128"/>
      <c r="ADX76" s="128"/>
      <c r="ADY76" s="128"/>
      <c r="ADZ76" s="128"/>
      <c r="AEA76" s="128"/>
      <c r="AEB76" s="128"/>
      <c r="AEC76" s="128"/>
      <c r="AED76" s="128"/>
      <c r="AEE76" s="128"/>
      <c r="AEF76" s="128"/>
      <c r="AEG76" s="128"/>
      <c r="AEH76" s="128"/>
      <c r="AEI76" s="128"/>
      <c r="AEJ76" s="128"/>
      <c r="AEK76" s="128"/>
      <c r="AEL76" s="128"/>
      <c r="AEM76" s="128"/>
      <c r="AEN76" s="128"/>
      <c r="AEO76" s="128"/>
      <c r="AEP76" s="128"/>
      <c r="AEQ76" s="128"/>
      <c r="AER76" s="128"/>
      <c r="AES76" s="128"/>
      <c r="AET76" s="128"/>
      <c r="AEU76" s="128"/>
      <c r="AEV76" s="128"/>
      <c r="AEW76" s="128"/>
      <c r="AEX76" s="128"/>
      <c r="AEY76" s="128"/>
      <c r="AEZ76" s="128"/>
      <c r="AFA76" s="128"/>
      <c r="AFB76" s="128"/>
      <c r="AFC76" s="128"/>
      <c r="AFD76" s="128"/>
      <c r="AFE76" s="128"/>
      <c r="AFF76" s="128"/>
      <c r="AFG76" s="128"/>
      <c r="AFH76" s="128"/>
      <c r="AFI76" s="128"/>
      <c r="AFJ76" s="128"/>
      <c r="AFK76" s="128"/>
      <c r="AFL76" s="128"/>
      <c r="AFM76" s="128"/>
      <c r="AFN76" s="128"/>
      <c r="AFO76" s="128"/>
      <c r="AFP76" s="128"/>
      <c r="AFQ76" s="128"/>
      <c r="AFR76" s="128"/>
      <c r="AFS76" s="128"/>
      <c r="AFT76" s="128"/>
      <c r="AFU76" s="128"/>
      <c r="AFV76" s="128"/>
      <c r="AFW76" s="128"/>
      <c r="AFX76" s="128"/>
      <c r="AFY76" s="128"/>
      <c r="AFZ76" s="128"/>
      <c r="AGA76" s="128"/>
      <c r="AGB76" s="128"/>
      <c r="AGC76" s="128"/>
      <c r="AGD76" s="128"/>
      <c r="AGE76" s="128"/>
      <c r="AGF76" s="128"/>
      <c r="AGG76" s="128"/>
      <c r="AGH76" s="128"/>
      <c r="AGI76" s="128"/>
      <c r="AGJ76" s="128"/>
      <c r="AGK76" s="128"/>
      <c r="AGL76" s="128"/>
      <c r="AGM76" s="128"/>
      <c r="AGN76" s="128"/>
      <c r="AGO76" s="128"/>
      <c r="AGP76" s="128"/>
      <c r="AGQ76" s="128"/>
      <c r="AGR76" s="128"/>
      <c r="AGS76" s="128"/>
      <c r="AGT76" s="128"/>
      <c r="AGU76" s="128"/>
      <c r="AGV76" s="128"/>
      <c r="AGW76" s="128"/>
      <c r="AGX76" s="128"/>
      <c r="AGY76" s="128"/>
      <c r="AGZ76" s="128"/>
      <c r="AHA76" s="128"/>
      <c r="AHB76" s="128"/>
      <c r="AHC76" s="128"/>
      <c r="AHD76" s="128"/>
      <c r="AHE76" s="128"/>
      <c r="AHF76" s="128"/>
      <c r="AHG76" s="128"/>
      <c r="AHH76" s="128"/>
      <c r="AHI76" s="128"/>
      <c r="AHJ76" s="128"/>
      <c r="AHK76" s="128"/>
      <c r="AHL76" s="128"/>
      <c r="AHM76" s="128"/>
      <c r="AHN76" s="128"/>
      <c r="AHO76" s="128"/>
      <c r="AHP76" s="128"/>
      <c r="AHQ76" s="128"/>
      <c r="AHR76" s="128"/>
      <c r="AHS76" s="128"/>
      <c r="AHT76" s="128"/>
      <c r="AHU76" s="128"/>
      <c r="AHV76" s="128"/>
      <c r="AHW76" s="128"/>
      <c r="AHX76" s="128"/>
      <c r="AHY76" s="128"/>
      <c r="AHZ76" s="128"/>
      <c r="AIA76" s="128"/>
      <c r="AIB76" s="128"/>
      <c r="AIC76" s="128"/>
      <c r="AID76" s="128"/>
      <c r="AIE76" s="128"/>
      <c r="AIF76" s="128"/>
      <c r="AIG76" s="128"/>
      <c r="AIH76" s="128"/>
      <c r="AII76" s="128"/>
      <c r="AIJ76" s="128"/>
      <c r="AIK76" s="128"/>
      <c r="AIL76" s="128"/>
      <c r="AIM76" s="128"/>
      <c r="AIN76" s="128"/>
      <c r="AIO76" s="128"/>
      <c r="AIP76" s="128"/>
      <c r="AIQ76" s="128"/>
      <c r="AIR76" s="128"/>
      <c r="AIS76" s="128"/>
      <c r="AIT76" s="128"/>
      <c r="AIU76" s="128"/>
      <c r="AIV76" s="128"/>
      <c r="AIW76" s="128"/>
      <c r="AIX76" s="128"/>
      <c r="AIY76" s="128"/>
      <c r="AIZ76" s="128"/>
      <c r="AJA76" s="128"/>
      <c r="AJB76" s="128"/>
      <c r="AJC76" s="128"/>
      <c r="AJD76" s="128"/>
      <c r="AJE76" s="128"/>
      <c r="AJF76" s="128"/>
      <c r="AJG76" s="128"/>
      <c r="AJH76" s="128"/>
      <c r="AJI76" s="128"/>
      <c r="AJJ76" s="128"/>
      <c r="AJK76" s="128"/>
      <c r="AJL76" s="128"/>
      <c r="AJM76" s="128"/>
      <c r="AJN76" s="128"/>
      <c r="AJO76" s="128"/>
      <c r="AJP76" s="128"/>
      <c r="AJQ76" s="128"/>
      <c r="AJR76" s="128"/>
      <c r="AJS76" s="128"/>
      <c r="AJT76" s="128"/>
      <c r="AJU76" s="128"/>
      <c r="AJV76" s="128"/>
      <c r="AJW76" s="128"/>
      <c r="AJX76" s="128"/>
      <c r="AJY76" s="128"/>
      <c r="AJZ76" s="128"/>
      <c r="AKA76" s="128"/>
      <c r="AKB76" s="128"/>
      <c r="AKC76" s="128"/>
      <c r="AKD76" s="128"/>
      <c r="AKE76" s="128"/>
      <c r="AKF76" s="128"/>
      <c r="AKG76" s="128"/>
      <c r="AKH76" s="128"/>
      <c r="AKI76" s="128"/>
      <c r="AKJ76" s="128"/>
      <c r="AKK76" s="128"/>
      <c r="AKL76" s="128"/>
      <c r="AKM76" s="128"/>
      <c r="AKN76" s="128"/>
      <c r="AKO76" s="128"/>
      <c r="AKP76" s="128"/>
      <c r="AKQ76" s="128"/>
      <c r="AKR76" s="128"/>
      <c r="AKS76" s="128"/>
      <c r="AKT76" s="128"/>
      <c r="AKU76" s="128"/>
      <c r="AKV76" s="128"/>
      <c r="AKW76" s="128"/>
      <c r="AKX76" s="128"/>
      <c r="AKY76" s="128"/>
      <c r="AKZ76" s="128"/>
      <c r="ALA76" s="128"/>
      <c r="ALB76" s="128"/>
      <c r="ALC76" s="128"/>
      <c r="ALD76" s="128"/>
      <c r="ALE76" s="128"/>
      <c r="ALF76" s="128"/>
      <c r="ALG76" s="128"/>
      <c r="ALH76" s="128"/>
      <c r="ALI76" s="128"/>
      <c r="ALJ76" s="128"/>
      <c r="ALK76" s="128"/>
      <c r="ALL76" s="128"/>
      <c r="ALM76" s="128"/>
      <c r="ALN76" s="128"/>
      <c r="ALO76" s="128"/>
      <c r="ALP76" s="128"/>
      <c r="ALQ76" s="128"/>
      <c r="ALR76" s="128"/>
      <c r="ALS76"/>
      <c r="ALT76"/>
      <c r="ALU76"/>
    </row>
  </sheetData>
  <conditionalFormatting sqref="A66:F67 A70:F888">
    <cfRule type="expression" dxfId="898" priority="138">
      <formula>OR($W66="X",$V66="X")</formula>
    </cfRule>
    <cfRule type="expression" dxfId="897" priority="139">
      <formula>AND($W66=1,$V66=1)</formula>
    </cfRule>
    <cfRule type="expression" dxfId="896" priority="140">
      <formula>$W66=1</formula>
    </cfRule>
    <cfRule type="expression" dxfId="895" priority="141">
      <formula>$V66=1</formula>
    </cfRule>
  </conditionalFormatting>
  <conditionalFormatting sqref="A9:G9 B10:G14 A10:A16 C15:G15">
    <cfRule type="expression" dxfId="894" priority="132">
      <formula>$X9=1</formula>
    </cfRule>
    <cfRule type="expression" dxfId="893" priority="143">
      <formula>AND($X9=1,#REF!=1)</formula>
    </cfRule>
    <cfRule type="expression" dxfId="892" priority="144">
      <formula>AND(NOT(ISBLANK($R9)),ISBLANK(#REF!),ISBLANK($X9))</formula>
    </cfRule>
  </conditionalFormatting>
  <conditionalFormatting sqref="A9:G9 B10:G14 A10:A16">
    <cfRule type="expression" dxfId="891" priority="142">
      <formula>#REF!=1</formula>
    </cfRule>
    <cfRule type="expression" dxfId="890" priority="145">
      <formula>OR($X9="X",#REF!="X")</formula>
    </cfRule>
  </conditionalFormatting>
  <conditionalFormatting sqref="B17:G21 A17:A64 B22:C22 D22:D24 B23:B24 F23:G24 B25:G64">
    <cfRule type="expression" dxfId="889" priority="21">
      <formula>OR($AF17="X",$AE17="X")</formula>
    </cfRule>
  </conditionalFormatting>
  <conditionalFormatting sqref="B17:G21 A17:A64 B22:D22 B23:B24 D23:D24 F23:G24 B25:G64">
    <cfRule type="expression" dxfId="888" priority="22">
      <formula>AND($AF17=1,$AE17=1)</formula>
    </cfRule>
    <cfRule type="expression" dxfId="887" priority="23">
      <formula>$AF17=1</formula>
    </cfRule>
  </conditionalFormatting>
  <conditionalFormatting sqref="B17:G21 A17:A64 D22:G22 B22:C24 D23:D24 F23:G24 B25:G64">
    <cfRule type="expression" dxfId="886" priority="25">
      <formula>AND(NOT(ISBLANK($X17)),ISBLANK($AE17),ISBLANK($AF17))</formula>
    </cfRule>
  </conditionalFormatting>
  <conditionalFormatting sqref="B17:G22 A17:A64 B23:B24 D23:D24 F23:G24 B25:G64">
    <cfRule type="expression" dxfId="885" priority="24">
      <formula>$AE17=1</formula>
    </cfRule>
  </conditionalFormatting>
  <conditionalFormatting sqref="C9:C11 C17:C21 C25:C64">
    <cfRule type="expression" dxfId="884" priority="4297">
      <formula>AND($M9="X",$B9&lt;&gt;"")</formula>
    </cfRule>
  </conditionalFormatting>
  <conditionalFormatting sqref="C12">
    <cfRule type="expression" dxfId="883" priority="159">
      <formula>OR($AE16="X",$AD16="X")</formula>
    </cfRule>
    <cfRule type="expression" dxfId="882" priority="160">
      <formula>AND($AE16=1,$AD16=1)</formula>
    </cfRule>
    <cfRule type="expression" dxfId="881" priority="161">
      <formula>$AE16=1</formula>
    </cfRule>
    <cfRule type="expression" dxfId="880" priority="162">
      <formula>$AD16=1</formula>
    </cfRule>
    <cfRule type="expression" dxfId="879" priority="163">
      <formula>AND(NOT(ISBLANK($X16)),ISBLANK($AD16),ISBLANK($AE16))</formula>
    </cfRule>
  </conditionalFormatting>
  <conditionalFormatting sqref="C13">
    <cfRule type="expression" dxfId="878" priority="1731">
      <formula>OR(#REF!="X",#REF!="X")</formula>
    </cfRule>
    <cfRule type="expression" dxfId="877" priority="1732">
      <formula>AND(#REF!=1,#REF!=1)</formula>
    </cfRule>
    <cfRule type="expression" dxfId="876" priority="1733">
      <formula>#REF!=1</formula>
    </cfRule>
    <cfRule type="expression" dxfId="875" priority="1734">
      <formula>#REF!=1</formula>
    </cfRule>
    <cfRule type="expression" dxfId="874" priority="1735">
      <formula>AND(NOT(ISBLANK(#REF!)),ISBLANK(#REF!),ISBLANK(#REF!))</formula>
    </cfRule>
  </conditionalFormatting>
  <conditionalFormatting sqref="C14">
    <cfRule type="expression" dxfId="873" priority="1707">
      <formula>OR(#REF!="X",#REF!="X")</formula>
    </cfRule>
    <cfRule type="expression" dxfId="872" priority="1708">
      <formula>AND(#REF!=1,#REF!=1)</formula>
    </cfRule>
    <cfRule type="expression" dxfId="871" priority="1709">
      <formula>#REF!=1</formula>
    </cfRule>
    <cfRule type="expression" dxfId="870" priority="1710">
      <formula>#REF!=1</formula>
    </cfRule>
    <cfRule type="expression" dxfId="869" priority="1711">
      <formula>AND(NOT(ISBLANK(#REF!)),ISBLANK(#REF!),ISBLANK(#REF!))</formula>
    </cfRule>
  </conditionalFormatting>
  <conditionalFormatting sqref="C23:C24">
    <cfRule type="expression" dxfId="868" priority="4302">
      <formula>AND($M23="X",OR(#REF!&lt;&gt;"",$B23&lt;&gt;""))</formula>
    </cfRule>
    <cfRule type="expression" dxfId="867" priority="4303">
      <formula>OR($AF23="X",$AE23="X")</formula>
    </cfRule>
    <cfRule type="expression" dxfId="866" priority="4304">
      <formula>AND($AF23=1,$AE23=1)</formula>
    </cfRule>
    <cfRule type="expression" dxfId="865" priority="4305">
      <formula>$AF23=1</formula>
    </cfRule>
    <cfRule type="expression" dxfId="864" priority="4306">
      <formula>$AE23=1</formula>
    </cfRule>
  </conditionalFormatting>
  <conditionalFormatting sqref="C15:G15">
    <cfRule type="expression" dxfId="863" priority="146">
      <formula>OR($X15="X",#REF!="X")</formula>
    </cfRule>
    <cfRule type="expression" dxfId="862" priority="147">
      <formula>#REF!=1</formula>
    </cfRule>
  </conditionalFormatting>
  <conditionalFormatting sqref="D9:D11 D17:D21 D25:D64">
    <cfRule type="expression" dxfId="861" priority="4307">
      <formula>AND($M9="X",OR($B9&lt;&gt;"",$C9&lt;&gt;""))</formula>
    </cfRule>
  </conditionalFormatting>
  <conditionalFormatting sqref="D12:D14 C22 D22:D24">
    <cfRule type="expression" dxfId="860" priority="4300">
      <formula>AND($M12="X",OR($B12&lt;&gt;"",#REF!&lt;&gt;""))</formula>
    </cfRule>
  </conditionalFormatting>
  <conditionalFormatting sqref="D15">
    <cfRule type="expression" dxfId="859" priority="4310">
      <formula>AND($M15="X",OR($C15&lt;&gt;"",#REF!&lt;&gt;""))</formula>
    </cfRule>
  </conditionalFormatting>
  <conditionalFormatting sqref="D16">
    <cfRule type="expression" dxfId="858" priority="4311">
      <formula>AND($S16="X",OR($C12&lt;&gt;"",#REF!&lt;&gt;""))</formula>
    </cfRule>
  </conditionalFormatting>
  <conditionalFormatting sqref="D22">
    <cfRule type="expression" dxfId="857" priority="4313">
      <formula>AND($M22="X",OR($B22&lt;&gt;"",#REF!&lt;&gt;"",$C22&lt;&gt;""))</formula>
    </cfRule>
    <cfRule type="expression" dxfId="856" priority="4314">
      <formula>AND($M22="X",OR($B22&lt;&gt;"",#REF!&lt;&gt;"",$C22&lt;&gt;"",$D22&lt;&gt;""))</formula>
    </cfRule>
    <cfRule type="expression" dxfId="855" priority="4315">
      <formula>AND($M22="X",OR($B22&lt;&gt;"",#REF!&lt;&gt;"",$D22&lt;&gt;"",#REF!&lt;&gt;""))</formula>
    </cfRule>
    <cfRule type="expression" dxfId="854" priority="4316">
      <formula>$AE22=1</formula>
    </cfRule>
    <cfRule type="expression" dxfId="853" priority="4317">
      <formula>AND($M22="X",OR($B22&lt;&gt;"",#REF!&lt;&gt;"",$C22&lt;&gt;""))</formula>
    </cfRule>
    <cfRule type="expression" dxfId="852" priority="4318">
      <formula>AND($AF22=1,$AE22=1)</formula>
    </cfRule>
    <cfRule type="expression" dxfId="851" priority="4319">
      <formula>$AF22=1</formula>
    </cfRule>
    <cfRule type="expression" dxfId="850" priority="4320">
      <formula>AND($M22="X",$B22&lt;&gt;"")</formula>
    </cfRule>
    <cfRule type="expression" dxfId="849" priority="4321">
      <formula>AND($M22="X",OR($B22&lt;&gt;"",#REF!&lt;&gt;""))</formula>
    </cfRule>
  </conditionalFormatting>
  <conditionalFormatting sqref="D16:G16">
    <cfRule type="expression" dxfId="848" priority="121">
      <formula>OR($AE16="X",$AD16="X")</formula>
    </cfRule>
    <cfRule type="expression" dxfId="847" priority="122">
      <formula>AND($AE16=1,$AD16=1)</formula>
    </cfRule>
    <cfRule type="expression" dxfId="846" priority="123">
      <formula>$AE16=1</formula>
    </cfRule>
    <cfRule type="expression" dxfId="845" priority="124">
      <formula>$AD16=1</formula>
    </cfRule>
    <cfRule type="expression" dxfId="844" priority="125">
      <formula>AND(NOT(ISBLANK($X16)),ISBLANK($AD16),ISBLANK($AE16))</formula>
    </cfRule>
  </conditionalFormatting>
  <conditionalFormatting sqref="D22:G22">
    <cfRule type="expression" dxfId="843" priority="4327">
      <formula>AND($M22="X",OR($B22&lt;&gt;"",$C22&lt;&gt;"",$D22&lt;&gt;"",$E22&lt;&gt;"",$F22&lt;&gt;""))</formula>
    </cfRule>
    <cfRule type="expression" dxfId="842" priority="4328">
      <formula>AND($AF22=1,$AE22=1)</formula>
    </cfRule>
    <cfRule type="expression" dxfId="841" priority="4329">
      <formula>$AF22=1</formula>
    </cfRule>
    <cfRule type="expression" dxfId="840" priority="4330">
      <formula>OR($AF22="X",$AE22="X")</formula>
    </cfRule>
  </conditionalFormatting>
  <conditionalFormatting sqref="E2">
    <cfRule type="dataBar" priority="1">
      <dataBar>
        <cfvo type="num" val="0"/>
        <cfvo type="num" val="1"/>
        <color rgb="FF63C384"/>
      </dataBar>
      <extLst>
        <ext xmlns:x14="http://schemas.microsoft.com/office/spreadsheetml/2009/9/main" uri="{B025F937-C7B1-47D3-B67F-A62EFF666E3E}">
          <x14:id>{31E1CB47-6FEB-4AA4-A28D-227209162AF1}</x14:id>
        </ext>
      </extLst>
    </cfRule>
  </conditionalFormatting>
  <conditionalFormatting sqref="E9:E11 E17:E21 E25:E64">
    <cfRule type="expression" dxfId="839" priority="4331">
      <formula>AND($M9="X",OR($B9&lt;&gt;"",$C9&lt;&gt;"",$D9&lt;&gt;""))</formula>
    </cfRule>
  </conditionalFormatting>
  <conditionalFormatting sqref="E12:E14">
    <cfRule type="expression" dxfId="838" priority="4333">
      <formula>AND($M12="X",OR($B12&lt;&gt;"",#REF!&lt;&gt;"",$D12&lt;&gt;""))</formula>
    </cfRule>
  </conditionalFormatting>
  <conditionalFormatting sqref="E15">
    <cfRule type="expression" dxfId="837" priority="4334">
      <formula>AND($M15="X",OR($C15&lt;&gt;"",#REF!&lt;&gt;"",$D15&lt;&gt;""))</formula>
    </cfRule>
  </conditionalFormatting>
  <conditionalFormatting sqref="E16">
    <cfRule type="expression" dxfId="836" priority="4335">
      <formula>AND($S16="X",OR($C12&lt;&gt;"",#REF!&lt;&gt;"",$D16&lt;&gt;""))</formula>
    </cfRule>
  </conditionalFormatting>
  <conditionalFormatting sqref="E23:E24">
    <cfRule type="expression" dxfId="835" priority="4337">
      <formula>OR($AF23="X",$AE23="X")</formula>
    </cfRule>
    <cfRule type="expression" dxfId="834" priority="4338">
      <formula>AND($AF23=1,$AE23=1)</formula>
    </cfRule>
    <cfRule type="expression" dxfId="833" priority="4339">
      <formula>$AF23=1</formula>
    </cfRule>
    <cfRule type="expression" dxfId="832" priority="4340">
      <formula>$AE23=1</formula>
    </cfRule>
    <cfRule type="expression" dxfId="831" priority="4341">
      <formula>AND(NOT(ISBLANK($X23)),ISBLANK($AE23),ISBLANK($AF23))</formula>
    </cfRule>
    <cfRule type="expression" dxfId="830" priority="4342">
      <formula>AND($M23="X",OR($B23&lt;&gt;"",#REF!&lt;&gt;"",$D23&lt;&gt;"",#REF!&lt;&gt;""))</formula>
    </cfRule>
  </conditionalFormatting>
  <conditionalFormatting sqref="F9:F11 F17:F21 F25:F64">
    <cfRule type="expression" dxfId="829" priority="4343">
      <formula>AND($M9="X",OR($B9&lt;&gt;"",$C9&lt;&gt;"",$D9&lt;&gt;"",$E9&lt;&gt;""))</formula>
    </cfRule>
  </conditionalFormatting>
  <conditionalFormatting sqref="F12:F14">
    <cfRule type="expression" dxfId="828" priority="4345">
      <formula>AND($M12="X",OR($B12&lt;&gt;"",#REF!&lt;&gt;"",$D12&lt;&gt;"",$E12&lt;&gt;""))</formula>
    </cfRule>
  </conditionalFormatting>
  <conditionalFormatting sqref="F15">
    <cfRule type="expression" dxfId="827" priority="4346">
      <formula>AND($M15="X",OR($C15&lt;&gt;"",#REF!&lt;&gt;"",$D15&lt;&gt;"",$E15&lt;&gt;""))</formula>
    </cfRule>
  </conditionalFormatting>
  <conditionalFormatting sqref="F16">
    <cfRule type="expression" dxfId="826" priority="4347">
      <formula>AND($S16="X",OR($C12&lt;&gt;"",#REF!&lt;&gt;"",$D16&lt;&gt;"",$E16&lt;&gt;""))</formula>
    </cfRule>
  </conditionalFormatting>
  <conditionalFormatting sqref="F23:F24">
    <cfRule type="expression" dxfId="825" priority="4349">
      <formula>AND($M23="X",OR($B23&lt;&gt;"",#REF!&lt;&gt;"",$D23&lt;&gt;"",#REF!&lt;&gt;""))</formula>
    </cfRule>
  </conditionalFormatting>
  <conditionalFormatting sqref="G9:G11 G17:G21 G25:G64">
    <cfRule type="expression" dxfId="824" priority="4350">
      <formula>AND($M9="X",OR($B9&lt;&gt;"",$C9&lt;&gt;"",$D9&lt;&gt;"",$E9&lt;&gt;"",$F9&lt;&gt;""))</formula>
    </cfRule>
  </conditionalFormatting>
  <conditionalFormatting sqref="G12:G14">
    <cfRule type="expression" dxfId="823" priority="4352">
      <formula>AND($M12="X",OR($B12&lt;&gt;"",#REF!&lt;&gt;"",$D12&lt;&gt;"",$E12&lt;&gt;"",$F12&lt;&gt;""))</formula>
    </cfRule>
  </conditionalFormatting>
  <conditionalFormatting sqref="G15">
    <cfRule type="expression" dxfId="822" priority="4353">
      <formula>AND($M15="X",OR($C15&lt;&gt;"",#REF!&lt;&gt;"",$D15&lt;&gt;"",$E15&lt;&gt;"",$F15&lt;&gt;""))</formula>
    </cfRule>
  </conditionalFormatting>
  <conditionalFormatting sqref="G16">
    <cfRule type="expression" dxfId="821" priority="4354">
      <formula>AND($S16="X",OR($C12&lt;&gt;"",#REF!&lt;&gt;"",$D16&lt;&gt;"",$E16&lt;&gt;"",$F16&lt;&gt;""))</formula>
    </cfRule>
  </conditionalFormatting>
  <conditionalFormatting sqref="G23:G24">
    <cfRule type="expression" dxfId="820" priority="4356">
      <formula>AND($M23="X",OR($B23&lt;&gt;"",#REF!&lt;&gt;"",$D23&lt;&gt;"",#REF!&lt;&gt;"",$F23&lt;&gt;""))</formula>
    </cfRule>
  </conditionalFormatting>
  <conditionalFormatting sqref="H66:H67 H70:H888">
    <cfRule type="expression" dxfId="819" priority="131">
      <formula>$K66="X"</formula>
    </cfRule>
  </conditionalFormatting>
  <conditionalFormatting sqref="I11:J11">
    <cfRule type="expression" dxfId="818" priority="120">
      <formula>$S16="X"</formula>
    </cfRule>
  </conditionalFormatting>
  <conditionalFormatting sqref="I17:J18 I20:J64">
    <cfRule type="expression" dxfId="817" priority="29">
      <formula>$M17="X"</formula>
    </cfRule>
  </conditionalFormatting>
  <conditionalFormatting sqref="K63">
    <cfRule type="cellIs" dxfId="816" priority="12" operator="equal">
      <formula>"1..1"</formula>
    </cfRule>
    <cfRule type="cellIs" dxfId="815" priority="13" operator="equal">
      <formula>"0..n"</formula>
    </cfRule>
    <cfRule type="cellIs" dxfId="814" priority="14" operator="equal">
      <formula>"0..1"</formula>
    </cfRule>
  </conditionalFormatting>
  <conditionalFormatting sqref="L9:L10">
    <cfRule type="cellIs" dxfId="813" priority="62" operator="equal">
      <formula>"1..1"</formula>
    </cfRule>
    <cfRule type="cellIs" dxfId="812" priority="63" operator="equal">
      <formula>"0..n"</formula>
    </cfRule>
    <cfRule type="cellIs" dxfId="811" priority="64" operator="equal">
      <formula>"0..1"</formula>
    </cfRule>
  </conditionalFormatting>
  <conditionalFormatting sqref="L12 L15">
    <cfRule type="cellIs" dxfId="810" priority="126" operator="equal">
      <formula>"1..1"</formula>
    </cfRule>
    <cfRule type="cellIs" dxfId="809" priority="127" operator="equal">
      <formula>"0..n"</formula>
    </cfRule>
    <cfRule type="cellIs" dxfId="808" priority="128" operator="equal">
      <formula>"0..1"</formula>
    </cfRule>
  </conditionalFormatting>
  <conditionalFormatting sqref="L18:L63 K22:K61">
    <cfRule type="cellIs" dxfId="807" priority="15" operator="equal">
      <formula>"1..1"</formula>
    </cfRule>
    <cfRule type="cellIs" dxfId="806" priority="16" operator="equal">
      <formula>"0..n"</formula>
    </cfRule>
    <cfRule type="cellIs" dxfId="805" priority="17"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1E1CB47-6FEB-4AA4-A28D-227209162AF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sheetPr>
    <tabColor theme="4" tint="0.79998168889431442"/>
  </sheetPr>
  <dimension ref="A1:ALU54"/>
  <sheetViews>
    <sheetView zoomScale="85" zoomScaleNormal="85" workbookViewId="0">
      <pane xSplit="7" ySplit="8" topLeftCell="H9" activePane="bottomRight" state="frozen"/>
      <selection pane="topRight" activeCell="H1" sqref="H1"/>
      <selection pane="bottomLeft" activeCell="A9" sqref="A9"/>
      <selection pane="bottomRight" activeCell="H15" sqref="H15"/>
    </sheetView>
  </sheetViews>
  <sheetFormatPr baseColWidth="10" defaultColWidth="9.5" defaultRowHeight="12" customHeight="1"/>
  <cols>
    <col min="1" max="1" width="4.625" style="128" customWidth="1"/>
    <col min="2" max="2" width="31.125" style="128" customWidth="1"/>
    <col min="3" max="3" width="29.375" style="128" customWidth="1"/>
    <col min="4" max="4" width="27.375" style="128" customWidth="1"/>
    <col min="5" max="5" width="20" style="128" customWidth="1"/>
    <col min="6" max="6" width="8.625" style="128" customWidth="1"/>
    <col min="7" max="7" width="15.125" style="96" customWidth="1"/>
    <col min="8" max="8" width="63.875" style="96" customWidth="1"/>
    <col min="9" max="9" width="33.5" style="225" customWidth="1"/>
    <col min="10" max="10" width="19.875" style="159" hidden="1" customWidth="1"/>
    <col min="11" max="11" width="10.5" style="96" customWidth="1"/>
    <col min="12" max="12" width="6" style="173" customWidth="1"/>
    <col min="13" max="13" width="18.5" style="96" customWidth="1"/>
    <col min="14" max="14" width="12.625" style="277" customWidth="1"/>
    <col min="15" max="15" width="28.125" style="96" customWidth="1"/>
    <col min="16" max="16" width="8.875" style="96" customWidth="1"/>
    <col min="17" max="17" width="10" style="96" customWidth="1"/>
    <col min="18" max="18" width="10.5" customWidth="1"/>
    <col min="19" max="19" width="22.625" style="179" customWidth="1"/>
    <col min="20" max="20" width="16.375" style="96" customWidth="1"/>
    <col min="21" max="21" width="13.375" style="159" customWidth="1"/>
    <col min="22" max="22" width="12.875" style="96" customWidth="1"/>
    <col min="23" max="23" width="11.125" style="96" customWidth="1"/>
    <col min="25" max="1005" width="9.5" style="128"/>
    <col min="1006" max="1006" width="9" style="128" customWidth="1"/>
    <col min="1007" max="1008" width="9" customWidth="1"/>
  </cols>
  <sheetData>
    <row r="1" spans="1:1006" ht="13.5" customHeight="1">
      <c r="A1" s="228" t="s">
        <v>2672</v>
      </c>
      <c r="C1" s="129"/>
      <c r="F1" s="157"/>
      <c r="G1" s="128"/>
      <c r="H1" s="812"/>
      <c r="I1" s="812"/>
      <c r="X1" s="128"/>
      <c r="ALR1"/>
    </row>
    <row r="2" spans="1:1006" ht="13.5" customHeight="1">
      <c r="A2" s="128" t="s">
        <v>850</v>
      </c>
      <c r="B2" s="128" t="s">
        <v>2233</v>
      </c>
      <c r="C2" s="141"/>
      <c r="D2" s="284"/>
      <c r="E2" s="284"/>
      <c r="F2" s="157"/>
      <c r="G2" s="128"/>
      <c r="H2" s="812"/>
      <c r="I2" s="812"/>
      <c r="X2" s="128"/>
      <c r="ALR2"/>
    </row>
    <row r="3" spans="1:1006" ht="13.5" customHeight="1">
      <c r="C3" s="128" t="s">
        <v>2234</v>
      </c>
      <c r="G3" s="128"/>
      <c r="X3" s="128"/>
      <c r="ALR3"/>
    </row>
    <row r="4" spans="1:1006" ht="13.5" customHeight="1">
      <c r="C4" s="128" t="s">
        <v>2235</v>
      </c>
      <c r="G4" s="137"/>
      <c r="X4" s="128"/>
      <c r="ALR4"/>
    </row>
    <row r="5" spans="1:1006" s="149" customFormat="1" ht="13.5" customHeight="1">
      <c r="A5" s="128"/>
      <c r="B5" s="128"/>
      <c r="C5" s="128" t="s">
        <v>2236</v>
      </c>
      <c r="D5" s="146"/>
      <c r="E5" s="146"/>
      <c r="F5" s="146"/>
      <c r="G5" s="148"/>
      <c r="H5" s="148"/>
      <c r="I5" s="275"/>
      <c r="J5" s="160"/>
      <c r="K5" s="148"/>
      <c r="L5" s="186"/>
      <c r="M5" s="148"/>
      <c r="N5" s="279"/>
      <c r="O5" s="148"/>
      <c r="P5" s="148"/>
      <c r="Q5" s="148"/>
      <c r="R5"/>
      <c r="S5" s="181"/>
      <c r="T5" s="148"/>
      <c r="U5" s="160"/>
      <c r="V5" s="148"/>
      <c r="W5" s="148"/>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row>
    <row r="6" spans="1:1006" ht="13.5" customHeight="1">
      <c r="C6" s="144"/>
      <c r="D6" s="138"/>
      <c r="F6" s="138"/>
      <c r="X6" s="128"/>
      <c r="ALR6"/>
    </row>
    <row r="7" spans="1:1006" ht="13.5" customHeight="1">
      <c r="A7"/>
      <c r="B7"/>
      <c r="C7" s="138"/>
      <c r="D7" s="377"/>
      <c r="E7" s="138"/>
      <c r="F7" s="138"/>
      <c r="P7" s="788"/>
      <c r="Q7" s="787" t="s">
        <v>828</v>
      </c>
      <c r="R7" s="787" t="s">
        <v>828</v>
      </c>
      <c r="W7" s="655" t="s">
        <v>685</v>
      </c>
      <c r="X7" s="128"/>
      <c r="ALR7"/>
    </row>
    <row r="8" spans="1:1006" s="238" customFormat="1" ht="55.5" customHeight="1">
      <c r="A8" s="233" t="s">
        <v>830</v>
      </c>
      <c r="B8" s="381" t="s">
        <v>831</v>
      </c>
      <c r="C8" s="278" t="s">
        <v>832</v>
      </c>
      <c r="D8" s="278" t="s">
        <v>833</v>
      </c>
      <c r="E8" s="278" t="s">
        <v>834</v>
      </c>
      <c r="F8" s="278" t="s">
        <v>835</v>
      </c>
      <c r="G8" s="278" t="s">
        <v>836</v>
      </c>
      <c r="H8" s="234" t="s">
        <v>9</v>
      </c>
      <c r="I8" s="234" t="s">
        <v>837</v>
      </c>
      <c r="J8" s="234" t="s">
        <v>840</v>
      </c>
      <c r="K8" s="234" t="s">
        <v>841</v>
      </c>
      <c r="L8" s="234" t="s">
        <v>677</v>
      </c>
      <c r="M8" s="234" t="s">
        <v>3</v>
      </c>
      <c r="N8" s="234" t="s">
        <v>912</v>
      </c>
      <c r="O8" s="283" t="s">
        <v>913</v>
      </c>
      <c r="P8" s="234" t="s">
        <v>848</v>
      </c>
      <c r="Q8" s="229" t="s">
        <v>849</v>
      </c>
      <c r="R8" s="229" t="s">
        <v>850</v>
      </c>
      <c r="S8" s="230" t="s">
        <v>851</v>
      </c>
      <c r="T8" s="235" t="s">
        <v>852</v>
      </c>
      <c r="U8" s="235" t="s">
        <v>853</v>
      </c>
      <c r="V8" s="236" t="s">
        <v>854</v>
      </c>
      <c r="W8" s="235" t="s">
        <v>855</v>
      </c>
      <c r="X8" s="237" t="s">
        <v>914</v>
      </c>
    </row>
    <row r="9" spans="1:1006" s="224" customFormat="1" ht="13.5" customHeight="1">
      <c r="A9" s="225">
        <v>1</v>
      </c>
      <c r="B9" s="217" t="s">
        <v>915</v>
      </c>
      <c r="C9" s="240"/>
      <c r="D9" s="677"/>
      <c r="E9" s="677"/>
      <c r="F9" s="677"/>
      <c r="G9" s="677"/>
      <c r="H9" s="668" t="s">
        <v>949</v>
      </c>
      <c r="I9" s="316" t="s">
        <v>950</v>
      </c>
      <c r="J9" s="716"/>
      <c r="K9" s="666" t="s">
        <v>918</v>
      </c>
      <c r="L9" s="668" t="s">
        <v>819</v>
      </c>
      <c r="M9" s="669"/>
      <c r="N9" s="668" t="s">
        <v>862</v>
      </c>
      <c r="O9" s="670"/>
      <c r="P9" s="668"/>
      <c r="Q9" s="667"/>
      <c r="R9" s="667" t="s">
        <v>863</v>
      </c>
      <c r="S9" s="232"/>
      <c r="T9" s="671"/>
      <c r="U9" s="668"/>
      <c r="V9" s="672"/>
      <c r="W9" s="668"/>
      <c r="X9" s="670"/>
    </row>
    <row r="10" spans="1:1006" s="224" customFormat="1" ht="13.5" customHeight="1">
      <c r="A10" s="225">
        <v>2</v>
      </c>
      <c r="B10" s="217" t="s">
        <v>2210</v>
      </c>
      <c r="C10" s="240"/>
      <c r="D10" s="241"/>
      <c r="E10" s="241"/>
      <c r="F10" s="241"/>
      <c r="G10" s="241"/>
      <c r="H10" s="668" t="s">
        <v>2237</v>
      </c>
      <c r="I10" s="707"/>
      <c r="J10" s="707"/>
      <c r="K10" s="666" t="s">
        <v>2212</v>
      </c>
      <c r="L10" s="668" t="s">
        <v>819</v>
      </c>
      <c r="M10" s="669"/>
      <c r="N10" s="668" t="s">
        <v>862</v>
      </c>
      <c r="O10" s="670"/>
      <c r="P10" s="668"/>
      <c r="Q10" s="667"/>
      <c r="R10" s="667" t="s">
        <v>863</v>
      </c>
      <c r="S10" s="232"/>
      <c r="T10" s="671"/>
      <c r="U10" s="668"/>
      <c r="V10" s="672"/>
      <c r="W10" s="668"/>
      <c r="X10" s="670"/>
    </row>
    <row r="11" spans="1:1006" s="224" customFormat="1" ht="13.5" customHeight="1">
      <c r="A11" s="225">
        <v>3</v>
      </c>
      <c r="B11" s="217" t="s">
        <v>2238</v>
      </c>
      <c r="C11" s="240"/>
      <c r="D11" s="241"/>
      <c r="E11" s="241"/>
      <c r="F11" s="241"/>
      <c r="G11" s="241"/>
      <c r="H11" s="668" t="s">
        <v>2214</v>
      </c>
      <c r="I11" s="666" t="s">
        <v>929</v>
      </c>
      <c r="J11" s="666"/>
      <c r="K11" s="668" t="s">
        <v>2215</v>
      </c>
      <c r="L11" s="668" t="s">
        <v>816</v>
      </c>
      <c r="M11" s="669" t="s">
        <v>863</v>
      </c>
      <c r="N11" s="243" t="s">
        <v>2216</v>
      </c>
      <c r="O11" s="670"/>
      <c r="P11" s="668" t="s">
        <v>931</v>
      </c>
      <c r="Q11" s="667"/>
      <c r="R11" s="667" t="s">
        <v>863</v>
      </c>
      <c r="S11" s="232"/>
      <c r="T11" s="671"/>
      <c r="U11" s="668"/>
      <c r="V11" s="672"/>
      <c r="W11" s="668"/>
      <c r="X11" s="670"/>
    </row>
    <row r="12" spans="1:1006" s="224" customFormat="1" ht="13.5" customHeight="1">
      <c r="A12" s="225">
        <v>4</v>
      </c>
      <c r="B12" s="217"/>
      <c r="C12" s="217" t="s">
        <v>2239</v>
      </c>
      <c r="D12" s="241"/>
      <c r="E12" s="241"/>
      <c r="F12" s="241"/>
      <c r="G12" s="241"/>
      <c r="H12" s="668" t="s">
        <v>2218</v>
      </c>
      <c r="I12" s="707"/>
      <c r="J12" s="707"/>
      <c r="K12" s="666" t="s">
        <v>2154</v>
      </c>
      <c r="L12" s="668" t="s">
        <v>819</v>
      </c>
      <c r="M12" s="669"/>
      <c r="N12" s="668" t="s">
        <v>878</v>
      </c>
      <c r="O12" s="670"/>
      <c r="P12" s="668" t="s">
        <v>931</v>
      </c>
      <c r="Q12" s="667"/>
      <c r="R12" s="667" t="s">
        <v>863</v>
      </c>
      <c r="S12" s="232"/>
      <c r="T12" s="671"/>
      <c r="U12" s="668"/>
      <c r="V12" s="672"/>
      <c r="W12" s="668"/>
      <c r="X12" s="670"/>
    </row>
    <row r="13" spans="1:1006" s="224" customFormat="1" ht="13.5" customHeight="1">
      <c r="A13" s="225">
        <v>5</v>
      </c>
      <c r="B13" s="217"/>
      <c r="C13" s="677" t="s">
        <v>2240</v>
      </c>
      <c r="D13" s="241"/>
      <c r="E13" s="241"/>
      <c r="F13" s="241"/>
      <c r="G13" s="241"/>
      <c r="H13" s="775" t="s">
        <v>2666</v>
      </c>
      <c r="I13" s="666"/>
      <c r="J13" s="666"/>
      <c r="K13" s="666" t="s">
        <v>2241</v>
      </c>
      <c r="L13" s="668" t="s">
        <v>819</v>
      </c>
      <c r="M13" s="668"/>
      <c r="N13" s="668" t="s">
        <v>862</v>
      </c>
      <c r="O13" s="670"/>
      <c r="P13" s="668"/>
      <c r="Q13" s="667"/>
      <c r="R13" s="667" t="s">
        <v>863</v>
      </c>
      <c r="S13" s="232"/>
      <c r="T13" s="671"/>
      <c r="U13" s="668"/>
      <c r="V13" s="672"/>
      <c r="W13" s="668"/>
      <c r="X13" s="670"/>
      <c r="Y13" s="232"/>
      <c r="Z13" s="671"/>
      <c r="AA13" s="668"/>
      <c r="AB13" s="666"/>
      <c r="AC13" s="668"/>
      <c r="AD13" s="670"/>
      <c r="AE13" s="670"/>
      <c r="AF13" s="670"/>
    </row>
    <row r="14" spans="1:1006" s="224" customFormat="1" ht="13.5" customHeight="1">
      <c r="A14" s="225">
        <v>6</v>
      </c>
      <c r="B14" s="217"/>
      <c r="C14" s="677" t="s">
        <v>2242</v>
      </c>
      <c r="D14" s="241"/>
      <c r="E14" s="241"/>
      <c r="F14" s="241"/>
      <c r="G14" s="241"/>
      <c r="H14" s="668" t="s">
        <v>2243</v>
      </c>
      <c r="I14" s="666"/>
      <c r="J14" s="666"/>
      <c r="K14" s="666" t="s">
        <v>2222</v>
      </c>
      <c r="L14" s="668" t="s">
        <v>816</v>
      </c>
      <c r="M14" s="668"/>
      <c r="N14" s="668" t="s">
        <v>862</v>
      </c>
      <c r="O14" s="670"/>
      <c r="P14" s="668"/>
      <c r="Q14" s="667"/>
      <c r="R14" s="667" t="s">
        <v>863</v>
      </c>
      <c r="S14" s="232"/>
      <c r="T14" s="671"/>
      <c r="U14" s="668"/>
      <c r="V14" s="672"/>
      <c r="W14" s="668"/>
      <c r="X14" s="670"/>
      <c r="Y14" s="232"/>
      <c r="Z14" s="671"/>
      <c r="AA14" s="668"/>
      <c r="AB14" s="666"/>
      <c r="AC14" s="668"/>
      <c r="AD14" s="670"/>
      <c r="AE14" s="670"/>
      <c r="AF14" s="670"/>
    </row>
    <row r="15" spans="1:1006" s="224" customFormat="1" ht="13.5" customHeight="1">
      <c r="A15" s="225">
        <v>7</v>
      </c>
      <c r="B15" s="217"/>
      <c r="C15" s="217" t="s">
        <v>2244</v>
      </c>
      <c r="D15" s="241"/>
      <c r="E15" s="241"/>
      <c r="F15" s="241"/>
      <c r="G15" s="241"/>
      <c r="H15" s="668" t="s">
        <v>2245</v>
      </c>
      <c r="I15" s="666"/>
      <c r="J15" s="666"/>
      <c r="K15" s="666" t="s">
        <v>938</v>
      </c>
      <c r="L15" s="668" t="s">
        <v>816</v>
      </c>
      <c r="M15" s="669"/>
      <c r="N15" s="668" t="s">
        <v>862</v>
      </c>
      <c r="O15" s="668"/>
      <c r="P15" s="668"/>
      <c r="Q15" s="669"/>
      <c r="R15" s="667" t="s">
        <v>863</v>
      </c>
      <c r="S15" s="232"/>
      <c r="T15" s="668"/>
      <c r="U15" s="670"/>
      <c r="V15" s="672"/>
      <c r="W15" s="667"/>
      <c r="X15" s="667"/>
      <c r="Y15" s="232"/>
      <c r="Z15" s="671"/>
      <c r="AA15" s="668"/>
      <c r="AB15" s="672"/>
      <c r="AC15" s="668"/>
      <c r="AD15" s="670"/>
      <c r="AE15" s="670"/>
      <c r="AF15" s="667"/>
    </row>
    <row r="16" spans="1:1006" s="224" customFormat="1" ht="14.25" customHeight="1">
      <c r="A16" s="225">
        <v>8</v>
      </c>
      <c r="B16" s="217" t="s">
        <v>2246</v>
      </c>
      <c r="C16" s="240"/>
      <c r="D16" s="241"/>
      <c r="E16" s="241"/>
      <c r="F16" s="241"/>
      <c r="G16" s="241"/>
      <c r="H16" s="668" t="s">
        <v>2150</v>
      </c>
      <c r="I16" s="666"/>
      <c r="J16" s="666"/>
      <c r="K16" s="666" t="s">
        <v>2151</v>
      </c>
      <c r="L16" s="668" t="s">
        <v>822</v>
      </c>
      <c r="M16" s="669" t="s">
        <v>863</v>
      </c>
      <c r="N16" s="243" t="s">
        <v>1364</v>
      </c>
      <c r="O16" s="670"/>
      <c r="P16" s="668"/>
      <c r="Q16" s="667"/>
      <c r="R16" s="667" t="s">
        <v>863</v>
      </c>
      <c r="S16" s="232"/>
      <c r="T16" s="671"/>
      <c r="U16" s="668"/>
      <c r="V16" s="672"/>
      <c r="W16" s="668"/>
      <c r="X16" s="670"/>
    </row>
    <row r="17" spans="1:24" s="224" customFormat="1" ht="14.25" customHeight="1">
      <c r="A17" s="225">
        <v>9</v>
      </c>
      <c r="B17" s="217"/>
      <c r="C17" s="677" t="s">
        <v>2152</v>
      </c>
      <c r="D17" s="241"/>
      <c r="E17" s="241"/>
      <c r="F17" s="241"/>
      <c r="G17" s="241"/>
      <c r="H17" s="668" t="s">
        <v>2153</v>
      </c>
      <c r="I17" s="666"/>
      <c r="J17" s="666"/>
      <c r="K17" s="499" t="s">
        <v>2247</v>
      </c>
      <c r="L17" s="668" t="s">
        <v>819</v>
      </c>
      <c r="M17" s="669"/>
      <c r="N17" s="668" t="s">
        <v>878</v>
      </c>
      <c r="O17" s="670"/>
      <c r="P17" s="668" t="s">
        <v>931</v>
      </c>
      <c r="Q17" s="667"/>
      <c r="R17" s="667" t="s">
        <v>863</v>
      </c>
      <c r="S17" s="232"/>
      <c r="T17" s="671"/>
      <c r="U17" s="668"/>
      <c r="V17" s="672"/>
      <c r="W17" s="668"/>
      <c r="X17" s="670"/>
    </row>
    <row r="18" spans="1:24" s="224" customFormat="1" ht="14.25" customHeight="1">
      <c r="A18" s="225">
        <v>10</v>
      </c>
      <c r="B18" s="217"/>
      <c r="C18" s="677" t="s">
        <v>2248</v>
      </c>
      <c r="D18" s="241"/>
      <c r="E18" s="241"/>
      <c r="F18" s="241"/>
      <c r="G18" s="241"/>
      <c r="H18" s="668" t="s">
        <v>2249</v>
      </c>
      <c r="I18" s="666"/>
      <c r="J18" s="666"/>
      <c r="K18" s="499" t="s">
        <v>2250</v>
      </c>
      <c r="L18" s="668" t="s">
        <v>816</v>
      </c>
      <c r="M18" s="669"/>
      <c r="N18" s="668" t="s">
        <v>878</v>
      </c>
      <c r="O18" s="670"/>
      <c r="P18" s="668" t="s">
        <v>931</v>
      </c>
      <c r="Q18" s="667"/>
      <c r="R18" s="667" t="s">
        <v>863</v>
      </c>
      <c r="S18" s="232"/>
      <c r="T18" s="671"/>
      <c r="U18" s="668"/>
      <c r="V18" s="672"/>
      <c r="W18" s="668"/>
      <c r="X18" s="670"/>
    </row>
    <row r="19" spans="1:24" s="224" customFormat="1" ht="14.25" customHeight="1">
      <c r="A19" s="225">
        <v>11</v>
      </c>
      <c r="B19" s="217"/>
      <c r="C19" s="677" t="s">
        <v>2251</v>
      </c>
      <c r="D19" s="241"/>
      <c r="E19" s="241"/>
      <c r="F19" s="241"/>
      <c r="G19" s="241"/>
      <c r="H19" s="668" t="s">
        <v>2252</v>
      </c>
      <c r="I19" s="666"/>
      <c r="J19" s="666"/>
      <c r="K19" s="499" t="s">
        <v>2253</v>
      </c>
      <c r="L19" s="668" t="s">
        <v>816</v>
      </c>
      <c r="M19" s="669"/>
      <c r="N19" s="668" t="s">
        <v>878</v>
      </c>
      <c r="O19" s="670"/>
      <c r="P19" s="668" t="s">
        <v>931</v>
      </c>
      <c r="Q19" s="667"/>
      <c r="R19" s="667" t="s">
        <v>863</v>
      </c>
      <c r="S19" s="232"/>
      <c r="T19" s="671"/>
      <c r="U19" s="668"/>
      <c r="V19" s="672"/>
      <c r="W19" s="668"/>
      <c r="X19" s="670"/>
    </row>
    <row r="20" spans="1:24" s="224" customFormat="1" ht="13.5" customHeight="1">
      <c r="A20" s="225">
        <v>12</v>
      </c>
      <c r="B20" s="217"/>
      <c r="C20" s="218" t="s">
        <v>2155</v>
      </c>
      <c r="D20" s="241"/>
      <c r="E20" s="241"/>
      <c r="F20" s="241"/>
      <c r="G20" s="241"/>
      <c r="H20" s="255" t="s">
        <v>2156</v>
      </c>
      <c r="I20" s="666"/>
      <c r="J20" s="666"/>
      <c r="K20" s="666" t="s">
        <v>2157</v>
      </c>
      <c r="L20" s="668" t="s">
        <v>819</v>
      </c>
      <c r="M20" s="669"/>
      <c r="N20" s="668" t="s">
        <v>862</v>
      </c>
      <c r="O20" s="670"/>
      <c r="P20" s="668"/>
      <c r="Q20" s="667"/>
      <c r="R20" s="667" t="s">
        <v>863</v>
      </c>
      <c r="S20" s="232"/>
      <c r="T20" s="671" t="s">
        <v>2158</v>
      </c>
      <c r="U20" s="668"/>
      <c r="V20" s="672"/>
      <c r="W20" s="668"/>
      <c r="X20" s="670"/>
    </row>
    <row r="21" spans="1:24" s="224" customFormat="1" ht="13.5" customHeight="1">
      <c r="A21" s="225">
        <v>13</v>
      </c>
      <c r="B21" s="217"/>
      <c r="C21" s="241" t="s">
        <v>2009</v>
      </c>
      <c r="D21" s="241"/>
      <c r="E21" s="241"/>
      <c r="F21" s="241"/>
      <c r="G21" s="241"/>
      <c r="H21" s="668" t="s">
        <v>2170</v>
      </c>
      <c r="I21" s="666"/>
      <c r="J21" s="666"/>
      <c r="K21" s="666" t="s">
        <v>2171</v>
      </c>
      <c r="L21" s="668" t="s">
        <v>816</v>
      </c>
      <c r="M21" s="669"/>
      <c r="N21" s="668" t="s">
        <v>862</v>
      </c>
      <c r="O21" s="670"/>
      <c r="P21" s="668"/>
      <c r="Q21" s="667"/>
      <c r="R21" s="667" t="s">
        <v>863</v>
      </c>
      <c r="S21" s="232"/>
      <c r="T21" s="671"/>
      <c r="U21" s="668"/>
      <c r="V21" s="672"/>
      <c r="W21" s="668"/>
      <c r="X21" s="670"/>
    </row>
    <row r="22" spans="1:24" s="224" customFormat="1" ht="13.5" customHeight="1">
      <c r="A22" s="225">
        <v>14</v>
      </c>
      <c r="B22" s="217"/>
      <c r="C22" s="241" t="s">
        <v>2585</v>
      </c>
      <c r="D22" s="241"/>
      <c r="E22" s="241"/>
      <c r="F22" s="241"/>
      <c r="G22" s="241"/>
      <c r="H22" s="754" t="s">
        <v>2651</v>
      </c>
      <c r="I22" s="755"/>
      <c r="J22" s="755"/>
      <c r="K22" s="755" t="s">
        <v>1676</v>
      </c>
      <c r="L22" s="754" t="s">
        <v>819</v>
      </c>
      <c r="M22" s="756"/>
      <c r="N22" s="754" t="s">
        <v>862</v>
      </c>
      <c r="O22" s="757" t="s">
        <v>863</v>
      </c>
      <c r="P22" s="255" t="s">
        <v>2165</v>
      </c>
      <c r="Q22" s="758"/>
      <c r="R22" s="758" t="s">
        <v>863</v>
      </c>
      <c r="S22" s="232"/>
      <c r="T22" s="759" t="s">
        <v>2655</v>
      </c>
      <c r="U22" s="754"/>
      <c r="V22" s="760"/>
      <c r="W22" s="754"/>
      <c r="X22" s="757"/>
    </row>
    <row r="23" spans="1:24" s="224" customFormat="1" ht="13.5" customHeight="1">
      <c r="A23" s="225">
        <v>15</v>
      </c>
      <c r="B23" s="217"/>
      <c r="C23" s="241" t="s">
        <v>1673</v>
      </c>
      <c r="D23" s="241"/>
      <c r="E23" s="241"/>
      <c r="F23" s="241"/>
      <c r="G23" s="241"/>
      <c r="H23" s="754" t="s">
        <v>2652</v>
      </c>
      <c r="I23" s="755"/>
      <c r="J23" s="225"/>
      <c r="K23" s="755" t="s">
        <v>2654</v>
      </c>
      <c r="L23" s="754" t="s">
        <v>816</v>
      </c>
      <c r="M23" s="756"/>
      <c r="N23" s="754" t="s">
        <v>862</v>
      </c>
      <c r="O23" s="757" t="s">
        <v>863</v>
      </c>
      <c r="P23" s="754"/>
      <c r="Q23" s="758"/>
      <c r="R23" s="758"/>
      <c r="S23" s="232"/>
      <c r="T23" s="759" t="s">
        <v>2656</v>
      </c>
      <c r="U23" s="754"/>
      <c r="V23" s="760"/>
      <c r="W23" s="754"/>
      <c r="X23" s="757"/>
    </row>
    <row r="24" spans="1:24" s="224" customFormat="1" ht="13.5" customHeight="1">
      <c r="A24" s="225">
        <v>16</v>
      </c>
      <c r="B24" s="217"/>
      <c r="C24" s="761" t="s">
        <v>2166</v>
      </c>
      <c r="D24" s="241"/>
      <c r="E24" s="241"/>
      <c r="F24" s="241"/>
      <c r="G24" s="241"/>
      <c r="H24" s="754"/>
      <c r="I24" s="755"/>
      <c r="J24" s="755"/>
      <c r="K24" s="755" t="s">
        <v>2167</v>
      </c>
      <c r="L24" s="754" t="s">
        <v>816</v>
      </c>
      <c r="M24" s="756"/>
      <c r="N24" s="754" t="s">
        <v>862</v>
      </c>
      <c r="O24" s="757"/>
      <c r="P24" s="754"/>
      <c r="Q24" s="758"/>
      <c r="R24" s="758" t="s">
        <v>863</v>
      </c>
      <c r="S24" s="232"/>
      <c r="T24" s="759"/>
      <c r="U24" s="754"/>
      <c r="V24" s="760"/>
      <c r="W24" s="754"/>
      <c r="X24" s="757"/>
    </row>
    <row r="25" spans="1:24" s="224" customFormat="1" ht="13.5" customHeight="1">
      <c r="A25" s="225">
        <v>17</v>
      </c>
      <c r="B25" s="217"/>
      <c r="C25" s="241" t="s">
        <v>1103</v>
      </c>
      <c r="D25" s="241"/>
      <c r="E25" s="241"/>
      <c r="F25" s="241"/>
      <c r="G25" s="241"/>
      <c r="H25" s="668" t="s">
        <v>2254</v>
      </c>
      <c r="I25" s="666"/>
      <c r="J25" s="666"/>
      <c r="K25" s="666" t="s">
        <v>870</v>
      </c>
      <c r="L25" s="668" t="s">
        <v>816</v>
      </c>
      <c r="M25" s="669"/>
      <c r="N25" s="668" t="s">
        <v>862</v>
      </c>
      <c r="O25" s="670"/>
      <c r="P25" s="668"/>
      <c r="Q25" s="667"/>
      <c r="R25" s="667" t="s">
        <v>863</v>
      </c>
      <c r="S25" s="232"/>
      <c r="T25" s="671"/>
      <c r="U25" s="668"/>
      <c r="V25" s="672"/>
      <c r="W25" s="668"/>
      <c r="X25" s="670"/>
    </row>
    <row r="26" spans="1:24" s="224" customFormat="1" ht="13.5" customHeight="1">
      <c r="A26" s="225">
        <v>18</v>
      </c>
      <c r="B26" s="217"/>
      <c r="C26" s="241" t="s">
        <v>2255</v>
      </c>
      <c r="D26" s="241"/>
      <c r="E26" s="241"/>
      <c r="F26" s="241"/>
      <c r="G26" s="241"/>
      <c r="H26" s="255" t="s">
        <v>2256</v>
      </c>
      <c r="I26" s="666"/>
      <c r="J26" s="666"/>
      <c r="K26" s="666" t="s">
        <v>2257</v>
      </c>
      <c r="L26" s="668" t="s">
        <v>816</v>
      </c>
      <c r="M26" s="669"/>
      <c r="N26" s="668" t="s">
        <v>862</v>
      </c>
      <c r="O26" s="670"/>
      <c r="P26" s="668"/>
      <c r="Q26" s="667"/>
      <c r="R26" s="667" t="s">
        <v>863</v>
      </c>
      <c r="S26" s="232"/>
      <c r="T26" s="671"/>
      <c r="U26" s="668"/>
      <c r="V26" s="672"/>
      <c r="W26" s="668"/>
      <c r="X26" s="670"/>
    </row>
    <row r="27" spans="1:24" s="224" customFormat="1" ht="13.5" customHeight="1">
      <c r="A27" s="225">
        <v>19</v>
      </c>
      <c r="B27" s="217"/>
      <c r="C27" s="241" t="s">
        <v>2258</v>
      </c>
      <c r="D27" s="241"/>
      <c r="E27" s="241"/>
      <c r="F27" s="241"/>
      <c r="G27" s="241"/>
      <c r="H27" s="668" t="s">
        <v>2173</v>
      </c>
      <c r="I27" s="666"/>
      <c r="J27" s="666"/>
      <c r="K27" s="666" t="s">
        <v>2174</v>
      </c>
      <c r="L27" s="668" t="s">
        <v>816</v>
      </c>
      <c r="M27" s="669"/>
      <c r="N27" s="668" t="s">
        <v>862</v>
      </c>
      <c r="O27" s="670"/>
      <c r="P27" s="668"/>
      <c r="Q27" s="667"/>
      <c r="R27" s="667" t="s">
        <v>863</v>
      </c>
      <c r="S27" s="232"/>
      <c r="T27" s="671"/>
      <c r="U27" s="668"/>
      <c r="V27" s="672"/>
      <c r="W27" s="668"/>
      <c r="X27" s="670"/>
    </row>
    <row r="28" spans="1:24" s="224" customFormat="1" ht="13.5" customHeight="1">
      <c r="A28" s="225">
        <v>20</v>
      </c>
      <c r="B28" s="217"/>
      <c r="C28" s="241" t="s">
        <v>2175</v>
      </c>
      <c r="D28" s="241"/>
      <c r="E28" s="241"/>
      <c r="F28" s="241"/>
      <c r="G28" s="241"/>
      <c r="H28" s="668"/>
      <c r="I28" s="666"/>
      <c r="J28" s="666"/>
      <c r="K28" s="666" t="s">
        <v>2176</v>
      </c>
      <c r="L28" s="668" t="s">
        <v>816</v>
      </c>
      <c r="M28" s="669"/>
      <c r="N28" s="668" t="s">
        <v>862</v>
      </c>
      <c r="O28" s="670"/>
      <c r="P28" s="668"/>
      <c r="Q28" s="667"/>
      <c r="R28" s="667" t="s">
        <v>863</v>
      </c>
      <c r="S28" s="232"/>
      <c r="T28" s="671"/>
      <c r="U28" s="668"/>
      <c r="V28" s="672"/>
      <c r="W28" s="668"/>
      <c r="X28" s="670"/>
    </row>
    <row r="29" spans="1:24" s="224" customFormat="1" ht="13.5" customHeight="1">
      <c r="A29" s="225">
        <v>21</v>
      </c>
      <c r="B29" s="217"/>
      <c r="C29" s="241" t="s">
        <v>2177</v>
      </c>
      <c r="D29" s="241"/>
      <c r="E29" s="241"/>
      <c r="F29" s="241"/>
      <c r="G29" s="241"/>
      <c r="H29" s="668" t="s">
        <v>2178</v>
      </c>
      <c r="I29" s="666"/>
      <c r="J29" s="666"/>
      <c r="K29" s="666" t="s">
        <v>2179</v>
      </c>
      <c r="L29" s="668" t="s">
        <v>816</v>
      </c>
      <c r="M29" s="669"/>
      <c r="N29" s="668" t="s">
        <v>862</v>
      </c>
      <c r="O29" s="670"/>
      <c r="P29" s="668"/>
      <c r="Q29" s="667"/>
      <c r="R29" s="667" t="s">
        <v>863</v>
      </c>
      <c r="S29" s="232"/>
      <c r="T29" s="671"/>
      <c r="U29" s="668"/>
      <c r="V29" s="672"/>
      <c r="W29" s="668"/>
      <c r="X29" s="670"/>
    </row>
    <row r="30" spans="1:24" s="224" customFormat="1" ht="13.5" customHeight="1">
      <c r="A30" s="225">
        <v>22</v>
      </c>
      <c r="B30" s="217"/>
      <c r="C30" s="241" t="s">
        <v>2180</v>
      </c>
      <c r="D30" s="241"/>
      <c r="E30" s="241"/>
      <c r="F30" s="241"/>
      <c r="G30" s="241"/>
      <c r="H30" s="668" t="s">
        <v>2180</v>
      </c>
      <c r="I30" s="666"/>
      <c r="J30" s="666"/>
      <c r="K30" s="666" t="s">
        <v>2181</v>
      </c>
      <c r="L30" s="668" t="s">
        <v>816</v>
      </c>
      <c r="M30" s="669"/>
      <c r="N30" s="668" t="s">
        <v>862</v>
      </c>
      <c r="O30" s="670"/>
      <c r="P30" s="668"/>
      <c r="Q30" s="667"/>
      <c r="R30" s="667" t="s">
        <v>863</v>
      </c>
      <c r="S30" s="232"/>
      <c r="T30" s="671"/>
      <c r="U30" s="668"/>
      <c r="V30" s="672"/>
      <c r="W30" s="668"/>
      <c r="X30" s="670"/>
    </row>
    <row r="31" spans="1:24" s="224" customFormat="1" ht="13.5" customHeight="1">
      <c r="A31" s="225">
        <v>23</v>
      </c>
      <c r="B31" s="217"/>
      <c r="C31" s="241" t="s">
        <v>2182</v>
      </c>
      <c r="D31" s="241"/>
      <c r="E31" s="241"/>
      <c r="F31" s="241"/>
      <c r="G31" s="241"/>
      <c r="H31" s="668" t="s">
        <v>2182</v>
      </c>
      <c r="I31" s="666"/>
      <c r="J31" s="666"/>
      <c r="K31" s="666" t="s">
        <v>2183</v>
      </c>
      <c r="L31" s="668" t="s">
        <v>816</v>
      </c>
      <c r="M31" s="669"/>
      <c r="N31" s="668" t="s">
        <v>862</v>
      </c>
      <c r="O31" s="670"/>
      <c r="P31" s="668"/>
      <c r="Q31" s="667"/>
      <c r="R31" s="667" t="s">
        <v>863</v>
      </c>
      <c r="S31" s="232"/>
      <c r="T31" s="671"/>
      <c r="U31" s="668"/>
      <c r="V31" s="672"/>
      <c r="W31" s="668"/>
      <c r="X31" s="670"/>
    </row>
    <row r="32" spans="1:24" s="224" customFormat="1" ht="13.5" customHeight="1">
      <c r="A32" s="225">
        <v>24</v>
      </c>
      <c r="B32" s="217"/>
      <c r="C32" s="241" t="s">
        <v>2184</v>
      </c>
      <c r="D32" s="241"/>
      <c r="E32" s="241"/>
      <c r="F32" s="241"/>
      <c r="G32" s="241"/>
      <c r="H32" s="668" t="s">
        <v>2185</v>
      </c>
      <c r="I32" s="666"/>
      <c r="J32" s="666"/>
      <c r="K32" s="666" t="s">
        <v>2186</v>
      </c>
      <c r="L32" s="668" t="s">
        <v>816</v>
      </c>
      <c r="M32" s="669" t="s">
        <v>863</v>
      </c>
      <c r="N32" s="243" t="s">
        <v>2186</v>
      </c>
      <c r="O32" s="670"/>
      <c r="P32" s="668"/>
      <c r="Q32" s="667"/>
      <c r="R32" s="667" t="s">
        <v>863</v>
      </c>
      <c r="S32" s="232"/>
      <c r="T32" s="671"/>
      <c r="U32" s="668"/>
      <c r="V32" s="672"/>
      <c r="W32" s="668"/>
      <c r="X32" s="670"/>
    </row>
    <row r="33" spans="1:1009" s="224" customFormat="1" ht="13.5" customHeight="1">
      <c r="A33" s="225">
        <v>25</v>
      </c>
      <c r="B33" s="217"/>
      <c r="C33" s="241"/>
      <c r="D33" s="241" t="s">
        <v>1101</v>
      </c>
      <c r="E33" s="241"/>
      <c r="F33" s="241"/>
      <c r="G33" s="241"/>
      <c r="H33" s="668" t="s">
        <v>2187</v>
      </c>
      <c r="I33" s="666"/>
      <c r="J33" s="666"/>
      <c r="K33" s="666" t="s">
        <v>969</v>
      </c>
      <c r="L33" s="668" t="s">
        <v>816</v>
      </c>
      <c r="M33" s="669"/>
      <c r="N33" s="668" t="s">
        <v>862</v>
      </c>
      <c r="O33" s="670" t="s">
        <v>863</v>
      </c>
      <c r="P33" s="668" t="s">
        <v>2188</v>
      </c>
      <c r="Q33" s="667"/>
      <c r="R33" s="667" t="s">
        <v>863</v>
      </c>
      <c r="S33" s="232"/>
      <c r="T33" s="671" t="s">
        <v>2189</v>
      </c>
      <c r="U33" s="668"/>
      <c r="V33" s="672"/>
      <c r="W33" s="668"/>
      <c r="X33" s="670"/>
    </row>
    <row r="34" spans="1:1009" s="224" customFormat="1" ht="13.5" customHeight="1">
      <c r="A34" s="225">
        <v>26</v>
      </c>
      <c r="B34" s="217"/>
      <c r="C34" s="241"/>
      <c r="D34" s="241" t="s">
        <v>1103</v>
      </c>
      <c r="E34" s="241"/>
      <c r="F34" s="241"/>
      <c r="G34" s="241"/>
      <c r="H34" s="668" t="s">
        <v>2190</v>
      </c>
      <c r="I34" s="666"/>
      <c r="J34" s="666"/>
      <c r="K34" s="666" t="s">
        <v>870</v>
      </c>
      <c r="L34" s="668" t="s">
        <v>816</v>
      </c>
      <c r="M34" s="669"/>
      <c r="N34" s="668" t="s">
        <v>862</v>
      </c>
      <c r="O34" s="670"/>
      <c r="P34" s="668"/>
      <c r="Q34" s="667"/>
      <c r="R34" s="667" t="s">
        <v>863</v>
      </c>
      <c r="S34" s="232"/>
      <c r="T34" s="671"/>
      <c r="U34" s="668"/>
      <c r="V34" s="672"/>
      <c r="W34" s="668"/>
      <c r="X34" s="670"/>
    </row>
    <row r="35" spans="1:1009" s="224" customFormat="1" ht="13.5" customHeight="1">
      <c r="A35" s="225">
        <v>27</v>
      </c>
      <c r="B35" s="217"/>
      <c r="C35" s="217" t="s">
        <v>2259</v>
      </c>
      <c r="D35" s="241"/>
      <c r="E35" s="241"/>
      <c r="F35" s="241"/>
      <c r="G35" s="241"/>
      <c r="H35" s="668"/>
      <c r="I35" s="666"/>
      <c r="J35" s="666"/>
      <c r="K35" s="666" t="s">
        <v>2192</v>
      </c>
      <c r="L35" s="668" t="s">
        <v>816</v>
      </c>
      <c r="M35" s="669" t="s">
        <v>863</v>
      </c>
      <c r="N35" s="243" t="s">
        <v>2192</v>
      </c>
      <c r="O35" s="670"/>
      <c r="P35" s="668"/>
      <c r="Q35" s="667"/>
      <c r="R35" s="667" t="s">
        <v>863</v>
      </c>
      <c r="S35" s="232"/>
      <c r="T35" s="671"/>
      <c r="U35" s="668"/>
      <c r="V35" s="672"/>
      <c r="W35" s="668"/>
      <c r="X35" s="670"/>
    </row>
    <row r="36" spans="1:1009" s="224" customFormat="1" ht="13.5" customHeight="1">
      <c r="A36" s="225">
        <v>28</v>
      </c>
      <c r="B36" s="217"/>
      <c r="C36" s="217"/>
      <c r="D36" s="241" t="s">
        <v>2193</v>
      </c>
      <c r="E36" s="241"/>
      <c r="F36" s="241"/>
      <c r="G36" s="241"/>
      <c r="H36" s="668"/>
      <c r="I36" s="666"/>
      <c r="J36" s="666"/>
      <c r="K36" s="666" t="s">
        <v>2154</v>
      </c>
      <c r="L36" s="668" t="s">
        <v>816</v>
      </c>
      <c r="M36" s="669"/>
      <c r="N36" s="668" t="s">
        <v>878</v>
      </c>
      <c r="O36" s="670"/>
      <c r="P36" s="668" t="s">
        <v>931</v>
      </c>
      <c r="Q36" s="667"/>
      <c r="R36" s="667" t="s">
        <v>863</v>
      </c>
      <c r="S36" s="232"/>
      <c r="T36" s="671"/>
      <c r="U36" s="668"/>
      <c r="V36" s="672"/>
      <c r="W36" s="668"/>
      <c r="X36" s="670"/>
    </row>
    <row r="37" spans="1:1009" s="224" customFormat="1" ht="13.5" customHeight="1">
      <c r="A37" s="225">
        <v>29</v>
      </c>
      <c r="B37" s="217"/>
      <c r="C37" s="217"/>
      <c r="D37" s="241" t="s">
        <v>2194</v>
      </c>
      <c r="E37" s="241"/>
      <c r="F37" s="241"/>
      <c r="G37" s="241"/>
      <c r="H37" s="668" t="s">
        <v>2195</v>
      </c>
      <c r="I37" s="666"/>
      <c r="J37" s="666"/>
      <c r="K37" s="666" t="s">
        <v>887</v>
      </c>
      <c r="L37" s="668" t="s">
        <v>816</v>
      </c>
      <c r="M37" s="669"/>
      <c r="N37" s="668" t="s">
        <v>862</v>
      </c>
      <c r="O37" s="670" t="s">
        <v>863</v>
      </c>
      <c r="P37" s="668" t="s">
        <v>2196</v>
      </c>
      <c r="Q37" s="667"/>
      <c r="R37" s="667" t="s">
        <v>863</v>
      </c>
      <c r="S37" s="232"/>
      <c r="T37" s="671" t="s">
        <v>2189</v>
      </c>
      <c r="U37" s="668"/>
      <c r="V37" s="672"/>
      <c r="W37" s="668"/>
      <c r="X37" s="670"/>
    </row>
    <row r="38" spans="1:1009" s="224" customFormat="1" ht="13.5" customHeight="1">
      <c r="A38" s="225">
        <v>30</v>
      </c>
      <c r="B38" s="217"/>
      <c r="C38" s="217"/>
      <c r="D38" s="241" t="s">
        <v>2197</v>
      </c>
      <c r="E38" s="241"/>
      <c r="F38" s="241"/>
      <c r="G38" s="241"/>
      <c r="H38" s="668" t="s">
        <v>2198</v>
      </c>
      <c r="I38" s="666"/>
      <c r="J38" s="666"/>
      <c r="K38" s="666" t="s">
        <v>2199</v>
      </c>
      <c r="L38" s="668" t="s">
        <v>816</v>
      </c>
      <c r="M38" s="669"/>
      <c r="N38" s="668" t="s">
        <v>862</v>
      </c>
      <c r="O38" s="670" t="s">
        <v>863</v>
      </c>
      <c r="P38" s="668" t="s">
        <v>2200</v>
      </c>
      <c r="Q38" s="667"/>
      <c r="R38" s="667" t="s">
        <v>863</v>
      </c>
      <c r="S38" s="232"/>
      <c r="T38" s="671"/>
      <c r="U38" s="668"/>
      <c r="V38" s="672"/>
      <c r="W38" s="668"/>
      <c r="X38" s="670"/>
    </row>
    <row r="39" spans="1:1009" s="224" customFormat="1" ht="13.5" customHeight="1">
      <c r="A39" s="225">
        <v>31</v>
      </c>
      <c r="B39" s="217"/>
      <c r="C39" s="677" t="s">
        <v>1258</v>
      </c>
      <c r="D39" s="241"/>
      <c r="E39" s="241"/>
      <c r="F39" s="241"/>
      <c r="G39" s="241"/>
      <c r="H39" s="668" t="s">
        <v>2202</v>
      </c>
      <c r="I39" s="666"/>
      <c r="J39" s="666"/>
      <c r="K39" s="666" t="s">
        <v>1263</v>
      </c>
      <c r="L39" s="668" t="s">
        <v>816</v>
      </c>
      <c r="M39" s="669" t="s">
        <v>863</v>
      </c>
      <c r="N39" s="668" t="s">
        <v>1263</v>
      </c>
      <c r="O39" s="670"/>
      <c r="P39" s="668"/>
      <c r="Q39" s="667"/>
      <c r="R39" s="667" t="s">
        <v>863</v>
      </c>
      <c r="S39" s="232"/>
      <c r="T39" s="671"/>
      <c r="U39" s="668"/>
      <c r="V39" s="672"/>
      <c r="W39" s="668"/>
      <c r="X39" s="670"/>
    </row>
    <row r="40" spans="1:1009" s="224" customFormat="1" ht="13.5" customHeight="1">
      <c r="A40" s="225">
        <v>32</v>
      </c>
      <c r="B40" s="217"/>
      <c r="C40" s="241"/>
      <c r="D40" s="241" t="s">
        <v>1265</v>
      </c>
      <c r="E40" s="241"/>
      <c r="F40" s="241"/>
      <c r="G40" s="241"/>
      <c r="H40" s="668" t="s">
        <v>2203</v>
      </c>
      <c r="I40" s="666" t="s">
        <v>1267</v>
      </c>
      <c r="J40" s="666"/>
      <c r="K40" s="666" t="s">
        <v>969</v>
      </c>
      <c r="L40" s="668" t="s">
        <v>816</v>
      </c>
      <c r="M40" s="669"/>
      <c r="N40" s="668" t="s">
        <v>862</v>
      </c>
      <c r="O40" s="670" t="s">
        <v>863</v>
      </c>
      <c r="P40" s="668" t="s">
        <v>1268</v>
      </c>
      <c r="Q40" s="667"/>
      <c r="R40" s="667" t="s">
        <v>863</v>
      </c>
      <c r="S40" s="232"/>
      <c r="T40" s="671"/>
      <c r="U40" s="668"/>
      <c r="V40" s="672"/>
      <c r="W40" s="668"/>
      <c r="X40" s="670"/>
    </row>
    <row r="41" spans="1:1009" s="224" customFormat="1" ht="13.5" customHeight="1">
      <c r="A41" s="225">
        <v>33</v>
      </c>
      <c r="B41" s="217"/>
      <c r="D41" s="224" t="s">
        <v>1270</v>
      </c>
      <c r="F41" s="225"/>
      <c r="G41" s="241"/>
      <c r="H41" s="668" t="s">
        <v>2204</v>
      </c>
      <c r="I41" s="273" t="s">
        <v>1272</v>
      </c>
      <c r="J41" s="273"/>
      <c r="K41" s="666" t="s">
        <v>1012</v>
      </c>
      <c r="L41" s="668" t="s">
        <v>816</v>
      </c>
      <c r="M41" s="669"/>
      <c r="N41" s="668" t="s">
        <v>862</v>
      </c>
      <c r="O41" s="277"/>
      <c r="P41" s="668"/>
      <c r="Q41" s="667"/>
      <c r="R41" s="667" t="s">
        <v>863</v>
      </c>
      <c r="S41" s="232"/>
      <c r="T41" s="671"/>
      <c r="U41" s="668"/>
      <c r="V41" s="672"/>
      <c r="W41" s="668"/>
      <c r="X41" s="670"/>
    </row>
    <row r="42" spans="1:1009" s="224" customFormat="1" ht="13.5" customHeight="1">
      <c r="A42" s="225">
        <v>34</v>
      </c>
      <c r="B42" s="217"/>
      <c r="C42" s="677" t="s">
        <v>12</v>
      </c>
      <c r="D42" s="241"/>
      <c r="E42" s="241"/>
      <c r="F42" s="241"/>
      <c r="G42" s="241"/>
      <c r="H42" s="668" t="s">
        <v>2205</v>
      </c>
      <c r="I42" s="666"/>
      <c r="J42" s="666"/>
      <c r="K42" s="666" t="s">
        <v>938</v>
      </c>
      <c r="L42" s="668" t="s">
        <v>822</v>
      </c>
      <c r="M42" s="669"/>
      <c r="N42" s="668" t="s">
        <v>862</v>
      </c>
      <c r="O42" s="670"/>
      <c r="P42" s="668"/>
      <c r="Q42" s="667"/>
      <c r="R42" s="667"/>
      <c r="S42" s="232"/>
      <c r="T42" s="671"/>
      <c r="U42" s="668"/>
      <c r="V42" s="672"/>
      <c r="W42" s="668"/>
      <c r="X42" s="670"/>
    </row>
    <row r="43" spans="1:1009" s="224" customFormat="1" ht="12" customHeight="1">
      <c r="A43" s="225">
        <f>SUBTOTAL(103,createCase14181419[ID])</f>
        <v>34</v>
      </c>
      <c r="C43" s="225">
        <f>SUBTOTAL(103,createCase14181419[Donnée (Niveau 2)])</f>
        <v>23</v>
      </c>
      <c r="D43" s="225">
        <f>SUBTOTAL(103,createCase14181419[Donnée (Niveau 3)])</f>
        <v>7</v>
      </c>
      <c r="E43" s="225">
        <f>SUBTOTAL(103,createCase14181419[Donnée (Niveau 4)])</f>
        <v>0</v>
      </c>
      <c r="F43" s="225">
        <f>SUBTOTAL(103,createCase14181419[Donnée (Niveau 5)])</f>
        <v>0</v>
      </c>
      <c r="G43" s="225">
        <f>SUBTOTAL(103,createCase14181419[Donnée (Niveau 6)])</f>
        <v>0</v>
      </c>
      <c r="H43" s="225">
        <f>SUBTOTAL(103,createCase14181419[Description])</f>
        <v>30</v>
      </c>
      <c r="I43" s="225">
        <f>SUBTOTAL(103,createCase14181419[Exemples])</f>
        <v>4</v>
      </c>
      <c r="J43" s="225"/>
      <c r="K43" s="239">
        <f>SUBTOTAL(103,createCase14181419[Nouvelle balise])</f>
        <v>34</v>
      </c>
      <c r="L43" s="225"/>
      <c r="M43" s="234">
        <f>SUBTOTAL(103,createCase14181419[Objet])</f>
        <v>5</v>
      </c>
      <c r="N43" s="225">
        <f>SUBTOTAL(103,createCase14181419[Format (ou type)])</f>
        <v>34</v>
      </c>
      <c r="O43" s="274"/>
      <c r="P43" s="225"/>
      <c r="Q43" s="225"/>
      <c r="R43" s="225"/>
      <c r="T43" s="271">
        <f>SUBTOTAL(103,createCase14181419[Commentaire Hub Santé])</f>
        <v>5</v>
      </c>
      <c r="U43" s="225">
        <f>SUBTOTAL(103,createCase14181419[Commentaire Philippe Dreyfus])</f>
        <v>0</v>
      </c>
      <c r="V43" s="239"/>
      <c r="W43" s="225">
        <f>SUBTOTAL(103,createCase14181419[Commentaire Yann Penverne])</f>
        <v>0</v>
      </c>
      <c r="X43" s="225">
        <f>SUBTOTAL(103,createCase14181419[Métier])-COUNTIFS(createCase14181419[Métier],"=X")</f>
        <v>0</v>
      </c>
    </row>
    <row r="44" spans="1:1009" s="128" customFormat="1" ht="12" customHeight="1">
      <c r="A44" s="3"/>
      <c r="B44" s="3"/>
      <c r="C44" s="131"/>
      <c r="D44" s="131"/>
      <c r="E44" s="131"/>
      <c r="F44" s="131"/>
      <c r="G44" s="5"/>
      <c r="H44" s="155"/>
      <c r="I44" s="225"/>
      <c r="J44" s="155"/>
      <c r="K44" s="5"/>
      <c r="L44" s="188"/>
      <c r="M44" s="5"/>
      <c r="N44" s="56"/>
      <c r="O44" s="56"/>
      <c r="P44" s="668"/>
      <c r="Q44" s="668"/>
      <c r="R44"/>
      <c r="S44" s="178"/>
      <c r="T44" s="5"/>
      <c r="U44" s="159"/>
      <c r="V44" s="56"/>
      <c r="W44" s="56"/>
      <c r="ALS44"/>
      <c r="ALT44"/>
      <c r="ALU44"/>
    </row>
    <row r="45" spans="1:1009" s="128" customFormat="1" ht="12" customHeight="1">
      <c r="A45" s="129"/>
      <c r="B45" s="129"/>
      <c r="C45" s="129"/>
      <c r="D45" s="129"/>
      <c r="E45" s="129"/>
      <c r="F45" s="129"/>
      <c r="G45" s="96"/>
      <c r="H45" s="96"/>
      <c r="I45" s="225"/>
      <c r="J45" s="159"/>
      <c r="K45" s="96"/>
      <c r="L45" s="173"/>
      <c r="M45" s="96"/>
      <c r="N45" s="277"/>
      <c r="O45" s="96"/>
      <c r="P45" s="96"/>
      <c r="Q45" s="96"/>
      <c r="R45"/>
      <c r="S45" s="179"/>
      <c r="T45" s="96"/>
      <c r="U45" s="159"/>
      <c r="V45" s="96"/>
      <c r="W45" s="96"/>
      <c r="ALS45"/>
      <c r="ALT45"/>
      <c r="ALU45"/>
    </row>
    <row r="46" spans="1:1009" s="128" customFormat="1" ht="12" customHeight="1">
      <c r="I46" s="224"/>
      <c r="L46" s="173"/>
      <c r="M46" s="96"/>
      <c r="N46" s="277"/>
      <c r="O46" s="96"/>
      <c r="P46" s="96"/>
      <c r="Q46" s="96"/>
      <c r="R46"/>
      <c r="S46" s="179"/>
      <c r="T46" s="96"/>
      <c r="U46" s="159"/>
      <c r="V46" s="96"/>
      <c r="W46" s="96"/>
      <c r="ALS46"/>
      <c r="ALT46"/>
      <c r="ALU46"/>
    </row>
    <row r="47" spans="1:1009" s="128" customFormat="1" ht="12" customHeight="1">
      <c r="I47" s="224"/>
      <c r="L47" s="173"/>
      <c r="M47" s="96"/>
      <c r="N47" s="277"/>
      <c r="O47" s="96"/>
      <c r="P47" s="96"/>
      <c r="Q47" s="96"/>
      <c r="R47"/>
      <c r="S47" s="179"/>
      <c r="T47" s="96"/>
      <c r="U47" s="159"/>
      <c r="V47" s="96"/>
      <c r="W47" s="96"/>
      <c r="ALS47"/>
      <c r="ALT47"/>
      <c r="ALU47"/>
    </row>
    <row r="48" spans="1:1009" ht="12" customHeight="1">
      <c r="A48" s="123"/>
      <c r="B48" s="123"/>
      <c r="C48" s="123"/>
      <c r="D48" s="123"/>
      <c r="E48" s="123"/>
      <c r="F48" s="123"/>
      <c r="G48" s="112"/>
      <c r="H48" s="112"/>
      <c r="I48" s="276"/>
      <c r="J48" s="161"/>
      <c r="K48" s="112"/>
      <c r="L48" s="190"/>
      <c r="M48" s="112"/>
      <c r="N48" s="125"/>
      <c r="O48" s="112"/>
      <c r="P48" s="112"/>
      <c r="Q48" s="112"/>
      <c r="S48" s="180"/>
      <c r="T48" s="112"/>
      <c r="V48" s="112"/>
      <c r="W48" s="112"/>
    </row>
    <row r="49" spans="1:1009" ht="12" customHeight="1">
      <c r="A49" s="123"/>
      <c r="B49" s="123"/>
      <c r="C49" s="123"/>
      <c r="D49" s="123"/>
      <c r="E49" s="123"/>
      <c r="F49" s="123"/>
      <c r="G49" s="112"/>
      <c r="H49" s="112"/>
      <c r="I49" s="276"/>
      <c r="J49" s="161"/>
      <c r="K49" s="112"/>
      <c r="L49" s="190"/>
      <c r="M49" s="112"/>
      <c r="N49" s="125"/>
      <c r="O49" s="112"/>
      <c r="P49" s="112"/>
      <c r="Q49" s="112"/>
      <c r="S49" s="180"/>
      <c r="T49" s="112"/>
      <c r="V49" s="112"/>
      <c r="W49" s="112"/>
    </row>
    <row r="50" spans="1:1009" ht="12" customHeight="1">
      <c r="A50" s="130"/>
      <c r="B50" s="130"/>
      <c r="C50" s="130"/>
      <c r="D50" s="130"/>
      <c r="E50" s="130"/>
      <c r="F50" s="130"/>
    </row>
    <row r="51" spans="1:1009" ht="12" customHeight="1">
      <c r="A51" s="130"/>
      <c r="B51" s="130"/>
      <c r="C51" s="130"/>
      <c r="D51" s="130"/>
      <c r="E51" s="130"/>
      <c r="F51" s="130"/>
    </row>
    <row r="52" spans="1:1009" s="96" customFormat="1" ht="12" customHeight="1">
      <c r="A52" s="130"/>
      <c r="B52" s="130"/>
      <c r="C52" s="130"/>
      <c r="D52" s="130"/>
      <c r="E52" s="130"/>
      <c r="F52" s="130"/>
      <c r="I52" s="225"/>
      <c r="J52" s="159"/>
      <c r="L52" s="173"/>
      <c r="N52" s="277"/>
      <c r="R52"/>
      <c r="S52" s="179"/>
      <c r="U52" s="159"/>
      <c r="X52"/>
      <c r="Y52" s="128"/>
      <c r="Z52" s="128"/>
      <c r="AA52" s="128"/>
      <c r="AB52" s="128"/>
      <c r="AC52" s="128"/>
      <c r="AD52" s="128"/>
      <c r="AE52" s="128"/>
      <c r="AF52" s="128"/>
      <c r="AG52" s="128"/>
      <c r="AH52" s="128"/>
      <c r="AI52" s="128"/>
      <c r="AJ52" s="128"/>
      <c r="AK52" s="128"/>
      <c r="AL52" s="128"/>
      <c r="AM52" s="128"/>
      <c r="AN52" s="128"/>
      <c r="AO52" s="128"/>
      <c r="AP52" s="128"/>
      <c r="AQ52" s="128"/>
      <c r="AR52" s="128"/>
      <c r="AS52" s="128"/>
      <c r="AT52" s="128"/>
      <c r="AU52" s="128"/>
      <c r="AV52" s="128"/>
      <c r="AW52" s="128"/>
      <c r="AX52" s="128"/>
      <c r="AY52" s="128"/>
      <c r="AZ52" s="128"/>
      <c r="BA52" s="128"/>
      <c r="BB52" s="128"/>
      <c r="BC52" s="128"/>
      <c r="BD52" s="128"/>
      <c r="BE52" s="128"/>
      <c r="BF52" s="128"/>
      <c r="BG52" s="128"/>
      <c r="BH52" s="128"/>
      <c r="BI52" s="128"/>
      <c r="BJ52" s="128"/>
      <c r="BK52" s="128"/>
      <c r="BL52" s="128"/>
      <c r="BM52" s="128"/>
      <c r="BN52" s="128"/>
      <c r="BO52" s="128"/>
      <c r="BP52" s="128"/>
      <c r="BQ52" s="128"/>
      <c r="BR52" s="128"/>
      <c r="BS52" s="128"/>
      <c r="BT52" s="128"/>
      <c r="BU52" s="128"/>
      <c r="BV52" s="128"/>
      <c r="BW52" s="128"/>
      <c r="BX52" s="128"/>
      <c r="BY52" s="128"/>
      <c r="BZ52" s="128"/>
      <c r="CA52" s="128"/>
      <c r="CB52" s="128"/>
      <c r="CC52" s="128"/>
      <c r="CD52" s="128"/>
      <c r="CE52" s="128"/>
      <c r="CF52" s="128"/>
      <c r="CG52" s="128"/>
      <c r="CH52" s="128"/>
      <c r="CI52" s="128"/>
      <c r="CJ52" s="128"/>
      <c r="CK52" s="128"/>
      <c r="CL52" s="128"/>
      <c r="CM52" s="128"/>
      <c r="CN52" s="128"/>
      <c r="CO52" s="128"/>
      <c r="CP52" s="128"/>
      <c r="CQ52" s="128"/>
      <c r="CR52" s="128"/>
      <c r="CS52" s="128"/>
      <c r="CT52" s="128"/>
      <c r="CU52" s="128"/>
      <c r="CV52" s="128"/>
      <c r="CW52" s="128"/>
      <c r="CX52" s="128"/>
      <c r="CY52" s="128"/>
      <c r="CZ52" s="128"/>
      <c r="DA52" s="128"/>
      <c r="DB52" s="128"/>
      <c r="DC52" s="128"/>
      <c r="DD52" s="128"/>
      <c r="DE52" s="128"/>
      <c r="DF52" s="128"/>
      <c r="DG52" s="128"/>
      <c r="DH52" s="128"/>
      <c r="DI52" s="128"/>
      <c r="DJ52" s="128"/>
      <c r="DK52" s="128"/>
      <c r="DL52" s="128"/>
      <c r="DM52" s="128"/>
      <c r="DN52" s="128"/>
      <c r="DO52" s="128"/>
      <c r="DP52" s="128"/>
      <c r="DQ52" s="128"/>
      <c r="DR52" s="128"/>
      <c r="DS52" s="128"/>
      <c r="DT52" s="128"/>
      <c r="DU52" s="128"/>
      <c r="DV52" s="128"/>
      <c r="DW52" s="128"/>
      <c r="DX52" s="128"/>
      <c r="DY52" s="128"/>
      <c r="DZ52" s="128"/>
      <c r="EA52" s="128"/>
      <c r="EB52" s="128"/>
      <c r="EC52" s="128"/>
      <c r="ED52" s="128"/>
      <c r="EE52" s="128"/>
      <c r="EF52" s="128"/>
      <c r="EG52" s="128"/>
      <c r="EH52" s="128"/>
      <c r="EI52" s="128"/>
      <c r="EJ52" s="128"/>
      <c r="EK52" s="128"/>
      <c r="EL52" s="128"/>
      <c r="EM52" s="128"/>
      <c r="EN52" s="128"/>
      <c r="EO52" s="128"/>
      <c r="EP52" s="128"/>
      <c r="EQ52" s="128"/>
      <c r="ER52" s="128"/>
      <c r="ES52" s="128"/>
      <c r="ET52" s="128"/>
      <c r="EU52" s="128"/>
      <c r="EV52" s="128"/>
      <c r="EW52" s="128"/>
      <c r="EX52" s="128"/>
      <c r="EY52" s="128"/>
      <c r="EZ52" s="128"/>
      <c r="FA52" s="128"/>
      <c r="FB52" s="128"/>
      <c r="FC52" s="128"/>
      <c r="FD52" s="128"/>
      <c r="FE52" s="128"/>
      <c r="FF52" s="128"/>
      <c r="FG52" s="128"/>
      <c r="FH52" s="128"/>
      <c r="FI52" s="128"/>
      <c r="FJ52" s="128"/>
      <c r="FK52" s="128"/>
      <c r="FL52" s="128"/>
      <c r="FM52" s="128"/>
      <c r="FN52" s="128"/>
      <c r="FO52" s="128"/>
      <c r="FP52" s="128"/>
      <c r="FQ52" s="128"/>
      <c r="FR52" s="128"/>
      <c r="FS52" s="128"/>
      <c r="FT52" s="128"/>
      <c r="FU52" s="128"/>
      <c r="FV52" s="128"/>
      <c r="FW52" s="128"/>
      <c r="FX52" s="128"/>
      <c r="FY52" s="128"/>
      <c r="FZ52" s="128"/>
      <c r="GA52" s="128"/>
      <c r="GB52" s="128"/>
      <c r="GC52" s="128"/>
      <c r="GD52" s="128"/>
      <c r="GE52" s="128"/>
      <c r="GF52" s="128"/>
      <c r="GG52" s="128"/>
      <c r="GH52" s="128"/>
      <c r="GI52" s="128"/>
      <c r="GJ52" s="128"/>
      <c r="GK52" s="128"/>
      <c r="GL52" s="128"/>
      <c r="GM52" s="128"/>
      <c r="GN52" s="128"/>
      <c r="GO52" s="128"/>
      <c r="GP52" s="128"/>
      <c r="GQ52" s="128"/>
      <c r="GR52" s="128"/>
      <c r="GS52" s="128"/>
      <c r="GT52" s="128"/>
      <c r="GU52" s="128"/>
      <c r="GV52" s="128"/>
      <c r="GW52" s="128"/>
      <c r="GX52" s="128"/>
      <c r="GY52" s="128"/>
      <c r="GZ52" s="128"/>
      <c r="HA52" s="128"/>
      <c r="HB52" s="128"/>
      <c r="HC52" s="128"/>
      <c r="HD52" s="128"/>
      <c r="HE52" s="128"/>
      <c r="HF52" s="128"/>
      <c r="HG52" s="128"/>
      <c r="HH52" s="128"/>
      <c r="HI52" s="128"/>
      <c r="HJ52" s="128"/>
      <c r="HK52" s="128"/>
      <c r="HL52" s="128"/>
      <c r="HM52" s="128"/>
      <c r="HN52" s="128"/>
      <c r="HO52" s="128"/>
      <c r="HP52" s="128"/>
      <c r="HQ52" s="128"/>
      <c r="HR52" s="128"/>
      <c r="HS52" s="128"/>
      <c r="HT52" s="128"/>
      <c r="HU52" s="128"/>
      <c r="HV52" s="128"/>
      <c r="HW52" s="128"/>
      <c r="HX52" s="128"/>
      <c r="HY52" s="128"/>
      <c r="HZ52" s="128"/>
      <c r="IA52" s="128"/>
      <c r="IB52" s="128"/>
      <c r="IC52" s="128"/>
      <c r="ID52" s="128"/>
      <c r="IE52" s="128"/>
      <c r="IF52" s="128"/>
      <c r="IG52" s="128"/>
      <c r="IH52" s="128"/>
      <c r="II52" s="128"/>
      <c r="IJ52" s="128"/>
      <c r="IK52" s="128"/>
      <c r="IL52" s="128"/>
      <c r="IM52" s="128"/>
      <c r="IN52" s="128"/>
      <c r="IO52" s="128"/>
      <c r="IP52" s="128"/>
      <c r="IQ52" s="128"/>
      <c r="IR52" s="128"/>
      <c r="IS52" s="128"/>
      <c r="IT52" s="128"/>
      <c r="IU52" s="128"/>
      <c r="IV52" s="128"/>
      <c r="IW52" s="128"/>
      <c r="IX52" s="128"/>
      <c r="IY52" s="128"/>
      <c r="IZ52" s="128"/>
      <c r="JA52" s="128"/>
      <c r="JB52" s="128"/>
      <c r="JC52" s="128"/>
      <c r="JD52" s="128"/>
      <c r="JE52" s="128"/>
      <c r="JF52" s="128"/>
      <c r="JG52" s="128"/>
      <c r="JH52" s="128"/>
      <c r="JI52" s="128"/>
      <c r="JJ52" s="128"/>
      <c r="JK52" s="128"/>
      <c r="JL52" s="128"/>
      <c r="JM52" s="128"/>
      <c r="JN52" s="128"/>
      <c r="JO52" s="128"/>
      <c r="JP52" s="128"/>
      <c r="JQ52" s="128"/>
      <c r="JR52" s="128"/>
      <c r="JS52" s="128"/>
      <c r="JT52" s="128"/>
      <c r="JU52" s="128"/>
      <c r="JV52" s="128"/>
      <c r="JW52" s="128"/>
      <c r="JX52" s="128"/>
      <c r="JY52" s="128"/>
      <c r="JZ52" s="128"/>
      <c r="KA52" s="128"/>
      <c r="KB52" s="128"/>
      <c r="KC52" s="128"/>
      <c r="KD52" s="128"/>
      <c r="KE52" s="128"/>
      <c r="KF52" s="128"/>
      <c r="KG52" s="128"/>
      <c r="KH52" s="128"/>
      <c r="KI52" s="128"/>
      <c r="KJ52" s="128"/>
      <c r="KK52" s="128"/>
      <c r="KL52" s="128"/>
      <c r="KM52" s="128"/>
      <c r="KN52" s="128"/>
      <c r="KO52" s="128"/>
      <c r="KP52" s="128"/>
      <c r="KQ52" s="128"/>
      <c r="KR52" s="128"/>
      <c r="KS52" s="128"/>
      <c r="KT52" s="128"/>
      <c r="KU52" s="128"/>
      <c r="KV52" s="128"/>
      <c r="KW52" s="128"/>
      <c r="KX52" s="128"/>
      <c r="KY52" s="128"/>
      <c r="KZ52" s="128"/>
      <c r="LA52" s="128"/>
      <c r="LB52" s="128"/>
      <c r="LC52" s="128"/>
      <c r="LD52" s="128"/>
      <c r="LE52" s="128"/>
      <c r="LF52" s="128"/>
      <c r="LG52" s="128"/>
      <c r="LH52" s="128"/>
      <c r="LI52" s="128"/>
      <c r="LJ52" s="128"/>
      <c r="LK52" s="128"/>
      <c r="LL52" s="128"/>
      <c r="LM52" s="128"/>
      <c r="LN52" s="128"/>
      <c r="LO52" s="128"/>
      <c r="LP52" s="128"/>
      <c r="LQ52" s="128"/>
      <c r="LR52" s="128"/>
      <c r="LS52" s="128"/>
      <c r="LT52" s="128"/>
      <c r="LU52" s="128"/>
      <c r="LV52" s="128"/>
      <c r="LW52" s="128"/>
      <c r="LX52" s="128"/>
      <c r="LY52" s="128"/>
      <c r="LZ52" s="128"/>
      <c r="MA52" s="128"/>
      <c r="MB52" s="128"/>
      <c r="MC52" s="128"/>
      <c r="MD52" s="128"/>
      <c r="ME52" s="128"/>
      <c r="MF52" s="128"/>
      <c r="MG52" s="128"/>
      <c r="MH52" s="128"/>
      <c r="MI52" s="128"/>
      <c r="MJ52" s="128"/>
      <c r="MK52" s="128"/>
      <c r="ML52" s="128"/>
      <c r="MM52" s="128"/>
      <c r="MN52" s="128"/>
      <c r="MO52" s="128"/>
      <c r="MP52" s="128"/>
      <c r="MQ52" s="128"/>
      <c r="MR52" s="128"/>
      <c r="MS52" s="128"/>
      <c r="MT52" s="128"/>
      <c r="MU52" s="128"/>
      <c r="MV52" s="128"/>
      <c r="MW52" s="128"/>
      <c r="MX52" s="128"/>
      <c r="MY52" s="128"/>
      <c r="MZ52" s="128"/>
      <c r="NA52" s="128"/>
      <c r="NB52" s="128"/>
      <c r="NC52" s="128"/>
      <c r="ND52" s="128"/>
      <c r="NE52" s="128"/>
      <c r="NF52" s="128"/>
      <c r="NG52" s="128"/>
      <c r="NH52" s="128"/>
      <c r="NI52" s="128"/>
      <c r="NJ52" s="128"/>
      <c r="NK52" s="128"/>
      <c r="NL52" s="128"/>
      <c r="NM52" s="128"/>
      <c r="NN52" s="128"/>
      <c r="NO52" s="128"/>
      <c r="NP52" s="128"/>
      <c r="NQ52" s="128"/>
      <c r="NR52" s="128"/>
      <c r="NS52" s="128"/>
      <c r="NT52" s="128"/>
      <c r="NU52" s="128"/>
      <c r="NV52" s="128"/>
      <c r="NW52" s="128"/>
      <c r="NX52" s="128"/>
      <c r="NY52" s="128"/>
      <c r="NZ52" s="128"/>
      <c r="OA52" s="128"/>
      <c r="OB52" s="128"/>
      <c r="OC52" s="128"/>
      <c r="OD52" s="128"/>
      <c r="OE52" s="128"/>
      <c r="OF52" s="128"/>
      <c r="OG52" s="128"/>
      <c r="OH52" s="128"/>
      <c r="OI52" s="128"/>
      <c r="OJ52" s="128"/>
      <c r="OK52" s="128"/>
      <c r="OL52" s="128"/>
      <c r="OM52" s="128"/>
      <c r="ON52" s="128"/>
      <c r="OO52" s="128"/>
      <c r="OP52" s="128"/>
      <c r="OQ52" s="128"/>
      <c r="OR52" s="128"/>
      <c r="OS52" s="128"/>
      <c r="OT52" s="128"/>
      <c r="OU52" s="128"/>
      <c r="OV52" s="128"/>
      <c r="OW52" s="128"/>
      <c r="OX52" s="128"/>
      <c r="OY52" s="128"/>
      <c r="OZ52" s="128"/>
      <c r="PA52" s="128"/>
      <c r="PB52" s="128"/>
      <c r="PC52" s="128"/>
      <c r="PD52" s="128"/>
      <c r="PE52" s="128"/>
      <c r="PF52" s="128"/>
      <c r="PG52" s="128"/>
      <c r="PH52" s="128"/>
      <c r="PI52" s="128"/>
      <c r="PJ52" s="128"/>
      <c r="PK52" s="128"/>
      <c r="PL52" s="128"/>
      <c r="PM52" s="128"/>
      <c r="PN52" s="128"/>
      <c r="PO52" s="128"/>
      <c r="PP52" s="128"/>
      <c r="PQ52" s="128"/>
      <c r="PR52" s="128"/>
      <c r="PS52" s="128"/>
      <c r="PT52" s="128"/>
      <c r="PU52" s="128"/>
      <c r="PV52" s="128"/>
      <c r="PW52" s="128"/>
      <c r="PX52" s="128"/>
      <c r="PY52" s="128"/>
      <c r="PZ52" s="128"/>
      <c r="QA52" s="128"/>
      <c r="QB52" s="128"/>
      <c r="QC52" s="128"/>
      <c r="QD52" s="128"/>
      <c r="QE52" s="128"/>
      <c r="QF52" s="128"/>
      <c r="QG52" s="128"/>
      <c r="QH52" s="128"/>
      <c r="QI52" s="128"/>
      <c r="QJ52" s="128"/>
      <c r="QK52" s="128"/>
      <c r="QL52" s="128"/>
      <c r="QM52" s="128"/>
      <c r="QN52" s="128"/>
      <c r="QO52" s="128"/>
      <c r="QP52" s="128"/>
      <c r="QQ52" s="128"/>
      <c r="QR52" s="128"/>
      <c r="QS52" s="128"/>
      <c r="QT52" s="128"/>
      <c r="QU52" s="128"/>
      <c r="QV52" s="128"/>
      <c r="QW52" s="128"/>
      <c r="QX52" s="128"/>
      <c r="QY52" s="128"/>
      <c r="QZ52" s="128"/>
      <c r="RA52" s="128"/>
      <c r="RB52" s="128"/>
      <c r="RC52" s="128"/>
      <c r="RD52" s="128"/>
      <c r="RE52" s="128"/>
      <c r="RF52" s="128"/>
      <c r="RG52" s="128"/>
      <c r="RH52" s="128"/>
      <c r="RI52" s="128"/>
      <c r="RJ52" s="128"/>
      <c r="RK52" s="128"/>
      <c r="RL52" s="128"/>
      <c r="RM52" s="128"/>
      <c r="RN52" s="128"/>
      <c r="RO52" s="128"/>
      <c r="RP52" s="128"/>
      <c r="RQ52" s="128"/>
      <c r="RR52" s="128"/>
      <c r="RS52" s="128"/>
      <c r="RT52" s="128"/>
      <c r="RU52" s="128"/>
      <c r="RV52" s="128"/>
      <c r="RW52" s="128"/>
      <c r="RX52" s="128"/>
      <c r="RY52" s="128"/>
      <c r="RZ52" s="128"/>
      <c r="SA52" s="128"/>
      <c r="SB52" s="128"/>
      <c r="SC52" s="128"/>
      <c r="SD52" s="128"/>
      <c r="SE52" s="128"/>
      <c r="SF52" s="128"/>
      <c r="SG52" s="128"/>
      <c r="SH52" s="128"/>
      <c r="SI52" s="128"/>
      <c r="SJ52" s="128"/>
      <c r="SK52" s="128"/>
      <c r="SL52" s="128"/>
      <c r="SM52" s="128"/>
      <c r="SN52" s="128"/>
      <c r="SO52" s="128"/>
      <c r="SP52" s="128"/>
      <c r="SQ52" s="128"/>
      <c r="SR52" s="128"/>
      <c r="SS52" s="128"/>
      <c r="ST52" s="128"/>
      <c r="SU52" s="128"/>
      <c r="SV52" s="128"/>
      <c r="SW52" s="128"/>
      <c r="SX52" s="128"/>
      <c r="SY52" s="128"/>
      <c r="SZ52" s="128"/>
      <c r="TA52" s="128"/>
      <c r="TB52" s="128"/>
      <c r="TC52" s="128"/>
      <c r="TD52" s="128"/>
      <c r="TE52" s="128"/>
      <c r="TF52" s="128"/>
      <c r="TG52" s="128"/>
      <c r="TH52" s="128"/>
      <c r="TI52" s="128"/>
      <c r="TJ52" s="128"/>
      <c r="TK52" s="128"/>
      <c r="TL52" s="128"/>
      <c r="TM52" s="128"/>
      <c r="TN52" s="128"/>
      <c r="TO52" s="128"/>
      <c r="TP52" s="128"/>
      <c r="TQ52" s="128"/>
      <c r="TR52" s="128"/>
      <c r="TS52" s="128"/>
      <c r="TT52" s="128"/>
      <c r="TU52" s="128"/>
      <c r="TV52" s="128"/>
      <c r="TW52" s="128"/>
      <c r="TX52" s="128"/>
      <c r="TY52" s="128"/>
      <c r="TZ52" s="128"/>
      <c r="UA52" s="128"/>
      <c r="UB52" s="128"/>
      <c r="UC52" s="128"/>
      <c r="UD52" s="128"/>
      <c r="UE52" s="128"/>
      <c r="UF52" s="128"/>
      <c r="UG52" s="128"/>
      <c r="UH52" s="128"/>
      <c r="UI52" s="128"/>
      <c r="UJ52" s="128"/>
      <c r="UK52" s="128"/>
      <c r="UL52" s="128"/>
      <c r="UM52" s="128"/>
      <c r="UN52" s="128"/>
      <c r="UO52" s="128"/>
      <c r="UP52" s="128"/>
      <c r="UQ52" s="128"/>
      <c r="UR52" s="128"/>
      <c r="US52" s="128"/>
      <c r="UT52" s="128"/>
      <c r="UU52" s="128"/>
      <c r="UV52" s="128"/>
      <c r="UW52" s="128"/>
      <c r="UX52" s="128"/>
      <c r="UY52" s="128"/>
      <c r="UZ52" s="128"/>
      <c r="VA52" s="128"/>
      <c r="VB52" s="128"/>
      <c r="VC52" s="128"/>
      <c r="VD52" s="128"/>
      <c r="VE52" s="128"/>
      <c r="VF52" s="128"/>
      <c r="VG52" s="128"/>
      <c r="VH52" s="128"/>
      <c r="VI52" s="128"/>
      <c r="VJ52" s="128"/>
      <c r="VK52" s="128"/>
      <c r="VL52" s="128"/>
      <c r="VM52" s="128"/>
      <c r="VN52" s="128"/>
      <c r="VO52" s="128"/>
      <c r="VP52" s="128"/>
      <c r="VQ52" s="128"/>
      <c r="VR52" s="128"/>
      <c r="VS52" s="128"/>
      <c r="VT52" s="128"/>
      <c r="VU52" s="128"/>
      <c r="VV52" s="128"/>
      <c r="VW52" s="128"/>
      <c r="VX52" s="128"/>
      <c r="VY52" s="128"/>
      <c r="VZ52" s="128"/>
      <c r="WA52" s="128"/>
      <c r="WB52" s="128"/>
      <c r="WC52" s="128"/>
      <c r="WD52" s="128"/>
      <c r="WE52" s="128"/>
      <c r="WF52" s="128"/>
      <c r="WG52" s="128"/>
      <c r="WH52" s="128"/>
      <c r="WI52" s="128"/>
      <c r="WJ52" s="128"/>
      <c r="WK52" s="128"/>
      <c r="WL52" s="128"/>
      <c r="WM52" s="128"/>
      <c r="WN52" s="128"/>
      <c r="WO52" s="128"/>
      <c r="WP52" s="128"/>
      <c r="WQ52" s="128"/>
      <c r="WR52" s="128"/>
      <c r="WS52" s="128"/>
      <c r="WT52" s="128"/>
      <c r="WU52" s="128"/>
      <c r="WV52" s="128"/>
      <c r="WW52" s="128"/>
      <c r="WX52" s="128"/>
      <c r="WY52" s="128"/>
      <c r="WZ52" s="128"/>
      <c r="XA52" s="128"/>
      <c r="XB52" s="128"/>
      <c r="XC52" s="128"/>
      <c r="XD52" s="128"/>
      <c r="XE52" s="128"/>
      <c r="XF52" s="128"/>
      <c r="XG52" s="128"/>
      <c r="XH52" s="128"/>
      <c r="XI52" s="128"/>
      <c r="XJ52" s="128"/>
      <c r="XK52" s="128"/>
      <c r="XL52" s="128"/>
      <c r="XM52" s="128"/>
      <c r="XN52" s="128"/>
      <c r="XO52" s="128"/>
      <c r="XP52" s="128"/>
      <c r="XQ52" s="128"/>
      <c r="XR52" s="128"/>
      <c r="XS52" s="128"/>
      <c r="XT52" s="128"/>
      <c r="XU52" s="128"/>
      <c r="XV52" s="128"/>
      <c r="XW52" s="128"/>
      <c r="XX52" s="128"/>
      <c r="XY52" s="128"/>
      <c r="XZ52" s="128"/>
      <c r="YA52" s="128"/>
      <c r="YB52" s="128"/>
      <c r="YC52" s="128"/>
      <c r="YD52" s="128"/>
      <c r="YE52" s="128"/>
      <c r="YF52" s="128"/>
      <c r="YG52" s="128"/>
      <c r="YH52" s="128"/>
      <c r="YI52" s="128"/>
      <c r="YJ52" s="128"/>
      <c r="YK52" s="128"/>
      <c r="YL52" s="128"/>
      <c r="YM52" s="128"/>
      <c r="YN52" s="128"/>
      <c r="YO52" s="128"/>
      <c r="YP52" s="128"/>
      <c r="YQ52" s="128"/>
      <c r="YR52" s="128"/>
      <c r="YS52" s="128"/>
      <c r="YT52" s="128"/>
      <c r="YU52" s="128"/>
      <c r="YV52" s="128"/>
      <c r="YW52" s="128"/>
      <c r="YX52" s="128"/>
      <c r="YY52" s="128"/>
      <c r="YZ52" s="128"/>
      <c r="ZA52" s="128"/>
      <c r="ZB52" s="128"/>
      <c r="ZC52" s="128"/>
      <c r="ZD52" s="128"/>
      <c r="ZE52" s="128"/>
      <c r="ZF52" s="128"/>
      <c r="ZG52" s="128"/>
      <c r="ZH52" s="128"/>
      <c r="ZI52" s="128"/>
      <c r="ZJ52" s="128"/>
      <c r="ZK52" s="128"/>
      <c r="ZL52" s="128"/>
      <c r="ZM52" s="128"/>
      <c r="ZN52" s="128"/>
      <c r="ZO52" s="128"/>
      <c r="ZP52" s="128"/>
      <c r="ZQ52" s="128"/>
      <c r="ZR52" s="128"/>
      <c r="ZS52" s="128"/>
      <c r="ZT52" s="128"/>
      <c r="ZU52" s="128"/>
      <c r="ZV52" s="128"/>
      <c r="ZW52" s="128"/>
      <c r="ZX52" s="128"/>
      <c r="ZY52" s="128"/>
      <c r="ZZ52" s="128"/>
      <c r="AAA52" s="128"/>
      <c r="AAB52" s="128"/>
      <c r="AAC52" s="128"/>
      <c r="AAD52" s="128"/>
      <c r="AAE52" s="128"/>
      <c r="AAF52" s="128"/>
      <c r="AAG52" s="128"/>
      <c r="AAH52" s="128"/>
      <c r="AAI52" s="128"/>
      <c r="AAJ52" s="128"/>
      <c r="AAK52" s="128"/>
      <c r="AAL52" s="128"/>
      <c r="AAM52" s="128"/>
      <c r="AAN52" s="128"/>
      <c r="AAO52" s="128"/>
      <c r="AAP52" s="128"/>
      <c r="AAQ52" s="128"/>
      <c r="AAR52" s="128"/>
      <c r="AAS52" s="128"/>
      <c r="AAT52" s="128"/>
      <c r="AAU52" s="128"/>
      <c r="AAV52" s="128"/>
      <c r="AAW52" s="128"/>
      <c r="AAX52" s="128"/>
      <c r="AAY52" s="128"/>
      <c r="AAZ52" s="128"/>
      <c r="ABA52" s="128"/>
      <c r="ABB52" s="128"/>
      <c r="ABC52" s="128"/>
      <c r="ABD52" s="128"/>
      <c r="ABE52" s="128"/>
      <c r="ABF52" s="128"/>
      <c r="ABG52" s="128"/>
      <c r="ABH52" s="128"/>
      <c r="ABI52" s="128"/>
      <c r="ABJ52" s="128"/>
      <c r="ABK52" s="128"/>
      <c r="ABL52" s="128"/>
      <c r="ABM52" s="128"/>
      <c r="ABN52" s="128"/>
      <c r="ABO52" s="128"/>
      <c r="ABP52" s="128"/>
      <c r="ABQ52" s="128"/>
      <c r="ABR52" s="128"/>
      <c r="ABS52" s="128"/>
      <c r="ABT52" s="128"/>
      <c r="ABU52" s="128"/>
      <c r="ABV52" s="128"/>
      <c r="ABW52" s="128"/>
      <c r="ABX52" s="128"/>
      <c r="ABY52" s="128"/>
      <c r="ABZ52" s="128"/>
      <c r="ACA52" s="128"/>
      <c r="ACB52" s="128"/>
      <c r="ACC52" s="128"/>
      <c r="ACD52" s="128"/>
      <c r="ACE52" s="128"/>
      <c r="ACF52" s="128"/>
      <c r="ACG52" s="128"/>
      <c r="ACH52" s="128"/>
      <c r="ACI52" s="128"/>
      <c r="ACJ52" s="128"/>
      <c r="ACK52" s="128"/>
      <c r="ACL52" s="128"/>
      <c r="ACM52" s="128"/>
      <c r="ACN52" s="128"/>
      <c r="ACO52" s="128"/>
      <c r="ACP52" s="128"/>
      <c r="ACQ52" s="128"/>
      <c r="ACR52" s="128"/>
      <c r="ACS52" s="128"/>
      <c r="ACT52" s="128"/>
      <c r="ACU52" s="128"/>
      <c r="ACV52" s="128"/>
      <c r="ACW52" s="128"/>
      <c r="ACX52" s="128"/>
      <c r="ACY52" s="128"/>
      <c r="ACZ52" s="128"/>
      <c r="ADA52" s="128"/>
      <c r="ADB52" s="128"/>
      <c r="ADC52" s="128"/>
      <c r="ADD52" s="128"/>
      <c r="ADE52" s="128"/>
      <c r="ADF52" s="128"/>
      <c r="ADG52" s="128"/>
      <c r="ADH52" s="128"/>
      <c r="ADI52" s="128"/>
      <c r="ADJ52" s="128"/>
      <c r="ADK52" s="128"/>
      <c r="ADL52" s="128"/>
      <c r="ADM52" s="128"/>
      <c r="ADN52" s="128"/>
      <c r="ADO52" s="128"/>
      <c r="ADP52" s="128"/>
      <c r="ADQ52" s="128"/>
      <c r="ADR52" s="128"/>
      <c r="ADS52" s="128"/>
      <c r="ADT52" s="128"/>
      <c r="ADU52" s="128"/>
      <c r="ADV52" s="128"/>
      <c r="ADW52" s="128"/>
      <c r="ADX52" s="128"/>
      <c r="ADY52" s="128"/>
      <c r="ADZ52" s="128"/>
      <c r="AEA52" s="128"/>
      <c r="AEB52" s="128"/>
      <c r="AEC52" s="128"/>
      <c r="AED52" s="128"/>
      <c r="AEE52" s="128"/>
      <c r="AEF52" s="128"/>
      <c r="AEG52" s="128"/>
      <c r="AEH52" s="128"/>
      <c r="AEI52" s="128"/>
      <c r="AEJ52" s="128"/>
      <c r="AEK52" s="128"/>
      <c r="AEL52" s="128"/>
      <c r="AEM52" s="128"/>
      <c r="AEN52" s="128"/>
      <c r="AEO52" s="128"/>
      <c r="AEP52" s="128"/>
      <c r="AEQ52" s="128"/>
      <c r="AER52" s="128"/>
      <c r="AES52" s="128"/>
      <c r="AET52" s="128"/>
      <c r="AEU52" s="128"/>
      <c r="AEV52" s="128"/>
      <c r="AEW52" s="128"/>
      <c r="AEX52" s="128"/>
      <c r="AEY52" s="128"/>
      <c r="AEZ52" s="128"/>
      <c r="AFA52" s="128"/>
      <c r="AFB52" s="128"/>
      <c r="AFC52" s="128"/>
      <c r="AFD52" s="128"/>
      <c r="AFE52" s="128"/>
      <c r="AFF52" s="128"/>
      <c r="AFG52" s="128"/>
      <c r="AFH52" s="128"/>
      <c r="AFI52" s="128"/>
      <c r="AFJ52" s="128"/>
      <c r="AFK52" s="128"/>
      <c r="AFL52" s="128"/>
      <c r="AFM52" s="128"/>
      <c r="AFN52" s="128"/>
      <c r="AFO52" s="128"/>
      <c r="AFP52" s="128"/>
      <c r="AFQ52" s="128"/>
      <c r="AFR52" s="128"/>
      <c r="AFS52" s="128"/>
      <c r="AFT52" s="128"/>
      <c r="AFU52" s="128"/>
      <c r="AFV52" s="128"/>
      <c r="AFW52" s="128"/>
      <c r="AFX52" s="128"/>
      <c r="AFY52" s="128"/>
      <c r="AFZ52" s="128"/>
      <c r="AGA52" s="128"/>
      <c r="AGB52" s="128"/>
      <c r="AGC52" s="128"/>
      <c r="AGD52" s="128"/>
      <c r="AGE52" s="128"/>
      <c r="AGF52" s="128"/>
      <c r="AGG52" s="128"/>
      <c r="AGH52" s="128"/>
      <c r="AGI52" s="128"/>
      <c r="AGJ52" s="128"/>
      <c r="AGK52" s="128"/>
      <c r="AGL52" s="128"/>
      <c r="AGM52" s="128"/>
      <c r="AGN52" s="128"/>
      <c r="AGO52" s="128"/>
      <c r="AGP52" s="128"/>
      <c r="AGQ52" s="128"/>
      <c r="AGR52" s="128"/>
      <c r="AGS52" s="128"/>
      <c r="AGT52" s="128"/>
      <c r="AGU52" s="128"/>
      <c r="AGV52" s="128"/>
      <c r="AGW52" s="128"/>
      <c r="AGX52" s="128"/>
      <c r="AGY52" s="128"/>
      <c r="AGZ52" s="128"/>
      <c r="AHA52" s="128"/>
      <c r="AHB52" s="128"/>
      <c r="AHC52" s="128"/>
      <c r="AHD52" s="128"/>
      <c r="AHE52" s="128"/>
      <c r="AHF52" s="128"/>
      <c r="AHG52" s="128"/>
      <c r="AHH52" s="128"/>
      <c r="AHI52" s="128"/>
      <c r="AHJ52" s="128"/>
      <c r="AHK52" s="128"/>
      <c r="AHL52" s="128"/>
      <c r="AHM52" s="128"/>
      <c r="AHN52" s="128"/>
      <c r="AHO52" s="128"/>
      <c r="AHP52" s="128"/>
      <c r="AHQ52" s="128"/>
      <c r="AHR52" s="128"/>
      <c r="AHS52" s="128"/>
      <c r="AHT52" s="128"/>
      <c r="AHU52" s="128"/>
      <c r="AHV52" s="128"/>
      <c r="AHW52" s="128"/>
      <c r="AHX52" s="128"/>
      <c r="AHY52" s="128"/>
      <c r="AHZ52" s="128"/>
      <c r="AIA52" s="128"/>
      <c r="AIB52" s="128"/>
      <c r="AIC52" s="128"/>
      <c r="AID52" s="128"/>
      <c r="AIE52" s="128"/>
      <c r="AIF52" s="128"/>
      <c r="AIG52" s="128"/>
      <c r="AIH52" s="128"/>
      <c r="AII52" s="128"/>
      <c r="AIJ52" s="128"/>
      <c r="AIK52" s="128"/>
      <c r="AIL52" s="128"/>
      <c r="AIM52" s="128"/>
      <c r="AIN52" s="128"/>
      <c r="AIO52" s="128"/>
      <c r="AIP52" s="128"/>
      <c r="AIQ52" s="128"/>
      <c r="AIR52" s="128"/>
      <c r="AIS52" s="128"/>
      <c r="AIT52" s="128"/>
      <c r="AIU52" s="128"/>
      <c r="AIV52" s="128"/>
      <c r="AIW52" s="128"/>
      <c r="AIX52" s="128"/>
      <c r="AIY52" s="128"/>
      <c r="AIZ52" s="128"/>
      <c r="AJA52" s="128"/>
      <c r="AJB52" s="128"/>
      <c r="AJC52" s="128"/>
      <c r="AJD52" s="128"/>
      <c r="AJE52" s="128"/>
      <c r="AJF52" s="128"/>
      <c r="AJG52" s="128"/>
      <c r="AJH52" s="128"/>
      <c r="AJI52" s="128"/>
      <c r="AJJ52" s="128"/>
      <c r="AJK52" s="128"/>
      <c r="AJL52" s="128"/>
      <c r="AJM52" s="128"/>
      <c r="AJN52" s="128"/>
      <c r="AJO52" s="128"/>
      <c r="AJP52" s="128"/>
      <c r="AJQ52" s="128"/>
      <c r="AJR52" s="128"/>
      <c r="AJS52" s="128"/>
      <c r="AJT52" s="128"/>
      <c r="AJU52" s="128"/>
      <c r="AJV52" s="128"/>
      <c r="AJW52" s="128"/>
      <c r="AJX52" s="128"/>
      <c r="AJY52" s="128"/>
      <c r="AJZ52" s="128"/>
      <c r="AKA52" s="128"/>
      <c r="AKB52" s="128"/>
      <c r="AKC52" s="128"/>
      <c r="AKD52" s="128"/>
      <c r="AKE52" s="128"/>
      <c r="AKF52" s="128"/>
      <c r="AKG52" s="128"/>
      <c r="AKH52" s="128"/>
      <c r="AKI52" s="128"/>
      <c r="AKJ52" s="128"/>
      <c r="AKK52" s="128"/>
      <c r="AKL52" s="128"/>
      <c r="AKM52" s="128"/>
      <c r="AKN52" s="128"/>
      <c r="AKO52" s="128"/>
      <c r="AKP52" s="128"/>
      <c r="AKQ52" s="128"/>
      <c r="AKR52" s="128"/>
      <c r="AKS52" s="128"/>
      <c r="AKT52" s="128"/>
      <c r="AKU52" s="128"/>
      <c r="AKV52" s="128"/>
      <c r="AKW52" s="128"/>
      <c r="AKX52" s="128"/>
      <c r="AKY52" s="128"/>
      <c r="AKZ52" s="128"/>
      <c r="ALA52" s="128"/>
      <c r="ALB52" s="128"/>
      <c r="ALC52" s="128"/>
      <c r="ALD52" s="128"/>
      <c r="ALE52" s="128"/>
      <c r="ALF52" s="128"/>
      <c r="ALG52" s="128"/>
      <c r="ALH52" s="128"/>
      <c r="ALI52" s="128"/>
      <c r="ALJ52" s="128"/>
      <c r="ALK52" s="128"/>
      <c r="ALL52" s="128"/>
      <c r="ALM52" s="128"/>
      <c r="ALN52" s="128"/>
      <c r="ALO52" s="128"/>
      <c r="ALP52" s="128"/>
      <c r="ALQ52" s="128"/>
      <c r="ALR52" s="128"/>
      <c r="ALS52"/>
      <c r="ALT52"/>
      <c r="ALU52"/>
    </row>
    <row r="53" spans="1:1009" s="96" customFormat="1" ht="12" customHeight="1">
      <c r="A53" s="136"/>
      <c r="B53" s="136"/>
      <c r="C53" s="136"/>
      <c r="D53" s="136"/>
      <c r="E53" s="136"/>
      <c r="F53" s="136"/>
      <c r="I53" s="225"/>
      <c r="J53" s="159"/>
      <c r="L53" s="173"/>
      <c r="N53" s="277"/>
      <c r="R53"/>
      <c r="S53" s="179"/>
      <c r="U53" s="159"/>
      <c r="X53"/>
      <c r="Y53" s="128"/>
      <c r="Z53" s="128"/>
      <c r="AA53" s="128"/>
      <c r="AB53" s="128"/>
      <c r="AC53" s="128"/>
      <c r="AD53" s="128"/>
      <c r="AE53" s="128"/>
      <c r="AF53" s="128"/>
      <c r="AG53" s="128"/>
      <c r="AH53" s="128"/>
      <c r="AI53" s="128"/>
      <c r="AJ53" s="128"/>
      <c r="AK53" s="128"/>
      <c r="AL53" s="128"/>
      <c r="AM53" s="128"/>
      <c r="AN53" s="128"/>
      <c r="AO53" s="128"/>
      <c r="AP53" s="128"/>
      <c r="AQ53" s="128"/>
      <c r="AR53" s="128"/>
      <c r="AS53" s="128"/>
      <c r="AT53" s="128"/>
      <c r="AU53" s="128"/>
      <c r="AV53" s="128"/>
      <c r="AW53" s="128"/>
      <c r="AX53" s="128"/>
      <c r="AY53" s="128"/>
      <c r="AZ53" s="128"/>
      <c r="BA53" s="128"/>
      <c r="BB53" s="128"/>
      <c r="BC53" s="128"/>
      <c r="BD53" s="128"/>
      <c r="BE53" s="128"/>
      <c r="BF53" s="128"/>
      <c r="BG53" s="128"/>
      <c r="BH53" s="128"/>
      <c r="BI53" s="128"/>
      <c r="BJ53" s="128"/>
      <c r="BK53" s="128"/>
      <c r="BL53" s="128"/>
      <c r="BM53" s="128"/>
      <c r="BN53" s="128"/>
      <c r="BO53" s="128"/>
      <c r="BP53" s="128"/>
      <c r="BQ53" s="128"/>
      <c r="BR53" s="128"/>
      <c r="BS53" s="128"/>
      <c r="BT53" s="128"/>
      <c r="BU53" s="128"/>
      <c r="BV53" s="128"/>
      <c r="BW53" s="128"/>
      <c r="BX53" s="128"/>
      <c r="BY53" s="128"/>
      <c r="BZ53" s="128"/>
      <c r="CA53" s="128"/>
      <c r="CB53" s="128"/>
      <c r="CC53" s="128"/>
      <c r="CD53" s="128"/>
      <c r="CE53" s="128"/>
      <c r="CF53" s="128"/>
      <c r="CG53" s="128"/>
      <c r="CH53" s="128"/>
      <c r="CI53" s="128"/>
      <c r="CJ53" s="128"/>
      <c r="CK53" s="128"/>
      <c r="CL53" s="128"/>
      <c r="CM53" s="128"/>
      <c r="CN53" s="128"/>
      <c r="CO53" s="128"/>
      <c r="CP53" s="128"/>
      <c r="CQ53" s="128"/>
      <c r="CR53" s="128"/>
      <c r="CS53" s="128"/>
      <c r="CT53" s="128"/>
      <c r="CU53" s="128"/>
      <c r="CV53" s="128"/>
      <c r="CW53" s="128"/>
      <c r="CX53" s="128"/>
      <c r="CY53" s="128"/>
      <c r="CZ53" s="128"/>
      <c r="DA53" s="128"/>
      <c r="DB53" s="128"/>
      <c r="DC53" s="128"/>
      <c r="DD53" s="128"/>
      <c r="DE53" s="128"/>
      <c r="DF53" s="128"/>
      <c r="DG53" s="128"/>
      <c r="DH53" s="128"/>
      <c r="DI53" s="128"/>
      <c r="DJ53" s="128"/>
      <c r="DK53" s="128"/>
      <c r="DL53" s="128"/>
      <c r="DM53" s="128"/>
      <c r="DN53" s="128"/>
      <c r="DO53" s="128"/>
      <c r="DP53" s="128"/>
      <c r="DQ53" s="128"/>
      <c r="DR53" s="128"/>
      <c r="DS53" s="128"/>
      <c r="DT53" s="128"/>
      <c r="DU53" s="128"/>
      <c r="DV53" s="128"/>
      <c r="DW53" s="128"/>
      <c r="DX53" s="128"/>
      <c r="DY53" s="128"/>
      <c r="DZ53" s="128"/>
      <c r="EA53" s="128"/>
      <c r="EB53" s="128"/>
      <c r="EC53" s="128"/>
      <c r="ED53" s="128"/>
      <c r="EE53" s="128"/>
      <c r="EF53" s="128"/>
      <c r="EG53" s="128"/>
      <c r="EH53" s="128"/>
      <c r="EI53" s="128"/>
      <c r="EJ53" s="128"/>
      <c r="EK53" s="128"/>
      <c r="EL53" s="128"/>
      <c r="EM53" s="128"/>
      <c r="EN53" s="128"/>
      <c r="EO53" s="128"/>
      <c r="EP53" s="128"/>
      <c r="EQ53" s="128"/>
      <c r="ER53" s="128"/>
      <c r="ES53" s="128"/>
      <c r="ET53" s="128"/>
      <c r="EU53" s="128"/>
      <c r="EV53" s="128"/>
      <c r="EW53" s="128"/>
      <c r="EX53" s="128"/>
      <c r="EY53" s="128"/>
      <c r="EZ53" s="128"/>
      <c r="FA53" s="128"/>
      <c r="FB53" s="128"/>
      <c r="FC53" s="128"/>
      <c r="FD53" s="128"/>
      <c r="FE53" s="128"/>
      <c r="FF53" s="128"/>
      <c r="FG53" s="128"/>
      <c r="FH53" s="128"/>
      <c r="FI53" s="128"/>
      <c r="FJ53" s="128"/>
      <c r="FK53" s="128"/>
      <c r="FL53" s="128"/>
      <c r="FM53" s="128"/>
      <c r="FN53" s="128"/>
      <c r="FO53" s="128"/>
      <c r="FP53" s="128"/>
      <c r="FQ53" s="128"/>
      <c r="FR53" s="128"/>
      <c r="FS53" s="128"/>
      <c r="FT53" s="128"/>
      <c r="FU53" s="128"/>
      <c r="FV53" s="128"/>
      <c r="FW53" s="128"/>
      <c r="FX53" s="128"/>
      <c r="FY53" s="128"/>
      <c r="FZ53" s="128"/>
      <c r="GA53" s="128"/>
      <c r="GB53" s="128"/>
      <c r="GC53" s="128"/>
      <c r="GD53" s="128"/>
      <c r="GE53" s="128"/>
      <c r="GF53" s="128"/>
      <c r="GG53" s="128"/>
      <c r="GH53" s="128"/>
      <c r="GI53" s="128"/>
      <c r="GJ53" s="128"/>
      <c r="GK53" s="128"/>
      <c r="GL53" s="128"/>
      <c r="GM53" s="128"/>
      <c r="GN53" s="128"/>
      <c r="GO53" s="128"/>
      <c r="GP53" s="128"/>
      <c r="GQ53" s="128"/>
      <c r="GR53" s="128"/>
      <c r="GS53" s="128"/>
      <c r="GT53" s="128"/>
      <c r="GU53" s="128"/>
      <c r="GV53" s="128"/>
      <c r="GW53" s="128"/>
      <c r="GX53" s="128"/>
      <c r="GY53" s="128"/>
      <c r="GZ53" s="128"/>
      <c r="HA53" s="128"/>
      <c r="HB53" s="128"/>
      <c r="HC53" s="128"/>
      <c r="HD53" s="128"/>
      <c r="HE53" s="128"/>
      <c r="HF53" s="128"/>
      <c r="HG53" s="128"/>
      <c r="HH53" s="128"/>
      <c r="HI53" s="128"/>
      <c r="HJ53" s="128"/>
      <c r="HK53" s="128"/>
      <c r="HL53" s="128"/>
      <c r="HM53" s="128"/>
      <c r="HN53" s="128"/>
      <c r="HO53" s="128"/>
      <c r="HP53" s="128"/>
      <c r="HQ53" s="128"/>
      <c r="HR53" s="128"/>
      <c r="HS53" s="128"/>
      <c r="HT53" s="128"/>
      <c r="HU53" s="128"/>
      <c r="HV53" s="128"/>
      <c r="HW53" s="128"/>
      <c r="HX53" s="128"/>
      <c r="HY53" s="128"/>
      <c r="HZ53" s="128"/>
      <c r="IA53" s="128"/>
      <c r="IB53" s="128"/>
      <c r="IC53" s="128"/>
      <c r="ID53" s="128"/>
      <c r="IE53" s="128"/>
      <c r="IF53" s="128"/>
      <c r="IG53" s="128"/>
      <c r="IH53" s="128"/>
      <c r="II53" s="128"/>
      <c r="IJ53" s="128"/>
      <c r="IK53" s="128"/>
      <c r="IL53" s="128"/>
      <c r="IM53" s="128"/>
      <c r="IN53" s="128"/>
      <c r="IO53" s="128"/>
      <c r="IP53" s="128"/>
      <c r="IQ53" s="128"/>
      <c r="IR53" s="128"/>
      <c r="IS53" s="128"/>
      <c r="IT53" s="128"/>
      <c r="IU53" s="128"/>
      <c r="IV53" s="128"/>
      <c r="IW53" s="128"/>
      <c r="IX53" s="128"/>
      <c r="IY53" s="128"/>
      <c r="IZ53" s="128"/>
      <c r="JA53" s="128"/>
      <c r="JB53" s="128"/>
      <c r="JC53" s="128"/>
      <c r="JD53" s="128"/>
      <c r="JE53" s="128"/>
      <c r="JF53" s="128"/>
      <c r="JG53" s="128"/>
      <c r="JH53" s="128"/>
      <c r="JI53" s="128"/>
      <c r="JJ53" s="128"/>
      <c r="JK53" s="128"/>
      <c r="JL53" s="128"/>
      <c r="JM53" s="128"/>
      <c r="JN53" s="128"/>
      <c r="JO53" s="128"/>
      <c r="JP53" s="128"/>
      <c r="JQ53" s="128"/>
      <c r="JR53" s="128"/>
      <c r="JS53" s="128"/>
      <c r="JT53" s="128"/>
      <c r="JU53" s="128"/>
      <c r="JV53" s="128"/>
      <c r="JW53" s="128"/>
      <c r="JX53" s="128"/>
      <c r="JY53" s="128"/>
      <c r="JZ53" s="128"/>
      <c r="KA53" s="128"/>
      <c r="KB53" s="128"/>
      <c r="KC53" s="128"/>
      <c r="KD53" s="128"/>
      <c r="KE53" s="128"/>
      <c r="KF53" s="128"/>
      <c r="KG53" s="128"/>
      <c r="KH53" s="128"/>
      <c r="KI53" s="128"/>
      <c r="KJ53" s="128"/>
      <c r="KK53" s="128"/>
      <c r="KL53" s="128"/>
      <c r="KM53" s="128"/>
      <c r="KN53" s="128"/>
      <c r="KO53" s="128"/>
      <c r="KP53" s="128"/>
      <c r="KQ53" s="128"/>
      <c r="KR53" s="128"/>
      <c r="KS53" s="128"/>
      <c r="KT53" s="128"/>
      <c r="KU53" s="128"/>
      <c r="KV53" s="128"/>
      <c r="KW53" s="128"/>
      <c r="KX53" s="128"/>
      <c r="KY53" s="128"/>
      <c r="KZ53" s="128"/>
      <c r="LA53" s="128"/>
      <c r="LB53" s="128"/>
      <c r="LC53" s="128"/>
      <c r="LD53" s="128"/>
      <c r="LE53" s="128"/>
      <c r="LF53" s="128"/>
      <c r="LG53" s="128"/>
      <c r="LH53" s="128"/>
      <c r="LI53" s="128"/>
      <c r="LJ53" s="128"/>
      <c r="LK53" s="128"/>
      <c r="LL53" s="128"/>
      <c r="LM53" s="128"/>
      <c r="LN53" s="128"/>
      <c r="LO53" s="128"/>
      <c r="LP53" s="128"/>
      <c r="LQ53" s="128"/>
      <c r="LR53" s="128"/>
      <c r="LS53" s="128"/>
      <c r="LT53" s="128"/>
      <c r="LU53" s="128"/>
      <c r="LV53" s="128"/>
      <c r="LW53" s="128"/>
      <c r="LX53" s="128"/>
      <c r="LY53" s="128"/>
      <c r="LZ53" s="128"/>
      <c r="MA53" s="128"/>
      <c r="MB53" s="128"/>
      <c r="MC53" s="128"/>
      <c r="MD53" s="128"/>
      <c r="ME53" s="128"/>
      <c r="MF53" s="128"/>
      <c r="MG53" s="128"/>
      <c r="MH53" s="128"/>
      <c r="MI53" s="128"/>
      <c r="MJ53" s="128"/>
      <c r="MK53" s="128"/>
      <c r="ML53" s="128"/>
      <c r="MM53" s="128"/>
      <c r="MN53" s="128"/>
      <c r="MO53" s="128"/>
      <c r="MP53" s="128"/>
      <c r="MQ53" s="128"/>
      <c r="MR53" s="128"/>
      <c r="MS53" s="128"/>
      <c r="MT53" s="128"/>
      <c r="MU53" s="128"/>
      <c r="MV53" s="128"/>
      <c r="MW53" s="128"/>
      <c r="MX53" s="128"/>
      <c r="MY53" s="128"/>
      <c r="MZ53" s="128"/>
      <c r="NA53" s="128"/>
      <c r="NB53" s="128"/>
      <c r="NC53" s="128"/>
      <c r="ND53" s="128"/>
      <c r="NE53" s="128"/>
      <c r="NF53" s="128"/>
      <c r="NG53" s="128"/>
      <c r="NH53" s="128"/>
      <c r="NI53" s="128"/>
      <c r="NJ53" s="128"/>
      <c r="NK53" s="128"/>
      <c r="NL53" s="128"/>
      <c r="NM53" s="128"/>
      <c r="NN53" s="128"/>
      <c r="NO53" s="128"/>
      <c r="NP53" s="128"/>
      <c r="NQ53" s="128"/>
      <c r="NR53" s="128"/>
      <c r="NS53" s="128"/>
      <c r="NT53" s="128"/>
      <c r="NU53" s="128"/>
      <c r="NV53" s="128"/>
      <c r="NW53" s="128"/>
      <c r="NX53" s="128"/>
      <c r="NY53" s="128"/>
      <c r="NZ53" s="128"/>
      <c r="OA53" s="128"/>
      <c r="OB53" s="128"/>
      <c r="OC53" s="128"/>
      <c r="OD53" s="128"/>
      <c r="OE53" s="128"/>
      <c r="OF53" s="128"/>
      <c r="OG53" s="128"/>
      <c r="OH53" s="128"/>
      <c r="OI53" s="128"/>
      <c r="OJ53" s="128"/>
      <c r="OK53" s="128"/>
      <c r="OL53" s="128"/>
      <c r="OM53" s="128"/>
      <c r="ON53" s="128"/>
      <c r="OO53" s="128"/>
      <c r="OP53" s="128"/>
      <c r="OQ53" s="128"/>
      <c r="OR53" s="128"/>
      <c r="OS53" s="128"/>
      <c r="OT53" s="128"/>
      <c r="OU53" s="128"/>
      <c r="OV53" s="128"/>
      <c r="OW53" s="128"/>
      <c r="OX53" s="128"/>
      <c r="OY53" s="128"/>
      <c r="OZ53" s="128"/>
      <c r="PA53" s="128"/>
      <c r="PB53" s="128"/>
      <c r="PC53" s="128"/>
      <c r="PD53" s="128"/>
      <c r="PE53" s="128"/>
      <c r="PF53" s="128"/>
      <c r="PG53" s="128"/>
      <c r="PH53" s="128"/>
      <c r="PI53" s="128"/>
      <c r="PJ53" s="128"/>
      <c r="PK53" s="128"/>
      <c r="PL53" s="128"/>
      <c r="PM53" s="128"/>
      <c r="PN53" s="128"/>
      <c r="PO53" s="128"/>
      <c r="PP53" s="128"/>
      <c r="PQ53" s="128"/>
      <c r="PR53" s="128"/>
      <c r="PS53" s="128"/>
      <c r="PT53" s="128"/>
      <c r="PU53" s="128"/>
      <c r="PV53" s="128"/>
      <c r="PW53" s="128"/>
      <c r="PX53" s="128"/>
      <c r="PY53" s="128"/>
      <c r="PZ53" s="128"/>
      <c r="QA53" s="128"/>
      <c r="QB53" s="128"/>
      <c r="QC53" s="128"/>
      <c r="QD53" s="128"/>
      <c r="QE53" s="128"/>
      <c r="QF53" s="128"/>
      <c r="QG53" s="128"/>
      <c r="QH53" s="128"/>
      <c r="QI53" s="128"/>
      <c r="QJ53" s="128"/>
      <c r="QK53" s="128"/>
      <c r="QL53" s="128"/>
      <c r="QM53" s="128"/>
      <c r="QN53" s="128"/>
      <c r="QO53" s="128"/>
      <c r="QP53" s="128"/>
      <c r="QQ53" s="128"/>
      <c r="QR53" s="128"/>
      <c r="QS53" s="128"/>
      <c r="QT53" s="128"/>
      <c r="QU53" s="128"/>
      <c r="QV53" s="128"/>
      <c r="QW53" s="128"/>
      <c r="QX53" s="128"/>
      <c r="QY53" s="128"/>
      <c r="QZ53" s="128"/>
      <c r="RA53" s="128"/>
      <c r="RB53" s="128"/>
      <c r="RC53" s="128"/>
      <c r="RD53" s="128"/>
      <c r="RE53" s="128"/>
      <c r="RF53" s="128"/>
      <c r="RG53" s="128"/>
      <c r="RH53" s="128"/>
      <c r="RI53" s="128"/>
      <c r="RJ53" s="128"/>
      <c r="RK53" s="128"/>
      <c r="RL53" s="128"/>
      <c r="RM53" s="128"/>
      <c r="RN53" s="128"/>
      <c r="RO53" s="128"/>
      <c r="RP53" s="128"/>
      <c r="RQ53" s="128"/>
      <c r="RR53" s="128"/>
      <c r="RS53" s="128"/>
      <c r="RT53" s="128"/>
      <c r="RU53" s="128"/>
      <c r="RV53" s="128"/>
      <c r="RW53" s="128"/>
      <c r="RX53" s="128"/>
      <c r="RY53" s="128"/>
      <c r="RZ53" s="128"/>
      <c r="SA53" s="128"/>
      <c r="SB53" s="128"/>
      <c r="SC53" s="128"/>
      <c r="SD53" s="128"/>
      <c r="SE53" s="128"/>
      <c r="SF53" s="128"/>
      <c r="SG53" s="128"/>
      <c r="SH53" s="128"/>
      <c r="SI53" s="128"/>
      <c r="SJ53" s="128"/>
      <c r="SK53" s="128"/>
      <c r="SL53" s="128"/>
      <c r="SM53" s="128"/>
      <c r="SN53" s="128"/>
      <c r="SO53" s="128"/>
      <c r="SP53" s="128"/>
      <c r="SQ53" s="128"/>
      <c r="SR53" s="128"/>
      <c r="SS53" s="128"/>
      <c r="ST53" s="128"/>
      <c r="SU53" s="128"/>
      <c r="SV53" s="128"/>
      <c r="SW53" s="128"/>
      <c r="SX53" s="128"/>
      <c r="SY53" s="128"/>
      <c r="SZ53" s="128"/>
      <c r="TA53" s="128"/>
      <c r="TB53" s="128"/>
      <c r="TC53" s="128"/>
      <c r="TD53" s="128"/>
      <c r="TE53" s="128"/>
      <c r="TF53" s="128"/>
      <c r="TG53" s="128"/>
      <c r="TH53" s="128"/>
      <c r="TI53" s="128"/>
      <c r="TJ53" s="128"/>
      <c r="TK53" s="128"/>
      <c r="TL53" s="128"/>
      <c r="TM53" s="128"/>
      <c r="TN53" s="128"/>
      <c r="TO53" s="128"/>
      <c r="TP53" s="128"/>
      <c r="TQ53" s="128"/>
      <c r="TR53" s="128"/>
      <c r="TS53" s="128"/>
      <c r="TT53" s="128"/>
      <c r="TU53" s="128"/>
      <c r="TV53" s="128"/>
      <c r="TW53" s="128"/>
      <c r="TX53" s="128"/>
      <c r="TY53" s="128"/>
      <c r="TZ53" s="128"/>
      <c r="UA53" s="128"/>
      <c r="UB53" s="128"/>
      <c r="UC53" s="128"/>
      <c r="UD53" s="128"/>
      <c r="UE53" s="128"/>
      <c r="UF53" s="128"/>
      <c r="UG53" s="128"/>
      <c r="UH53" s="128"/>
      <c r="UI53" s="128"/>
      <c r="UJ53" s="128"/>
      <c r="UK53" s="128"/>
      <c r="UL53" s="128"/>
      <c r="UM53" s="128"/>
      <c r="UN53" s="128"/>
      <c r="UO53" s="128"/>
      <c r="UP53" s="128"/>
      <c r="UQ53" s="128"/>
      <c r="UR53" s="128"/>
      <c r="US53" s="128"/>
      <c r="UT53" s="128"/>
      <c r="UU53" s="128"/>
      <c r="UV53" s="128"/>
      <c r="UW53" s="128"/>
      <c r="UX53" s="128"/>
      <c r="UY53" s="128"/>
      <c r="UZ53" s="128"/>
      <c r="VA53" s="128"/>
      <c r="VB53" s="128"/>
      <c r="VC53" s="128"/>
      <c r="VD53" s="128"/>
      <c r="VE53" s="128"/>
      <c r="VF53" s="128"/>
      <c r="VG53" s="128"/>
      <c r="VH53" s="128"/>
      <c r="VI53" s="128"/>
      <c r="VJ53" s="128"/>
      <c r="VK53" s="128"/>
      <c r="VL53" s="128"/>
      <c r="VM53" s="128"/>
      <c r="VN53" s="128"/>
      <c r="VO53" s="128"/>
      <c r="VP53" s="128"/>
      <c r="VQ53" s="128"/>
      <c r="VR53" s="128"/>
      <c r="VS53" s="128"/>
      <c r="VT53" s="128"/>
      <c r="VU53" s="128"/>
      <c r="VV53" s="128"/>
      <c r="VW53" s="128"/>
      <c r="VX53" s="128"/>
      <c r="VY53" s="128"/>
      <c r="VZ53" s="128"/>
      <c r="WA53" s="128"/>
      <c r="WB53" s="128"/>
      <c r="WC53" s="128"/>
      <c r="WD53" s="128"/>
      <c r="WE53" s="128"/>
      <c r="WF53" s="128"/>
      <c r="WG53" s="128"/>
      <c r="WH53" s="128"/>
      <c r="WI53" s="128"/>
      <c r="WJ53" s="128"/>
      <c r="WK53" s="128"/>
      <c r="WL53" s="128"/>
      <c r="WM53" s="128"/>
      <c r="WN53" s="128"/>
      <c r="WO53" s="128"/>
      <c r="WP53" s="128"/>
      <c r="WQ53" s="128"/>
      <c r="WR53" s="128"/>
      <c r="WS53" s="128"/>
      <c r="WT53" s="128"/>
      <c r="WU53" s="128"/>
      <c r="WV53" s="128"/>
      <c r="WW53" s="128"/>
      <c r="WX53" s="128"/>
      <c r="WY53" s="128"/>
      <c r="WZ53" s="128"/>
      <c r="XA53" s="128"/>
      <c r="XB53" s="128"/>
      <c r="XC53" s="128"/>
      <c r="XD53" s="128"/>
      <c r="XE53" s="128"/>
      <c r="XF53" s="128"/>
      <c r="XG53" s="128"/>
      <c r="XH53" s="128"/>
      <c r="XI53" s="128"/>
      <c r="XJ53" s="128"/>
      <c r="XK53" s="128"/>
      <c r="XL53" s="128"/>
      <c r="XM53" s="128"/>
      <c r="XN53" s="128"/>
      <c r="XO53" s="128"/>
      <c r="XP53" s="128"/>
      <c r="XQ53" s="128"/>
      <c r="XR53" s="128"/>
      <c r="XS53" s="128"/>
      <c r="XT53" s="128"/>
      <c r="XU53" s="128"/>
      <c r="XV53" s="128"/>
      <c r="XW53" s="128"/>
      <c r="XX53" s="128"/>
      <c r="XY53" s="128"/>
      <c r="XZ53" s="128"/>
      <c r="YA53" s="128"/>
      <c r="YB53" s="128"/>
      <c r="YC53" s="128"/>
      <c r="YD53" s="128"/>
      <c r="YE53" s="128"/>
      <c r="YF53" s="128"/>
      <c r="YG53" s="128"/>
      <c r="YH53" s="128"/>
      <c r="YI53" s="128"/>
      <c r="YJ53" s="128"/>
      <c r="YK53" s="128"/>
      <c r="YL53" s="128"/>
      <c r="YM53" s="128"/>
      <c r="YN53" s="128"/>
      <c r="YO53" s="128"/>
      <c r="YP53" s="128"/>
      <c r="YQ53" s="128"/>
      <c r="YR53" s="128"/>
      <c r="YS53" s="128"/>
      <c r="YT53" s="128"/>
      <c r="YU53" s="128"/>
      <c r="YV53" s="128"/>
      <c r="YW53" s="128"/>
      <c r="YX53" s="128"/>
      <c r="YY53" s="128"/>
      <c r="YZ53" s="128"/>
      <c r="ZA53" s="128"/>
      <c r="ZB53" s="128"/>
      <c r="ZC53" s="128"/>
      <c r="ZD53" s="128"/>
      <c r="ZE53" s="128"/>
      <c r="ZF53" s="128"/>
      <c r="ZG53" s="128"/>
      <c r="ZH53" s="128"/>
      <c r="ZI53" s="128"/>
      <c r="ZJ53" s="128"/>
      <c r="ZK53" s="128"/>
      <c r="ZL53" s="128"/>
      <c r="ZM53" s="128"/>
      <c r="ZN53" s="128"/>
      <c r="ZO53" s="128"/>
      <c r="ZP53" s="128"/>
      <c r="ZQ53" s="128"/>
      <c r="ZR53" s="128"/>
      <c r="ZS53" s="128"/>
      <c r="ZT53" s="128"/>
      <c r="ZU53" s="128"/>
      <c r="ZV53" s="128"/>
      <c r="ZW53" s="128"/>
      <c r="ZX53" s="128"/>
      <c r="ZY53" s="128"/>
      <c r="ZZ53" s="128"/>
      <c r="AAA53" s="128"/>
      <c r="AAB53" s="128"/>
      <c r="AAC53" s="128"/>
      <c r="AAD53" s="128"/>
      <c r="AAE53" s="128"/>
      <c r="AAF53" s="128"/>
      <c r="AAG53" s="128"/>
      <c r="AAH53" s="128"/>
      <c r="AAI53" s="128"/>
      <c r="AAJ53" s="128"/>
      <c r="AAK53" s="128"/>
      <c r="AAL53" s="128"/>
      <c r="AAM53" s="128"/>
      <c r="AAN53" s="128"/>
      <c r="AAO53" s="128"/>
      <c r="AAP53" s="128"/>
      <c r="AAQ53" s="128"/>
      <c r="AAR53" s="128"/>
      <c r="AAS53" s="128"/>
      <c r="AAT53" s="128"/>
      <c r="AAU53" s="128"/>
      <c r="AAV53" s="128"/>
      <c r="AAW53" s="128"/>
      <c r="AAX53" s="128"/>
      <c r="AAY53" s="128"/>
      <c r="AAZ53" s="128"/>
      <c r="ABA53" s="128"/>
      <c r="ABB53" s="128"/>
      <c r="ABC53" s="128"/>
      <c r="ABD53" s="128"/>
      <c r="ABE53" s="128"/>
      <c r="ABF53" s="128"/>
      <c r="ABG53" s="128"/>
      <c r="ABH53" s="128"/>
      <c r="ABI53" s="128"/>
      <c r="ABJ53" s="128"/>
      <c r="ABK53" s="128"/>
      <c r="ABL53" s="128"/>
      <c r="ABM53" s="128"/>
      <c r="ABN53" s="128"/>
      <c r="ABO53" s="128"/>
      <c r="ABP53" s="128"/>
      <c r="ABQ53" s="128"/>
      <c r="ABR53" s="128"/>
      <c r="ABS53" s="128"/>
      <c r="ABT53" s="128"/>
      <c r="ABU53" s="128"/>
      <c r="ABV53" s="128"/>
      <c r="ABW53" s="128"/>
      <c r="ABX53" s="128"/>
      <c r="ABY53" s="128"/>
      <c r="ABZ53" s="128"/>
      <c r="ACA53" s="128"/>
      <c r="ACB53" s="128"/>
      <c r="ACC53" s="128"/>
      <c r="ACD53" s="128"/>
      <c r="ACE53" s="128"/>
      <c r="ACF53" s="128"/>
      <c r="ACG53" s="128"/>
      <c r="ACH53" s="128"/>
      <c r="ACI53" s="128"/>
      <c r="ACJ53" s="128"/>
      <c r="ACK53" s="128"/>
      <c r="ACL53" s="128"/>
      <c r="ACM53" s="128"/>
      <c r="ACN53" s="128"/>
      <c r="ACO53" s="128"/>
      <c r="ACP53" s="128"/>
      <c r="ACQ53" s="128"/>
      <c r="ACR53" s="128"/>
      <c r="ACS53" s="128"/>
      <c r="ACT53" s="128"/>
      <c r="ACU53" s="128"/>
      <c r="ACV53" s="128"/>
      <c r="ACW53" s="128"/>
      <c r="ACX53" s="128"/>
      <c r="ACY53" s="128"/>
      <c r="ACZ53" s="128"/>
      <c r="ADA53" s="128"/>
      <c r="ADB53" s="128"/>
      <c r="ADC53" s="128"/>
      <c r="ADD53" s="128"/>
      <c r="ADE53" s="128"/>
      <c r="ADF53" s="128"/>
      <c r="ADG53" s="128"/>
      <c r="ADH53" s="128"/>
      <c r="ADI53" s="128"/>
      <c r="ADJ53" s="128"/>
      <c r="ADK53" s="128"/>
      <c r="ADL53" s="128"/>
      <c r="ADM53" s="128"/>
      <c r="ADN53" s="128"/>
      <c r="ADO53" s="128"/>
      <c r="ADP53" s="128"/>
      <c r="ADQ53" s="128"/>
      <c r="ADR53" s="128"/>
      <c r="ADS53" s="128"/>
      <c r="ADT53" s="128"/>
      <c r="ADU53" s="128"/>
      <c r="ADV53" s="128"/>
      <c r="ADW53" s="128"/>
      <c r="ADX53" s="128"/>
      <c r="ADY53" s="128"/>
      <c r="ADZ53" s="128"/>
      <c r="AEA53" s="128"/>
      <c r="AEB53" s="128"/>
      <c r="AEC53" s="128"/>
      <c r="AED53" s="128"/>
      <c r="AEE53" s="128"/>
      <c r="AEF53" s="128"/>
      <c r="AEG53" s="128"/>
      <c r="AEH53" s="128"/>
      <c r="AEI53" s="128"/>
      <c r="AEJ53" s="128"/>
      <c r="AEK53" s="128"/>
      <c r="AEL53" s="128"/>
      <c r="AEM53" s="128"/>
      <c r="AEN53" s="128"/>
      <c r="AEO53" s="128"/>
      <c r="AEP53" s="128"/>
      <c r="AEQ53" s="128"/>
      <c r="AER53" s="128"/>
      <c r="AES53" s="128"/>
      <c r="AET53" s="128"/>
      <c r="AEU53" s="128"/>
      <c r="AEV53" s="128"/>
      <c r="AEW53" s="128"/>
      <c r="AEX53" s="128"/>
      <c r="AEY53" s="128"/>
      <c r="AEZ53" s="128"/>
      <c r="AFA53" s="128"/>
      <c r="AFB53" s="128"/>
      <c r="AFC53" s="128"/>
      <c r="AFD53" s="128"/>
      <c r="AFE53" s="128"/>
      <c r="AFF53" s="128"/>
      <c r="AFG53" s="128"/>
      <c r="AFH53" s="128"/>
      <c r="AFI53" s="128"/>
      <c r="AFJ53" s="128"/>
      <c r="AFK53" s="128"/>
      <c r="AFL53" s="128"/>
      <c r="AFM53" s="128"/>
      <c r="AFN53" s="128"/>
      <c r="AFO53" s="128"/>
      <c r="AFP53" s="128"/>
      <c r="AFQ53" s="128"/>
      <c r="AFR53" s="128"/>
      <c r="AFS53" s="128"/>
      <c r="AFT53" s="128"/>
      <c r="AFU53" s="128"/>
      <c r="AFV53" s="128"/>
      <c r="AFW53" s="128"/>
      <c r="AFX53" s="128"/>
      <c r="AFY53" s="128"/>
      <c r="AFZ53" s="128"/>
      <c r="AGA53" s="128"/>
      <c r="AGB53" s="128"/>
      <c r="AGC53" s="128"/>
      <c r="AGD53" s="128"/>
      <c r="AGE53" s="128"/>
      <c r="AGF53" s="128"/>
      <c r="AGG53" s="128"/>
      <c r="AGH53" s="128"/>
      <c r="AGI53" s="128"/>
      <c r="AGJ53" s="128"/>
      <c r="AGK53" s="128"/>
      <c r="AGL53" s="128"/>
      <c r="AGM53" s="128"/>
      <c r="AGN53" s="128"/>
      <c r="AGO53" s="128"/>
      <c r="AGP53" s="128"/>
      <c r="AGQ53" s="128"/>
      <c r="AGR53" s="128"/>
      <c r="AGS53" s="128"/>
      <c r="AGT53" s="128"/>
      <c r="AGU53" s="128"/>
      <c r="AGV53" s="128"/>
      <c r="AGW53" s="128"/>
      <c r="AGX53" s="128"/>
      <c r="AGY53" s="128"/>
      <c r="AGZ53" s="128"/>
      <c r="AHA53" s="128"/>
      <c r="AHB53" s="128"/>
      <c r="AHC53" s="128"/>
      <c r="AHD53" s="128"/>
      <c r="AHE53" s="128"/>
      <c r="AHF53" s="128"/>
      <c r="AHG53" s="128"/>
      <c r="AHH53" s="128"/>
      <c r="AHI53" s="128"/>
      <c r="AHJ53" s="128"/>
      <c r="AHK53" s="128"/>
      <c r="AHL53" s="128"/>
      <c r="AHM53" s="128"/>
      <c r="AHN53" s="128"/>
      <c r="AHO53" s="128"/>
      <c r="AHP53" s="128"/>
      <c r="AHQ53" s="128"/>
      <c r="AHR53" s="128"/>
      <c r="AHS53" s="128"/>
      <c r="AHT53" s="128"/>
      <c r="AHU53" s="128"/>
      <c r="AHV53" s="128"/>
      <c r="AHW53" s="128"/>
      <c r="AHX53" s="128"/>
      <c r="AHY53" s="128"/>
      <c r="AHZ53" s="128"/>
      <c r="AIA53" s="128"/>
      <c r="AIB53" s="128"/>
      <c r="AIC53" s="128"/>
      <c r="AID53" s="128"/>
      <c r="AIE53" s="128"/>
      <c r="AIF53" s="128"/>
      <c r="AIG53" s="128"/>
      <c r="AIH53" s="128"/>
      <c r="AII53" s="128"/>
      <c r="AIJ53" s="128"/>
      <c r="AIK53" s="128"/>
      <c r="AIL53" s="128"/>
      <c r="AIM53" s="128"/>
      <c r="AIN53" s="128"/>
      <c r="AIO53" s="128"/>
      <c r="AIP53" s="128"/>
      <c r="AIQ53" s="128"/>
      <c r="AIR53" s="128"/>
      <c r="AIS53" s="128"/>
      <c r="AIT53" s="128"/>
      <c r="AIU53" s="128"/>
      <c r="AIV53" s="128"/>
      <c r="AIW53" s="128"/>
      <c r="AIX53" s="128"/>
      <c r="AIY53" s="128"/>
      <c r="AIZ53" s="128"/>
      <c r="AJA53" s="128"/>
      <c r="AJB53" s="128"/>
      <c r="AJC53" s="128"/>
      <c r="AJD53" s="128"/>
      <c r="AJE53" s="128"/>
      <c r="AJF53" s="128"/>
      <c r="AJG53" s="128"/>
      <c r="AJH53" s="128"/>
      <c r="AJI53" s="128"/>
      <c r="AJJ53" s="128"/>
      <c r="AJK53" s="128"/>
      <c r="AJL53" s="128"/>
      <c r="AJM53" s="128"/>
      <c r="AJN53" s="128"/>
      <c r="AJO53" s="128"/>
      <c r="AJP53" s="128"/>
      <c r="AJQ53" s="128"/>
      <c r="AJR53" s="128"/>
      <c r="AJS53" s="128"/>
      <c r="AJT53" s="128"/>
      <c r="AJU53" s="128"/>
      <c r="AJV53" s="128"/>
      <c r="AJW53" s="128"/>
      <c r="AJX53" s="128"/>
      <c r="AJY53" s="128"/>
      <c r="AJZ53" s="128"/>
      <c r="AKA53" s="128"/>
      <c r="AKB53" s="128"/>
      <c r="AKC53" s="128"/>
      <c r="AKD53" s="128"/>
      <c r="AKE53" s="128"/>
      <c r="AKF53" s="128"/>
      <c r="AKG53" s="128"/>
      <c r="AKH53" s="128"/>
      <c r="AKI53" s="128"/>
      <c r="AKJ53" s="128"/>
      <c r="AKK53" s="128"/>
      <c r="AKL53" s="128"/>
      <c r="AKM53" s="128"/>
      <c r="AKN53" s="128"/>
      <c r="AKO53" s="128"/>
      <c r="AKP53" s="128"/>
      <c r="AKQ53" s="128"/>
      <c r="AKR53" s="128"/>
      <c r="AKS53" s="128"/>
      <c r="AKT53" s="128"/>
      <c r="AKU53" s="128"/>
      <c r="AKV53" s="128"/>
      <c r="AKW53" s="128"/>
      <c r="AKX53" s="128"/>
      <c r="AKY53" s="128"/>
      <c r="AKZ53" s="128"/>
      <c r="ALA53" s="128"/>
      <c r="ALB53" s="128"/>
      <c r="ALC53" s="128"/>
      <c r="ALD53" s="128"/>
      <c r="ALE53" s="128"/>
      <c r="ALF53" s="128"/>
      <c r="ALG53" s="128"/>
      <c r="ALH53" s="128"/>
      <c r="ALI53" s="128"/>
      <c r="ALJ53" s="128"/>
      <c r="ALK53" s="128"/>
      <c r="ALL53" s="128"/>
      <c r="ALM53" s="128"/>
      <c r="ALN53" s="128"/>
      <c r="ALO53" s="128"/>
      <c r="ALP53" s="128"/>
      <c r="ALQ53" s="128"/>
      <c r="ALR53" s="128"/>
      <c r="ALS53"/>
      <c r="ALT53"/>
      <c r="ALU53"/>
    </row>
    <row r="54" spans="1:1009" s="96" customFormat="1" ht="12" customHeight="1">
      <c r="A54" s="136"/>
      <c r="B54" s="136"/>
      <c r="C54" s="136"/>
      <c r="D54" s="136"/>
      <c r="E54" s="136"/>
      <c r="F54" s="136"/>
      <c r="I54" s="225"/>
      <c r="J54" s="159"/>
      <c r="L54" s="173"/>
      <c r="N54" s="277"/>
      <c r="R54"/>
      <c r="S54" s="179"/>
      <c r="U54" s="159"/>
      <c r="X54"/>
      <c r="Y54" s="128"/>
      <c r="Z54" s="128"/>
      <c r="AA54" s="128"/>
      <c r="AB54" s="128"/>
      <c r="AC54" s="128"/>
      <c r="AD54" s="128"/>
      <c r="AE54" s="128"/>
      <c r="AF54" s="128"/>
      <c r="AG54" s="128"/>
      <c r="AH54" s="128"/>
      <c r="AI54" s="128"/>
      <c r="AJ54" s="128"/>
      <c r="AK54" s="128"/>
      <c r="AL54" s="128"/>
      <c r="AM54" s="128"/>
      <c r="AN54" s="128"/>
      <c r="AO54" s="128"/>
      <c r="AP54" s="128"/>
      <c r="AQ54" s="128"/>
      <c r="AR54" s="128"/>
      <c r="AS54" s="128"/>
      <c r="AT54" s="128"/>
      <c r="AU54" s="128"/>
      <c r="AV54" s="128"/>
      <c r="AW54" s="128"/>
      <c r="AX54" s="128"/>
      <c r="AY54" s="128"/>
      <c r="AZ54" s="128"/>
      <c r="BA54" s="128"/>
      <c r="BB54" s="128"/>
      <c r="BC54" s="128"/>
      <c r="BD54" s="128"/>
      <c r="BE54" s="128"/>
      <c r="BF54" s="128"/>
      <c r="BG54" s="128"/>
      <c r="BH54" s="128"/>
      <c r="BI54" s="128"/>
      <c r="BJ54" s="128"/>
      <c r="BK54" s="128"/>
      <c r="BL54" s="128"/>
      <c r="BM54" s="128"/>
      <c r="BN54" s="128"/>
      <c r="BO54" s="128"/>
      <c r="BP54" s="128"/>
      <c r="BQ54" s="128"/>
      <c r="BR54" s="128"/>
      <c r="BS54" s="128"/>
      <c r="BT54" s="128"/>
      <c r="BU54" s="128"/>
      <c r="BV54" s="128"/>
      <c r="BW54" s="128"/>
      <c r="BX54" s="128"/>
      <c r="BY54" s="128"/>
      <c r="BZ54" s="128"/>
      <c r="CA54" s="128"/>
      <c r="CB54" s="128"/>
      <c r="CC54" s="128"/>
      <c r="CD54" s="128"/>
      <c r="CE54" s="128"/>
      <c r="CF54" s="128"/>
      <c r="CG54" s="128"/>
      <c r="CH54" s="128"/>
      <c r="CI54" s="128"/>
      <c r="CJ54" s="128"/>
      <c r="CK54" s="128"/>
      <c r="CL54" s="128"/>
      <c r="CM54" s="128"/>
      <c r="CN54" s="128"/>
      <c r="CO54" s="128"/>
      <c r="CP54" s="128"/>
      <c r="CQ54" s="128"/>
      <c r="CR54" s="128"/>
      <c r="CS54" s="128"/>
      <c r="CT54" s="128"/>
      <c r="CU54" s="128"/>
      <c r="CV54" s="128"/>
      <c r="CW54" s="128"/>
      <c r="CX54" s="128"/>
      <c r="CY54" s="128"/>
      <c r="CZ54" s="128"/>
      <c r="DA54" s="128"/>
      <c r="DB54" s="128"/>
      <c r="DC54" s="128"/>
      <c r="DD54" s="128"/>
      <c r="DE54" s="128"/>
      <c r="DF54" s="128"/>
      <c r="DG54" s="128"/>
      <c r="DH54" s="128"/>
      <c r="DI54" s="128"/>
      <c r="DJ54" s="128"/>
      <c r="DK54" s="128"/>
      <c r="DL54" s="128"/>
      <c r="DM54" s="128"/>
      <c r="DN54" s="128"/>
      <c r="DO54" s="128"/>
      <c r="DP54" s="128"/>
      <c r="DQ54" s="128"/>
      <c r="DR54" s="128"/>
      <c r="DS54" s="128"/>
      <c r="DT54" s="128"/>
      <c r="DU54" s="128"/>
      <c r="DV54" s="128"/>
      <c r="DW54" s="128"/>
      <c r="DX54" s="128"/>
      <c r="DY54" s="128"/>
      <c r="DZ54" s="128"/>
      <c r="EA54" s="128"/>
      <c r="EB54" s="128"/>
      <c r="EC54" s="128"/>
      <c r="ED54" s="128"/>
      <c r="EE54" s="128"/>
      <c r="EF54" s="128"/>
      <c r="EG54" s="128"/>
      <c r="EH54" s="128"/>
      <c r="EI54" s="128"/>
      <c r="EJ54" s="128"/>
      <c r="EK54" s="128"/>
      <c r="EL54" s="128"/>
      <c r="EM54" s="128"/>
      <c r="EN54" s="128"/>
      <c r="EO54" s="128"/>
      <c r="EP54" s="128"/>
      <c r="EQ54" s="128"/>
      <c r="ER54" s="128"/>
      <c r="ES54" s="128"/>
      <c r="ET54" s="128"/>
      <c r="EU54" s="128"/>
      <c r="EV54" s="128"/>
      <c r="EW54" s="128"/>
      <c r="EX54" s="128"/>
      <c r="EY54" s="128"/>
      <c r="EZ54" s="128"/>
      <c r="FA54" s="128"/>
      <c r="FB54" s="128"/>
      <c r="FC54" s="128"/>
      <c r="FD54" s="128"/>
      <c r="FE54" s="128"/>
      <c r="FF54" s="128"/>
      <c r="FG54" s="128"/>
      <c r="FH54" s="128"/>
      <c r="FI54" s="128"/>
      <c r="FJ54" s="128"/>
      <c r="FK54" s="128"/>
      <c r="FL54" s="128"/>
      <c r="FM54" s="128"/>
      <c r="FN54" s="128"/>
      <c r="FO54" s="128"/>
      <c r="FP54" s="128"/>
      <c r="FQ54" s="128"/>
      <c r="FR54" s="128"/>
      <c r="FS54" s="128"/>
      <c r="FT54" s="128"/>
      <c r="FU54" s="128"/>
      <c r="FV54" s="128"/>
      <c r="FW54" s="128"/>
      <c r="FX54" s="128"/>
      <c r="FY54" s="128"/>
      <c r="FZ54" s="128"/>
      <c r="GA54" s="128"/>
      <c r="GB54" s="128"/>
      <c r="GC54" s="128"/>
      <c r="GD54" s="128"/>
      <c r="GE54" s="128"/>
      <c r="GF54" s="128"/>
      <c r="GG54" s="128"/>
      <c r="GH54" s="128"/>
      <c r="GI54" s="128"/>
      <c r="GJ54" s="128"/>
      <c r="GK54" s="128"/>
      <c r="GL54" s="128"/>
      <c r="GM54" s="128"/>
      <c r="GN54" s="128"/>
      <c r="GO54" s="128"/>
      <c r="GP54" s="128"/>
      <c r="GQ54" s="128"/>
      <c r="GR54" s="128"/>
      <c r="GS54" s="128"/>
      <c r="GT54" s="128"/>
      <c r="GU54" s="128"/>
      <c r="GV54" s="128"/>
      <c r="GW54" s="128"/>
      <c r="GX54" s="128"/>
      <c r="GY54" s="128"/>
      <c r="GZ54" s="128"/>
      <c r="HA54" s="128"/>
      <c r="HB54" s="128"/>
      <c r="HC54" s="128"/>
      <c r="HD54" s="128"/>
      <c r="HE54" s="128"/>
      <c r="HF54" s="128"/>
      <c r="HG54" s="128"/>
      <c r="HH54" s="128"/>
      <c r="HI54" s="128"/>
      <c r="HJ54" s="128"/>
      <c r="HK54" s="128"/>
      <c r="HL54" s="128"/>
      <c r="HM54" s="128"/>
      <c r="HN54" s="128"/>
      <c r="HO54" s="128"/>
      <c r="HP54" s="128"/>
      <c r="HQ54" s="128"/>
      <c r="HR54" s="128"/>
      <c r="HS54" s="128"/>
      <c r="HT54" s="128"/>
      <c r="HU54" s="128"/>
      <c r="HV54" s="128"/>
      <c r="HW54" s="128"/>
      <c r="HX54" s="128"/>
      <c r="HY54" s="128"/>
      <c r="HZ54" s="128"/>
      <c r="IA54" s="128"/>
      <c r="IB54" s="128"/>
      <c r="IC54" s="128"/>
      <c r="ID54" s="128"/>
      <c r="IE54" s="128"/>
      <c r="IF54" s="128"/>
      <c r="IG54" s="128"/>
      <c r="IH54" s="128"/>
      <c r="II54" s="128"/>
      <c r="IJ54" s="128"/>
      <c r="IK54" s="128"/>
      <c r="IL54" s="128"/>
      <c r="IM54" s="128"/>
      <c r="IN54" s="128"/>
      <c r="IO54" s="128"/>
      <c r="IP54" s="128"/>
      <c r="IQ54" s="128"/>
      <c r="IR54" s="128"/>
      <c r="IS54" s="128"/>
      <c r="IT54" s="128"/>
      <c r="IU54" s="128"/>
      <c r="IV54" s="128"/>
      <c r="IW54" s="128"/>
      <c r="IX54" s="128"/>
      <c r="IY54" s="128"/>
      <c r="IZ54" s="128"/>
      <c r="JA54" s="128"/>
      <c r="JB54" s="128"/>
      <c r="JC54" s="128"/>
      <c r="JD54" s="128"/>
      <c r="JE54" s="128"/>
      <c r="JF54" s="128"/>
      <c r="JG54" s="128"/>
      <c r="JH54" s="128"/>
      <c r="JI54" s="128"/>
      <c r="JJ54" s="128"/>
      <c r="JK54" s="128"/>
      <c r="JL54" s="128"/>
      <c r="JM54" s="128"/>
      <c r="JN54" s="128"/>
      <c r="JO54" s="128"/>
      <c r="JP54" s="128"/>
      <c r="JQ54" s="128"/>
      <c r="JR54" s="128"/>
      <c r="JS54" s="128"/>
      <c r="JT54" s="128"/>
      <c r="JU54" s="128"/>
      <c r="JV54" s="128"/>
      <c r="JW54" s="128"/>
      <c r="JX54" s="128"/>
      <c r="JY54" s="128"/>
      <c r="JZ54" s="128"/>
      <c r="KA54" s="128"/>
      <c r="KB54" s="128"/>
      <c r="KC54" s="128"/>
      <c r="KD54" s="128"/>
      <c r="KE54" s="128"/>
      <c r="KF54" s="128"/>
      <c r="KG54" s="128"/>
      <c r="KH54" s="128"/>
      <c r="KI54" s="128"/>
      <c r="KJ54" s="128"/>
      <c r="KK54" s="128"/>
      <c r="KL54" s="128"/>
      <c r="KM54" s="128"/>
      <c r="KN54" s="128"/>
      <c r="KO54" s="128"/>
      <c r="KP54" s="128"/>
      <c r="KQ54" s="128"/>
      <c r="KR54" s="128"/>
      <c r="KS54" s="128"/>
      <c r="KT54" s="128"/>
      <c r="KU54" s="128"/>
      <c r="KV54" s="128"/>
      <c r="KW54" s="128"/>
      <c r="KX54" s="128"/>
      <c r="KY54" s="128"/>
      <c r="KZ54" s="128"/>
      <c r="LA54" s="128"/>
      <c r="LB54" s="128"/>
      <c r="LC54" s="128"/>
      <c r="LD54" s="128"/>
      <c r="LE54" s="128"/>
      <c r="LF54" s="128"/>
      <c r="LG54" s="128"/>
      <c r="LH54" s="128"/>
      <c r="LI54" s="128"/>
      <c r="LJ54" s="128"/>
      <c r="LK54" s="128"/>
      <c r="LL54" s="128"/>
      <c r="LM54" s="128"/>
      <c r="LN54" s="128"/>
      <c r="LO54" s="128"/>
      <c r="LP54" s="128"/>
      <c r="LQ54" s="128"/>
      <c r="LR54" s="128"/>
      <c r="LS54" s="128"/>
      <c r="LT54" s="128"/>
      <c r="LU54" s="128"/>
      <c r="LV54" s="128"/>
      <c r="LW54" s="128"/>
      <c r="LX54" s="128"/>
      <c r="LY54" s="128"/>
      <c r="LZ54" s="128"/>
      <c r="MA54" s="128"/>
      <c r="MB54" s="128"/>
      <c r="MC54" s="128"/>
      <c r="MD54" s="128"/>
      <c r="ME54" s="128"/>
      <c r="MF54" s="128"/>
      <c r="MG54" s="128"/>
      <c r="MH54" s="128"/>
      <c r="MI54" s="128"/>
      <c r="MJ54" s="128"/>
      <c r="MK54" s="128"/>
      <c r="ML54" s="128"/>
      <c r="MM54" s="128"/>
      <c r="MN54" s="128"/>
      <c r="MO54" s="128"/>
      <c r="MP54" s="128"/>
      <c r="MQ54" s="128"/>
      <c r="MR54" s="128"/>
      <c r="MS54" s="128"/>
      <c r="MT54" s="128"/>
      <c r="MU54" s="128"/>
      <c r="MV54" s="128"/>
      <c r="MW54" s="128"/>
      <c r="MX54" s="128"/>
      <c r="MY54" s="128"/>
      <c r="MZ54" s="128"/>
      <c r="NA54" s="128"/>
      <c r="NB54" s="128"/>
      <c r="NC54" s="128"/>
      <c r="ND54" s="128"/>
      <c r="NE54" s="128"/>
      <c r="NF54" s="128"/>
      <c r="NG54" s="128"/>
      <c r="NH54" s="128"/>
      <c r="NI54" s="128"/>
      <c r="NJ54" s="128"/>
      <c r="NK54" s="128"/>
      <c r="NL54" s="128"/>
      <c r="NM54" s="128"/>
      <c r="NN54" s="128"/>
      <c r="NO54" s="128"/>
      <c r="NP54" s="128"/>
      <c r="NQ54" s="128"/>
      <c r="NR54" s="128"/>
      <c r="NS54" s="128"/>
      <c r="NT54" s="128"/>
      <c r="NU54" s="128"/>
      <c r="NV54" s="128"/>
      <c r="NW54" s="128"/>
      <c r="NX54" s="128"/>
      <c r="NY54" s="128"/>
      <c r="NZ54" s="128"/>
      <c r="OA54" s="128"/>
      <c r="OB54" s="128"/>
      <c r="OC54" s="128"/>
      <c r="OD54" s="128"/>
      <c r="OE54" s="128"/>
      <c r="OF54" s="128"/>
      <c r="OG54" s="128"/>
      <c r="OH54" s="128"/>
      <c r="OI54" s="128"/>
      <c r="OJ54" s="128"/>
      <c r="OK54" s="128"/>
      <c r="OL54" s="128"/>
      <c r="OM54" s="128"/>
      <c r="ON54" s="128"/>
      <c r="OO54" s="128"/>
      <c r="OP54" s="128"/>
      <c r="OQ54" s="128"/>
      <c r="OR54" s="128"/>
      <c r="OS54" s="128"/>
      <c r="OT54" s="128"/>
      <c r="OU54" s="128"/>
      <c r="OV54" s="128"/>
      <c r="OW54" s="128"/>
      <c r="OX54" s="128"/>
      <c r="OY54" s="128"/>
      <c r="OZ54" s="128"/>
      <c r="PA54" s="128"/>
      <c r="PB54" s="128"/>
      <c r="PC54" s="128"/>
      <c r="PD54" s="128"/>
      <c r="PE54" s="128"/>
      <c r="PF54" s="128"/>
      <c r="PG54" s="128"/>
      <c r="PH54" s="128"/>
      <c r="PI54" s="128"/>
      <c r="PJ54" s="128"/>
      <c r="PK54" s="128"/>
      <c r="PL54" s="128"/>
      <c r="PM54" s="128"/>
      <c r="PN54" s="128"/>
      <c r="PO54" s="128"/>
      <c r="PP54" s="128"/>
      <c r="PQ54" s="128"/>
      <c r="PR54" s="128"/>
      <c r="PS54" s="128"/>
      <c r="PT54" s="128"/>
      <c r="PU54" s="128"/>
      <c r="PV54" s="128"/>
      <c r="PW54" s="128"/>
      <c r="PX54" s="128"/>
      <c r="PY54" s="128"/>
      <c r="PZ54" s="128"/>
      <c r="QA54" s="128"/>
      <c r="QB54" s="128"/>
      <c r="QC54" s="128"/>
      <c r="QD54" s="128"/>
      <c r="QE54" s="128"/>
      <c r="QF54" s="128"/>
      <c r="QG54" s="128"/>
      <c r="QH54" s="128"/>
      <c r="QI54" s="128"/>
      <c r="QJ54" s="128"/>
      <c r="QK54" s="128"/>
      <c r="QL54" s="128"/>
      <c r="QM54" s="128"/>
      <c r="QN54" s="128"/>
      <c r="QO54" s="128"/>
      <c r="QP54" s="128"/>
      <c r="QQ54" s="128"/>
      <c r="QR54" s="128"/>
      <c r="QS54" s="128"/>
      <c r="QT54" s="128"/>
      <c r="QU54" s="128"/>
      <c r="QV54" s="128"/>
      <c r="QW54" s="128"/>
      <c r="QX54" s="128"/>
      <c r="QY54" s="128"/>
      <c r="QZ54" s="128"/>
      <c r="RA54" s="128"/>
      <c r="RB54" s="128"/>
      <c r="RC54" s="128"/>
      <c r="RD54" s="128"/>
      <c r="RE54" s="128"/>
      <c r="RF54" s="128"/>
      <c r="RG54" s="128"/>
      <c r="RH54" s="128"/>
      <c r="RI54" s="128"/>
      <c r="RJ54" s="128"/>
      <c r="RK54" s="128"/>
      <c r="RL54" s="128"/>
      <c r="RM54" s="128"/>
      <c r="RN54" s="128"/>
      <c r="RO54" s="128"/>
      <c r="RP54" s="128"/>
      <c r="RQ54" s="128"/>
      <c r="RR54" s="128"/>
      <c r="RS54" s="128"/>
      <c r="RT54" s="128"/>
      <c r="RU54" s="128"/>
      <c r="RV54" s="128"/>
      <c r="RW54" s="128"/>
      <c r="RX54" s="128"/>
      <c r="RY54" s="128"/>
      <c r="RZ54" s="128"/>
      <c r="SA54" s="128"/>
      <c r="SB54" s="128"/>
      <c r="SC54" s="128"/>
      <c r="SD54" s="128"/>
      <c r="SE54" s="128"/>
      <c r="SF54" s="128"/>
      <c r="SG54" s="128"/>
      <c r="SH54" s="128"/>
      <c r="SI54" s="128"/>
      <c r="SJ54" s="128"/>
      <c r="SK54" s="128"/>
      <c r="SL54" s="128"/>
      <c r="SM54" s="128"/>
      <c r="SN54" s="128"/>
      <c r="SO54" s="128"/>
      <c r="SP54" s="128"/>
      <c r="SQ54" s="128"/>
      <c r="SR54" s="128"/>
      <c r="SS54" s="128"/>
      <c r="ST54" s="128"/>
      <c r="SU54" s="128"/>
      <c r="SV54" s="128"/>
      <c r="SW54" s="128"/>
      <c r="SX54" s="128"/>
      <c r="SY54" s="128"/>
      <c r="SZ54" s="128"/>
      <c r="TA54" s="128"/>
      <c r="TB54" s="128"/>
      <c r="TC54" s="128"/>
      <c r="TD54" s="128"/>
      <c r="TE54" s="128"/>
      <c r="TF54" s="128"/>
      <c r="TG54" s="128"/>
      <c r="TH54" s="128"/>
      <c r="TI54" s="128"/>
      <c r="TJ54" s="128"/>
      <c r="TK54" s="128"/>
      <c r="TL54" s="128"/>
      <c r="TM54" s="128"/>
      <c r="TN54" s="128"/>
      <c r="TO54" s="128"/>
      <c r="TP54" s="128"/>
      <c r="TQ54" s="128"/>
      <c r="TR54" s="128"/>
      <c r="TS54" s="128"/>
      <c r="TT54" s="128"/>
      <c r="TU54" s="128"/>
      <c r="TV54" s="128"/>
      <c r="TW54" s="128"/>
      <c r="TX54" s="128"/>
      <c r="TY54" s="128"/>
      <c r="TZ54" s="128"/>
      <c r="UA54" s="128"/>
      <c r="UB54" s="128"/>
      <c r="UC54" s="128"/>
      <c r="UD54" s="128"/>
      <c r="UE54" s="128"/>
      <c r="UF54" s="128"/>
      <c r="UG54" s="128"/>
      <c r="UH54" s="128"/>
      <c r="UI54" s="128"/>
      <c r="UJ54" s="128"/>
      <c r="UK54" s="128"/>
      <c r="UL54" s="128"/>
      <c r="UM54" s="128"/>
      <c r="UN54" s="128"/>
      <c r="UO54" s="128"/>
      <c r="UP54" s="128"/>
      <c r="UQ54" s="128"/>
      <c r="UR54" s="128"/>
      <c r="US54" s="128"/>
      <c r="UT54" s="128"/>
      <c r="UU54" s="128"/>
      <c r="UV54" s="128"/>
      <c r="UW54" s="128"/>
      <c r="UX54" s="128"/>
      <c r="UY54" s="128"/>
      <c r="UZ54" s="128"/>
      <c r="VA54" s="128"/>
      <c r="VB54" s="128"/>
      <c r="VC54" s="128"/>
      <c r="VD54" s="128"/>
      <c r="VE54" s="128"/>
      <c r="VF54" s="128"/>
      <c r="VG54" s="128"/>
      <c r="VH54" s="128"/>
      <c r="VI54" s="128"/>
      <c r="VJ54" s="128"/>
      <c r="VK54" s="128"/>
      <c r="VL54" s="128"/>
      <c r="VM54" s="128"/>
      <c r="VN54" s="128"/>
      <c r="VO54" s="128"/>
      <c r="VP54" s="128"/>
      <c r="VQ54" s="128"/>
      <c r="VR54" s="128"/>
      <c r="VS54" s="128"/>
      <c r="VT54" s="128"/>
      <c r="VU54" s="128"/>
      <c r="VV54" s="128"/>
      <c r="VW54" s="128"/>
      <c r="VX54" s="128"/>
      <c r="VY54" s="128"/>
      <c r="VZ54" s="128"/>
      <c r="WA54" s="128"/>
      <c r="WB54" s="128"/>
      <c r="WC54" s="128"/>
      <c r="WD54" s="128"/>
      <c r="WE54" s="128"/>
      <c r="WF54" s="128"/>
      <c r="WG54" s="128"/>
      <c r="WH54" s="128"/>
      <c r="WI54" s="128"/>
      <c r="WJ54" s="128"/>
      <c r="WK54" s="128"/>
      <c r="WL54" s="128"/>
      <c r="WM54" s="128"/>
      <c r="WN54" s="128"/>
      <c r="WO54" s="128"/>
      <c r="WP54" s="128"/>
      <c r="WQ54" s="128"/>
      <c r="WR54" s="128"/>
      <c r="WS54" s="128"/>
      <c r="WT54" s="128"/>
      <c r="WU54" s="128"/>
      <c r="WV54" s="128"/>
      <c r="WW54" s="128"/>
      <c r="WX54" s="128"/>
      <c r="WY54" s="128"/>
      <c r="WZ54" s="128"/>
      <c r="XA54" s="128"/>
      <c r="XB54" s="128"/>
      <c r="XC54" s="128"/>
      <c r="XD54" s="128"/>
      <c r="XE54" s="128"/>
      <c r="XF54" s="128"/>
      <c r="XG54" s="128"/>
      <c r="XH54" s="128"/>
      <c r="XI54" s="128"/>
      <c r="XJ54" s="128"/>
      <c r="XK54" s="128"/>
      <c r="XL54" s="128"/>
      <c r="XM54" s="128"/>
      <c r="XN54" s="128"/>
      <c r="XO54" s="128"/>
      <c r="XP54" s="128"/>
      <c r="XQ54" s="128"/>
      <c r="XR54" s="128"/>
      <c r="XS54" s="128"/>
      <c r="XT54" s="128"/>
      <c r="XU54" s="128"/>
      <c r="XV54" s="128"/>
      <c r="XW54" s="128"/>
      <c r="XX54" s="128"/>
      <c r="XY54" s="128"/>
      <c r="XZ54" s="128"/>
      <c r="YA54" s="128"/>
      <c r="YB54" s="128"/>
      <c r="YC54" s="128"/>
      <c r="YD54" s="128"/>
      <c r="YE54" s="128"/>
      <c r="YF54" s="128"/>
      <c r="YG54" s="128"/>
      <c r="YH54" s="128"/>
      <c r="YI54" s="128"/>
      <c r="YJ54" s="128"/>
      <c r="YK54" s="128"/>
      <c r="YL54" s="128"/>
      <c r="YM54" s="128"/>
      <c r="YN54" s="128"/>
      <c r="YO54" s="128"/>
      <c r="YP54" s="128"/>
      <c r="YQ54" s="128"/>
      <c r="YR54" s="128"/>
      <c r="YS54" s="128"/>
      <c r="YT54" s="128"/>
      <c r="YU54" s="128"/>
      <c r="YV54" s="128"/>
      <c r="YW54" s="128"/>
      <c r="YX54" s="128"/>
      <c r="YY54" s="128"/>
      <c r="YZ54" s="128"/>
      <c r="ZA54" s="128"/>
      <c r="ZB54" s="128"/>
      <c r="ZC54" s="128"/>
      <c r="ZD54" s="128"/>
      <c r="ZE54" s="128"/>
      <c r="ZF54" s="128"/>
      <c r="ZG54" s="128"/>
      <c r="ZH54" s="128"/>
      <c r="ZI54" s="128"/>
      <c r="ZJ54" s="128"/>
      <c r="ZK54" s="128"/>
      <c r="ZL54" s="128"/>
      <c r="ZM54" s="128"/>
      <c r="ZN54" s="128"/>
      <c r="ZO54" s="128"/>
      <c r="ZP54" s="128"/>
      <c r="ZQ54" s="128"/>
      <c r="ZR54" s="128"/>
      <c r="ZS54" s="128"/>
      <c r="ZT54" s="128"/>
      <c r="ZU54" s="128"/>
      <c r="ZV54" s="128"/>
      <c r="ZW54" s="128"/>
      <c r="ZX54" s="128"/>
      <c r="ZY54" s="128"/>
      <c r="ZZ54" s="128"/>
      <c r="AAA54" s="128"/>
      <c r="AAB54" s="128"/>
      <c r="AAC54" s="128"/>
      <c r="AAD54" s="128"/>
      <c r="AAE54" s="128"/>
      <c r="AAF54" s="128"/>
      <c r="AAG54" s="128"/>
      <c r="AAH54" s="128"/>
      <c r="AAI54" s="128"/>
      <c r="AAJ54" s="128"/>
      <c r="AAK54" s="128"/>
      <c r="AAL54" s="128"/>
      <c r="AAM54" s="128"/>
      <c r="AAN54" s="128"/>
      <c r="AAO54" s="128"/>
      <c r="AAP54" s="128"/>
      <c r="AAQ54" s="128"/>
      <c r="AAR54" s="128"/>
      <c r="AAS54" s="128"/>
      <c r="AAT54" s="128"/>
      <c r="AAU54" s="128"/>
      <c r="AAV54" s="128"/>
      <c r="AAW54" s="128"/>
      <c r="AAX54" s="128"/>
      <c r="AAY54" s="128"/>
      <c r="AAZ54" s="128"/>
      <c r="ABA54" s="128"/>
      <c r="ABB54" s="128"/>
      <c r="ABC54" s="128"/>
      <c r="ABD54" s="128"/>
      <c r="ABE54" s="128"/>
      <c r="ABF54" s="128"/>
      <c r="ABG54" s="128"/>
      <c r="ABH54" s="128"/>
      <c r="ABI54" s="128"/>
      <c r="ABJ54" s="128"/>
      <c r="ABK54" s="128"/>
      <c r="ABL54" s="128"/>
      <c r="ABM54" s="128"/>
      <c r="ABN54" s="128"/>
      <c r="ABO54" s="128"/>
      <c r="ABP54" s="128"/>
      <c r="ABQ54" s="128"/>
      <c r="ABR54" s="128"/>
      <c r="ABS54" s="128"/>
      <c r="ABT54" s="128"/>
      <c r="ABU54" s="128"/>
      <c r="ABV54" s="128"/>
      <c r="ABW54" s="128"/>
      <c r="ABX54" s="128"/>
      <c r="ABY54" s="128"/>
      <c r="ABZ54" s="128"/>
      <c r="ACA54" s="128"/>
      <c r="ACB54" s="128"/>
      <c r="ACC54" s="128"/>
      <c r="ACD54" s="128"/>
      <c r="ACE54" s="128"/>
      <c r="ACF54" s="128"/>
      <c r="ACG54" s="128"/>
      <c r="ACH54" s="128"/>
      <c r="ACI54" s="128"/>
      <c r="ACJ54" s="128"/>
      <c r="ACK54" s="128"/>
      <c r="ACL54" s="128"/>
      <c r="ACM54" s="128"/>
      <c r="ACN54" s="128"/>
      <c r="ACO54" s="128"/>
      <c r="ACP54" s="128"/>
      <c r="ACQ54" s="128"/>
      <c r="ACR54" s="128"/>
      <c r="ACS54" s="128"/>
      <c r="ACT54" s="128"/>
      <c r="ACU54" s="128"/>
      <c r="ACV54" s="128"/>
      <c r="ACW54" s="128"/>
      <c r="ACX54" s="128"/>
      <c r="ACY54" s="128"/>
      <c r="ACZ54" s="128"/>
      <c r="ADA54" s="128"/>
      <c r="ADB54" s="128"/>
      <c r="ADC54" s="128"/>
      <c r="ADD54" s="128"/>
      <c r="ADE54" s="128"/>
      <c r="ADF54" s="128"/>
      <c r="ADG54" s="128"/>
      <c r="ADH54" s="128"/>
      <c r="ADI54" s="128"/>
      <c r="ADJ54" s="128"/>
      <c r="ADK54" s="128"/>
      <c r="ADL54" s="128"/>
      <c r="ADM54" s="128"/>
      <c r="ADN54" s="128"/>
      <c r="ADO54" s="128"/>
      <c r="ADP54" s="128"/>
      <c r="ADQ54" s="128"/>
      <c r="ADR54" s="128"/>
      <c r="ADS54" s="128"/>
      <c r="ADT54" s="128"/>
      <c r="ADU54" s="128"/>
      <c r="ADV54" s="128"/>
      <c r="ADW54" s="128"/>
      <c r="ADX54" s="128"/>
      <c r="ADY54" s="128"/>
      <c r="ADZ54" s="128"/>
      <c r="AEA54" s="128"/>
      <c r="AEB54" s="128"/>
      <c r="AEC54" s="128"/>
      <c r="AED54" s="128"/>
      <c r="AEE54" s="128"/>
      <c r="AEF54" s="128"/>
      <c r="AEG54" s="128"/>
      <c r="AEH54" s="128"/>
      <c r="AEI54" s="128"/>
      <c r="AEJ54" s="128"/>
      <c r="AEK54" s="128"/>
      <c r="AEL54" s="128"/>
      <c r="AEM54" s="128"/>
      <c r="AEN54" s="128"/>
      <c r="AEO54" s="128"/>
      <c r="AEP54" s="128"/>
      <c r="AEQ54" s="128"/>
      <c r="AER54" s="128"/>
      <c r="AES54" s="128"/>
      <c r="AET54" s="128"/>
      <c r="AEU54" s="128"/>
      <c r="AEV54" s="128"/>
      <c r="AEW54" s="128"/>
      <c r="AEX54" s="128"/>
      <c r="AEY54" s="128"/>
      <c r="AEZ54" s="128"/>
      <c r="AFA54" s="128"/>
      <c r="AFB54" s="128"/>
      <c r="AFC54" s="128"/>
      <c r="AFD54" s="128"/>
      <c r="AFE54" s="128"/>
      <c r="AFF54" s="128"/>
      <c r="AFG54" s="128"/>
      <c r="AFH54" s="128"/>
      <c r="AFI54" s="128"/>
      <c r="AFJ54" s="128"/>
      <c r="AFK54" s="128"/>
      <c r="AFL54" s="128"/>
      <c r="AFM54" s="128"/>
      <c r="AFN54" s="128"/>
      <c r="AFO54" s="128"/>
      <c r="AFP54" s="128"/>
      <c r="AFQ54" s="128"/>
      <c r="AFR54" s="128"/>
      <c r="AFS54" s="128"/>
      <c r="AFT54" s="128"/>
      <c r="AFU54" s="128"/>
      <c r="AFV54" s="128"/>
      <c r="AFW54" s="128"/>
      <c r="AFX54" s="128"/>
      <c r="AFY54" s="128"/>
      <c r="AFZ54" s="128"/>
      <c r="AGA54" s="128"/>
      <c r="AGB54" s="128"/>
      <c r="AGC54" s="128"/>
      <c r="AGD54" s="128"/>
      <c r="AGE54" s="128"/>
      <c r="AGF54" s="128"/>
      <c r="AGG54" s="128"/>
      <c r="AGH54" s="128"/>
      <c r="AGI54" s="128"/>
      <c r="AGJ54" s="128"/>
      <c r="AGK54" s="128"/>
      <c r="AGL54" s="128"/>
      <c r="AGM54" s="128"/>
      <c r="AGN54" s="128"/>
      <c r="AGO54" s="128"/>
      <c r="AGP54" s="128"/>
      <c r="AGQ54" s="128"/>
      <c r="AGR54" s="128"/>
      <c r="AGS54" s="128"/>
      <c r="AGT54" s="128"/>
      <c r="AGU54" s="128"/>
      <c r="AGV54" s="128"/>
      <c r="AGW54" s="128"/>
      <c r="AGX54" s="128"/>
      <c r="AGY54" s="128"/>
      <c r="AGZ54" s="128"/>
      <c r="AHA54" s="128"/>
      <c r="AHB54" s="128"/>
      <c r="AHC54" s="128"/>
      <c r="AHD54" s="128"/>
      <c r="AHE54" s="128"/>
      <c r="AHF54" s="128"/>
      <c r="AHG54" s="128"/>
      <c r="AHH54" s="128"/>
      <c r="AHI54" s="128"/>
      <c r="AHJ54" s="128"/>
      <c r="AHK54" s="128"/>
      <c r="AHL54" s="128"/>
      <c r="AHM54" s="128"/>
      <c r="AHN54" s="128"/>
      <c r="AHO54" s="128"/>
      <c r="AHP54" s="128"/>
      <c r="AHQ54" s="128"/>
      <c r="AHR54" s="128"/>
      <c r="AHS54" s="128"/>
      <c r="AHT54" s="128"/>
      <c r="AHU54" s="128"/>
      <c r="AHV54" s="128"/>
      <c r="AHW54" s="128"/>
      <c r="AHX54" s="128"/>
      <c r="AHY54" s="128"/>
      <c r="AHZ54" s="128"/>
      <c r="AIA54" s="128"/>
      <c r="AIB54" s="128"/>
      <c r="AIC54" s="128"/>
      <c r="AID54" s="128"/>
      <c r="AIE54" s="128"/>
      <c r="AIF54" s="128"/>
      <c r="AIG54" s="128"/>
      <c r="AIH54" s="128"/>
      <c r="AII54" s="128"/>
      <c r="AIJ54" s="128"/>
      <c r="AIK54" s="128"/>
      <c r="AIL54" s="128"/>
      <c r="AIM54" s="128"/>
      <c r="AIN54" s="128"/>
      <c r="AIO54" s="128"/>
      <c r="AIP54" s="128"/>
      <c r="AIQ54" s="128"/>
      <c r="AIR54" s="128"/>
      <c r="AIS54" s="128"/>
      <c r="AIT54" s="128"/>
      <c r="AIU54" s="128"/>
      <c r="AIV54" s="128"/>
      <c r="AIW54" s="128"/>
      <c r="AIX54" s="128"/>
      <c r="AIY54" s="128"/>
      <c r="AIZ54" s="128"/>
      <c r="AJA54" s="128"/>
      <c r="AJB54" s="128"/>
      <c r="AJC54" s="128"/>
      <c r="AJD54" s="128"/>
      <c r="AJE54" s="128"/>
      <c r="AJF54" s="128"/>
      <c r="AJG54" s="128"/>
      <c r="AJH54" s="128"/>
      <c r="AJI54" s="128"/>
      <c r="AJJ54" s="128"/>
      <c r="AJK54" s="128"/>
      <c r="AJL54" s="128"/>
      <c r="AJM54" s="128"/>
      <c r="AJN54" s="128"/>
      <c r="AJO54" s="128"/>
      <c r="AJP54" s="128"/>
      <c r="AJQ54" s="128"/>
      <c r="AJR54" s="128"/>
      <c r="AJS54" s="128"/>
      <c r="AJT54" s="128"/>
      <c r="AJU54" s="128"/>
      <c r="AJV54" s="128"/>
      <c r="AJW54" s="128"/>
      <c r="AJX54" s="128"/>
      <c r="AJY54" s="128"/>
      <c r="AJZ54" s="128"/>
      <c r="AKA54" s="128"/>
      <c r="AKB54" s="128"/>
      <c r="AKC54" s="128"/>
      <c r="AKD54" s="128"/>
      <c r="AKE54" s="128"/>
      <c r="AKF54" s="128"/>
      <c r="AKG54" s="128"/>
      <c r="AKH54" s="128"/>
      <c r="AKI54" s="128"/>
      <c r="AKJ54" s="128"/>
      <c r="AKK54" s="128"/>
      <c r="AKL54" s="128"/>
      <c r="AKM54" s="128"/>
      <c r="AKN54" s="128"/>
      <c r="AKO54" s="128"/>
      <c r="AKP54" s="128"/>
      <c r="AKQ54" s="128"/>
      <c r="AKR54" s="128"/>
      <c r="AKS54" s="128"/>
      <c r="AKT54" s="128"/>
      <c r="AKU54" s="128"/>
      <c r="AKV54" s="128"/>
      <c r="AKW54" s="128"/>
      <c r="AKX54" s="128"/>
      <c r="AKY54" s="128"/>
      <c r="AKZ54" s="128"/>
      <c r="ALA54" s="128"/>
      <c r="ALB54" s="128"/>
      <c r="ALC54" s="128"/>
      <c r="ALD54" s="128"/>
      <c r="ALE54" s="128"/>
      <c r="ALF54" s="128"/>
      <c r="ALG54" s="128"/>
      <c r="ALH54" s="128"/>
      <c r="ALI54" s="128"/>
      <c r="ALJ54" s="128"/>
      <c r="ALK54" s="128"/>
      <c r="ALL54" s="128"/>
      <c r="ALM54" s="128"/>
      <c r="ALN54" s="128"/>
      <c r="ALO54" s="128"/>
      <c r="ALP54" s="128"/>
      <c r="ALQ54" s="128"/>
      <c r="ALR54" s="128"/>
      <c r="ALS54"/>
      <c r="ALT54"/>
      <c r="ALU54"/>
    </row>
  </sheetData>
  <mergeCells count="1">
    <mergeCell ref="H1:I2"/>
  </mergeCells>
  <conditionalFormatting sqref="A10:A42 B25">
    <cfRule type="expression" dxfId="753" priority="90">
      <formula>$X10=1</formula>
    </cfRule>
  </conditionalFormatting>
  <conditionalFormatting sqref="A44:F45 A48:F866">
    <cfRule type="expression" dxfId="752" priority="129">
      <formula>OR($W44="X",$V44="X")</formula>
    </cfRule>
    <cfRule type="expression" dxfId="751" priority="130">
      <formula>AND($W44=1,$V44=1)</formula>
    </cfRule>
    <cfRule type="expression" dxfId="750" priority="131">
      <formula>$W44=1</formula>
    </cfRule>
    <cfRule type="expression" dxfId="749" priority="132">
      <formula>$V44=1</formula>
    </cfRule>
  </conditionalFormatting>
  <conditionalFormatting sqref="A9:G9 C10:G10 A10:A42 B11:G12">
    <cfRule type="expression" dxfId="748" priority="134">
      <formula>AND($X9=1,#REF!=1)</formula>
    </cfRule>
    <cfRule type="expression" dxfId="747" priority="135">
      <formula>AND(NOT(ISBLANK($R9)),ISBLANK(#REF!),ISBLANK($X9))</formula>
    </cfRule>
    <cfRule type="expression" dxfId="746" priority="136">
      <formula>OR($X9="X",#REF!="X")</formula>
    </cfRule>
  </conditionalFormatting>
  <conditionalFormatting sqref="A9:G9 C10:G10 B11:G12 A10:A42">
    <cfRule type="expression" dxfId="745" priority="133">
      <formula>#REF!=1</formula>
    </cfRule>
  </conditionalFormatting>
  <conditionalFormatting sqref="B10">
    <cfRule type="expression" dxfId="744" priority="20">
      <formula>$X10=1</formula>
    </cfRule>
    <cfRule type="expression" dxfId="743" priority="21">
      <formula>#REF!=1</formula>
    </cfRule>
    <cfRule type="expression" dxfId="742" priority="22">
      <formula>AND($X10=1,#REF!=1)</formula>
    </cfRule>
    <cfRule type="expression" dxfId="741" priority="23">
      <formula>AND(NOT(ISBLANK($R10)),ISBLANK(#REF!),ISBLANK($X10))</formula>
    </cfRule>
    <cfRule type="expression" dxfId="740" priority="24">
      <formula>OR($X10="X",#REF!="X")</formula>
    </cfRule>
  </conditionalFormatting>
  <conditionalFormatting sqref="B25 D35:G38 B16:G20 B21:C21 E21:G21 B24:G24 D25:G25 B26:C31 E26:G31 B32:G34 B35:B41 B42:G42">
    <cfRule type="expression" dxfId="739" priority="96">
      <formula>AND($X16=1,#REF!=1)</formula>
    </cfRule>
  </conditionalFormatting>
  <conditionalFormatting sqref="B13:C14">
    <cfRule type="expression" dxfId="738" priority="56">
      <formula>AND($X36=1,#REF!=1)</formula>
    </cfRule>
    <cfRule type="expression" dxfId="737" priority="57">
      <formula>$X36=1</formula>
    </cfRule>
    <cfRule type="expression" dxfId="736" priority="58">
      <formula>AND(NOT(ISBLANK($R36)),ISBLANK(#REF!),ISBLANK($X36))</formula>
    </cfRule>
    <cfRule type="expression" dxfId="735" priority="59">
      <formula>OR($X36="X",#REF!="X")</formula>
    </cfRule>
    <cfRule type="expression" dxfId="734" priority="60">
      <formula>#REF!=1</formula>
    </cfRule>
  </conditionalFormatting>
  <conditionalFormatting sqref="B16:G20 B21:C21 E21:G21 B24:G24 B25 D25:G25 B26:C31 E26:G31 B32:G34 D35:G38 B35:B41 B42:G42">
    <cfRule type="expression" dxfId="733" priority="97">
      <formula>AND(NOT(ISBLANK($R16)),ISBLANK(#REF!),ISBLANK($X16))</formula>
    </cfRule>
  </conditionalFormatting>
  <conditionalFormatting sqref="B16:G20 B21:C21 E21:G21 B24:G24 D25:G25 B25:B31 C26:C31 E26:G31 B32:G34 D35:G38 B35:B41 B42:G42">
    <cfRule type="expression" dxfId="732" priority="98">
      <formula>OR($X16="X",#REF!="X")</formula>
    </cfRule>
    <cfRule type="expression" dxfId="731" priority="99">
      <formula>#REF!=1</formula>
    </cfRule>
  </conditionalFormatting>
  <conditionalFormatting sqref="B16:G20 B21:C21 E21:G21 B24:G24 D25:G25 B26:C31 E26:G31 B32:G34 B35:B41 B42:G42 A9:G9 C10:G10 B11:G12">
    <cfRule type="expression" dxfId="730" priority="123">
      <formula>$X9=1</formula>
    </cfRule>
  </conditionalFormatting>
  <conditionalFormatting sqref="B22:G23">
    <cfRule type="expression" dxfId="729" priority="5">
      <formula>$X22=1</formula>
    </cfRule>
    <cfRule type="expression" dxfId="728" priority="7">
      <formula>AND($X22=1,#REF!=1)</formula>
    </cfRule>
    <cfRule type="expression" dxfId="727" priority="8">
      <formula>AND(NOT(ISBLANK($R22)),ISBLANK(#REF!),ISBLANK($X22))</formula>
    </cfRule>
    <cfRule type="expression" dxfId="726" priority="10">
      <formula>OR($X22="X",#REF!="X")</formula>
    </cfRule>
    <cfRule type="expression" dxfId="725" priority="11">
      <formula>#REF!=1</formula>
    </cfRule>
  </conditionalFormatting>
  <conditionalFormatting sqref="C9:C11 C16:C21 C24:C34 D25 C42">
    <cfRule type="expression" dxfId="724" priority="4461">
      <formula>AND($M9="X",$B9&lt;&gt;"")</formula>
    </cfRule>
  </conditionalFormatting>
  <conditionalFormatting sqref="C12">
    <cfRule type="expression" dxfId="723" priority="1704">
      <formula>OR(#REF!="X",#REF!="X")</formula>
    </cfRule>
    <cfRule type="expression" dxfId="722" priority="1705">
      <formula>AND(#REF!=1,#REF!=1)</formula>
    </cfRule>
    <cfRule type="expression" dxfId="721" priority="1706">
      <formula>#REF!=1</formula>
    </cfRule>
    <cfRule type="expression" dxfId="720" priority="1707">
      <formula>#REF!=1</formula>
    </cfRule>
    <cfRule type="expression" dxfId="719" priority="1708">
      <formula>AND(NOT(ISBLANK(#REF!)),ISBLANK(#REF!),ISBLANK(#REF!))</formula>
    </cfRule>
  </conditionalFormatting>
  <conditionalFormatting sqref="C13:C14">
    <cfRule type="expression" dxfId="718" priority="4531">
      <formula>AND($M36="X",$B13&lt;&gt;"")</formula>
    </cfRule>
  </conditionalFormatting>
  <conditionalFormatting sqref="C22:C23">
    <cfRule type="expression" dxfId="717" priority="12">
      <formula>AND($M22="X",$B22&lt;&gt;"")</formula>
    </cfRule>
  </conditionalFormatting>
  <conditionalFormatting sqref="C25">
    <cfRule type="expression" dxfId="716" priority="81">
      <formula>$X25=1</formula>
    </cfRule>
    <cfRule type="expression" dxfId="715" priority="82">
      <formula>AND($X25=1,#REF!=1)</formula>
    </cfRule>
    <cfRule type="expression" dxfId="714" priority="83">
      <formula>AND(NOT(ISBLANK($R25)),ISBLANK(#REF!),ISBLANK($X25))</formula>
    </cfRule>
    <cfRule type="expression" dxfId="713" priority="84">
      <formula>OR($X25="X",#REF!="X")</formula>
    </cfRule>
    <cfRule type="expression" dxfId="712" priority="85">
      <formula>#REF!=1</formula>
    </cfRule>
  </conditionalFormatting>
  <conditionalFormatting sqref="C35:C38">
    <cfRule type="expression" dxfId="711" priority="4465">
      <formula>AND($X35=1,#REF!=1)</formula>
    </cfRule>
    <cfRule type="expression" dxfId="710" priority="4466">
      <formula>$X35=1</formula>
    </cfRule>
    <cfRule type="expression" dxfId="709" priority="4467">
      <formula>AND(NOT(ISBLANK($R35)),ISBLANK(#REF!),ISBLANK($X35))</formula>
    </cfRule>
    <cfRule type="expression" dxfId="708" priority="4468">
      <formula>OR($X35="X",#REF!="X")</formula>
    </cfRule>
    <cfRule type="expression" dxfId="707" priority="4469">
      <formula>#REF!=1</formula>
    </cfRule>
    <cfRule type="expression" dxfId="706" priority="4470">
      <formula>AND($M35="X",$B35&lt;&gt;"")</formula>
    </cfRule>
  </conditionalFormatting>
  <conditionalFormatting sqref="C39 C40:F40">
    <cfRule type="expression" dxfId="705" priority="79">
      <formula>$AD39=1</formula>
    </cfRule>
  </conditionalFormatting>
  <conditionalFormatting sqref="C39 C40:F41">
    <cfRule type="expression" dxfId="704" priority="76">
      <formula>AND($AE39=1,$AD39=1)</formula>
    </cfRule>
    <cfRule type="expression" dxfId="703" priority="77">
      <formula>$AE39=1</formula>
    </cfRule>
    <cfRule type="expression" dxfId="702" priority="78">
      <formula>OR($AE39="X",$AD39="X")</formula>
    </cfRule>
    <cfRule type="expression" dxfId="701" priority="80">
      <formula>AND(NOT(ISBLANK($X39)),ISBLANK($AD39),ISBLANK($AE39))</formula>
    </cfRule>
  </conditionalFormatting>
  <conditionalFormatting sqref="C39:C41">
    <cfRule type="expression" dxfId="700" priority="4475">
      <formula>AND($S39="X",OR($B39&lt;&gt;"",$C39&lt;&gt;""))</formula>
    </cfRule>
  </conditionalFormatting>
  <conditionalFormatting sqref="D9:D11 D16:D20 D24 D32:D39 D42">
    <cfRule type="expression" dxfId="699" priority="4477">
      <formula>AND($M9="X",OR($B9&lt;&gt;"",$C9&lt;&gt;""))</formula>
    </cfRule>
  </conditionalFormatting>
  <conditionalFormatting sqref="D12">
    <cfRule type="expression" dxfId="698" priority="4478">
      <formula>AND($M12="X",OR($B12&lt;&gt;"",#REF!&lt;&gt;""))</formula>
    </cfRule>
  </conditionalFormatting>
  <conditionalFormatting sqref="D13">
    <cfRule type="expression" dxfId="697" priority="4479">
      <formula>AND($S13="X",OR($C11&lt;&gt;"",#REF!&lt;&gt;""))</formula>
    </cfRule>
  </conditionalFormatting>
  <conditionalFormatting sqref="D14">
    <cfRule type="expression" dxfId="696" priority="61">
      <formula>AND($S14="X",OR(#REF!&lt;&gt;"",#REF!&lt;&gt;""))</formula>
    </cfRule>
  </conditionalFormatting>
  <conditionalFormatting sqref="D15">
    <cfRule type="expression" dxfId="695" priority="4480">
      <formula>AND($S15="X",OR($C11&lt;&gt;"",#REF!&lt;&gt;""))</formula>
    </cfRule>
  </conditionalFormatting>
  <conditionalFormatting sqref="D22:D23">
    <cfRule type="expression" dxfId="694" priority="13">
      <formula>AND($M22="X",OR($B22&lt;&gt;"",$C22&lt;&gt;""))</formula>
    </cfRule>
  </conditionalFormatting>
  <conditionalFormatting sqref="D40:D41">
    <cfRule type="expression" dxfId="693" priority="4485">
      <formula>AND($S40="X",OR($B40&lt;&gt;"",$C40&lt;&gt;"",$D40&lt;&gt;""))</formula>
    </cfRule>
  </conditionalFormatting>
  <conditionalFormatting sqref="D13:G15">
    <cfRule type="expression" dxfId="692" priority="25">
      <formula>OR($AE13="X",$AD13="X")</formula>
    </cfRule>
    <cfRule type="expression" dxfId="691" priority="26">
      <formula>AND($AE13=1,$AD13=1)</formula>
    </cfRule>
    <cfRule type="expression" dxfId="690" priority="27">
      <formula>$AE13=1</formula>
    </cfRule>
    <cfRule type="expression" dxfId="689" priority="28">
      <formula>$AD13=1</formula>
    </cfRule>
    <cfRule type="expression" dxfId="688" priority="29">
      <formula>AND(NOT(ISBLANK($X13)),ISBLANK($AD13),ISBLANK($AE13))</formula>
    </cfRule>
  </conditionalFormatting>
  <conditionalFormatting sqref="D35:G39">
    <cfRule type="expression" dxfId="687" priority="66">
      <formula>$X35=1</formula>
    </cfRule>
  </conditionalFormatting>
  <conditionalFormatting sqref="D39:G39">
    <cfRule type="expression" dxfId="686" priority="67">
      <formula>AND($X39=1,#REF!=1)</formula>
    </cfRule>
    <cfRule type="expression" dxfId="685" priority="68">
      <formula>AND(NOT(ISBLANK($R39)),ISBLANK(#REF!),ISBLANK($X39))</formula>
    </cfRule>
    <cfRule type="expression" dxfId="684" priority="69">
      <formula>OR($X39="X",#REF!="X")</formula>
    </cfRule>
    <cfRule type="expression" dxfId="683" priority="70">
      <formula>#REF!=1</formula>
    </cfRule>
  </conditionalFormatting>
  <conditionalFormatting sqref="E9:E11 E16:E20 E24 E32:E39 E42">
    <cfRule type="expression" dxfId="682" priority="4486">
      <formula>AND($M9="X",OR($B9&lt;&gt;"",$C9&lt;&gt;"",$D9&lt;&gt;""))</formula>
    </cfRule>
  </conditionalFormatting>
  <conditionalFormatting sqref="E12">
    <cfRule type="expression" dxfId="681" priority="4487">
      <formula>AND($M12="X",OR($B12&lt;&gt;"",#REF!&lt;&gt;"",$D12&lt;&gt;""))</formula>
    </cfRule>
  </conditionalFormatting>
  <conditionalFormatting sqref="E13">
    <cfRule type="expression" dxfId="680" priority="4488">
      <formula>AND($S13="X",OR($C11&lt;&gt;"",#REF!&lt;&gt;"",$D13&lt;&gt;""))</formula>
    </cfRule>
  </conditionalFormatting>
  <conditionalFormatting sqref="E14">
    <cfRule type="expression" dxfId="679" priority="4489">
      <formula>AND($S14="X",OR(#REF!&lt;&gt;"",#REF!&lt;&gt;"",$D14&lt;&gt;""))</formula>
    </cfRule>
  </conditionalFormatting>
  <conditionalFormatting sqref="E15">
    <cfRule type="expression" dxfId="678" priority="4490">
      <formula>AND($S15="X",OR($C11&lt;&gt;"",#REF!&lt;&gt;"",$D15&lt;&gt;""))</formula>
    </cfRule>
  </conditionalFormatting>
  <conditionalFormatting sqref="E21 E26:E31">
    <cfRule type="expression" dxfId="677" priority="4496">
      <formula>AND($M21="X",OR($B21&lt;&gt;"",$C21&lt;&gt;"",#REF!&lt;&gt;""))</formula>
    </cfRule>
  </conditionalFormatting>
  <conditionalFormatting sqref="E22:E23">
    <cfRule type="expression" dxfId="676" priority="14">
      <formula>AND($M22="X",OR($B22&lt;&gt;"",$C22&lt;&gt;"",$D22&lt;&gt;""))</formula>
    </cfRule>
  </conditionalFormatting>
  <conditionalFormatting sqref="E25">
    <cfRule type="expression" dxfId="675" priority="4495">
      <formula>AND($M25="X",OR($B25&lt;&gt;"",$D25&lt;&gt;"",#REF!&lt;&gt;""))</formula>
    </cfRule>
  </conditionalFormatting>
  <conditionalFormatting sqref="E40:E41">
    <cfRule type="expression" dxfId="674" priority="4497">
      <formula>AND($S40="X",OR($B40&lt;&gt;"",$C40&lt;&gt;"",$D40&lt;&gt;"",$E40&lt;&gt;""))</formula>
    </cfRule>
  </conditionalFormatting>
  <conditionalFormatting sqref="F1:F2">
    <cfRule type="dataBar" priority="121">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F16:F20 F24 F32:F39 F42">
    <cfRule type="expression" dxfId="673" priority="4498">
      <formula>AND($M9="X",OR($B9&lt;&gt;"",$C9&lt;&gt;"",$D9&lt;&gt;"",$E9&lt;&gt;""))</formula>
    </cfRule>
  </conditionalFormatting>
  <conditionalFormatting sqref="F12">
    <cfRule type="expression" dxfId="672" priority="4499">
      <formula>AND($M12="X",OR($B12&lt;&gt;"",#REF!&lt;&gt;"",$D12&lt;&gt;"",$E12&lt;&gt;""))</formula>
    </cfRule>
  </conditionalFormatting>
  <conditionalFormatting sqref="F13">
    <cfRule type="expression" dxfId="671" priority="4500">
      <formula>AND($S13="X",OR($C11&lt;&gt;"",#REF!&lt;&gt;"",$D13&lt;&gt;"",$E13&lt;&gt;""))</formula>
    </cfRule>
  </conditionalFormatting>
  <conditionalFormatting sqref="F14">
    <cfRule type="expression" dxfId="670" priority="4501">
      <formula>AND($S14="X",OR(#REF!&lt;&gt;"",#REF!&lt;&gt;"",$D14&lt;&gt;"",$E14&lt;&gt;""))</formula>
    </cfRule>
  </conditionalFormatting>
  <conditionalFormatting sqref="F15">
    <cfRule type="expression" dxfId="669" priority="4502">
      <formula>AND($S15="X",OR($C11&lt;&gt;"",#REF!&lt;&gt;"",$D15&lt;&gt;"",$E15&lt;&gt;""))</formula>
    </cfRule>
  </conditionalFormatting>
  <conditionalFormatting sqref="F21 F26:F31">
    <cfRule type="expression" dxfId="668" priority="4508">
      <formula>AND($M21="X",OR($B21&lt;&gt;"",$C21&lt;&gt;"",#REF!&lt;&gt;"",$E21&lt;&gt;""))</formula>
    </cfRule>
  </conditionalFormatting>
  <conditionalFormatting sqref="F22:F23">
    <cfRule type="expression" dxfId="667" priority="15">
      <formula>AND($M22="X",OR($B22&lt;&gt;"",$C22&lt;&gt;"",$D22&lt;&gt;"",$E22&lt;&gt;""))</formula>
    </cfRule>
  </conditionalFormatting>
  <conditionalFormatting sqref="F25">
    <cfRule type="expression" dxfId="666" priority="4507">
      <formula>AND($M25="X",OR($B25&lt;&gt;"",$D25&lt;&gt;"",#REF!&lt;&gt;"",$E25&lt;&gt;""))</formula>
    </cfRule>
  </conditionalFormatting>
  <conditionalFormatting sqref="F40:F41">
    <cfRule type="expression" dxfId="665" priority="4509">
      <formula>AND($S40="X",OR($B40&lt;&gt;"",$C40&lt;&gt;"",$D40&lt;&gt;"",$E40&lt;&gt;"",$F40&lt;&gt;""))</formula>
    </cfRule>
  </conditionalFormatting>
  <conditionalFormatting sqref="G9:G11 G16:G20 G24 G32:G39 G42">
    <cfRule type="expression" dxfId="664" priority="4510">
      <formula>AND($M9="X",OR($B9&lt;&gt;"",$C9&lt;&gt;"",$D9&lt;&gt;"",$E9&lt;&gt;"",$F9&lt;&gt;""))</formula>
    </cfRule>
  </conditionalFormatting>
  <conditionalFormatting sqref="G12">
    <cfRule type="expression" dxfId="663" priority="4511">
      <formula>AND($M12="X",OR($B12&lt;&gt;"",#REF!&lt;&gt;"",$D12&lt;&gt;"",$E12&lt;&gt;"",$F12&lt;&gt;""))</formula>
    </cfRule>
  </conditionalFormatting>
  <conditionalFormatting sqref="G13">
    <cfRule type="expression" dxfId="662" priority="4512">
      <formula>AND($S13="X",OR($C11&lt;&gt;"",#REF!&lt;&gt;"",$D13&lt;&gt;"",$E13&lt;&gt;"",$F13&lt;&gt;""))</formula>
    </cfRule>
  </conditionalFormatting>
  <conditionalFormatting sqref="G14">
    <cfRule type="expression" dxfId="661" priority="4513">
      <formula>AND($S14="X",OR(#REF!&lt;&gt;"",#REF!&lt;&gt;"",$D14&lt;&gt;"",$E14&lt;&gt;"",$F14&lt;&gt;""))</formula>
    </cfRule>
  </conditionalFormatting>
  <conditionalFormatting sqref="G15">
    <cfRule type="expression" dxfId="660" priority="4514">
      <formula>AND($S15="X",OR($C11&lt;&gt;"",#REF!&lt;&gt;"",$D15&lt;&gt;"",$E15&lt;&gt;"",$F15&lt;&gt;""))</formula>
    </cfRule>
  </conditionalFormatting>
  <conditionalFormatting sqref="G21 G26:G31">
    <cfRule type="expression" dxfId="659" priority="4520">
      <formula>AND($M21="X",OR($B21&lt;&gt;"",$C21&lt;&gt;"",#REF!&lt;&gt;"",$E21&lt;&gt;"",$F21&lt;&gt;""))</formula>
    </cfRule>
  </conditionalFormatting>
  <conditionalFormatting sqref="G22:G23">
    <cfRule type="expression" dxfId="658" priority="16">
      <formula>AND($M22="X",OR($B22&lt;&gt;"",$C22&lt;&gt;"",$D22&lt;&gt;"",$E22&lt;&gt;"",$F22&lt;&gt;""))</formula>
    </cfRule>
  </conditionalFormatting>
  <conditionalFormatting sqref="G25">
    <cfRule type="expression" dxfId="657" priority="4519">
      <formula>AND($M25="X",OR($B25&lt;&gt;"",$D25&lt;&gt;"",#REF!&lt;&gt;"",$E25&lt;&gt;"",$F25&lt;&gt;""))</formula>
    </cfRule>
  </conditionalFormatting>
  <conditionalFormatting sqref="H44:H45 H48:H866">
    <cfRule type="expression" dxfId="656" priority="122">
      <formula>$K44="X"</formula>
    </cfRule>
  </conditionalFormatting>
  <conditionalFormatting sqref="I11:J11">
    <cfRule type="expression" dxfId="655" priority="1709">
      <formula>#REF!="X"</formula>
    </cfRule>
  </conditionalFormatting>
  <conditionalFormatting sqref="I16:J42">
    <cfRule type="expression" dxfId="654" priority="4">
      <formula>$M16="X"</formula>
    </cfRule>
  </conditionalFormatting>
  <conditionalFormatting sqref="I39:J41">
    <cfRule type="expression" dxfId="653" priority="72">
      <formula>$S39="X"</formula>
    </cfRule>
  </conditionalFormatting>
  <conditionalFormatting sqref="L9:L10">
    <cfRule type="cellIs" dxfId="652" priority="118" operator="equal">
      <formula>"1..1"</formula>
    </cfRule>
    <cfRule type="cellIs" dxfId="651" priority="119" operator="equal">
      <formula>"0..n"</formula>
    </cfRule>
    <cfRule type="cellIs" dxfId="650" priority="120" operator="equal">
      <formula>"0..1"</formula>
    </cfRule>
  </conditionalFormatting>
  <conditionalFormatting sqref="L12:L13">
    <cfRule type="cellIs" dxfId="649" priority="39" operator="equal">
      <formula>"1..1"</formula>
    </cfRule>
    <cfRule type="cellIs" dxfId="648" priority="40" operator="equal">
      <formula>"0..n"</formula>
    </cfRule>
    <cfRule type="cellIs" dxfId="647" priority="41" operator="equal">
      <formula>"0..1"</formula>
    </cfRule>
  </conditionalFormatting>
  <conditionalFormatting sqref="L16:L17 L20 L42">
    <cfRule type="cellIs" dxfId="646" priority="86" operator="equal">
      <formula>"1..1"</formula>
    </cfRule>
    <cfRule type="cellIs" dxfId="645" priority="87" operator="equal">
      <formula>"0..n"</formula>
    </cfRule>
    <cfRule type="cellIs" dxfId="644" priority="88" operator="equal">
      <formula>"0..1"</formula>
    </cfRule>
  </conditionalFormatting>
  <conditionalFormatting sqref="L22:L23">
    <cfRule type="cellIs" dxfId="643" priority="1" operator="equal">
      <formula>"1..1"</formula>
    </cfRule>
    <cfRule type="cellIs" dxfId="642" priority="2" operator="equal">
      <formula>"0..n"</formula>
    </cfRule>
    <cfRule type="cellIs" dxfId="641"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ME121"/>
  <sheetViews>
    <sheetView topLeftCell="A34" zoomScaleNormal="100" workbookViewId="0">
      <selection activeCell="D45" sqref="D45"/>
    </sheetView>
  </sheetViews>
  <sheetFormatPr baseColWidth="10" defaultColWidth="9.5" defaultRowHeight="15"/>
  <cols>
    <col min="1" max="1" width="4.625" style="128" customWidth="1"/>
    <col min="2" max="2" width="19.375" style="128" customWidth="1"/>
    <col min="3" max="3" width="42.125" style="128" bestFit="1" customWidth="1"/>
    <col min="4" max="4" width="50.625" style="128" customWidth="1"/>
    <col min="5" max="5" width="11.625" style="128" customWidth="1"/>
    <col min="6" max="6" width="8.625" style="128" customWidth="1"/>
    <col min="7" max="7" width="10.125" style="96" customWidth="1"/>
    <col min="8" max="8" width="26.125" style="96" customWidth="1"/>
    <col min="9" max="9" width="20.625" style="225" customWidth="1"/>
    <col min="10" max="10" width="11.75" style="96" hidden="1"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11" style="277" customWidth="1"/>
    <col min="19" max="19" width="18.5" style="96" customWidth="1"/>
    <col min="20" max="20" width="12.625" style="277" customWidth="1"/>
    <col min="21" max="21" width="28.125" style="96" customWidth="1"/>
    <col min="22"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9.5" hidden="1" customWidth="1"/>
    <col min="32" max="32" width="8" style="96" hidden="1" customWidth="1"/>
    <col min="33" max="33" width="8.875" style="128" customWidth="1"/>
    <col min="35" max="1015" width="9.5" style="128"/>
    <col min="1016" max="1016" width="9" style="128" customWidth="1"/>
    <col min="1017" max="1018" width="9" customWidth="1"/>
  </cols>
  <sheetData>
    <row r="1" spans="1:1016" ht="13.5" customHeight="1">
      <c r="A1" s="714" t="s">
        <v>2260</v>
      </c>
      <c r="C1" s="129" t="s">
        <v>812</v>
      </c>
      <c r="E1" s="150" t="s">
        <v>813</v>
      </c>
      <c r="F1" s="157"/>
      <c r="G1" s="128"/>
      <c r="AE1" s="96"/>
      <c r="AG1"/>
      <c r="AH1" s="128"/>
      <c r="AMB1"/>
    </row>
    <row r="2" spans="1:1016" ht="13.5" customHeight="1">
      <c r="A2" s="715"/>
      <c r="C2" s="141" t="s">
        <v>817</v>
      </c>
      <c r="D2" s="284"/>
      <c r="E2" s="152" t="s">
        <v>818</v>
      </c>
      <c r="F2" s="157"/>
      <c r="G2" s="128"/>
      <c r="AE2" s="96"/>
      <c r="AG2"/>
      <c r="AH2" s="128"/>
      <c r="AMB2"/>
    </row>
    <row r="3" spans="1:1016" ht="13.5" customHeight="1">
      <c r="C3" s="142" t="s">
        <v>820</v>
      </c>
      <c r="E3" s="151" t="s">
        <v>821</v>
      </c>
      <c r="G3" s="128"/>
      <c r="AE3" s="96"/>
      <c r="AG3"/>
      <c r="AH3" s="128"/>
      <c r="AMB3"/>
    </row>
    <row r="4" spans="1:1016" ht="13.5" customHeight="1">
      <c r="C4" s="143" t="s">
        <v>823</v>
      </c>
      <c r="E4" s="153" t="s">
        <v>824</v>
      </c>
      <c r="G4" s="137"/>
      <c r="AE4" s="96"/>
      <c r="AG4"/>
      <c r="AH4" s="128"/>
      <c r="AMB4"/>
    </row>
    <row r="5" spans="1:1016" s="149" customFormat="1" ht="13.5" customHeight="1">
      <c r="A5" s="128"/>
      <c r="B5" s="128"/>
      <c r="C5" s="145" t="s">
        <v>825</v>
      </c>
      <c r="D5" s="146"/>
      <c r="E5" s="290" t="s">
        <v>911</v>
      </c>
      <c r="F5" s="146"/>
      <c r="G5" s="148"/>
      <c r="H5" s="148"/>
      <c r="I5" s="275"/>
      <c r="J5" s="148"/>
      <c r="K5" s="160"/>
      <c r="L5" s="148"/>
      <c r="M5" s="148"/>
      <c r="N5" s="148"/>
      <c r="O5" s="148"/>
      <c r="P5" s="186"/>
      <c r="Q5" s="148"/>
      <c r="R5" s="279"/>
      <c r="S5" s="148"/>
      <c r="T5" s="279"/>
      <c r="U5" s="148"/>
      <c r="V5" s="148"/>
      <c r="W5" s="148"/>
      <c r="X5" s="148"/>
      <c r="Y5" s="148"/>
      <c r="Z5"/>
      <c r="AA5" s="181"/>
      <c r="AB5" s="148"/>
      <c r="AC5" s="160"/>
      <c r="AD5" s="148"/>
      <c r="AE5" s="148"/>
      <c r="AF5" s="148"/>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row>
    <row r="6" spans="1:1016" ht="13.5" customHeight="1">
      <c r="C6" s="144" t="s">
        <v>826</v>
      </c>
      <c r="D6" s="138"/>
      <c r="F6" s="138"/>
      <c r="AE6" s="96"/>
      <c r="AG6"/>
      <c r="AH6" s="128"/>
      <c r="AMB6"/>
    </row>
    <row r="7" spans="1:1016" ht="13.5" customHeight="1">
      <c r="A7"/>
      <c r="B7"/>
      <c r="C7" s="138"/>
      <c r="D7" s="377"/>
      <c r="E7" s="138"/>
      <c r="F7" s="138"/>
      <c r="L7" s="814" t="s">
        <v>827</v>
      </c>
      <c r="M7" s="814"/>
      <c r="N7" s="814"/>
      <c r="O7" s="814"/>
      <c r="V7" s="787" t="s">
        <v>828</v>
      </c>
      <c r="W7" s="787" t="s">
        <v>828</v>
      </c>
      <c r="X7" s="787" t="s">
        <v>828</v>
      </c>
      <c r="Y7" s="787" t="s">
        <v>828</v>
      </c>
      <c r="AE7" s="814" t="s">
        <v>829</v>
      </c>
      <c r="AF7" s="814"/>
      <c r="AG7"/>
      <c r="AH7" s="128"/>
      <c r="AMB7"/>
    </row>
    <row r="8" spans="1:1016" s="238" customFormat="1" ht="55.5" customHeight="1">
      <c r="A8" s="233" t="s">
        <v>830</v>
      </c>
      <c r="B8" s="381" t="s">
        <v>831</v>
      </c>
      <c r="C8" s="278" t="s">
        <v>832</v>
      </c>
      <c r="D8" s="278" t="s">
        <v>833</v>
      </c>
      <c r="E8" s="278" t="s">
        <v>834</v>
      </c>
      <c r="F8" s="278" t="s">
        <v>835</v>
      </c>
      <c r="G8" s="278" t="s">
        <v>836</v>
      </c>
      <c r="H8" s="234" t="s">
        <v>9</v>
      </c>
      <c r="I8" s="234" t="s">
        <v>837</v>
      </c>
      <c r="J8" s="234" t="s">
        <v>840</v>
      </c>
      <c r="K8" s="234" t="s">
        <v>841</v>
      </c>
      <c r="L8" s="235" t="s">
        <v>842</v>
      </c>
      <c r="M8" s="235" t="s">
        <v>843</v>
      </c>
      <c r="N8" s="235" t="s">
        <v>844</v>
      </c>
      <c r="O8" s="235" t="s">
        <v>845</v>
      </c>
      <c r="P8" s="235" t="s">
        <v>846</v>
      </c>
      <c r="Q8" s="234" t="s">
        <v>677</v>
      </c>
      <c r="R8" s="234" t="s">
        <v>3</v>
      </c>
      <c r="S8" s="234" t="s">
        <v>912</v>
      </c>
      <c r="T8" s="283" t="s">
        <v>913</v>
      </c>
      <c r="U8" s="234" t="s">
        <v>848</v>
      </c>
      <c r="V8" s="229" t="s">
        <v>2261</v>
      </c>
      <c r="W8" s="229" t="s">
        <v>1610</v>
      </c>
      <c r="X8" s="229" t="s">
        <v>849</v>
      </c>
      <c r="Y8" s="229" t="s">
        <v>2262</v>
      </c>
      <c r="Z8" s="230" t="s">
        <v>851</v>
      </c>
      <c r="AA8" s="235" t="s">
        <v>852</v>
      </c>
      <c r="AB8" s="235" t="s">
        <v>853</v>
      </c>
      <c r="AC8" s="236" t="s">
        <v>854</v>
      </c>
      <c r="AD8" s="235" t="s">
        <v>855</v>
      </c>
      <c r="AE8" s="235" t="s">
        <v>856</v>
      </c>
      <c r="AF8" s="237" t="s">
        <v>914</v>
      </c>
    </row>
    <row r="9" spans="1:1016" s="224" customFormat="1" ht="13.5" customHeight="1">
      <c r="A9" s="225">
        <f t="shared" ref="A9:A40" si="0">ROW()-8</f>
        <v>1</v>
      </c>
      <c r="B9" s="718" t="s">
        <v>2263</v>
      </c>
      <c r="C9" s="719"/>
      <c r="D9" s="719"/>
      <c r="E9" s="719"/>
      <c r="F9" s="719"/>
      <c r="G9" s="719"/>
      <c r="H9" s="720"/>
      <c r="I9" s="721"/>
      <c r="J9" s="722"/>
      <c r="K9" s="717" t="s">
        <v>1793</v>
      </c>
      <c r="L9" s="722"/>
      <c r="M9" s="722"/>
      <c r="N9" s="722"/>
      <c r="O9" s="722"/>
      <c r="P9" s="723"/>
      <c r="Q9" s="722" t="s">
        <v>819</v>
      </c>
      <c r="R9" s="724" t="s">
        <v>863</v>
      </c>
      <c r="S9" s="725" t="s">
        <v>1793</v>
      </c>
      <c r="T9" s="722"/>
      <c r="U9" s="722"/>
      <c r="V9" s="726" t="s">
        <v>863</v>
      </c>
      <c r="W9" s="726" t="s">
        <v>863</v>
      </c>
      <c r="X9" s="726"/>
      <c r="Y9" s="726"/>
      <c r="Z9" s="727"/>
      <c r="AA9" s="728"/>
      <c r="AB9" s="722"/>
      <c r="AC9" s="729"/>
      <c r="AD9" s="722"/>
      <c r="AE9" s="724"/>
      <c r="AF9" s="724"/>
    </row>
    <row r="10" spans="1:1016" s="224" customFormat="1" ht="13.5" customHeight="1">
      <c r="A10" s="225">
        <f t="shared" si="0"/>
        <v>2</v>
      </c>
      <c r="B10" s="730"/>
      <c r="C10" s="731" t="s">
        <v>2264</v>
      </c>
      <c r="D10" s="732"/>
      <c r="E10" s="732"/>
      <c r="F10" s="732"/>
      <c r="G10" s="732"/>
      <c r="H10" s="722" t="s">
        <v>2265</v>
      </c>
      <c r="I10" s="717" t="s">
        <v>1340</v>
      </c>
      <c r="J10" s="722"/>
      <c r="K10" s="717" t="s">
        <v>2266</v>
      </c>
      <c r="L10" s="722"/>
      <c r="M10" s="722"/>
      <c r="N10" s="722"/>
      <c r="O10" s="722"/>
      <c r="P10" s="723"/>
      <c r="Q10" s="722" t="s">
        <v>819</v>
      </c>
      <c r="R10" s="724"/>
      <c r="S10" s="722" t="s">
        <v>862</v>
      </c>
      <c r="T10" s="722"/>
      <c r="U10" s="722"/>
      <c r="V10" s="726" t="s">
        <v>863</v>
      </c>
      <c r="W10" s="726" t="s">
        <v>863</v>
      </c>
      <c r="X10" s="726"/>
      <c r="Y10" s="726"/>
      <c r="Z10" s="727"/>
      <c r="AA10" s="728"/>
      <c r="AB10" s="722"/>
      <c r="AC10" s="729"/>
      <c r="AD10" s="722"/>
      <c r="AE10" s="724"/>
      <c r="AF10" s="724"/>
    </row>
    <row r="11" spans="1:1016" s="224" customFormat="1" ht="13.5" customHeight="1">
      <c r="A11" s="225">
        <f t="shared" si="0"/>
        <v>3</v>
      </c>
      <c r="B11" s="730"/>
      <c r="C11" s="731" t="s">
        <v>2267</v>
      </c>
      <c r="D11" s="732"/>
      <c r="E11" s="732"/>
      <c r="F11" s="732"/>
      <c r="G11" s="732"/>
      <c r="H11" s="722" t="s">
        <v>2268</v>
      </c>
      <c r="I11" s="717" t="s">
        <v>2269</v>
      </c>
      <c r="J11" s="722"/>
      <c r="K11" s="717" t="s">
        <v>2270</v>
      </c>
      <c r="L11" s="722"/>
      <c r="M11" s="722"/>
      <c r="N11" s="722"/>
      <c r="O11" s="722"/>
      <c r="P11" s="723"/>
      <c r="Q11" s="722" t="s">
        <v>819</v>
      </c>
      <c r="R11" s="724"/>
      <c r="S11" s="722" t="s">
        <v>862</v>
      </c>
      <c r="T11" s="722"/>
      <c r="U11" s="722"/>
      <c r="V11" s="726" t="s">
        <v>863</v>
      </c>
      <c r="W11" s="726" t="s">
        <v>863</v>
      </c>
      <c r="X11" s="726"/>
      <c r="Y11" s="726"/>
      <c r="Z11" s="727"/>
      <c r="AA11" s="728"/>
      <c r="AB11" s="722"/>
      <c r="AC11" s="729"/>
      <c r="AD11" s="722"/>
      <c r="AE11" s="724"/>
      <c r="AF11" s="724"/>
    </row>
    <row r="12" spans="1:1016" s="224" customFormat="1" ht="13.5" customHeight="1">
      <c r="A12" s="225">
        <f t="shared" si="0"/>
        <v>4</v>
      </c>
      <c r="B12" s="730"/>
      <c r="C12" s="731" t="s">
        <v>2271</v>
      </c>
      <c r="D12" s="732"/>
      <c r="E12" s="732"/>
      <c r="F12" s="732"/>
      <c r="G12" s="732"/>
      <c r="H12" s="722" t="s">
        <v>2272</v>
      </c>
      <c r="I12" s="717" t="s">
        <v>929</v>
      </c>
      <c r="J12" s="722"/>
      <c r="K12" s="717" t="s">
        <v>2273</v>
      </c>
      <c r="L12" s="722"/>
      <c r="M12" s="722"/>
      <c r="N12" s="722"/>
      <c r="O12" s="722"/>
      <c r="P12" s="723"/>
      <c r="Q12" s="722" t="s">
        <v>819</v>
      </c>
      <c r="R12" s="724"/>
      <c r="S12" s="722" t="s">
        <v>878</v>
      </c>
      <c r="T12" s="724"/>
      <c r="U12" s="722"/>
      <c r="V12" s="726" t="s">
        <v>863</v>
      </c>
      <c r="W12" s="726" t="s">
        <v>863</v>
      </c>
      <c r="X12" s="726"/>
      <c r="Y12" s="726"/>
      <c r="Z12" s="727"/>
      <c r="AA12" s="728"/>
      <c r="AB12" s="722"/>
      <c r="AC12" s="729"/>
      <c r="AD12" s="722"/>
      <c r="AE12" s="724"/>
      <c r="AF12" s="724"/>
    </row>
    <row r="13" spans="1:1016" s="224" customFormat="1" ht="13.5" customHeight="1">
      <c r="A13" s="225">
        <f t="shared" si="0"/>
        <v>5</v>
      </c>
      <c r="B13" s="730"/>
      <c r="C13" s="731" t="s">
        <v>2274</v>
      </c>
      <c r="D13" s="732"/>
      <c r="E13" s="732"/>
      <c r="F13" s="732"/>
      <c r="G13" s="732"/>
      <c r="H13" s="722" t="s">
        <v>2272</v>
      </c>
      <c r="I13" s="717" t="s">
        <v>929</v>
      </c>
      <c r="J13" s="722"/>
      <c r="K13" s="717" t="s">
        <v>2275</v>
      </c>
      <c r="L13" s="722"/>
      <c r="M13" s="722"/>
      <c r="N13" s="722"/>
      <c r="O13" s="722"/>
      <c r="P13" s="723"/>
      <c r="Q13" s="722" t="s">
        <v>819</v>
      </c>
      <c r="R13" s="724"/>
      <c r="S13" s="722" t="s">
        <v>878</v>
      </c>
      <c r="T13" s="724"/>
      <c r="U13" s="722"/>
      <c r="V13" s="726" t="s">
        <v>863</v>
      </c>
      <c r="W13" s="726" t="s">
        <v>863</v>
      </c>
      <c r="X13" s="726"/>
      <c r="Y13" s="726"/>
      <c r="Z13" s="727"/>
      <c r="AA13" s="728"/>
      <c r="AB13" s="722"/>
      <c r="AC13" s="729"/>
      <c r="AD13" s="722"/>
      <c r="AE13" s="724"/>
      <c r="AF13" s="724"/>
    </row>
    <row r="14" spans="1:1016" s="224" customFormat="1" ht="13.5" customHeight="1">
      <c r="A14" s="225">
        <f t="shared" si="0"/>
        <v>6</v>
      </c>
      <c r="B14" s="733"/>
      <c r="C14" s="734" t="s">
        <v>2276</v>
      </c>
      <c r="D14" s="734"/>
      <c r="E14" s="732"/>
      <c r="F14" s="732"/>
      <c r="G14" s="732"/>
      <c r="H14" s="734" t="s">
        <v>2277</v>
      </c>
      <c r="I14" s="717"/>
      <c r="J14" s="722"/>
      <c r="K14" s="717" t="s">
        <v>2278</v>
      </c>
      <c r="L14" s="722"/>
      <c r="M14" s="722"/>
      <c r="N14" s="722"/>
      <c r="O14" s="722"/>
      <c r="P14" s="723"/>
      <c r="Q14" s="722" t="s">
        <v>819</v>
      </c>
      <c r="R14" s="724"/>
      <c r="S14" s="722" t="s">
        <v>862</v>
      </c>
      <c r="T14" s="724"/>
      <c r="U14" s="722"/>
      <c r="V14" s="726" t="s">
        <v>863</v>
      </c>
      <c r="W14" s="726" t="s">
        <v>863</v>
      </c>
      <c r="X14" s="726"/>
      <c r="Y14" s="726"/>
      <c r="Z14" s="727"/>
      <c r="AA14" s="728"/>
      <c r="AB14" s="722"/>
      <c r="AC14" s="729"/>
      <c r="AD14" s="722"/>
      <c r="AE14" s="724"/>
      <c r="AF14" s="724"/>
    </row>
    <row r="15" spans="1:1016" s="224" customFormat="1" ht="13.5" customHeight="1">
      <c r="A15" s="225">
        <f t="shared" si="0"/>
        <v>7</v>
      </c>
      <c r="B15" s="733"/>
      <c r="C15" s="734" t="s">
        <v>2279</v>
      </c>
      <c r="D15" s="734"/>
      <c r="E15" s="732"/>
      <c r="F15" s="732"/>
      <c r="G15" s="732"/>
      <c r="H15" s="734" t="s">
        <v>2280</v>
      </c>
      <c r="I15" s="717"/>
      <c r="J15" s="722"/>
      <c r="K15" s="717" t="s">
        <v>2281</v>
      </c>
      <c r="L15" s="722"/>
      <c r="M15" s="722"/>
      <c r="N15" s="722"/>
      <c r="O15" s="722"/>
      <c r="P15" s="723"/>
      <c r="Q15" s="722" t="s">
        <v>819</v>
      </c>
      <c r="R15" s="724"/>
      <c r="S15" s="722" t="s">
        <v>862</v>
      </c>
      <c r="T15" s="724"/>
      <c r="U15" s="722"/>
      <c r="V15" s="726" t="s">
        <v>863</v>
      </c>
      <c r="W15" s="726" t="s">
        <v>863</v>
      </c>
      <c r="X15" s="726"/>
      <c r="Y15" s="726"/>
      <c r="Z15" s="727"/>
      <c r="AA15" s="728"/>
      <c r="AB15" s="722"/>
      <c r="AC15" s="729"/>
      <c r="AD15" s="722"/>
      <c r="AE15" s="724"/>
      <c r="AF15" s="724"/>
    </row>
    <row r="16" spans="1:1016" s="224" customFormat="1" ht="13.5" customHeight="1">
      <c r="A16" s="225">
        <f t="shared" si="0"/>
        <v>8</v>
      </c>
      <c r="B16" s="733"/>
      <c r="C16" s="732" t="s">
        <v>2282</v>
      </c>
      <c r="D16" s="732"/>
      <c r="E16" s="732"/>
      <c r="F16" s="732"/>
      <c r="G16" s="732"/>
      <c r="H16" s="722" t="s">
        <v>2283</v>
      </c>
      <c r="I16" s="717"/>
      <c r="J16" s="722"/>
      <c r="K16" s="717" t="s">
        <v>2284</v>
      </c>
      <c r="L16" s="722"/>
      <c r="M16" s="722"/>
      <c r="N16" s="722"/>
      <c r="O16" s="722"/>
      <c r="P16" s="723"/>
      <c r="Q16" s="722" t="s">
        <v>819</v>
      </c>
      <c r="R16" s="724"/>
      <c r="S16" s="722" t="s">
        <v>862</v>
      </c>
      <c r="T16" s="724"/>
      <c r="U16" s="722"/>
      <c r="V16" s="726" t="s">
        <v>863</v>
      </c>
      <c r="W16" s="726" t="s">
        <v>863</v>
      </c>
      <c r="X16" s="726"/>
      <c r="Y16" s="726"/>
      <c r="Z16" s="727"/>
      <c r="AA16" s="728"/>
      <c r="AB16" s="722"/>
      <c r="AC16" s="729"/>
      <c r="AD16" s="722"/>
      <c r="AE16" s="724"/>
      <c r="AF16" s="724"/>
    </row>
    <row r="17" spans="1:32" s="224" customFormat="1" ht="13.5" customHeight="1">
      <c r="A17" s="225">
        <f t="shared" si="0"/>
        <v>9</v>
      </c>
      <c r="B17" s="730"/>
      <c r="C17" s="735" t="s">
        <v>2285</v>
      </c>
      <c r="D17" s="735"/>
      <c r="E17" s="735"/>
      <c r="F17" s="735"/>
      <c r="G17" s="735"/>
      <c r="H17" s="736" t="s">
        <v>2286</v>
      </c>
      <c r="I17" s="737" t="s">
        <v>2287</v>
      </c>
      <c r="J17" s="736"/>
      <c r="K17" s="737" t="s">
        <v>969</v>
      </c>
      <c r="L17" s="736"/>
      <c r="M17" s="736"/>
      <c r="N17" s="736"/>
      <c r="O17" s="736"/>
      <c r="P17" s="738"/>
      <c r="Q17" s="736"/>
      <c r="R17" s="739"/>
      <c r="S17" s="736" t="s">
        <v>862</v>
      </c>
      <c r="T17" s="724"/>
      <c r="U17" s="722"/>
      <c r="V17" s="726"/>
      <c r="W17" s="726"/>
      <c r="X17" s="726"/>
      <c r="Y17" s="726"/>
      <c r="Z17" s="727"/>
      <c r="AA17" s="728"/>
      <c r="AB17" s="722"/>
      <c r="AC17" s="729"/>
      <c r="AD17" s="722"/>
      <c r="AE17" s="724"/>
      <c r="AF17" s="724"/>
    </row>
    <row r="18" spans="1:32" s="224" customFormat="1" ht="13.5" customHeight="1">
      <c r="A18" s="225">
        <f t="shared" si="0"/>
        <v>10</v>
      </c>
      <c r="B18" s="730"/>
      <c r="C18" s="740" t="s">
        <v>2288</v>
      </c>
      <c r="D18" s="741"/>
      <c r="E18" s="741"/>
      <c r="F18" s="741"/>
      <c r="G18" s="741"/>
      <c r="H18" s="720"/>
      <c r="I18" s="742"/>
      <c r="J18" s="722"/>
      <c r="K18" s="717"/>
      <c r="L18" s="722"/>
      <c r="M18" s="722"/>
      <c r="N18" s="722"/>
      <c r="O18" s="722"/>
      <c r="P18" s="723"/>
      <c r="Q18" s="722" t="s">
        <v>819</v>
      </c>
      <c r="R18" s="739" t="s">
        <v>863</v>
      </c>
      <c r="S18" s="743" t="s">
        <v>2289</v>
      </c>
      <c r="T18" s="724"/>
      <c r="U18" s="722"/>
      <c r="V18" s="726"/>
      <c r="W18" s="726"/>
      <c r="X18" s="726"/>
      <c r="Y18" s="726"/>
      <c r="Z18" s="727"/>
      <c r="AA18" s="728"/>
      <c r="AB18" s="722"/>
      <c r="AC18" s="729"/>
      <c r="AD18" s="722"/>
      <c r="AE18" s="724"/>
      <c r="AF18" s="724"/>
    </row>
    <row r="19" spans="1:32" s="224" customFormat="1" ht="13.5" customHeight="1">
      <c r="A19" s="225">
        <f t="shared" si="0"/>
        <v>11</v>
      </c>
      <c r="B19" s="730"/>
      <c r="C19" s="735"/>
      <c r="D19" s="735" t="s">
        <v>2290</v>
      </c>
      <c r="E19" s="735"/>
      <c r="F19" s="735"/>
      <c r="G19" s="735"/>
      <c r="H19" s="736" t="s">
        <v>2291</v>
      </c>
      <c r="I19" s="737" t="s">
        <v>2292</v>
      </c>
      <c r="J19" s="736"/>
      <c r="K19" s="737" t="s">
        <v>2293</v>
      </c>
      <c r="L19" s="736"/>
      <c r="M19" s="736"/>
      <c r="N19" s="736"/>
      <c r="O19" s="736"/>
      <c r="P19" s="738"/>
      <c r="Q19" s="736" t="s">
        <v>819</v>
      </c>
      <c r="R19" s="739"/>
      <c r="S19" s="736" t="s">
        <v>2294</v>
      </c>
      <c r="T19" s="722"/>
      <c r="U19" s="722"/>
      <c r="V19" s="726"/>
      <c r="W19" s="726"/>
      <c r="X19" s="726"/>
      <c r="Y19" s="726"/>
      <c r="Z19" s="727"/>
      <c r="AA19" s="728"/>
      <c r="AB19" s="722"/>
      <c r="AC19" s="729"/>
      <c r="AD19" s="722"/>
      <c r="AE19" s="724"/>
      <c r="AF19" s="724"/>
    </row>
    <row r="20" spans="1:32" s="224" customFormat="1" ht="13.5" customHeight="1">
      <c r="A20" s="225">
        <f t="shared" si="0"/>
        <v>12</v>
      </c>
      <c r="B20" s="730"/>
      <c r="C20" s="735"/>
      <c r="D20" s="735" t="s">
        <v>2295</v>
      </c>
      <c r="E20" s="735"/>
      <c r="F20" s="735"/>
      <c r="G20" s="735"/>
      <c r="H20" s="736"/>
      <c r="I20" s="737"/>
      <c r="J20" s="736"/>
      <c r="K20" s="737"/>
      <c r="L20" s="736"/>
      <c r="M20" s="736"/>
      <c r="N20" s="736"/>
      <c r="O20" s="736"/>
      <c r="P20" s="738"/>
      <c r="Q20" s="736" t="s">
        <v>819</v>
      </c>
      <c r="R20" s="739"/>
      <c r="S20" s="736" t="s">
        <v>878</v>
      </c>
      <c r="T20" s="722"/>
      <c r="U20" s="722"/>
      <c r="V20" s="726"/>
      <c r="W20" s="726"/>
      <c r="X20" s="726"/>
      <c r="Y20" s="726"/>
      <c r="Z20" s="727"/>
      <c r="AA20" s="728"/>
      <c r="AB20" s="722"/>
      <c r="AC20" s="729"/>
      <c r="AD20" s="722"/>
      <c r="AE20" s="724"/>
      <c r="AF20" s="724"/>
    </row>
    <row r="21" spans="1:32" s="224" customFormat="1" ht="13.5" customHeight="1">
      <c r="A21" s="225">
        <f t="shared" si="0"/>
        <v>13</v>
      </c>
      <c r="B21" s="730" t="s">
        <v>2296</v>
      </c>
      <c r="C21" s="741"/>
      <c r="D21" s="741"/>
      <c r="E21" s="741"/>
      <c r="F21" s="741"/>
      <c r="G21" s="741"/>
      <c r="H21" s="720"/>
      <c r="I21" s="742"/>
      <c r="J21" s="722"/>
      <c r="K21" s="717" t="s">
        <v>2297</v>
      </c>
      <c r="L21" s="722"/>
      <c r="M21" s="722"/>
      <c r="N21" s="722"/>
      <c r="O21" s="722"/>
      <c r="P21" s="723"/>
      <c r="Q21" s="722" t="s">
        <v>819</v>
      </c>
      <c r="R21" s="724" t="s">
        <v>863</v>
      </c>
      <c r="S21" s="725" t="s">
        <v>2297</v>
      </c>
      <c r="T21" s="724"/>
      <c r="U21" s="722"/>
      <c r="V21" s="726" t="s">
        <v>863</v>
      </c>
      <c r="W21" s="726" t="s">
        <v>863</v>
      </c>
      <c r="X21" s="726"/>
      <c r="Y21" s="726"/>
      <c r="Z21" s="727"/>
      <c r="AA21" s="728"/>
      <c r="AB21" s="722"/>
      <c r="AC21" s="729"/>
      <c r="AD21" s="722"/>
      <c r="AE21" s="724"/>
      <c r="AF21" s="724"/>
    </row>
    <row r="22" spans="1:32" s="224" customFormat="1" ht="13.5" customHeight="1">
      <c r="A22" s="225">
        <f t="shared" si="0"/>
        <v>14</v>
      </c>
      <c r="B22" s="730"/>
      <c r="C22" s="731" t="s">
        <v>2298</v>
      </c>
      <c r="D22" s="741"/>
      <c r="E22" s="741"/>
      <c r="F22" s="741"/>
      <c r="G22" s="741"/>
      <c r="H22" s="720"/>
      <c r="I22" s="742"/>
      <c r="J22" s="722"/>
      <c r="K22" s="722" t="s">
        <v>987</v>
      </c>
      <c r="L22" s="722"/>
      <c r="M22" s="722"/>
      <c r="N22" s="722"/>
      <c r="O22" s="722"/>
      <c r="P22" s="723"/>
      <c r="Q22" s="722" t="s">
        <v>819</v>
      </c>
      <c r="R22" s="724" t="s">
        <v>863</v>
      </c>
      <c r="S22" s="753" t="s">
        <v>1620</v>
      </c>
      <c r="T22" s="724"/>
      <c r="U22" s="722"/>
      <c r="V22" s="726" t="s">
        <v>863</v>
      </c>
      <c r="W22" s="726" t="s">
        <v>863</v>
      </c>
      <c r="X22" s="726"/>
      <c r="Y22" s="726"/>
      <c r="Z22" s="727"/>
      <c r="AA22" s="728"/>
      <c r="AB22" s="722"/>
      <c r="AC22" s="729"/>
      <c r="AD22" s="722"/>
      <c r="AE22" s="724"/>
      <c r="AF22" s="724"/>
    </row>
    <row r="23" spans="1:32" s="224" customFormat="1" ht="13.5" customHeight="1">
      <c r="A23" s="225">
        <f t="shared" si="0"/>
        <v>15</v>
      </c>
      <c r="B23" s="744"/>
      <c r="C23" s="732"/>
      <c r="D23" s="731" t="s">
        <v>667</v>
      </c>
      <c r="E23" s="732"/>
      <c r="F23" s="732"/>
      <c r="G23" s="732"/>
      <c r="H23" s="722" t="s">
        <v>2299</v>
      </c>
      <c r="I23" s="717" t="s">
        <v>2300</v>
      </c>
      <c r="J23" s="722"/>
      <c r="K23" s="722" t="s">
        <v>999</v>
      </c>
      <c r="L23" s="722"/>
      <c r="M23" s="722"/>
      <c r="N23" s="722"/>
      <c r="O23" s="722"/>
      <c r="P23" s="723"/>
      <c r="Q23" s="722" t="s">
        <v>819</v>
      </c>
      <c r="R23" s="724"/>
      <c r="S23" s="722" t="s">
        <v>862</v>
      </c>
      <c r="T23" s="724"/>
      <c r="U23" s="722"/>
      <c r="V23" s="726" t="s">
        <v>863</v>
      </c>
      <c r="W23" s="726" t="s">
        <v>863</v>
      </c>
      <c r="X23" s="726"/>
      <c r="Y23" s="726"/>
      <c r="Z23" s="727"/>
      <c r="AA23" s="728"/>
      <c r="AB23" s="722"/>
      <c r="AC23" s="729"/>
      <c r="AD23" s="722"/>
      <c r="AE23" s="724"/>
      <c r="AF23" s="724"/>
    </row>
    <row r="24" spans="1:32" s="224" customFormat="1" ht="13.5" customHeight="1">
      <c r="A24" s="225">
        <f t="shared" si="0"/>
        <v>16</v>
      </c>
      <c r="B24" s="744"/>
      <c r="C24" s="732"/>
      <c r="D24" s="731" t="s">
        <v>2301</v>
      </c>
      <c r="E24" s="732"/>
      <c r="F24" s="732"/>
      <c r="G24" s="732"/>
      <c r="H24" s="722" t="s">
        <v>2302</v>
      </c>
      <c r="I24" s="717" t="s">
        <v>2303</v>
      </c>
      <c r="J24" s="722"/>
      <c r="K24" s="722" t="s">
        <v>1003</v>
      </c>
      <c r="L24" s="722"/>
      <c r="M24" s="722"/>
      <c r="N24" s="722"/>
      <c r="O24" s="722"/>
      <c r="P24" s="723"/>
      <c r="Q24" s="722" t="s">
        <v>819</v>
      </c>
      <c r="R24" s="724"/>
      <c r="S24" s="722" t="s">
        <v>862</v>
      </c>
      <c r="T24" s="724"/>
      <c r="U24" s="722"/>
      <c r="V24" s="726" t="s">
        <v>863</v>
      </c>
      <c r="W24" s="726" t="s">
        <v>863</v>
      </c>
      <c r="X24" s="726"/>
      <c r="Y24" s="726"/>
      <c r="Z24" s="727"/>
      <c r="AA24" s="728"/>
      <c r="AB24" s="722"/>
      <c r="AC24" s="729"/>
      <c r="AD24" s="722"/>
      <c r="AE24" s="724"/>
      <c r="AF24" s="724"/>
    </row>
    <row r="25" spans="1:32" s="224" customFormat="1" ht="13.5" customHeight="1">
      <c r="A25" s="225">
        <f t="shared" si="0"/>
        <v>17</v>
      </c>
      <c r="B25" s="730"/>
      <c r="C25" s="731" t="s">
        <v>2304</v>
      </c>
      <c r="D25" s="741"/>
      <c r="E25" s="741"/>
      <c r="F25" s="741"/>
      <c r="G25" s="741"/>
      <c r="H25" s="720"/>
      <c r="I25" s="742"/>
      <c r="J25" s="722"/>
      <c r="K25" s="722" t="s">
        <v>1010</v>
      </c>
      <c r="L25" s="722"/>
      <c r="M25" s="722"/>
      <c r="N25" s="722"/>
      <c r="O25" s="722"/>
      <c r="P25" s="723"/>
      <c r="Q25" s="722" t="s">
        <v>819</v>
      </c>
      <c r="R25" s="724" t="s">
        <v>863</v>
      </c>
      <c r="S25" s="753" t="s">
        <v>1620</v>
      </c>
      <c r="T25" s="724"/>
      <c r="U25" s="722"/>
      <c r="V25" s="726" t="s">
        <v>863</v>
      </c>
      <c r="W25" s="726" t="s">
        <v>863</v>
      </c>
      <c r="X25" s="726"/>
      <c r="Y25" s="726"/>
      <c r="Z25" s="727"/>
      <c r="AA25" s="728"/>
      <c r="AB25" s="722"/>
      <c r="AC25" s="729"/>
      <c r="AD25" s="722"/>
      <c r="AE25" s="724"/>
      <c r="AF25" s="724"/>
    </row>
    <row r="26" spans="1:32" s="224" customFormat="1" ht="13.5" customHeight="1">
      <c r="A26" s="225">
        <f t="shared" si="0"/>
        <v>18</v>
      </c>
      <c r="B26" s="733"/>
      <c r="C26" s="731" t="s">
        <v>2305</v>
      </c>
      <c r="D26" s="732"/>
      <c r="E26" s="732"/>
      <c r="F26" s="732"/>
      <c r="G26" s="732"/>
      <c r="H26" s="745" t="s">
        <v>2306</v>
      </c>
      <c r="I26" s="717" t="s">
        <v>2307</v>
      </c>
      <c r="J26" s="722"/>
      <c r="K26" s="717" t="s">
        <v>2308</v>
      </c>
      <c r="L26" s="722"/>
      <c r="M26" s="722"/>
      <c r="N26" s="722"/>
      <c r="O26" s="722"/>
      <c r="P26" s="723"/>
      <c r="Q26" s="722" t="s">
        <v>819</v>
      </c>
      <c r="R26" s="724"/>
      <c r="S26" s="722" t="s">
        <v>862</v>
      </c>
      <c r="T26" s="724"/>
      <c r="U26" s="722"/>
      <c r="V26" s="726" t="s">
        <v>863</v>
      </c>
      <c r="W26" s="726" t="s">
        <v>863</v>
      </c>
      <c r="X26" s="726"/>
      <c r="Y26" s="726"/>
      <c r="Z26" s="727"/>
      <c r="AA26" s="728"/>
      <c r="AB26" s="722"/>
      <c r="AC26" s="729"/>
      <c r="AD26" s="722"/>
      <c r="AE26" s="724"/>
      <c r="AF26" s="724"/>
    </row>
    <row r="27" spans="1:32" s="224" customFormat="1" ht="13.5" customHeight="1">
      <c r="A27" s="225">
        <f t="shared" si="0"/>
        <v>19</v>
      </c>
      <c r="B27" s="744" t="s">
        <v>561</v>
      </c>
      <c r="C27" s="746"/>
      <c r="D27" s="741"/>
      <c r="E27" s="741"/>
      <c r="F27" s="741"/>
      <c r="G27" s="741"/>
      <c r="H27" s="720"/>
      <c r="I27" s="742"/>
      <c r="J27" s="722"/>
      <c r="K27" s="717" t="s">
        <v>1402</v>
      </c>
      <c r="L27" s="722"/>
      <c r="M27" s="722"/>
      <c r="N27" s="722"/>
      <c r="O27" s="722"/>
      <c r="P27" s="723"/>
      <c r="Q27" s="722" t="s">
        <v>819</v>
      </c>
      <c r="R27" s="724" t="s">
        <v>863</v>
      </c>
      <c r="S27" s="725" t="s">
        <v>1402</v>
      </c>
      <c r="T27" s="724"/>
      <c r="U27" s="722"/>
      <c r="V27" s="726" t="s">
        <v>863</v>
      </c>
      <c r="W27" s="726" t="s">
        <v>863</v>
      </c>
      <c r="X27" s="726"/>
      <c r="Y27" s="726"/>
      <c r="Z27" s="727"/>
      <c r="AA27" s="728"/>
      <c r="AB27" s="722"/>
      <c r="AC27" s="729"/>
      <c r="AD27" s="722"/>
      <c r="AE27" s="724"/>
      <c r="AF27" s="724"/>
    </row>
    <row r="28" spans="1:32" s="224" customFormat="1" ht="13.5" customHeight="1">
      <c r="A28" s="225">
        <f t="shared" si="0"/>
        <v>20</v>
      </c>
      <c r="B28" s="744"/>
      <c r="C28" s="734" t="s">
        <v>2309</v>
      </c>
      <c r="D28" s="732"/>
      <c r="E28" s="732"/>
      <c r="F28" s="732"/>
      <c r="G28" s="732"/>
      <c r="H28" s="722" t="s">
        <v>2310</v>
      </c>
      <c r="I28" s="717" t="s">
        <v>2311</v>
      </c>
      <c r="J28" s="722"/>
      <c r="K28" s="717" t="s">
        <v>2312</v>
      </c>
      <c r="L28" s="722"/>
      <c r="M28" s="722"/>
      <c r="N28" s="722"/>
      <c r="O28" s="722"/>
      <c r="P28" s="723"/>
      <c r="Q28" s="722" t="s">
        <v>819</v>
      </c>
      <c r="R28" s="724"/>
      <c r="S28" s="722" t="s">
        <v>862</v>
      </c>
      <c r="T28" s="724"/>
      <c r="U28" s="722"/>
      <c r="V28" s="726" t="s">
        <v>863</v>
      </c>
      <c r="W28" s="726" t="s">
        <v>863</v>
      </c>
      <c r="X28" s="726"/>
      <c r="Y28" s="726"/>
      <c r="Z28" s="727"/>
      <c r="AA28" s="728"/>
      <c r="AB28" s="722"/>
      <c r="AC28" s="729"/>
      <c r="AD28" s="722"/>
      <c r="AE28" s="724"/>
      <c r="AF28" s="724"/>
    </row>
    <row r="29" spans="1:32" s="224" customFormat="1" ht="13.5" customHeight="1">
      <c r="A29" s="225">
        <f t="shared" si="0"/>
        <v>21</v>
      </c>
      <c r="B29" s="744"/>
      <c r="C29" s="734" t="s">
        <v>1478</v>
      </c>
      <c r="D29" s="732"/>
      <c r="E29" s="732"/>
      <c r="F29" s="732"/>
      <c r="G29" s="732"/>
      <c r="H29" s="722" t="s">
        <v>1479</v>
      </c>
      <c r="I29" s="717" t="s">
        <v>2649</v>
      </c>
      <c r="J29" s="722"/>
      <c r="K29" s="717" t="s">
        <v>1480</v>
      </c>
      <c r="L29" s="722"/>
      <c r="M29" s="722"/>
      <c r="N29" s="722"/>
      <c r="O29" s="722"/>
      <c r="P29" s="723"/>
      <c r="Q29" s="722" t="s">
        <v>819</v>
      </c>
      <c r="R29" s="724"/>
      <c r="S29" s="722" t="s">
        <v>862</v>
      </c>
      <c r="T29" s="724"/>
      <c r="U29" s="722"/>
      <c r="V29" s="726" t="s">
        <v>863</v>
      </c>
      <c r="W29" s="726" t="s">
        <v>863</v>
      </c>
      <c r="X29" s="726"/>
      <c r="Y29" s="726"/>
      <c r="Z29" s="727"/>
      <c r="AA29" s="728"/>
      <c r="AB29" s="722"/>
      <c r="AC29" s="729"/>
      <c r="AD29" s="722"/>
      <c r="AE29" s="724"/>
      <c r="AF29" s="724"/>
    </row>
    <row r="30" spans="1:32" s="224" customFormat="1" ht="13.5" customHeight="1">
      <c r="A30" s="225">
        <f t="shared" si="0"/>
        <v>22</v>
      </c>
      <c r="B30" s="744"/>
      <c r="C30" s="734" t="s">
        <v>2313</v>
      </c>
      <c r="D30" s="732"/>
      <c r="E30" s="732"/>
      <c r="F30" s="732"/>
      <c r="G30" s="732"/>
      <c r="H30" s="722" t="s">
        <v>2314</v>
      </c>
      <c r="I30" s="717" t="s">
        <v>698</v>
      </c>
      <c r="J30" s="722"/>
      <c r="K30" s="717" t="s">
        <v>1484</v>
      </c>
      <c r="L30" s="722"/>
      <c r="M30" s="722"/>
      <c r="N30" s="722"/>
      <c r="O30" s="722"/>
      <c r="P30" s="723"/>
      <c r="Q30" s="722" t="s">
        <v>819</v>
      </c>
      <c r="R30" s="724"/>
      <c r="S30" s="722" t="s">
        <v>862</v>
      </c>
      <c r="T30" s="724" t="s">
        <v>863</v>
      </c>
      <c r="U30" s="722"/>
      <c r="V30" s="726" t="s">
        <v>863</v>
      </c>
      <c r="W30" s="726" t="s">
        <v>863</v>
      </c>
      <c r="X30" s="726"/>
      <c r="Y30" s="726"/>
      <c r="Z30" s="727"/>
      <c r="AA30" s="728"/>
      <c r="AB30" s="722"/>
      <c r="AC30" s="729"/>
      <c r="AD30" s="722"/>
      <c r="AE30" s="724"/>
      <c r="AF30" s="724"/>
    </row>
    <row r="31" spans="1:32" s="224" customFormat="1" ht="13.5" customHeight="1">
      <c r="A31" s="225">
        <f t="shared" si="0"/>
        <v>23</v>
      </c>
      <c r="B31" s="744"/>
      <c r="C31" s="734" t="s">
        <v>2315</v>
      </c>
      <c r="D31" s="732"/>
      <c r="E31" s="732"/>
      <c r="F31" s="732"/>
      <c r="G31" s="732"/>
      <c r="H31" s="722" t="s">
        <v>2316</v>
      </c>
      <c r="I31" s="717" t="s">
        <v>2317</v>
      </c>
      <c r="J31" s="722"/>
      <c r="K31" s="717" t="s">
        <v>2318</v>
      </c>
      <c r="L31" s="722"/>
      <c r="M31" s="722"/>
      <c r="N31" s="722"/>
      <c r="O31" s="722"/>
      <c r="P31" s="723"/>
      <c r="Q31" s="722" t="s">
        <v>816</v>
      </c>
      <c r="R31" s="724"/>
      <c r="S31" s="722" t="s">
        <v>1091</v>
      </c>
      <c r="T31" s="724"/>
      <c r="U31" s="722"/>
      <c r="V31" s="726" t="s">
        <v>863</v>
      </c>
      <c r="W31" s="726" t="s">
        <v>863</v>
      </c>
      <c r="X31" s="726"/>
      <c r="Y31" s="726"/>
      <c r="Z31" s="727"/>
      <c r="AA31" s="728"/>
      <c r="AB31" s="722"/>
      <c r="AC31" s="729"/>
      <c r="AD31" s="722"/>
      <c r="AE31" s="724"/>
      <c r="AF31" s="724"/>
    </row>
    <row r="32" spans="1:32" s="224" customFormat="1" ht="13.5" customHeight="1">
      <c r="A32" s="225">
        <f t="shared" si="0"/>
        <v>24</v>
      </c>
      <c r="B32" s="744"/>
      <c r="C32" s="734" t="s">
        <v>2319</v>
      </c>
      <c r="D32" s="741"/>
      <c r="E32" s="741"/>
      <c r="F32" s="741"/>
      <c r="G32" s="741"/>
      <c r="H32" s="720"/>
      <c r="I32" s="742"/>
      <c r="J32" s="722"/>
      <c r="K32" s="717" t="s">
        <v>2320</v>
      </c>
      <c r="L32" s="722"/>
      <c r="M32" s="722"/>
      <c r="N32" s="722"/>
      <c r="O32" s="722"/>
      <c r="P32" s="723"/>
      <c r="Q32" s="722" t="s">
        <v>816</v>
      </c>
      <c r="R32" s="724" t="s">
        <v>863</v>
      </c>
      <c r="S32" s="747" t="s">
        <v>2320</v>
      </c>
      <c r="T32" s="724"/>
      <c r="U32" s="722"/>
      <c r="V32" s="726" t="s">
        <v>863</v>
      </c>
      <c r="W32" s="726" t="s">
        <v>863</v>
      </c>
      <c r="X32" s="726"/>
      <c r="Y32" s="726"/>
      <c r="Z32" s="727"/>
      <c r="AA32" s="728"/>
      <c r="AB32" s="722"/>
      <c r="AC32" s="729"/>
      <c r="AD32" s="722"/>
      <c r="AE32" s="724"/>
      <c r="AF32" s="724"/>
    </row>
    <row r="33" spans="1:32" s="224" customFormat="1" ht="13.5" customHeight="1">
      <c r="A33" s="225">
        <f t="shared" si="0"/>
        <v>25</v>
      </c>
      <c r="B33" s="744"/>
      <c r="C33" s="734"/>
      <c r="D33" s="732" t="s">
        <v>2321</v>
      </c>
      <c r="E33" s="732"/>
      <c r="F33" s="732"/>
      <c r="G33" s="732"/>
      <c r="H33" s="722" t="s">
        <v>2322</v>
      </c>
      <c r="I33" s="717">
        <v>92300</v>
      </c>
      <c r="J33" s="722"/>
      <c r="K33" s="717" t="s">
        <v>2323</v>
      </c>
      <c r="L33" s="722"/>
      <c r="M33" s="722"/>
      <c r="N33" s="722"/>
      <c r="O33" s="722"/>
      <c r="P33" s="723"/>
      <c r="Q33" s="722" t="s">
        <v>819</v>
      </c>
      <c r="R33" s="724"/>
      <c r="S33" s="722" t="s">
        <v>862</v>
      </c>
      <c r="T33" s="724"/>
      <c r="U33" s="722"/>
      <c r="V33" s="726" t="s">
        <v>863</v>
      </c>
      <c r="W33" s="726" t="s">
        <v>863</v>
      </c>
      <c r="X33" s="726"/>
      <c r="Y33" s="726"/>
      <c r="Z33" s="727"/>
      <c r="AA33" s="728"/>
      <c r="AB33" s="722"/>
      <c r="AC33" s="729"/>
      <c r="AD33" s="722"/>
      <c r="AE33" s="724"/>
      <c r="AF33" s="724"/>
    </row>
    <row r="34" spans="1:32" s="224" customFormat="1" ht="13.5" customHeight="1">
      <c r="A34" s="225">
        <f t="shared" si="0"/>
        <v>26</v>
      </c>
      <c r="B34" s="744"/>
      <c r="C34" s="734"/>
      <c r="D34" s="732" t="s">
        <v>388</v>
      </c>
      <c r="E34" s="732"/>
      <c r="F34" s="732"/>
      <c r="G34" s="732"/>
      <c r="H34" s="722" t="s">
        <v>1107</v>
      </c>
      <c r="I34" s="717" t="s">
        <v>2324</v>
      </c>
      <c r="J34" s="722"/>
      <c r="K34" s="717" t="s">
        <v>1106</v>
      </c>
      <c r="L34" s="722"/>
      <c r="M34" s="722"/>
      <c r="N34" s="722"/>
      <c r="O34" s="722"/>
      <c r="P34" s="723"/>
      <c r="Q34" s="722" t="s">
        <v>819</v>
      </c>
      <c r="R34" s="724"/>
      <c r="S34" s="722" t="s">
        <v>862</v>
      </c>
      <c r="T34" s="724"/>
      <c r="U34" s="722"/>
      <c r="V34" s="726" t="s">
        <v>863</v>
      </c>
      <c r="W34" s="726" t="s">
        <v>863</v>
      </c>
      <c r="X34" s="726"/>
      <c r="Y34" s="726"/>
      <c r="Z34" s="727"/>
      <c r="AA34" s="728"/>
      <c r="AB34" s="722"/>
      <c r="AC34" s="729"/>
      <c r="AD34" s="722"/>
      <c r="AE34" s="724"/>
      <c r="AF34" s="724"/>
    </row>
    <row r="35" spans="1:32" s="224" customFormat="1" ht="12.75" customHeight="1">
      <c r="A35" s="225">
        <f t="shared" si="0"/>
        <v>27</v>
      </c>
      <c r="B35" s="730" t="s">
        <v>2325</v>
      </c>
      <c r="C35" s="741"/>
      <c r="D35" s="741"/>
      <c r="E35" s="741"/>
      <c r="F35" s="741"/>
      <c r="G35" s="741"/>
      <c r="H35" s="720"/>
      <c r="I35" s="742"/>
      <c r="J35" s="722"/>
      <c r="K35" s="717" t="s">
        <v>2326</v>
      </c>
      <c r="L35" s="722"/>
      <c r="M35" s="722"/>
      <c r="N35" s="722"/>
      <c r="O35" s="722"/>
      <c r="P35" s="723"/>
      <c r="Q35" s="722" t="s">
        <v>819</v>
      </c>
      <c r="R35" s="724" t="s">
        <v>863</v>
      </c>
      <c r="S35" s="725" t="s">
        <v>2326</v>
      </c>
      <c r="T35" s="724"/>
      <c r="U35" s="722"/>
      <c r="V35" s="726" t="s">
        <v>863</v>
      </c>
      <c r="W35" s="726" t="s">
        <v>863</v>
      </c>
      <c r="X35" s="726"/>
      <c r="Y35" s="726"/>
      <c r="Z35" s="727"/>
      <c r="AA35" s="728"/>
      <c r="AB35" s="722"/>
      <c r="AC35" s="729"/>
      <c r="AD35" s="722"/>
      <c r="AE35" s="724"/>
      <c r="AF35" s="724"/>
    </row>
    <row r="36" spans="1:32" s="224" customFormat="1" ht="13.5" customHeight="1">
      <c r="A36" s="225">
        <f t="shared" si="0"/>
        <v>28</v>
      </c>
      <c r="B36" s="730"/>
      <c r="C36" s="732" t="s">
        <v>2327</v>
      </c>
      <c r="D36" s="732"/>
      <c r="E36" s="732"/>
      <c r="F36" s="732"/>
      <c r="G36" s="732"/>
      <c r="H36" s="720"/>
      <c r="I36" s="742"/>
      <c r="J36" s="722"/>
      <c r="K36" s="717" t="s">
        <v>1053</v>
      </c>
      <c r="L36" s="722"/>
      <c r="M36" s="722"/>
      <c r="N36" s="722"/>
      <c r="O36" s="722"/>
      <c r="P36" s="723"/>
      <c r="Q36" s="722" t="s">
        <v>819</v>
      </c>
      <c r="R36" s="724" t="s">
        <v>863</v>
      </c>
      <c r="S36" s="725" t="s">
        <v>1053</v>
      </c>
      <c r="T36" s="724"/>
      <c r="U36" s="722"/>
      <c r="V36" s="726" t="s">
        <v>863</v>
      </c>
      <c r="W36" s="726" t="s">
        <v>863</v>
      </c>
      <c r="X36" s="726"/>
      <c r="Y36" s="726"/>
      <c r="Z36" s="727"/>
      <c r="AA36" s="728"/>
      <c r="AB36" s="722"/>
      <c r="AC36" s="729"/>
      <c r="AD36" s="722"/>
      <c r="AE36" s="724"/>
      <c r="AF36" s="724"/>
    </row>
    <row r="37" spans="1:32" s="224" customFormat="1" ht="13.5" customHeight="1">
      <c r="A37" s="225">
        <f t="shared" si="0"/>
        <v>29</v>
      </c>
      <c r="B37" s="730"/>
      <c r="C37" s="732"/>
      <c r="D37" s="732" t="s">
        <v>2328</v>
      </c>
      <c r="E37" s="732"/>
      <c r="F37" s="732"/>
      <c r="G37" s="732"/>
      <c r="H37" s="722" t="s">
        <v>2329</v>
      </c>
      <c r="I37" s="717" t="s">
        <v>2330</v>
      </c>
      <c r="J37" s="722"/>
      <c r="K37" s="717" t="s">
        <v>969</v>
      </c>
      <c r="L37" s="722"/>
      <c r="M37" s="722"/>
      <c r="N37" s="722"/>
      <c r="O37" s="722"/>
      <c r="P37" s="723"/>
      <c r="Q37" s="722" t="s">
        <v>816</v>
      </c>
      <c r="R37" s="724"/>
      <c r="S37" s="722" t="s">
        <v>862</v>
      </c>
      <c r="T37" s="724" t="s">
        <v>863</v>
      </c>
      <c r="U37" s="722"/>
      <c r="V37" s="726" t="s">
        <v>863</v>
      </c>
      <c r="W37" s="726" t="s">
        <v>863</v>
      </c>
      <c r="X37" s="726"/>
      <c r="Y37" s="726"/>
      <c r="Z37" s="727"/>
      <c r="AA37" s="728"/>
      <c r="AB37" s="722"/>
      <c r="AC37" s="729"/>
      <c r="AD37" s="722"/>
      <c r="AE37" s="724"/>
      <c r="AF37" s="724"/>
    </row>
    <row r="38" spans="1:32" s="224" customFormat="1" ht="13.5" customHeight="1">
      <c r="A38" s="225">
        <f t="shared" si="0"/>
        <v>30</v>
      </c>
      <c r="B38" s="730"/>
      <c r="C38" s="732"/>
      <c r="D38" s="732" t="s">
        <v>2331</v>
      </c>
      <c r="E38" s="732"/>
      <c r="F38" s="732"/>
      <c r="G38" s="732"/>
      <c r="H38" s="722" t="s">
        <v>2332</v>
      </c>
      <c r="I38" s="717"/>
      <c r="J38" s="722"/>
      <c r="K38" s="717" t="s">
        <v>2333</v>
      </c>
      <c r="L38" s="722"/>
      <c r="M38" s="722"/>
      <c r="N38" s="722"/>
      <c r="O38" s="722"/>
      <c r="P38" s="723"/>
      <c r="Q38" s="722" t="s">
        <v>816</v>
      </c>
      <c r="R38" s="724"/>
      <c r="S38" s="722" t="s">
        <v>862</v>
      </c>
      <c r="T38" s="724"/>
      <c r="U38" s="722"/>
      <c r="V38" s="726" t="s">
        <v>863</v>
      </c>
      <c r="W38" s="726" t="s">
        <v>863</v>
      </c>
      <c r="X38" s="726"/>
      <c r="Y38" s="726"/>
      <c r="Z38" s="727"/>
      <c r="AA38" s="728"/>
      <c r="AB38" s="722"/>
      <c r="AC38" s="729"/>
      <c r="AD38" s="722"/>
      <c r="AE38" s="724"/>
      <c r="AF38" s="724"/>
    </row>
    <row r="39" spans="1:32" s="224" customFormat="1" ht="13.5" customHeight="1">
      <c r="A39" s="225">
        <f t="shared" si="0"/>
        <v>31</v>
      </c>
      <c r="B39" s="730"/>
      <c r="C39" s="732"/>
      <c r="D39" s="732" t="s">
        <v>2334</v>
      </c>
      <c r="E39" s="732"/>
      <c r="F39" s="732"/>
      <c r="G39" s="732"/>
      <c r="H39" s="722" t="s">
        <v>2335</v>
      </c>
      <c r="I39" s="717"/>
      <c r="J39" s="722"/>
      <c r="K39" s="717" t="s">
        <v>2336</v>
      </c>
      <c r="L39" s="722"/>
      <c r="M39" s="722"/>
      <c r="N39" s="722"/>
      <c r="O39" s="722"/>
      <c r="P39" s="723"/>
      <c r="Q39" s="722" t="s">
        <v>816</v>
      </c>
      <c r="R39" s="724"/>
      <c r="S39" s="722" t="s">
        <v>862</v>
      </c>
      <c r="T39" s="724"/>
      <c r="U39" s="722"/>
      <c r="V39" s="726" t="s">
        <v>863</v>
      </c>
      <c r="W39" s="726" t="s">
        <v>863</v>
      </c>
      <c r="X39" s="726"/>
      <c r="Y39" s="726"/>
      <c r="Z39" s="727"/>
      <c r="AA39" s="728"/>
      <c r="AB39" s="722"/>
      <c r="AC39" s="729"/>
      <c r="AD39" s="722"/>
      <c r="AE39" s="724"/>
      <c r="AF39" s="724"/>
    </row>
    <row r="40" spans="1:32" s="224" customFormat="1" ht="13.5" customHeight="1">
      <c r="A40" s="225">
        <f t="shared" si="0"/>
        <v>32</v>
      </c>
      <c r="B40" s="744"/>
      <c r="C40" s="732"/>
      <c r="D40" s="732" t="s">
        <v>2337</v>
      </c>
      <c r="E40" s="741"/>
      <c r="F40" s="741"/>
      <c r="G40" s="741"/>
      <c r="H40" s="720"/>
      <c r="I40" s="742"/>
      <c r="J40" s="722"/>
      <c r="K40" s="717" t="s">
        <v>1081</v>
      </c>
      <c r="L40" s="722"/>
      <c r="M40" s="722"/>
      <c r="N40" s="722"/>
      <c r="O40" s="722"/>
      <c r="P40" s="723"/>
      <c r="Q40" s="722" t="s">
        <v>816</v>
      </c>
      <c r="R40" s="724" t="s">
        <v>863</v>
      </c>
      <c r="S40" s="725" t="s">
        <v>1081</v>
      </c>
      <c r="T40" s="724"/>
      <c r="U40" s="722"/>
      <c r="V40" s="726" t="s">
        <v>863</v>
      </c>
      <c r="W40" s="726" t="s">
        <v>863</v>
      </c>
      <c r="X40" s="726"/>
      <c r="Y40" s="726"/>
      <c r="Z40" s="727"/>
      <c r="AA40" s="728"/>
      <c r="AB40" s="722"/>
      <c r="AC40" s="729"/>
      <c r="AD40" s="722"/>
      <c r="AE40" s="724"/>
      <c r="AF40" s="724"/>
    </row>
    <row r="41" spans="1:32" s="224" customFormat="1" ht="13.5" customHeight="1">
      <c r="A41" s="225">
        <f t="shared" ref="A41:A70" si="1">ROW()-8</f>
        <v>33</v>
      </c>
      <c r="B41" s="730"/>
      <c r="C41" s="732"/>
      <c r="D41" s="732"/>
      <c r="E41" s="732" t="s">
        <v>392</v>
      </c>
      <c r="F41" s="732"/>
      <c r="G41" s="732"/>
      <c r="H41" s="722" t="s">
        <v>2338</v>
      </c>
      <c r="I41" s="717">
        <v>92300</v>
      </c>
      <c r="J41" s="722"/>
      <c r="K41" s="717" t="s">
        <v>2323</v>
      </c>
      <c r="L41" s="722"/>
      <c r="M41" s="722"/>
      <c r="N41" s="722"/>
      <c r="O41" s="722"/>
      <c r="P41" s="723"/>
      <c r="Q41" s="722" t="s">
        <v>819</v>
      </c>
      <c r="R41" s="724"/>
      <c r="S41" s="722" t="s">
        <v>862</v>
      </c>
      <c r="T41" s="724"/>
      <c r="U41" s="722"/>
      <c r="V41" s="726" t="s">
        <v>863</v>
      </c>
      <c r="W41" s="726" t="s">
        <v>863</v>
      </c>
      <c r="X41" s="726"/>
      <c r="Y41" s="726"/>
      <c r="Z41" s="727"/>
      <c r="AA41" s="728"/>
      <c r="AB41" s="722"/>
      <c r="AC41" s="729"/>
      <c r="AD41" s="722"/>
      <c r="AE41" s="724"/>
      <c r="AF41" s="724"/>
    </row>
    <row r="42" spans="1:32" s="224" customFormat="1" ht="13.5" customHeight="1">
      <c r="A42" s="225">
        <f t="shared" si="1"/>
        <v>34</v>
      </c>
      <c r="B42" s="730"/>
      <c r="C42" s="732"/>
      <c r="D42" s="732"/>
      <c r="E42" s="732" t="s">
        <v>388</v>
      </c>
      <c r="F42" s="732"/>
      <c r="G42" s="732"/>
      <c r="H42" s="722" t="s">
        <v>1107</v>
      </c>
      <c r="I42" s="717" t="s">
        <v>2324</v>
      </c>
      <c r="J42" s="722"/>
      <c r="K42" s="717" t="s">
        <v>1106</v>
      </c>
      <c r="L42" s="722"/>
      <c r="M42" s="722"/>
      <c r="N42" s="722"/>
      <c r="O42" s="722"/>
      <c r="P42" s="723"/>
      <c r="Q42" s="722" t="s">
        <v>819</v>
      </c>
      <c r="R42" s="724"/>
      <c r="S42" s="722" t="s">
        <v>862</v>
      </c>
      <c r="T42" s="724"/>
      <c r="U42" s="722"/>
      <c r="V42" s="726" t="s">
        <v>863</v>
      </c>
      <c r="W42" s="726" t="s">
        <v>863</v>
      </c>
      <c r="X42" s="726"/>
      <c r="Y42" s="726"/>
      <c r="Z42" s="727"/>
      <c r="AA42" s="728"/>
      <c r="AB42" s="722"/>
      <c r="AC42" s="729"/>
      <c r="AD42" s="722"/>
      <c r="AE42" s="724"/>
      <c r="AF42" s="724"/>
    </row>
    <row r="43" spans="1:32" s="224" customFormat="1" ht="13.5" customHeight="1">
      <c r="A43" s="225">
        <f t="shared" si="1"/>
        <v>35</v>
      </c>
      <c r="B43" s="744"/>
      <c r="C43" s="732" t="s">
        <v>2339</v>
      </c>
      <c r="D43" s="732"/>
      <c r="E43" s="732"/>
      <c r="F43" s="732"/>
      <c r="G43" s="732"/>
      <c r="H43" s="736" t="s">
        <v>2340</v>
      </c>
      <c r="I43" s="717"/>
      <c r="J43" s="722"/>
      <c r="K43" s="717" t="s">
        <v>2186</v>
      </c>
      <c r="L43" s="722"/>
      <c r="M43" s="722"/>
      <c r="N43" s="722"/>
      <c r="O43" s="722"/>
      <c r="P43" s="723"/>
      <c r="Q43" s="722" t="s">
        <v>819</v>
      </c>
      <c r="R43" s="724" t="s">
        <v>863</v>
      </c>
      <c r="S43" s="725" t="s">
        <v>2186</v>
      </c>
      <c r="T43" s="724"/>
      <c r="U43" s="722"/>
      <c r="V43" s="726" t="s">
        <v>863</v>
      </c>
      <c r="W43" s="726" t="s">
        <v>863</v>
      </c>
      <c r="X43" s="726"/>
      <c r="Y43" s="726"/>
      <c r="Z43" s="727"/>
      <c r="AA43" s="728"/>
      <c r="AB43" s="722"/>
      <c r="AC43" s="729"/>
      <c r="AD43" s="722"/>
      <c r="AE43" s="724"/>
      <c r="AF43" s="724"/>
    </row>
    <row r="44" spans="1:32" s="224" customFormat="1" ht="13.5" customHeight="1">
      <c r="A44" s="225">
        <f t="shared" si="1"/>
        <v>36</v>
      </c>
      <c r="B44" s="733"/>
      <c r="C44" s="732"/>
      <c r="D44" s="732" t="s">
        <v>2341</v>
      </c>
      <c r="E44" s="732"/>
      <c r="F44" s="732"/>
      <c r="G44" s="732"/>
      <c r="H44" s="722" t="s">
        <v>2342</v>
      </c>
      <c r="I44" s="717" t="s">
        <v>774</v>
      </c>
      <c r="J44" s="722"/>
      <c r="K44" s="717" t="s">
        <v>2343</v>
      </c>
      <c r="L44" s="722"/>
      <c r="M44" s="722"/>
      <c r="N44" s="722"/>
      <c r="O44" s="722"/>
      <c r="P44" s="723"/>
      <c r="Q44" s="722" t="s">
        <v>819</v>
      </c>
      <c r="R44" s="724"/>
      <c r="S44" s="722" t="s">
        <v>2294</v>
      </c>
      <c r="T44" s="724"/>
      <c r="U44" s="722"/>
      <c r="V44" s="726" t="s">
        <v>863</v>
      </c>
      <c r="W44" s="726" t="s">
        <v>863</v>
      </c>
      <c r="X44" s="726"/>
      <c r="Y44" s="726"/>
      <c r="Z44" s="727"/>
      <c r="AA44" s="728"/>
      <c r="AB44" s="722"/>
      <c r="AC44" s="729"/>
      <c r="AD44" s="722"/>
      <c r="AE44" s="724"/>
      <c r="AF44" s="724"/>
    </row>
    <row r="45" spans="1:32" s="224" customFormat="1" ht="13.5" customHeight="1">
      <c r="A45" s="225">
        <f t="shared" si="1"/>
        <v>37</v>
      </c>
      <c r="B45" s="733"/>
      <c r="C45" s="732"/>
      <c r="D45" s="732" t="s">
        <v>2344</v>
      </c>
      <c r="E45" s="732"/>
      <c r="F45" s="732"/>
      <c r="G45" s="732"/>
      <c r="H45" s="722" t="s">
        <v>2345</v>
      </c>
      <c r="I45" s="717" t="s">
        <v>770</v>
      </c>
      <c r="J45" s="722"/>
      <c r="K45" s="717" t="s">
        <v>2346</v>
      </c>
      <c r="L45" s="722"/>
      <c r="M45" s="722"/>
      <c r="N45" s="722"/>
      <c r="O45" s="722"/>
      <c r="P45" s="723"/>
      <c r="Q45" s="722" t="s">
        <v>819</v>
      </c>
      <c r="R45" s="724"/>
      <c r="S45" s="722" t="s">
        <v>2294</v>
      </c>
      <c r="T45" s="724"/>
      <c r="U45" s="722"/>
      <c r="V45" s="726" t="s">
        <v>863</v>
      </c>
      <c r="W45" s="726" t="s">
        <v>863</v>
      </c>
      <c r="X45" s="726"/>
      <c r="Y45" s="726"/>
      <c r="Z45" s="727"/>
      <c r="AA45" s="728"/>
      <c r="AB45" s="722"/>
      <c r="AC45" s="729"/>
      <c r="AD45" s="722"/>
      <c r="AE45" s="724"/>
      <c r="AF45" s="724"/>
    </row>
    <row r="46" spans="1:32" s="224" customFormat="1" ht="13.5" customHeight="1">
      <c r="A46" s="225">
        <f t="shared" si="1"/>
        <v>38</v>
      </c>
      <c r="B46" s="733"/>
      <c r="C46" s="732"/>
      <c r="D46" s="732" t="s">
        <v>2347</v>
      </c>
      <c r="E46" s="732"/>
      <c r="F46" s="732"/>
      <c r="G46" s="732"/>
      <c r="H46" s="722" t="s">
        <v>2348</v>
      </c>
      <c r="I46" s="717" t="s">
        <v>774</v>
      </c>
      <c r="J46" s="722"/>
      <c r="K46" s="717" t="s">
        <v>2349</v>
      </c>
      <c r="L46" s="722"/>
      <c r="M46" s="722"/>
      <c r="N46" s="722"/>
      <c r="O46" s="722"/>
      <c r="P46" s="723"/>
      <c r="Q46" s="722" t="s">
        <v>819</v>
      </c>
      <c r="R46" s="724"/>
      <c r="S46" s="722" t="s">
        <v>2294</v>
      </c>
      <c r="T46" s="724"/>
      <c r="U46" s="722"/>
      <c r="V46" s="726" t="s">
        <v>863</v>
      </c>
      <c r="W46" s="726" t="s">
        <v>863</v>
      </c>
      <c r="X46" s="726"/>
      <c r="Y46" s="726"/>
      <c r="Z46" s="727"/>
      <c r="AA46" s="728"/>
      <c r="AB46" s="722"/>
      <c r="AC46" s="729"/>
      <c r="AD46" s="722"/>
      <c r="AE46" s="724"/>
      <c r="AF46" s="724"/>
    </row>
    <row r="47" spans="1:32" s="224" customFormat="1" ht="13.5" customHeight="1">
      <c r="A47" s="225">
        <f t="shared" si="1"/>
        <v>39</v>
      </c>
      <c r="B47" s="744"/>
      <c r="C47" s="732" t="s">
        <v>2350</v>
      </c>
      <c r="D47" s="732"/>
      <c r="E47" s="732"/>
      <c r="F47" s="732"/>
      <c r="G47" s="732"/>
      <c r="H47" s="722" t="s">
        <v>2351</v>
      </c>
      <c r="I47" s="717" t="s">
        <v>2352</v>
      </c>
      <c r="J47" s="722"/>
      <c r="K47" s="717" t="s">
        <v>2353</v>
      </c>
      <c r="L47" s="722"/>
      <c r="M47" s="722"/>
      <c r="N47" s="722"/>
      <c r="O47" s="722"/>
      <c r="P47" s="723"/>
      <c r="Q47" s="722" t="s">
        <v>822</v>
      </c>
      <c r="R47" s="724"/>
      <c r="S47" s="722" t="s">
        <v>862</v>
      </c>
      <c r="T47" s="724" t="s">
        <v>863</v>
      </c>
      <c r="U47" s="722"/>
      <c r="V47" s="726" t="s">
        <v>863</v>
      </c>
      <c r="W47" s="726" t="s">
        <v>863</v>
      </c>
      <c r="X47" s="726"/>
      <c r="Y47" s="726"/>
      <c r="Z47" s="727"/>
      <c r="AA47" s="728"/>
      <c r="AB47" s="722"/>
      <c r="AC47" s="729"/>
      <c r="AD47" s="722"/>
      <c r="AE47" s="724"/>
      <c r="AF47" s="724"/>
    </row>
    <row r="48" spans="1:32" s="224" customFormat="1" ht="13.5" customHeight="1">
      <c r="A48" s="225">
        <f t="shared" si="1"/>
        <v>40</v>
      </c>
      <c r="B48" s="744"/>
      <c r="C48" s="732" t="s">
        <v>2354</v>
      </c>
      <c r="D48" s="732"/>
      <c r="E48" s="732"/>
      <c r="F48" s="732"/>
      <c r="G48" s="732"/>
      <c r="H48" s="722" t="s">
        <v>2355</v>
      </c>
      <c r="I48" s="717" t="s">
        <v>2356</v>
      </c>
      <c r="J48" s="722"/>
      <c r="K48" s="717" t="s">
        <v>1513</v>
      </c>
      <c r="L48" s="722"/>
      <c r="M48" s="722"/>
      <c r="N48" s="722"/>
      <c r="O48" s="722"/>
      <c r="P48" s="723"/>
      <c r="Q48" s="722" t="s">
        <v>819</v>
      </c>
      <c r="R48" s="724"/>
      <c r="S48" s="722" t="s">
        <v>862</v>
      </c>
      <c r="T48" s="724" t="s">
        <v>863</v>
      </c>
      <c r="U48" s="722"/>
      <c r="V48" s="726" t="s">
        <v>863</v>
      </c>
      <c r="W48" s="726" t="s">
        <v>863</v>
      </c>
      <c r="X48" s="726"/>
      <c r="Y48" s="726"/>
      <c r="Z48" s="727"/>
      <c r="AA48" s="728"/>
      <c r="AB48" s="722"/>
      <c r="AC48" s="729"/>
      <c r="AD48" s="722"/>
      <c r="AE48" s="724"/>
      <c r="AF48" s="724"/>
    </row>
    <row r="49" spans="1:32" s="224" customFormat="1" ht="13.5" customHeight="1">
      <c r="A49" s="225">
        <f t="shared" si="1"/>
        <v>41</v>
      </c>
      <c r="B49" s="744"/>
      <c r="C49" s="732" t="s">
        <v>2357</v>
      </c>
      <c r="D49" s="732"/>
      <c r="E49" s="732"/>
      <c r="F49" s="732"/>
      <c r="G49" s="732"/>
      <c r="H49" s="722" t="s">
        <v>2355</v>
      </c>
      <c r="I49" s="717" t="s">
        <v>2358</v>
      </c>
      <c r="J49" s="722"/>
      <c r="K49" s="717" t="s">
        <v>2359</v>
      </c>
      <c r="L49" s="722"/>
      <c r="M49" s="722"/>
      <c r="N49" s="722"/>
      <c r="O49" s="722"/>
      <c r="P49" s="723"/>
      <c r="Q49" s="722" t="s">
        <v>816</v>
      </c>
      <c r="R49" s="724"/>
      <c r="S49" s="722" t="s">
        <v>862</v>
      </c>
      <c r="T49" s="724" t="s">
        <v>863</v>
      </c>
      <c r="U49" s="722"/>
      <c r="V49" s="726" t="s">
        <v>863</v>
      </c>
      <c r="W49" s="726" t="s">
        <v>863</v>
      </c>
      <c r="X49" s="726"/>
      <c r="Y49" s="726"/>
      <c r="Z49" s="727"/>
      <c r="AA49" s="728"/>
      <c r="AB49" s="722"/>
      <c r="AC49" s="729"/>
      <c r="AD49" s="722"/>
      <c r="AE49" s="724"/>
      <c r="AF49" s="724"/>
    </row>
    <row r="50" spans="1:32" s="224" customFormat="1" ht="13.5" customHeight="1">
      <c r="A50" s="225">
        <f t="shared" si="1"/>
        <v>42</v>
      </c>
      <c r="B50" s="744"/>
      <c r="C50" s="732" t="s">
        <v>2360</v>
      </c>
      <c r="D50" s="741"/>
      <c r="E50" s="741"/>
      <c r="F50" s="741"/>
      <c r="G50" s="741"/>
      <c r="H50" s="720"/>
      <c r="I50" s="742"/>
      <c r="J50" s="722"/>
      <c r="K50" s="717" t="s">
        <v>2361</v>
      </c>
      <c r="L50" s="722"/>
      <c r="M50" s="722"/>
      <c r="N50" s="722"/>
      <c r="O50" s="722"/>
      <c r="P50" s="723"/>
      <c r="Q50" s="722" t="s">
        <v>816</v>
      </c>
      <c r="R50" s="724" t="s">
        <v>863</v>
      </c>
      <c r="S50" s="725" t="s">
        <v>2362</v>
      </c>
      <c r="T50" s="724"/>
      <c r="U50" s="722"/>
      <c r="V50" s="726" t="s">
        <v>863</v>
      </c>
      <c r="W50" s="726" t="s">
        <v>863</v>
      </c>
      <c r="X50" s="726"/>
      <c r="Y50" s="726"/>
      <c r="Z50" s="727"/>
      <c r="AA50" s="728"/>
      <c r="AB50" s="722"/>
      <c r="AC50" s="729"/>
      <c r="AD50" s="722"/>
      <c r="AE50" s="724"/>
      <c r="AF50" s="724"/>
    </row>
    <row r="51" spans="1:32" s="224" customFormat="1" ht="13.5" customHeight="1">
      <c r="A51" s="225">
        <f t="shared" si="1"/>
        <v>43</v>
      </c>
      <c r="B51" s="744"/>
      <c r="C51" s="732"/>
      <c r="D51" s="732" t="s">
        <v>2363</v>
      </c>
      <c r="E51" s="732"/>
      <c r="F51" s="732"/>
      <c r="G51" s="732"/>
      <c r="H51" s="722" t="s">
        <v>2272</v>
      </c>
      <c r="I51" s="717" t="s">
        <v>929</v>
      </c>
      <c r="J51" s="722"/>
      <c r="K51" s="717" t="s">
        <v>2364</v>
      </c>
      <c r="L51" s="722"/>
      <c r="M51" s="722"/>
      <c r="N51" s="722"/>
      <c r="O51" s="722"/>
      <c r="P51" s="723"/>
      <c r="Q51" s="722" t="s">
        <v>819</v>
      </c>
      <c r="R51" s="724"/>
      <c r="S51" s="722" t="s">
        <v>878</v>
      </c>
      <c r="T51" s="724"/>
      <c r="U51" s="722"/>
      <c r="V51" s="726" t="s">
        <v>863</v>
      </c>
      <c r="W51" s="726" t="s">
        <v>863</v>
      </c>
      <c r="X51" s="726"/>
      <c r="Y51" s="726"/>
      <c r="Z51" s="727"/>
      <c r="AA51" s="728"/>
      <c r="AB51" s="722"/>
      <c r="AC51" s="729"/>
      <c r="AD51" s="722"/>
      <c r="AE51" s="724"/>
      <c r="AF51" s="724"/>
    </row>
    <row r="52" spans="1:32" s="224" customFormat="1" ht="13.5" customHeight="1">
      <c r="A52" s="225">
        <f t="shared" si="1"/>
        <v>44</v>
      </c>
      <c r="B52" s="744"/>
      <c r="C52" s="732"/>
      <c r="D52" s="732" t="s">
        <v>2365</v>
      </c>
      <c r="E52" s="732"/>
      <c r="F52" s="732"/>
      <c r="G52" s="732"/>
      <c r="H52" s="722" t="s">
        <v>2272</v>
      </c>
      <c r="I52" s="717" t="s">
        <v>929</v>
      </c>
      <c r="J52" s="722"/>
      <c r="K52" s="717" t="s">
        <v>2366</v>
      </c>
      <c r="L52" s="722"/>
      <c r="M52" s="722"/>
      <c r="N52" s="722"/>
      <c r="O52" s="722"/>
      <c r="P52" s="723"/>
      <c r="Q52" s="722" t="s">
        <v>816</v>
      </c>
      <c r="R52" s="724"/>
      <c r="S52" s="722" t="s">
        <v>878</v>
      </c>
      <c r="T52" s="724"/>
      <c r="U52" s="722"/>
      <c r="V52" s="726" t="s">
        <v>863</v>
      </c>
      <c r="W52" s="726" t="s">
        <v>863</v>
      </c>
      <c r="X52" s="726"/>
      <c r="Y52" s="726"/>
      <c r="Z52" s="727"/>
      <c r="AA52" s="728"/>
      <c r="AB52" s="722"/>
      <c r="AC52" s="729"/>
      <c r="AD52" s="722"/>
      <c r="AE52" s="724"/>
      <c r="AF52" s="724"/>
    </row>
    <row r="53" spans="1:32" s="224" customFormat="1" ht="13.5" customHeight="1">
      <c r="A53" s="225">
        <f t="shared" si="1"/>
        <v>45</v>
      </c>
      <c r="B53" s="744"/>
      <c r="C53" s="732"/>
      <c r="D53" s="732" t="s">
        <v>2367</v>
      </c>
      <c r="E53" s="732"/>
      <c r="F53" s="732"/>
      <c r="G53" s="732"/>
      <c r="H53" s="722" t="s">
        <v>2272</v>
      </c>
      <c r="I53" s="717" t="s">
        <v>929</v>
      </c>
      <c r="J53" s="722"/>
      <c r="K53" s="717" t="s">
        <v>2368</v>
      </c>
      <c r="L53" s="722"/>
      <c r="M53" s="722"/>
      <c r="N53" s="722"/>
      <c r="O53" s="722"/>
      <c r="P53" s="723"/>
      <c r="Q53" s="722" t="s">
        <v>816</v>
      </c>
      <c r="R53" s="724"/>
      <c r="S53" s="722" t="s">
        <v>878</v>
      </c>
      <c r="T53" s="724"/>
      <c r="U53" s="722"/>
      <c r="V53" s="726" t="s">
        <v>863</v>
      </c>
      <c r="W53" s="726" t="s">
        <v>863</v>
      </c>
      <c r="X53" s="726"/>
      <c r="Y53" s="726"/>
      <c r="Z53" s="727"/>
      <c r="AA53" s="728"/>
      <c r="AB53" s="722"/>
      <c r="AC53" s="729"/>
      <c r="AD53" s="722"/>
      <c r="AE53" s="724"/>
      <c r="AF53" s="724"/>
    </row>
    <row r="54" spans="1:32" s="224" customFormat="1" ht="13.5" customHeight="1">
      <c r="A54" s="225">
        <f t="shared" si="1"/>
        <v>46</v>
      </c>
      <c r="B54" s="744"/>
      <c r="C54" s="732"/>
      <c r="D54" s="732" t="s">
        <v>2369</v>
      </c>
      <c r="E54" s="732"/>
      <c r="F54" s="732"/>
      <c r="G54" s="732"/>
      <c r="H54" s="722" t="s">
        <v>2272</v>
      </c>
      <c r="I54" s="717" t="s">
        <v>929</v>
      </c>
      <c r="J54" s="722"/>
      <c r="K54" s="717" t="s">
        <v>2370</v>
      </c>
      <c r="L54" s="722"/>
      <c r="M54" s="722"/>
      <c r="N54" s="722"/>
      <c r="O54" s="722"/>
      <c r="P54" s="723"/>
      <c r="Q54" s="722" t="s">
        <v>816</v>
      </c>
      <c r="R54" s="724"/>
      <c r="S54" s="722" t="s">
        <v>878</v>
      </c>
      <c r="T54" s="724"/>
      <c r="U54" s="722"/>
      <c r="V54" s="726" t="s">
        <v>863</v>
      </c>
      <c r="W54" s="726" t="s">
        <v>863</v>
      </c>
      <c r="X54" s="726"/>
      <c r="Y54" s="726"/>
      <c r="Z54" s="727"/>
      <c r="AA54" s="728"/>
      <c r="AB54" s="722"/>
      <c r="AC54" s="729"/>
      <c r="AD54" s="722"/>
      <c r="AE54" s="724"/>
      <c r="AF54" s="724"/>
    </row>
    <row r="55" spans="1:32" s="224" customFormat="1" ht="13.5" customHeight="1">
      <c r="A55" s="766">
        <f t="shared" si="1"/>
        <v>47</v>
      </c>
      <c r="B55" s="767"/>
      <c r="C55" s="768"/>
      <c r="D55" s="768" t="s">
        <v>2657</v>
      </c>
      <c r="E55" s="768"/>
      <c r="F55" s="768"/>
      <c r="G55" s="768"/>
      <c r="H55" s="769"/>
      <c r="I55" s="770"/>
      <c r="J55" s="769"/>
      <c r="K55" s="770"/>
      <c r="L55" s="769"/>
      <c r="M55" s="769"/>
      <c r="N55" s="769"/>
      <c r="O55" s="769"/>
      <c r="P55" s="771"/>
      <c r="Q55" s="769"/>
      <c r="R55" s="772"/>
      <c r="S55" s="769"/>
      <c r="T55" s="772"/>
      <c r="U55" s="769"/>
      <c r="V55" s="773"/>
      <c r="W55" s="773" t="s">
        <v>863</v>
      </c>
      <c r="X55" s="773"/>
      <c r="Y55" s="773"/>
      <c r="Z55" s="727"/>
      <c r="AA55" s="764"/>
      <c r="AB55" s="762"/>
      <c r="AC55" s="765"/>
      <c r="AD55" s="762"/>
      <c r="AE55" s="763"/>
      <c r="AF55" s="763"/>
    </row>
    <row r="56" spans="1:32" s="224" customFormat="1" ht="13.5" customHeight="1">
      <c r="A56" s="225">
        <f t="shared" si="1"/>
        <v>48</v>
      </c>
      <c r="B56" s="744"/>
      <c r="C56" s="732"/>
      <c r="D56" s="732" t="s">
        <v>2371</v>
      </c>
      <c r="E56" s="732"/>
      <c r="F56" s="732"/>
      <c r="G56" s="732"/>
      <c r="H56" s="722" t="s">
        <v>2272</v>
      </c>
      <c r="I56" s="717" t="s">
        <v>929</v>
      </c>
      <c r="J56" s="722"/>
      <c r="K56" s="717" t="s">
        <v>2372</v>
      </c>
      <c r="L56" s="722"/>
      <c r="M56" s="722"/>
      <c r="N56" s="722"/>
      <c r="O56" s="722"/>
      <c r="P56" s="723"/>
      <c r="Q56" s="722" t="s">
        <v>819</v>
      </c>
      <c r="R56" s="724"/>
      <c r="S56" s="722" t="s">
        <v>878</v>
      </c>
      <c r="T56" s="724"/>
      <c r="U56" s="722"/>
      <c r="V56" s="726" t="s">
        <v>863</v>
      </c>
      <c r="W56" s="726" t="s">
        <v>863</v>
      </c>
      <c r="X56" s="726"/>
      <c r="Y56" s="726"/>
      <c r="Z56" s="727"/>
      <c r="AA56" s="728"/>
      <c r="AB56" s="722"/>
      <c r="AC56" s="729"/>
      <c r="AD56" s="722"/>
      <c r="AE56" s="724"/>
      <c r="AF56" s="724"/>
    </row>
    <row r="57" spans="1:32" s="224" customFormat="1" ht="13.5" customHeight="1">
      <c r="A57" s="225">
        <f t="shared" si="1"/>
        <v>49</v>
      </c>
      <c r="B57" s="744"/>
      <c r="C57" s="732"/>
      <c r="D57" s="732" t="s">
        <v>2373</v>
      </c>
      <c r="E57" s="732"/>
      <c r="F57" s="732"/>
      <c r="G57" s="732"/>
      <c r="H57" s="722" t="s">
        <v>2272</v>
      </c>
      <c r="I57" s="717" t="s">
        <v>929</v>
      </c>
      <c r="J57" s="722"/>
      <c r="K57" s="717" t="s">
        <v>2374</v>
      </c>
      <c r="L57" s="722"/>
      <c r="M57" s="722"/>
      <c r="N57" s="722"/>
      <c r="O57" s="722"/>
      <c r="P57" s="723"/>
      <c r="Q57" s="722" t="s">
        <v>819</v>
      </c>
      <c r="R57" s="724"/>
      <c r="S57" s="722" t="s">
        <v>878</v>
      </c>
      <c r="T57" s="724"/>
      <c r="U57" s="722"/>
      <c r="V57" s="726" t="s">
        <v>863</v>
      </c>
      <c r="W57" s="726" t="s">
        <v>863</v>
      </c>
      <c r="X57" s="726"/>
      <c r="Y57" s="726"/>
      <c r="Z57" s="727"/>
      <c r="AA57" s="728"/>
      <c r="AB57" s="722"/>
      <c r="AC57" s="729"/>
      <c r="AD57" s="722"/>
      <c r="AE57" s="724"/>
      <c r="AF57" s="724"/>
    </row>
    <row r="58" spans="1:32" s="224" customFormat="1" ht="13.5" customHeight="1">
      <c r="A58" s="225">
        <f t="shared" si="1"/>
        <v>50</v>
      </c>
      <c r="B58" s="744" t="s">
        <v>2375</v>
      </c>
      <c r="C58" s="746"/>
      <c r="D58" s="746"/>
      <c r="E58" s="741"/>
      <c r="F58" s="741"/>
      <c r="G58" s="741"/>
      <c r="H58" s="720"/>
      <c r="I58" s="742"/>
      <c r="J58" s="722"/>
      <c r="K58" s="717" t="s">
        <v>1558</v>
      </c>
      <c r="L58" s="722"/>
      <c r="M58" s="722"/>
      <c r="N58" s="722"/>
      <c r="O58" s="722"/>
      <c r="P58" s="723"/>
      <c r="Q58" s="722" t="s">
        <v>819</v>
      </c>
      <c r="R58" s="724" t="s">
        <v>863</v>
      </c>
      <c r="S58" s="725" t="s">
        <v>1558</v>
      </c>
      <c r="T58" s="724"/>
      <c r="U58" s="722"/>
      <c r="V58" s="726" t="s">
        <v>863</v>
      </c>
      <c r="W58" s="726" t="s">
        <v>863</v>
      </c>
      <c r="X58" s="726"/>
      <c r="Y58" s="726"/>
      <c r="Z58" s="727"/>
      <c r="AA58" s="728"/>
      <c r="AB58" s="722"/>
      <c r="AC58" s="729"/>
      <c r="AD58" s="722"/>
      <c r="AE58" s="724"/>
      <c r="AF58" s="724"/>
    </row>
    <row r="59" spans="1:32" s="224" customFormat="1" ht="13.5" customHeight="1">
      <c r="A59" s="225">
        <f t="shared" si="1"/>
        <v>51</v>
      </c>
      <c r="B59" s="744"/>
      <c r="C59" s="734" t="s">
        <v>1684</v>
      </c>
      <c r="D59" s="734"/>
      <c r="E59" s="732"/>
      <c r="F59" s="732"/>
      <c r="G59" s="732"/>
      <c r="H59" s="722" t="s">
        <v>2376</v>
      </c>
      <c r="I59" s="717" t="s">
        <v>2377</v>
      </c>
      <c r="J59" s="722"/>
      <c r="K59" s="717" t="s">
        <v>969</v>
      </c>
      <c r="L59" s="722"/>
      <c r="M59" s="722"/>
      <c r="N59" s="722"/>
      <c r="O59" s="722"/>
      <c r="P59" s="723"/>
      <c r="Q59" s="722" t="s">
        <v>819</v>
      </c>
      <c r="R59" s="724"/>
      <c r="S59" s="722" t="s">
        <v>862</v>
      </c>
      <c r="T59" s="724"/>
      <c r="U59" s="722"/>
      <c r="V59" s="726" t="s">
        <v>863</v>
      </c>
      <c r="W59" s="726" t="s">
        <v>863</v>
      </c>
      <c r="X59" s="726"/>
      <c r="Y59" s="726"/>
      <c r="Z59" s="727"/>
      <c r="AA59" s="728"/>
      <c r="AB59" s="722"/>
      <c r="AC59" s="729"/>
      <c r="AD59" s="722"/>
      <c r="AE59" s="724"/>
      <c r="AF59" s="724"/>
    </row>
    <row r="60" spans="1:32" s="224" customFormat="1" ht="13.5" customHeight="1">
      <c r="A60" s="225">
        <f t="shared" si="1"/>
        <v>52</v>
      </c>
      <c r="B60" s="744"/>
      <c r="C60" s="733" t="s">
        <v>1576</v>
      </c>
      <c r="D60" s="741"/>
      <c r="E60" s="741"/>
      <c r="F60" s="741"/>
      <c r="G60" s="741"/>
      <c r="H60" s="720"/>
      <c r="I60" s="742"/>
      <c r="J60" s="722"/>
      <c r="K60" s="717" t="s">
        <v>1577</v>
      </c>
      <c r="L60" s="722"/>
      <c r="M60" s="722"/>
      <c r="N60" s="722"/>
      <c r="O60" s="722"/>
      <c r="P60" s="723"/>
      <c r="Q60" s="722" t="s">
        <v>816</v>
      </c>
      <c r="R60" s="724" t="s">
        <v>863</v>
      </c>
      <c r="S60" s="725" t="s">
        <v>1577</v>
      </c>
      <c r="T60" s="724"/>
      <c r="U60" s="722"/>
      <c r="V60" s="726" t="s">
        <v>863</v>
      </c>
      <c r="W60" s="726" t="s">
        <v>863</v>
      </c>
      <c r="X60" s="726"/>
      <c r="Y60" s="726"/>
      <c r="Z60" s="727"/>
      <c r="AA60" s="728"/>
      <c r="AB60" s="722"/>
      <c r="AC60" s="729"/>
      <c r="AD60" s="722"/>
      <c r="AE60" s="724"/>
      <c r="AF60" s="724"/>
    </row>
    <row r="61" spans="1:32" s="224" customFormat="1" ht="13.5" customHeight="1">
      <c r="A61" s="225">
        <f t="shared" si="1"/>
        <v>53</v>
      </c>
      <c r="B61" s="744"/>
      <c r="C61" s="732"/>
      <c r="D61" s="732" t="s">
        <v>2378</v>
      </c>
      <c r="E61" s="732"/>
      <c r="F61" s="732"/>
      <c r="G61" s="732"/>
      <c r="H61" s="722" t="s">
        <v>2379</v>
      </c>
      <c r="I61" s="717" t="s">
        <v>1281</v>
      </c>
      <c r="J61" s="722"/>
      <c r="K61" s="717" t="s">
        <v>2380</v>
      </c>
      <c r="L61" s="722"/>
      <c r="M61" s="722"/>
      <c r="N61" s="722"/>
      <c r="O61" s="722"/>
      <c r="P61" s="723"/>
      <c r="Q61" s="722" t="s">
        <v>819</v>
      </c>
      <c r="R61" s="724"/>
      <c r="S61" s="722" t="s">
        <v>862</v>
      </c>
      <c r="T61" s="724" t="s">
        <v>863</v>
      </c>
      <c r="U61" s="722"/>
      <c r="V61" s="726" t="s">
        <v>863</v>
      </c>
      <c r="W61" s="726" t="s">
        <v>863</v>
      </c>
      <c r="X61" s="726"/>
      <c r="Y61" s="726"/>
      <c r="Z61" s="727"/>
      <c r="AA61" s="728"/>
      <c r="AB61" s="722"/>
      <c r="AC61" s="729"/>
      <c r="AD61" s="722"/>
      <c r="AE61" s="724"/>
      <c r="AF61" s="724"/>
    </row>
    <row r="62" spans="1:32" s="224" customFormat="1" ht="13.5" customHeight="1">
      <c r="A62" s="225">
        <f t="shared" si="1"/>
        <v>54</v>
      </c>
      <c r="B62" s="744"/>
      <c r="C62" s="732"/>
      <c r="D62" s="732" t="s">
        <v>2381</v>
      </c>
      <c r="E62" s="732"/>
      <c r="F62" s="732"/>
      <c r="G62" s="732"/>
      <c r="H62" s="722" t="s">
        <v>2382</v>
      </c>
      <c r="I62" s="717"/>
      <c r="J62" s="722"/>
      <c r="K62" s="717" t="s">
        <v>2383</v>
      </c>
      <c r="L62" s="722"/>
      <c r="M62" s="722"/>
      <c r="N62" s="722"/>
      <c r="O62" s="722"/>
      <c r="P62" s="723"/>
      <c r="Q62" s="722" t="s">
        <v>819</v>
      </c>
      <c r="R62" s="724"/>
      <c r="S62" s="722" t="s">
        <v>862</v>
      </c>
      <c r="T62" s="724"/>
      <c r="U62" s="722"/>
      <c r="V62" s="726" t="s">
        <v>863</v>
      </c>
      <c r="W62" s="726" t="s">
        <v>863</v>
      </c>
      <c r="X62" s="726"/>
      <c r="Y62" s="726"/>
      <c r="Z62" s="727"/>
      <c r="AA62" s="728"/>
      <c r="AB62" s="722"/>
      <c r="AC62" s="729"/>
      <c r="AD62" s="722"/>
      <c r="AE62" s="724"/>
      <c r="AF62" s="724"/>
    </row>
    <row r="63" spans="1:32" s="224" customFormat="1" ht="13.5" customHeight="1">
      <c r="A63" s="225">
        <f t="shared" si="1"/>
        <v>55</v>
      </c>
      <c r="B63" s="744"/>
      <c r="C63" s="732"/>
      <c r="D63" s="732" t="s">
        <v>2384</v>
      </c>
      <c r="E63" s="732"/>
      <c r="F63" s="732"/>
      <c r="G63" s="732"/>
      <c r="H63" s="722" t="s">
        <v>2385</v>
      </c>
      <c r="I63" s="717"/>
      <c r="J63" s="722"/>
      <c r="K63" s="717" t="s">
        <v>2386</v>
      </c>
      <c r="L63" s="722"/>
      <c r="M63" s="722"/>
      <c r="N63" s="722"/>
      <c r="O63" s="722"/>
      <c r="P63" s="723"/>
      <c r="Q63" s="722" t="s">
        <v>819</v>
      </c>
      <c r="R63" s="724"/>
      <c r="S63" s="722" t="s">
        <v>862</v>
      </c>
      <c r="T63" s="724" t="s">
        <v>863</v>
      </c>
      <c r="U63" s="722"/>
      <c r="V63" s="726" t="s">
        <v>863</v>
      </c>
      <c r="W63" s="726" t="s">
        <v>863</v>
      </c>
      <c r="X63" s="726"/>
      <c r="Y63" s="726"/>
      <c r="Z63" s="727"/>
      <c r="AA63" s="728"/>
      <c r="AB63" s="722"/>
      <c r="AC63" s="729"/>
      <c r="AD63" s="722"/>
      <c r="AE63" s="724"/>
      <c r="AF63" s="724"/>
    </row>
    <row r="64" spans="1:32" s="224" customFormat="1" ht="13.5" customHeight="1">
      <c r="A64" s="225">
        <f t="shared" si="1"/>
        <v>56</v>
      </c>
      <c r="B64" s="733"/>
      <c r="C64" s="732"/>
      <c r="D64" s="732" t="s">
        <v>2387</v>
      </c>
      <c r="E64" s="732"/>
      <c r="F64" s="732"/>
      <c r="G64" s="732"/>
      <c r="H64" s="732" t="s">
        <v>2388</v>
      </c>
      <c r="I64" s="717"/>
      <c r="J64" s="722"/>
      <c r="K64" s="717" t="s">
        <v>2389</v>
      </c>
      <c r="L64" s="722"/>
      <c r="M64" s="722"/>
      <c r="N64" s="722"/>
      <c r="O64" s="722"/>
      <c r="P64" s="723"/>
      <c r="Q64" s="722" t="s">
        <v>819</v>
      </c>
      <c r="R64" s="724"/>
      <c r="S64" s="722" t="s">
        <v>862</v>
      </c>
      <c r="T64" s="724"/>
      <c r="U64" s="722"/>
      <c r="V64" s="726" t="s">
        <v>863</v>
      </c>
      <c r="W64" s="726" t="s">
        <v>863</v>
      </c>
      <c r="X64" s="726"/>
      <c r="Y64" s="726"/>
      <c r="Z64" s="727"/>
      <c r="AA64" s="728"/>
      <c r="AB64" s="722"/>
      <c r="AC64" s="729"/>
      <c r="AD64" s="722"/>
      <c r="AE64" s="724"/>
      <c r="AF64" s="724"/>
    </row>
    <row r="65" spans="1:1019" s="523" customFormat="1" ht="13.5" customHeight="1">
      <c r="A65" s="225">
        <f t="shared" si="1"/>
        <v>57</v>
      </c>
      <c r="B65" s="748"/>
      <c r="C65" s="735"/>
      <c r="D65" s="735" t="s">
        <v>2390</v>
      </c>
      <c r="E65" s="735"/>
      <c r="F65" s="735"/>
      <c r="G65" s="735"/>
      <c r="H65" s="735" t="s">
        <v>2391</v>
      </c>
      <c r="I65" s="737"/>
      <c r="J65" s="736"/>
      <c r="K65" s="737"/>
      <c r="L65" s="736"/>
      <c r="M65" s="736"/>
      <c r="N65" s="736"/>
      <c r="O65" s="736"/>
      <c r="P65" s="738"/>
      <c r="Q65" s="736" t="s">
        <v>819</v>
      </c>
      <c r="R65" s="739"/>
      <c r="S65" s="736" t="s">
        <v>862</v>
      </c>
      <c r="T65" s="739"/>
      <c r="U65" s="736"/>
      <c r="V65" s="726"/>
      <c r="W65" s="726" t="s">
        <v>863</v>
      </c>
      <c r="X65" s="749"/>
      <c r="Y65" s="749"/>
      <c r="Z65" s="750"/>
      <c r="AA65" s="751"/>
      <c r="AB65" s="736"/>
      <c r="AC65" s="752"/>
      <c r="AD65" s="736"/>
      <c r="AE65" s="739"/>
      <c r="AF65" s="739"/>
    </row>
    <row r="66" spans="1:1019" s="523" customFormat="1" ht="13.5" customHeight="1">
      <c r="A66" s="225">
        <f t="shared" si="1"/>
        <v>58</v>
      </c>
      <c r="B66" s="748"/>
      <c r="C66" s="735"/>
      <c r="D66" s="735" t="s">
        <v>2392</v>
      </c>
      <c r="E66" s="735"/>
      <c r="F66" s="735"/>
      <c r="G66" s="735"/>
      <c r="H66" s="735" t="s">
        <v>2393</v>
      </c>
      <c r="I66" s="737"/>
      <c r="J66" s="736"/>
      <c r="K66" s="737" t="s">
        <v>870</v>
      </c>
      <c r="L66" s="736"/>
      <c r="M66" s="736"/>
      <c r="N66" s="736"/>
      <c r="O66" s="736"/>
      <c r="P66" s="738"/>
      <c r="Q66" s="736" t="s">
        <v>819</v>
      </c>
      <c r="R66" s="739"/>
      <c r="S66" s="736" t="s">
        <v>862</v>
      </c>
      <c r="T66" s="739"/>
      <c r="U66" s="736"/>
      <c r="V66" s="726"/>
      <c r="W66" s="726" t="s">
        <v>863</v>
      </c>
      <c r="X66" s="749"/>
      <c r="Y66" s="749"/>
      <c r="Z66" s="750"/>
      <c r="AA66" s="751"/>
      <c r="AB66" s="736"/>
      <c r="AC66" s="752"/>
      <c r="AD66" s="736"/>
      <c r="AE66" s="739"/>
      <c r="AF66" s="739"/>
    </row>
    <row r="67" spans="1:1019" s="224" customFormat="1" ht="13.5" customHeight="1">
      <c r="A67" s="225">
        <f t="shared" si="1"/>
        <v>59</v>
      </c>
      <c r="B67" s="733"/>
      <c r="C67" s="733" t="s">
        <v>2394</v>
      </c>
      <c r="D67" s="746"/>
      <c r="E67" s="741"/>
      <c r="F67" s="741"/>
      <c r="G67" s="741"/>
      <c r="H67" s="720"/>
      <c r="I67" s="742"/>
      <c r="J67" s="722"/>
      <c r="K67" s="717" t="s">
        <v>1544</v>
      </c>
      <c r="L67" s="722"/>
      <c r="M67" s="722"/>
      <c r="N67" s="722"/>
      <c r="O67" s="722"/>
      <c r="P67" s="723"/>
      <c r="Q67" s="722" t="s">
        <v>816</v>
      </c>
      <c r="R67" s="724" t="s">
        <v>863</v>
      </c>
      <c r="S67" s="725" t="s">
        <v>1544</v>
      </c>
      <c r="T67" s="724"/>
      <c r="U67" s="722"/>
      <c r="V67" s="726" t="s">
        <v>863</v>
      </c>
      <c r="W67" s="726" t="s">
        <v>863</v>
      </c>
      <c r="X67" s="726"/>
      <c r="Y67" s="726"/>
      <c r="Z67" s="727"/>
      <c r="AA67" s="728"/>
      <c r="AB67" s="722"/>
      <c r="AC67" s="729"/>
      <c r="AD67" s="722"/>
      <c r="AE67" s="724"/>
      <c r="AF67" s="724"/>
    </row>
    <row r="68" spans="1:1019" s="224" customFormat="1" ht="13.5" customHeight="1">
      <c r="A68" s="225">
        <f t="shared" si="1"/>
        <v>60</v>
      </c>
      <c r="B68" s="733"/>
      <c r="C68" s="733"/>
      <c r="D68" s="734" t="s">
        <v>2395</v>
      </c>
      <c r="E68" s="732"/>
      <c r="F68" s="732"/>
      <c r="G68" s="732"/>
      <c r="H68" s="722" t="s">
        <v>2396</v>
      </c>
      <c r="I68" s="717" t="s">
        <v>2397</v>
      </c>
      <c r="J68" s="722"/>
      <c r="K68" s="717" t="s">
        <v>2398</v>
      </c>
      <c r="L68" s="722"/>
      <c r="M68" s="722"/>
      <c r="N68" s="722"/>
      <c r="O68" s="722"/>
      <c r="P68" s="723"/>
      <c r="Q68" s="722" t="s">
        <v>819</v>
      </c>
      <c r="R68" s="724"/>
      <c r="S68" s="722" t="s">
        <v>862</v>
      </c>
      <c r="T68" s="724" t="s">
        <v>863</v>
      </c>
      <c r="U68" s="722"/>
      <c r="V68" s="726" t="s">
        <v>863</v>
      </c>
      <c r="W68" s="726" t="s">
        <v>863</v>
      </c>
      <c r="X68" s="726"/>
      <c r="Y68" s="726"/>
      <c r="Z68" s="727"/>
      <c r="AA68" s="728"/>
      <c r="AB68" s="722"/>
      <c r="AC68" s="729"/>
      <c r="AD68" s="722"/>
      <c r="AE68" s="724"/>
      <c r="AF68" s="724"/>
    </row>
    <row r="69" spans="1:1019" s="224" customFormat="1" ht="13.5" customHeight="1">
      <c r="A69" s="225">
        <f t="shared" si="1"/>
        <v>61</v>
      </c>
      <c r="B69" s="733"/>
      <c r="C69" s="733"/>
      <c r="D69" s="734" t="s">
        <v>2399</v>
      </c>
      <c r="E69" s="732"/>
      <c r="F69" s="732"/>
      <c r="G69" s="732"/>
      <c r="H69" s="722" t="s">
        <v>2400</v>
      </c>
      <c r="I69" s="717" t="s">
        <v>1675</v>
      </c>
      <c r="J69" s="722"/>
      <c r="K69" s="717" t="s">
        <v>1676</v>
      </c>
      <c r="L69" s="722"/>
      <c r="M69" s="722"/>
      <c r="N69" s="722"/>
      <c r="O69" s="722"/>
      <c r="P69" s="723"/>
      <c r="Q69" s="722" t="s">
        <v>819</v>
      </c>
      <c r="R69" s="724"/>
      <c r="S69" s="722" t="s">
        <v>862</v>
      </c>
      <c r="T69" s="724" t="s">
        <v>863</v>
      </c>
      <c r="U69" s="722"/>
      <c r="V69" s="726" t="s">
        <v>863</v>
      </c>
      <c r="W69" s="726" t="s">
        <v>863</v>
      </c>
      <c r="X69" s="726"/>
      <c r="Y69" s="726"/>
      <c r="Z69" s="727"/>
      <c r="AA69" s="728"/>
      <c r="AB69" s="722"/>
      <c r="AC69" s="729"/>
      <c r="AD69" s="722"/>
      <c r="AE69" s="724"/>
      <c r="AF69" s="724"/>
    </row>
    <row r="70" spans="1:1019" s="224" customFormat="1" ht="13.5" customHeight="1">
      <c r="A70" s="225">
        <f t="shared" si="1"/>
        <v>62</v>
      </c>
      <c r="B70" s="733"/>
      <c r="C70" s="733"/>
      <c r="D70" s="734" t="s">
        <v>2401</v>
      </c>
      <c r="E70" s="732"/>
      <c r="F70" s="732"/>
      <c r="G70" s="732"/>
      <c r="H70" s="745" t="s">
        <v>2402</v>
      </c>
      <c r="I70" s="717" t="s">
        <v>2307</v>
      </c>
      <c r="J70" s="722"/>
      <c r="K70" s="717" t="s">
        <v>1574</v>
      </c>
      <c r="L70" s="722"/>
      <c r="M70" s="722"/>
      <c r="N70" s="722"/>
      <c r="O70" s="722"/>
      <c r="P70" s="723"/>
      <c r="Q70" s="722" t="s">
        <v>819</v>
      </c>
      <c r="R70" s="724"/>
      <c r="S70" s="722" t="s">
        <v>862</v>
      </c>
      <c r="T70" s="724" t="s">
        <v>863</v>
      </c>
      <c r="U70" s="722"/>
      <c r="V70" s="726" t="s">
        <v>863</v>
      </c>
      <c r="W70" s="726" t="s">
        <v>863</v>
      </c>
      <c r="X70" s="726"/>
      <c r="Y70" s="726"/>
      <c r="Z70" s="727"/>
      <c r="AA70" s="728"/>
      <c r="AB70" s="722"/>
      <c r="AC70" s="729"/>
      <c r="AD70" s="722"/>
      <c r="AE70" s="724"/>
      <c r="AF70" s="724"/>
    </row>
    <row r="71" spans="1:1019" s="224" customFormat="1" ht="12" customHeight="1">
      <c r="A71" s="225">
        <f>SUBTOTAL(103,createCase2912[ID])</f>
        <v>62</v>
      </c>
      <c r="C71" s="225">
        <f>SUBTOTAL(103,createCase2912[Donnée (Niveau 2)])</f>
        <v>26</v>
      </c>
      <c r="D71" s="225">
        <f>SUBTOTAL(103,createCase2912[Donnée (Niveau 3)])</f>
        <v>29</v>
      </c>
      <c r="E71" s="225">
        <f>SUBTOTAL(103,createCase2912[Donnée (Niveau 4)])</f>
        <v>2</v>
      </c>
      <c r="F71" s="225">
        <f>SUBTOTAL(103,createCase2912[Donnée (Niveau 5)])</f>
        <v>0</v>
      </c>
      <c r="G71" s="225">
        <f>SUBTOTAL(103,createCase2912[Donnée (Niveau 6)])</f>
        <v>0</v>
      </c>
      <c r="H71" s="225">
        <f>SUBTOTAL(103,createCase2912[Description])</f>
        <v>46</v>
      </c>
      <c r="I71" s="225">
        <f>SUBTOTAL(103,createCase2912[Exemples])</f>
        <v>35</v>
      </c>
      <c r="J71" s="225">
        <f>SUBTOTAL(103,createCase2912[Balise NexSIS])</f>
        <v>0</v>
      </c>
      <c r="K71" s="239">
        <f>SUBTOTAL(103,createCase2912[Nouvelle balise])</f>
        <v>58</v>
      </c>
      <c r="L71" s="225">
        <f>SUBTOTAL(103,createCase2912[Nantes - balise])</f>
        <v>0</v>
      </c>
      <c r="M71" s="225">
        <f>SUBTOTAL(103,createCase2912[Nantes - description])</f>
        <v>0</v>
      </c>
      <c r="N71" s="225">
        <f>SUBTOTAL(103,createCase2912[GT399])</f>
        <v>0</v>
      </c>
      <c r="O71" s="225">
        <f>SUBTOTAL(103,createCase2912[GT399 description])</f>
        <v>0</v>
      </c>
      <c r="P71" s="234">
        <f>SUBTOTAL(103,createCase2912[Priorisation])</f>
        <v>0</v>
      </c>
      <c r="Q71" s="225"/>
      <c r="R71" s="274">
        <f>SUBTOTAL(103,createCase2912[Objet])</f>
        <v>15</v>
      </c>
      <c r="S71" s="225">
        <f>SUBTOTAL(103,createCase2912[Format (ou type)])</f>
        <v>61</v>
      </c>
      <c r="T71" s="274"/>
      <c r="U71" s="225"/>
      <c r="V71" s="225"/>
      <c r="W71" s="225"/>
      <c r="X71" s="225"/>
      <c r="Y71" s="225"/>
      <c r="AA71" s="271">
        <f>SUBTOTAL(103,createCase2912[Commentaire Hub Santé])</f>
        <v>0</v>
      </c>
      <c r="AB71" s="225">
        <f>SUBTOTAL(103,createCase2912[Commentaire Philippe Dreyfus])</f>
        <v>0</v>
      </c>
      <c r="AC71" s="239"/>
      <c r="AD71" s="225">
        <f>SUBTOTAL(103,createCase2912[Commentaire Yann Penverne])</f>
        <v>0</v>
      </c>
      <c r="AE71" s="225">
        <f>SUBTOTAL(103,createCase2912[NexSIS])-COUNTIFS(createCase2912[NexSIS],"=X")</f>
        <v>0</v>
      </c>
      <c r="AF71" s="225">
        <f>SUBTOTAL(103,createCase2912[Métier])-COUNTIFS(createCase2912[Métier],"=X")</f>
        <v>0</v>
      </c>
    </row>
    <row r="72" spans="1:1019" s="128" customFormat="1" ht="12" customHeight="1">
      <c r="A72" s="3"/>
      <c r="B72" s="3"/>
      <c r="C72" s="131"/>
      <c r="D72" s="131"/>
      <c r="E72" s="131"/>
      <c r="F72" s="131"/>
      <c r="G72" s="5"/>
      <c r="H72" s="155"/>
      <c r="I72" s="225"/>
      <c r="J72" s="5"/>
      <c r="K72" s="155"/>
      <c r="L72" s="5"/>
      <c r="M72" s="5"/>
      <c r="N72" s="5"/>
      <c r="O72" s="5"/>
      <c r="P72" s="188"/>
      <c r="Q72" s="5"/>
      <c r="R72" s="56"/>
      <c r="S72" s="5"/>
      <c r="T72" s="56"/>
      <c r="U72" s="56"/>
      <c r="V72" s="56"/>
      <c r="W72" s="56"/>
      <c r="X72" s="56"/>
      <c r="Y72" s="56"/>
      <c r="Z72"/>
      <c r="AA72" s="178"/>
      <c r="AB72" s="5"/>
      <c r="AC72" s="159"/>
      <c r="AD72" s="56"/>
      <c r="AF72" s="56"/>
      <c r="AMC72"/>
      <c r="AMD72"/>
      <c r="AME72"/>
    </row>
    <row r="73" spans="1:1019" s="128" customFormat="1" ht="12" customHeight="1">
      <c r="A73" s="129"/>
      <c r="B73" s="129"/>
      <c r="C73" s="129"/>
      <c r="D73" s="129"/>
      <c r="E73" s="129"/>
      <c r="F73" s="129"/>
      <c r="G73" s="96"/>
      <c r="H73" s="96"/>
      <c r="I73" s="225"/>
      <c r="J73" s="96"/>
      <c r="K73" s="159"/>
      <c r="L73" s="96"/>
      <c r="M73" s="96"/>
      <c r="N73" s="96"/>
      <c r="O73" s="96"/>
      <c r="P73" s="173"/>
      <c r="Q73" s="96"/>
      <c r="R73" s="277"/>
      <c r="S73" s="96"/>
      <c r="T73" s="277"/>
      <c r="U73" s="96"/>
      <c r="V73" s="96"/>
      <c r="W73" s="96"/>
      <c r="X73" s="96"/>
      <c r="Y73" s="96"/>
      <c r="Z73"/>
      <c r="AA73" s="179"/>
      <c r="AB73" s="96"/>
      <c r="AC73" s="159"/>
      <c r="AD73" s="96"/>
      <c r="AF73" s="96"/>
      <c r="AMC73"/>
      <c r="AMD73"/>
      <c r="AME73"/>
    </row>
    <row r="74" spans="1:1019" s="128" customFormat="1" ht="12" customHeight="1">
      <c r="I74" s="224"/>
      <c r="P74" s="174"/>
      <c r="R74" s="277"/>
      <c r="S74" s="96"/>
      <c r="T74" s="277"/>
      <c r="U74" s="96"/>
      <c r="V74" s="96"/>
      <c r="W74" s="96"/>
      <c r="X74" s="96"/>
      <c r="Y74" s="96"/>
      <c r="Z74"/>
      <c r="AA74" s="179"/>
      <c r="AB74" s="96"/>
      <c r="AC74" s="159"/>
      <c r="AD74" s="96"/>
      <c r="AF74" s="96"/>
      <c r="AMC74"/>
      <c r="AMD74"/>
      <c r="AME74"/>
    </row>
    <row r="75" spans="1:1019" s="128" customFormat="1" ht="12" customHeight="1">
      <c r="I75" s="224"/>
      <c r="P75" s="174"/>
      <c r="R75" s="277"/>
      <c r="S75" s="96"/>
      <c r="T75" s="277"/>
      <c r="U75" s="96"/>
      <c r="V75" s="96"/>
      <c r="W75" s="96"/>
      <c r="X75" s="96"/>
      <c r="Y75" s="96"/>
      <c r="Z75"/>
      <c r="AA75" s="179"/>
      <c r="AB75" s="96"/>
      <c r="AC75" s="159"/>
      <c r="AD75" s="96"/>
      <c r="AF75" s="96"/>
      <c r="AMC75"/>
      <c r="AMD75"/>
      <c r="AME75"/>
    </row>
    <row r="76" spans="1:1019" s="128" customFormat="1" ht="12" customHeight="1">
      <c r="I76" s="224"/>
      <c r="P76" s="174"/>
      <c r="R76" s="277"/>
      <c r="S76" s="96"/>
      <c r="T76" s="277"/>
      <c r="U76" s="96"/>
      <c r="V76" s="96"/>
      <c r="W76" s="96"/>
      <c r="X76" s="96"/>
      <c r="Y76" s="96"/>
      <c r="Z76"/>
      <c r="AA76" s="179"/>
      <c r="AB76" s="96"/>
      <c r="AC76" s="159"/>
      <c r="AD76" s="96"/>
      <c r="AF76" s="96"/>
      <c r="AMC76"/>
      <c r="AMD76"/>
      <c r="AME76"/>
    </row>
    <row r="77" spans="1:1019" s="128" customFormat="1" ht="12" customHeight="1">
      <c r="I77" s="224"/>
      <c r="P77" s="174"/>
      <c r="R77" s="277"/>
      <c r="S77" s="96"/>
      <c r="T77" s="277"/>
      <c r="U77" s="96"/>
      <c r="V77" s="96"/>
      <c r="W77" s="96"/>
      <c r="X77" s="96"/>
      <c r="Y77" s="96"/>
      <c r="Z77"/>
      <c r="AA77" s="179"/>
      <c r="AB77" s="96"/>
      <c r="AC77" s="159"/>
      <c r="AD77" s="96"/>
      <c r="AF77" s="96"/>
      <c r="AMC77"/>
      <c r="AMD77"/>
      <c r="AME77"/>
    </row>
    <row r="78" spans="1:1019" ht="12" customHeight="1">
      <c r="G78" s="128"/>
      <c r="H78" s="128"/>
      <c r="I78" s="224"/>
      <c r="J78" s="128"/>
      <c r="K78" s="128"/>
      <c r="L78" s="128"/>
      <c r="M78" s="128"/>
      <c r="N78" s="128"/>
      <c r="O78" s="128"/>
      <c r="P78" s="174"/>
      <c r="Q78" s="128"/>
    </row>
    <row r="79" spans="1:1019" s="117" customFormat="1" ht="12" customHeight="1">
      <c r="A79" s="128"/>
      <c r="B79" s="128"/>
      <c r="C79" s="128"/>
      <c r="D79" s="128"/>
      <c r="E79" s="128"/>
      <c r="F79" s="128"/>
      <c r="G79" s="96"/>
      <c r="H79" s="96"/>
      <c r="I79" s="225"/>
      <c r="J79" s="96"/>
      <c r="K79" s="159"/>
      <c r="L79" s="96"/>
      <c r="M79" s="96"/>
      <c r="N79" s="96"/>
      <c r="O79" s="96"/>
      <c r="P79" s="173"/>
      <c r="Q79" s="96"/>
      <c r="R79" s="277"/>
      <c r="S79" s="96"/>
      <c r="T79" s="277"/>
      <c r="U79" s="96"/>
      <c r="V79" s="96"/>
      <c r="W79" s="96"/>
      <c r="X79" s="96"/>
      <c r="Y79" s="96"/>
      <c r="Z79"/>
      <c r="AA79" s="179"/>
      <c r="AB79" s="96"/>
      <c r="AC79" s="161"/>
      <c r="AD79" s="96"/>
      <c r="AF79" s="96"/>
      <c r="AMD79"/>
    </row>
    <row r="80" spans="1:1019" ht="12" customHeight="1">
      <c r="A80" s="117"/>
      <c r="B80" s="117"/>
      <c r="C80" s="117"/>
      <c r="D80" s="117"/>
      <c r="E80" s="117"/>
      <c r="F80" s="117"/>
      <c r="G80" s="117"/>
      <c r="H80" s="117"/>
      <c r="I80" s="251"/>
      <c r="J80" s="117"/>
      <c r="K80" s="117"/>
      <c r="L80" s="117"/>
      <c r="M80" s="117"/>
      <c r="N80" s="117"/>
      <c r="O80" s="117"/>
      <c r="P80" s="189"/>
      <c r="Q80" s="117"/>
    </row>
    <row r="81" spans="1:32" ht="12" customHeight="1">
      <c r="R81" s="125"/>
      <c r="S81" s="112"/>
      <c r="T81" s="125"/>
      <c r="U81" s="112"/>
      <c r="V81" s="112"/>
      <c r="W81" s="112"/>
      <c r="X81" s="112"/>
      <c r="Y81" s="112"/>
      <c r="AA81" s="180"/>
      <c r="AB81" s="112"/>
      <c r="AD81" s="112"/>
      <c r="AF81" s="112"/>
    </row>
    <row r="93" spans="1:32" ht="12" customHeight="1">
      <c r="A93" s="130"/>
      <c r="B93" s="130"/>
      <c r="C93" s="130"/>
      <c r="D93" s="130"/>
      <c r="E93" s="130"/>
      <c r="F93" s="130"/>
    </row>
    <row r="94" spans="1:32" ht="12" customHeight="1">
      <c r="A94" s="130"/>
      <c r="B94" s="130"/>
      <c r="C94" s="130"/>
      <c r="D94" s="130"/>
      <c r="E94" s="130"/>
      <c r="F94" s="130"/>
    </row>
    <row r="95" spans="1:32" ht="12" customHeight="1">
      <c r="A95" s="130"/>
      <c r="B95" s="130"/>
      <c r="C95" s="130"/>
      <c r="D95" s="130"/>
      <c r="E95" s="130"/>
      <c r="F95" s="130"/>
    </row>
    <row r="96" spans="1:32" ht="12" customHeight="1">
      <c r="A96" s="130"/>
      <c r="B96" s="130"/>
      <c r="C96" s="130"/>
      <c r="D96" s="130"/>
      <c r="E96" s="130"/>
      <c r="F96" s="130"/>
    </row>
    <row r="97" spans="1:1018" ht="12" customHeight="1">
      <c r="A97" s="130"/>
      <c r="B97" s="130"/>
      <c r="C97" s="130"/>
      <c r="D97" s="130"/>
      <c r="E97" s="130"/>
      <c r="F97" s="130"/>
    </row>
    <row r="98" spans="1:1018" ht="12" customHeight="1">
      <c r="A98" s="130"/>
      <c r="B98" s="130"/>
      <c r="C98" s="130"/>
      <c r="D98" s="130"/>
      <c r="E98" s="130"/>
      <c r="F98" s="130"/>
    </row>
    <row r="99" spans="1:1018" ht="12" customHeight="1">
      <c r="A99" s="130"/>
      <c r="B99" s="130"/>
      <c r="C99" s="130"/>
      <c r="D99" s="130"/>
      <c r="E99" s="130"/>
      <c r="F99" s="130"/>
    </row>
    <row r="100" spans="1:1018" ht="12" customHeight="1">
      <c r="A100" s="130"/>
      <c r="B100" s="130"/>
      <c r="C100" s="130"/>
      <c r="D100" s="130"/>
      <c r="E100" s="130"/>
      <c r="F100" s="130"/>
    </row>
    <row r="101" spans="1:1018" ht="12" customHeight="1">
      <c r="A101" s="129"/>
      <c r="B101" s="129"/>
      <c r="C101" s="129"/>
      <c r="D101" s="129"/>
      <c r="E101" s="129"/>
      <c r="F101" s="129"/>
    </row>
    <row r="102" spans="1:1018" ht="12" customHeight="1">
      <c r="A102" s="129"/>
      <c r="B102" s="129"/>
      <c r="C102" s="129"/>
      <c r="D102" s="129"/>
      <c r="E102" s="129"/>
      <c r="F102" s="129"/>
    </row>
    <row r="103" spans="1:1018" ht="12" customHeight="1">
      <c r="A103" s="129"/>
      <c r="B103" s="129"/>
      <c r="C103" s="129"/>
      <c r="D103" s="129"/>
      <c r="E103" s="129"/>
      <c r="F103" s="129"/>
    </row>
    <row r="104" spans="1:1018" ht="12" customHeight="1">
      <c r="A104" s="129"/>
      <c r="B104" s="129"/>
      <c r="C104" s="129"/>
      <c r="D104" s="129"/>
      <c r="E104" s="129"/>
      <c r="F104" s="129"/>
    </row>
    <row r="105" spans="1:1018" ht="12" customHeight="1">
      <c r="A105" s="129"/>
      <c r="B105" s="129"/>
      <c r="C105" s="129"/>
      <c r="D105" s="129"/>
      <c r="E105" s="129"/>
      <c r="F105" s="129"/>
    </row>
    <row r="106" spans="1:1018" ht="12" customHeight="1">
      <c r="A106" s="129"/>
      <c r="B106" s="129"/>
      <c r="C106" s="129"/>
      <c r="D106" s="129"/>
      <c r="E106" s="129"/>
      <c r="F106" s="129"/>
    </row>
    <row r="107" spans="1:1018" ht="12" customHeight="1">
      <c r="A107" s="129"/>
      <c r="B107" s="129"/>
      <c r="C107" s="129"/>
      <c r="D107" s="129"/>
      <c r="E107" s="129"/>
      <c r="F107" s="129"/>
    </row>
    <row r="108" spans="1:1018" s="117" customFormat="1" ht="12" customHeight="1">
      <c r="A108" s="129"/>
      <c r="B108" s="129"/>
      <c r="C108" s="129"/>
      <c r="D108" s="129"/>
      <c r="E108" s="129"/>
      <c r="F108" s="129"/>
      <c r="G108" s="96"/>
      <c r="H108" s="96"/>
      <c r="I108" s="225"/>
      <c r="J108" s="96"/>
      <c r="K108" s="159"/>
      <c r="L108" s="96"/>
      <c r="M108" s="96"/>
      <c r="N108" s="96"/>
      <c r="O108" s="96"/>
      <c r="P108" s="173"/>
      <c r="Q108" s="96"/>
      <c r="R108" s="277"/>
      <c r="S108" s="96"/>
      <c r="T108" s="277"/>
      <c r="U108" s="96"/>
      <c r="V108" s="96"/>
      <c r="W108" s="96"/>
      <c r="X108" s="96"/>
      <c r="Y108" s="96"/>
      <c r="Z108"/>
      <c r="AA108" s="179"/>
      <c r="AB108" s="96"/>
      <c r="AC108" s="161"/>
      <c r="AD108" s="96"/>
      <c r="AF108" s="96"/>
      <c r="AMD108"/>
    </row>
    <row r="109" spans="1:1018" s="117" customFormat="1" ht="12" customHeight="1">
      <c r="A109" s="130"/>
      <c r="B109" s="130"/>
      <c r="C109" s="130"/>
      <c r="D109" s="130"/>
      <c r="E109" s="130"/>
      <c r="F109" s="130"/>
      <c r="G109" s="96"/>
      <c r="H109" s="96"/>
      <c r="I109" s="225"/>
      <c r="J109" s="96"/>
      <c r="K109" s="159"/>
      <c r="L109" s="96"/>
      <c r="M109" s="96"/>
      <c r="N109" s="96"/>
      <c r="O109" s="96"/>
      <c r="P109" s="173"/>
      <c r="Q109" s="96"/>
      <c r="R109" s="277"/>
      <c r="S109" s="96"/>
      <c r="T109" s="277"/>
      <c r="U109" s="96"/>
      <c r="V109" s="96"/>
      <c r="W109" s="96"/>
      <c r="X109" s="96"/>
      <c r="Y109" s="96"/>
      <c r="Z109"/>
      <c r="AA109" s="179"/>
      <c r="AB109" s="96"/>
      <c r="AC109" s="161"/>
      <c r="AD109" s="96"/>
      <c r="AF109" s="96"/>
      <c r="AMD109"/>
    </row>
    <row r="110" spans="1:1018" s="117" customFormat="1" ht="12" customHeight="1">
      <c r="A110" s="123"/>
      <c r="B110" s="123"/>
      <c r="C110" s="123"/>
      <c r="D110" s="123"/>
      <c r="E110" s="123"/>
      <c r="F110" s="123"/>
      <c r="G110" s="112"/>
      <c r="H110" s="112"/>
      <c r="I110" s="276"/>
      <c r="J110" s="112"/>
      <c r="K110" s="161"/>
      <c r="L110" s="112"/>
      <c r="M110" s="112"/>
      <c r="N110" s="112"/>
      <c r="O110" s="112"/>
      <c r="P110" s="190"/>
      <c r="Q110" s="112"/>
      <c r="R110" s="125"/>
      <c r="S110" s="112"/>
      <c r="T110" s="125"/>
      <c r="U110" s="112"/>
      <c r="V110" s="112"/>
      <c r="W110" s="112"/>
      <c r="X110" s="112"/>
      <c r="Y110" s="112"/>
      <c r="Z110"/>
      <c r="AA110" s="180"/>
      <c r="AB110" s="112"/>
      <c r="AC110" s="161"/>
      <c r="AD110" s="112"/>
      <c r="AF110" s="112"/>
      <c r="AMD110"/>
    </row>
    <row r="111" spans="1:1018" s="117" customFormat="1" ht="12" customHeight="1">
      <c r="A111" s="123"/>
      <c r="B111" s="123"/>
      <c r="C111" s="123"/>
      <c r="D111" s="123"/>
      <c r="E111" s="123"/>
      <c r="F111" s="123"/>
      <c r="G111" s="112"/>
      <c r="H111" s="112"/>
      <c r="I111" s="276"/>
      <c r="J111" s="112"/>
      <c r="K111" s="161"/>
      <c r="L111" s="112"/>
      <c r="M111" s="112"/>
      <c r="N111" s="112"/>
      <c r="O111" s="112"/>
      <c r="P111" s="190"/>
      <c r="Q111" s="112"/>
      <c r="R111" s="125"/>
      <c r="S111" s="112"/>
      <c r="T111" s="125"/>
      <c r="U111" s="112"/>
      <c r="V111" s="112"/>
      <c r="W111" s="112"/>
      <c r="X111" s="112"/>
      <c r="Y111" s="112"/>
      <c r="Z111"/>
      <c r="AA111" s="180"/>
      <c r="AB111" s="112"/>
      <c r="AC111" s="161"/>
      <c r="AD111" s="112"/>
      <c r="AF111" s="112"/>
      <c r="AMD111"/>
    </row>
    <row r="112" spans="1:1018" s="117" customFormat="1" ht="12" customHeight="1">
      <c r="A112" s="123"/>
      <c r="B112" s="123"/>
      <c r="C112" s="123"/>
      <c r="D112" s="123"/>
      <c r="E112" s="123"/>
      <c r="F112" s="123"/>
      <c r="G112" s="112"/>
      <c r="H112" s="112"/>
      <c r="I112" s="276"/>
      <c r="J112" s="112"/>
      <c r="K112" s="161"/>
      <c r="L112" s="112"/>
      <c r="M112" s="112"/>
      <c r="N112" s="112"/>
      <c r="O112" s="112"/>
      <c r="P112" s="190"/>
      <c r="Q112" s="112"/>
      <c r="R112" s="125"/>
      <c r="S112" s="112"/>
      <c r="T112" s="125"/>
      <c r="U112" s="112"/>
      <c r="V112" s="112"/>
      <c r="W112" s="112"/>
      <c r="X112" s="112"/>
      <c r="Y112" s="112"/>
      <c r="Z112"/>
      <c r="AA112" s="180"/>
      <c r="AB112" s="112"/>
      <c r="AC112" s="161"/>
      <c r="AD112" s="112"/>
      <c r="AF112" s="112"/>
      <c r="AMD112"/>
    </row>
    <row r="113" spans="1:1018" s="117" customFormat="1" ht="12" customHeight="1">
      <c r="A113" s="123"/>
      <c r="B113" s="123"/>
      <c r="C113" s="123"/>
      <c r="D113" s="123"/>
      <c r="E113" s="123"/>
      <c r="F113" s="123"/>
      <c r="G113" s="112"/>
      <c r="H113" s="112"/>
      <c r="I113" s="276"/>
      <c r="J113" s="112"/>
      <c r="K113" s="161"/>
      <c r="L113" s="112"/>
      <c r="M113" s="112"/>
      <c r="N113" s="112"/>
      <c r="O113" s="112"/>
      <c r="P113" s="190"/>
      <c r="Q113" s="112"/>
      <c r="R113" s="125"/>
      <c r="S113" s="112"/>
      <c r="T113" s="125"/>
      <c r="U113" s="112"/>
      <c r="V113" s="112"/>
      <c r="W113" s="112"/>
      <c r="X113" s="112"/>
      <c r="Y113" s="112"/>
      <c r="Z113"/>
      <c r="AA113" s="180"/>
      <c r="AB113" s="112"/>
      <c r="AC113" s="161"/>
      <c r="AD113" s="112"/>
      <c r="AF113" s="112"/>
      <c r="AMD113"/>
    </row>
    <row r="114" spans="1:1018" s="117" customFormat="1" ht="12" customHeight="1">
      <c r="A114" s="123"/>
      <c r="B114" s="123"/>
      <c r="C114" s="123"/>
      <c r="D114" s="123"/>
      <c r="E114" s="123"/>
      <c r="F114" s="123"/>
      <c r="G114" s="112"/>
      <c r="H114" s="112"/>
      <c r="I114" s="276"/>
      <c r="J114" s="112"/>
      <c r="K114" s="161"/>
      <c r="L114" s="112"/>
      <c r="M114" s="112"/>
      <c r="N114" s="112"/>
      <c r="O114" s="112"/>
      <c r="P114" s="190"/>
      <c r="Q114" s="112"/>
      <c r="R114" s="125"/>
      <c r="S114" s="112"/>
      <c r="T114" s="125"/>
      <c r="U114" s="112"/>
      <c r="V114" s="112"/>
      <c r="W114" s="112"/>
      <c r="X114" s="112"/>
      <c r="Y114" s="112"/>
      <c r="Z114"/>
      <c r="AA114" s="180"/>
      <c r="AB114" s="112"/>
      <c r="AC114" s="161"/>
      <c r="AD114" s="112"/>
      <c r="AF114" s="112"/>
      <c r="AMD114"/>
    </row>
    <row r="115" spans="1:1018" ht="12" customHeight="1">
      <c r="A115" s="123"/>
      <c r="B115" s="123"/>
      <c r="C115" s="123"/>
      <c r="D115" s="123"/>
      <c r="E115" s="123"/>
      <c r="F115" s="123"/>
      <c r="G115" s="112"/>
      <c r="H115" s="112"/>
      <c r="I115" s="276"/>
      <c r="J115" s="112"/>
      <c r="K115" s="161"/>
      <c r="L115" s="112"/>
      <c r="M115" s="112"/>
      <c r="N115" s="112"/>
      <c r="O115" s="112"/>
      <c r="P115" s="190"/>
      <c r="Q115" s="112"/>
      <c r="R115" s="125"/>
      <c r="S115" s="112"/>
      <c r="T115" s="125"/>
      <c r="U115" s="112"/>
      <c r="V115" s="112"/>
      <c r="W115" s="112"/>
      <c r="X115" s="112"/>
      <c r="Y115" s="112"/>
      <c r="AA115" s="180"/>
      <c r="AB115" s="112"/>
      <c r="AD115" s="112"/>
      <c r="AF115" s="112"/>
    </row>
    <row r="116" spans="1:1018" ht="12" customHeight="1">
      <c r="A116" s="123"/>
      <c r="B116" s="123"/>
      <c r="C116" s="123"/>
      <c r="D116" s="123"/>
      <c r="E116" s="123"/>
      <c r="F116" s="123"/>
      <c r="G116" s="112"/>
      <c r="H116" s="112"/>
      <c r="I116" s="276"/>
      <c r="J116" s="112"/>
      <c r="K116" s="161"/>
      <c r="L116" s="112"/>
      <c r="M116" s="112"/>
      <c r="N116" s="112"/>
      <c r="O116" s="112"/>
      <c r="P116" s="190"/>
      <c r="Q116" s="112"/>
      <c r="R116" s="125"/>
      <c r="S116" s="112"/>
      <c r="T116" s="125"/>
      <c r="U116" s="112"/>
      <c r="V116" s="112"/>
      <c r="W116" s="112"/>
      <c r="X116" s="112"/>
      <c r="Y116" s="112"/>
      <c r="AA116" s="180"/>
      <c r="AB116" s="112"/>
      <c r="AD116" s="112"/>
      <c r="AF116" s="112"/>
    </row>
    <row r="117" spans="1:1018" ht="12" customHeight="1">
      <c r="A117" s="130"/>
      <c r="B117" s="130"/>
      <c r="C117" s="130"/>
      <c r="D117" s="130"/>
      <c r="E117" s="130"/>
      <c r="F117" s="130"/>
    </row>
    <row r="118" spans="1:1018" ht="12" customHeight="1">
      <c r="A118" s="130"/>
      <c r="B118" s="130"/>
      <c r="C118" s="130"/>
      <c r="D118" s="130"/>
      <c r="E118" s="130"/>
      <c r="F118" s="130"/>
    </row>
    <row r="119" spans="1:1018" ht="12" customHeight="1">
      <c r="A119" s="130"/>
      <c r="B119" s="130"/>
      <c r="C119" s="130"/>
      <c r="D119" s="130"/>
      <c r="E119" s="130"/>
      <c r="F119" s="130"/>
    </row>
    <row r="120" spans="1:1018" ht="12" customHeight="1">
      <c r="A120" s="136"/>
      <c r="B120" s="136"/>
      <c r="C120" s="136"/>
      <c r="D120" s="136"/>
      <c r="E120" s="136"/>
      <c r="F120" s="136"/>
    </row>
    <row r="121" spans="1:1018" ht="12" customHeight="1">
      <c r="A121" s="136"/>
      <c r="B121" s="136"/>
      <c r="C121" s="136"/>
      <c r="D121" s="136"/>
      <c r="E121" s="136"/>
      <c r="F121" s="136"/>
    </row>
  </sheetData>
  <mergeCells count="2">
    <mergeCell ref="L7:O7"/>
    <mergeCell ref="AE7:AF7"/>
  </mergeCells>
  <phoneticPr fontId="126" type="noConversion"/>
  <conditionalFormatting sqref="A72:F73 A93:F933">
    <cfRule type="expression" dxfId="589" priority="241">
      <formula>OR($AF72="X",$AD72="X")</formula>
    </cfRule>
    <cfRule type="expression" dxfId="588" priority="242">
      <formula>AND($AF72=1,$AD72=1)</formula>
    </cfRule>
    <cfRule type="expression" dxfId="587" priority="243">
      <formula>$AF72=1</formula>
    </cfRule>
    <cfRule type="expression" dxfId="586" priority="244">
      <formula>$AD72=1</formula>
    </cfRule>
  </conditionalFormatting>
  <conditionalFormatting sqref="F1:F2">
    <cfRule type="dataBar" priority="239">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72:H73 H93:H933">
    <cfRule type="expression" dxfId="585" priority="240">
      <formula>$Q72="X"</formula>
    </cfRule>
  </conditionalFormatting>
  <conditionalFormatting sqref="Q9:Q70 J47">
    <cfRule type="cellIs" dxfId="584" priority="108" operator="equal">
      <formula>"1..1"</formula>
    </cfRule>
    <cfRule type="cellIs" dxfId="583" priority="109" operator="equal">
      <formula>"0..n"</formula>
    </cfRule>
    <cfRule type="cellIs" dxfId="582" priority="110" operator="equal">
      <formula>"0..1"</formula>
    </cfRule>
  </conditionalFormatting>
  <conditionalFormatting sqref="T9:T11">
    <cfRule type="cellIs" dxfId="581" priority="111" operator="equal">
      <formula>"1..1"</formula>
    </cfRule>
    <cfRule type="cellIs" dxfId="580" priority="112" operator="equal">
      <formula>"0..n"</formula>
    </cfRule>
    <cfRule type="cellIs" dxfId="579" priority="113" operator="equal">
      <formula>"0..1"</formula>
    </cfRule>
  </conditionalFormatting>
  <conditionalFormatting sqref="T19:T20">
    <cfRule type="cellIs" dxfId="578" priority="64" operator="equal">
      <formula>"1..1"</formula>
    </cfRule>
    <cfRule type="cellIs" dxfId="577" priority="65" operator="equal">
      <formula>"0..n"</formula>
    </cfRule>
    <cfRule type="cellIs" dxfId="576" priority="6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dimension ref="A1:AMB143"/>
  <sheetViews>
    <sheetView zoomScale="85" zoomScaleNormal="85" workbookViewId="0">
      <selection activeCell="H70" sqref="H70"/>
    </sheetView>
  </sheetViews>
  <sheetFormatPr baseColWidth="10" defaultColWidth="9.5" defaultRowHeight="15"/>
  <cols>
    <col min="1" max="1" width="4.625" style="128" customWidth="1"/>
    <col min="2" max="2" width="35.875" style="128" bestFit="1" customWidth="1"/>
    <col min="3" max="3" width="39.625" style="128" bestFit="1" customWidth="1"/>
    <col min="4" max="4" width="34.125" style="128" bestFit="1" customWidth="1"/>
    <col min="5" max="5" width="10.5" style="128" customWidth="1"/>
    <col min="6" max="6" width="11" style="128" customWidth="1"/>
    <col min="7" max="7" width="9.625" style="96" customWidth="1"/>
    <col min="8" max="8" width="62.875" style="96" customWidth="1"/>
    <col min="9" max="9" width="26.5" style="225" bestFit="1" customWidth="1"/>
    <col min="10" max="10" width="12" style="96" customWidth="1"/>
    <col min="11" max="11" width="17" style="159" bestFit="1"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7" customWidth="1"/>
    <col min="21" max="21" width="28.125" style="96" customWidth="1"/>
    <col min="22" max="22" width="8.875" style="96" hidden="1" customWidth="1"/>
    <col min="23" max="23" width="8.125" style="96" customWidth="1"/>
    <col min="24" max="24" width="8.125" style="96"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2403</v>
      </c>
      <c r="C1" s="129" t="s">
        <v>812</v>
      </c>
      <c r="E1" s="150" t="s">
        <v>813</v>
      </c>
      <c r="F1" s="157">
        <f>createCase215[[#Totals],[Métier]] / createCase215[[#Totals],[ID]]</f>
        <v>0</v>
      </c>
      <c r="G1" s="128"/>
      <c r="AC1" s="96"/>
      <c r="AE1"/>
      <c r="AF1" s="128"/>
      <c r="ALZ1"/>
    </row>
    <row r="2" spans="1:1014" ht="13.5" customHeight="1">
      <c r="C2" s="141" t="s">
        <v>817</v>
      </c>
      <c r="D2" s="284"/>
      <c r="E2" s="152" t="s">
        <v>818</v>
      </c>
      <c r="F2" s="157">
        <f>createCase215[[#Totals],[NexSIS]] / createCase215[[#Totals],[ID]]</f>
        <v>0</v>
      </c>
      <c r="G2" s="128"/>
      <c r="AC2" s="96"/>
      <c r="AE2"/>
      <c r="AF2" s="128"/>
      <c r="ALZ2"/>
    </row>
    <row r="3" spans="1:1014" ht="13.5" customHeight="1">
      <c r="C3" s="142" t="s">
        <v>820</v>
      </c>
      <c r="E3" s="151" t="s">
        <v>821</v>
      </c>
      <c r="G3" s="128"/>
      <c r="AC3" s="96"/>
      <c r="AE3"/>
      <c r="AF3" s="128"/>
      <c r="ALZ3"/>
    </row>
    <row r="4" spans="1:1014" ht="13.5" customHeight="1">
      <c r="C4" s="143" t="s">
        <v>823</v>
      </c>
      <c r="E4" s="153" t="s">
        <v>824</v>
      </c>
      <c r="G4" s="137"/>
      <c r="AC4" s="96"/>
      <c r="AE4"/>
      <c r="AF4" s="128"/>
      <c r="ALZ4"/>
    </row>
    <row r="5" spans="1:1014" s="149" customFormat="1" ht="13.5" customHeight="1">
      <c r="A5" s="128"/>
      <c r="B5" s="128"/>
      <c r="C5" s="145" t="s">
        <v>825</v>
      </c>
      <c r="D5" s="146"/>
      <c r="E5" s="290" t="s">
        <v>911</v>
      </c>
      <c r="F5" s="146"/>
      <c r="G5" s="148"/>
      <c r="H5" s="148"/>
      <c r="I5" s="275"/>
      <c r="J5" s="148"/>
      <c r="K5" s="160"/>
      <c r="L5" s="148"/>
      <c r="M5" s="148"/>
      <c r="N5" s="148"/>
      <c r="O5" s="148"/>
      <c r="P5" s="186"/>
      <c r="Q5" s="148"/>
      <c r="R5" s="148"/>
      <c r="S5" s="148"/>
      <c r="T5" s="279"/>
      <c r="U5" s="148"/>
      <c r="V5" s="148"/>
      <c r="W5" s="148"/>
      <c r="X5" s="148"/>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826</v>
      </c>
      <c r="D6" s="138"/>
      <c r="F6" s="138"/>
      <c r="AC6" s="96"/>
      <c r="AE6"/>
      <c r="AF6" s="128"/>
      <c r="ALZ6"/>
    </row>
    <row r="7" spans="1:1014" ht="13.5" customHeight="1">
      <c r="A7"/>
      <c r="B7"/>
      <c r="C7" s="138"/>
      <c r="D7" s="377"/>
      <c r="E7" s="138"/>
      <c r="F7" s="138"/>
      <c r="L7" s="814" t="s">
        <v>827</v>
      </c>
      <c r="M7" s="814"/>
      <c r="N7" s="814"/>
      <c r="O7" s="814"/>
      <c r="V7" s="815" t="s">
        <v>828</v>
      </c>
      <c r="W7" s="815"/>
      <c r="X7" s="815"/>
      <c r="AC7" s="814" t="s">
        <v>829</v>
      </c>
      <c r="AD7" s="814"/>
      <c r="AE7"/>
      <c r="AF7" s="128"/>
      <c r="ALZ7"/>
    </row>
    <row r="8" spans="1:1014" s="238" customFormat="1" ht="55.5" customHeight="1">
      <c r="A8" s="233" t="s">
        <v>830</v>
      </c>
      <c r="B8" s="381" t="s">
        <v>831</v>
      </c>
      <c r="C8" s="278" t="s">
        <v>832</v>
      </c>
      <c r="D8" s="278" t="s">
        <v>833</v>
      </c>
      <c r="E8" s="278" t="s">
        <v>834</v>
      </c>
      <c r="F8" s="278" t="s">
        <v>835</v>
      </c>
      <c r="G8" s="278" t="s">
        <v>836</v>
      </c>
      <c r="H8" s="234" t="s">
        <v>9</v>
      </c>
      <c r="I8" s="234" t="s">
        <v>837</v>
      </c>
      <c r="J8" s="234" t="s">
        <v>840</v>
      </c>
      <c r="K8" s="234" t="s">
        <v>841</v>
      </c>
      <c r="L8" s="235" t="s">
        <v>842</v>
      </c>
      <c r="M8" s="235" t="s">
        <v>843</v>
      </c>
      <c r="N8" s="235" t="s">
        <v>844</v>
      </c>
      <c r="O8" s="235" t="s">
        <v>845</v>
      </c>
      <c r="P8" s="235" t="s">
        <v>846</v>
      </c>
      <c r="Q8" s="234" t="s">
        <v>677</v>
      </c>
      <c r="R8" s="234" t="s">
        <v>3</v>
      </c>
      <c r="S8" s="234" t="s">
        <v>912</v>
      </c>
      <c r="T8" s="283" t="s">
        <v>913</v>
      </c>
      <c r="U8" s="234" t="s">
        <v>848</v>
      </c>
      <c r="V8" s="229" t="s">
        <v>849</v>
      </c>
      <c r="W8" s="229" t="s">
        <v>1610</v>
      </c>
      <c r="X8" s="229" t="s">
        <v>2404</v>
      </c>
      <c r="Y8" s="235" t="s">
        <v>852</v>
      </c>
      <c r="Z8" s="235" t="s">
        <v>853</v>
      </c>
      <c r="AA8" s="236" t="s">
        <v>854</v>
      </c>
      <c r="AB8" s="235" t="s">
        <v>855</v>
      </c>
      <c r="AC8" s="235" t="s">
        <v>856</v>
      </c>
      <c r="AD8" s="237" t="s">
        <v>914</v>
      </c>
    </row>
    <row r="9" spans="1:1014" s="224" customFormat="1" ht="13.5" customHeight="1">
      <c r="A9" s="225">
        <v>1</v>
      </c>
      <c r="B9" s="217" t="s">
        <v>2405</v>
      </c>
      <c r="C9" s="219"/>
      <c r="D9" s="677"/>
      <c r="E9" s="677"/>
      <c r="F9" s="677"/>
      <c r="G9" s="677"/>
      <c r="H9" s="668" t="s">
        <v>949</v>
      </c>
      <c r="I9" s="316" t="s">
        <v>1730</v>
      </c>
      <c r="J9" s="668"/>
      <c r="K9" s="666" t="s">
        <v>918</v>
      </c>
      <c r="L9" s="668" t="s">
        <v>952</v>
      </c>
      <c r="M9" s="668" t="s">
        <v>953</v>
      </c>
      <c r="N9" s="668"/>
      <c r="O9" s="668"/>
      <c r="P9" s="669">
        <v>1</v>
      </c>
      <c r="Q9" s="668" t="s">
        <v>819</v>
      </c>
      <c r="R9" s="670"/>
      <c r="S9" s="668" t="s">
        <v>862</v>
      </c>
      <c r="T9" s="670"/>
      <c r="U9" s="668"/>
      <c r="V9" s="667"/>
      <c r="W9" s="667" t="s">
        <v>863</v>
      </c>
      <c r="X9" s="667"/>
      <c r="Y9" s="671"/>
      <c r="Z9" s="668"/>
      <c r="AA9" s="672"/>
      <c r="AB9" s="668"/>
      <c r="AC9" s="670"/>
      <c r="AD9" s="670"/>
    </row>
    <row r="10" spans="1:1014" s="224" customFormat="1" ht="13.5" customHeight="1">
      <c r="A10" s="225">
        <v>2</v>
      </c>
      <c r="B10" s="253" t="s">
        <v>954</v>
      </c>
      <c r="C10" s="219"/>
      <c r="D10" s="221"/>
      <c r="E10" s="221"/>
      <c r="F10" s="221"/>
      <c r="G10" s="221"/>
      <c r="H10" s="668" t="s">
        <v>955</v>
      </c>
      <c r="I10" s="131" t="s">
        <v>956</v>
      </c>
      <c r="J10" s="668"/>
      <c r="K10" s="666" t="s">
        <v>924</v>
      </c>
      <c r="L10" s="668" t="s">
        <v>925</v>
      </c>
      <c r="M10" s="668" t="s">
        <v>926</v>
      </c>
      <c r="N10" s="668"/>
      <c r="O10" s="668"/>
      <c r="P10" s="669"/>
      <c r="Q10" s="668" t="s">
        <v>816</v>
      </c>
      <c r="R10" s="670"/>
      <c r="S10" s="668" t="s">
        <v>862</v>
      </c>
      <c r="T10" s="670"/>
      <c r="U10" s="668"/>
      <c r="V10" s="667"/>
      <c r="W10" s="667" t="s">
        <v>863</v>
      </c>
      <c r="X10" s="667"/>
      <c r="Y10" s="671"/>
      <c r="Z10" s="668"/>
      <c r="AA10" s="672"/>
      <c r="AB10" s="668"/>
      <c r="AC10" s="670"/>
      <c r="AD10" s="670"/>
    </row>
    <row r="11" spans="1:1014" s="224" customFormat="1" ht="13.5" customHeight="1">
      <c r="A11" s="225">
        <v>3</v>
      </c>
      <c r="B11" s="217" t="s">
        <v>2406</v>
      </c>
      <c r="C11" s="219"/>
      <c r="D11" s="241"/>
      <c r="E11" s="241"/>
      <c r="F11" s="241"/>
      <c r="G11" s="241"/>
      <c r="H11" s="668"/>
      <c r="I11" s="666" t="s">
        <v>929</v>
      </c>
      <c r="J11" s="668"/>
      <c r="K11" s="666" t="s">
        <v>930</v>
      </c>
      <c r="L11" s="668"/>
      <c r="M11" s="668"/>
      <c r="N11" s="668"/>
      <c r="O11" s="668"/>
      <c r="P11" s="669"/>
      <c r="Q11" s="668" t="s">
        <v>819</v>
      </c>
      <c r="R11" s="670"/>
      <c r="S11" s="668" t="s">
        <v>878</v>
      </c>
      <c r="T11" s="670"/>
      <c r="U11" s="668"/>
      <c r="V11" s="667"/>
      <c r="W11" s="667" t="s">
        <v>863</v>
      </c>
      <c r="X11" s="667"/>
      <c r="Y11" s="671"/>
      <c r="Z11" s="668"/>
      <c r="AA11" s="672"/>
      <c r="AB11" s="668"/>
      <c r="AC11" s="670"/>
      <c r="AD11" s="670"/>
    </row>
    <row r="12" spans="1:1014" s="224" customFormat="1" ht="13.5" customHeight="1">
      <c r="A12" s="225">
        <v>4</v>
      </c>
      <c r="B12" s="216" t="s">
        <v>1362</v>
      </c>
      <c r="C12" s="520"/>
      <c r="D12" s="519"/>
      <c r="E12" s="519"/>
      <c r="F12" s="519"/>
      <c r="G12" s="519"/>
      <c r="H12" s="710"/>
      <c r="I12" s="711"/>
      <c r="J12" s="710"/>
      <c r="K12" s="666" t="s">
        <v>1365</v>
      </c>
      <c r="L12" s="668"/>
      <c r="M12" s="668"/>
      <c r="N12" s="668"/>
      <c r="O12" s="668"/>
      <c r="P12" s="669"/>
      <c r="Q12" s="668" t="s">
        <v>819</v>
      </c>
      <c r="R12" s="670" t="s">
        <v>863</v>
      </c>
      <c r="S12" s="378" t="s">
        <v>1365</v>
      </c>
      <c r="T12" s="670"/>
      <c r="U12" s="668"/>
      <c r="V12" s="667"/>
      <c r="W12" s="667" t="s">
        <v>863</v>
      </c>
      <c r="X12" s="667"/>
      <c r="Y12" s="671"/>
      <c r="Z12" s="668"/>
      <c r="AA12" s="672"/>
      <c r="AB12" s="668"/>
      <c r="AC12" s="670"/>
      <c r="AD12" s="670"/>
    </row>
    <row r="13" spans="1:1014" s="224" customFormat="1" ht="13.5" customHeight="1">
      <c r="A13" s="225">
        <v>5</v>
      </c>
      <c r="B13" s="217"/>
      <c r="C13" s="217" t="s">
        <v>2407</v>
      </c>
      <c r="D13" s="241"/>
      <c r="E13" s="241"/>
      <c r="F13" s="241"/>
      <c r="G13" s="241"/>
      <c r="H13" s="668"/>
      <c r="I13" s="666"/>
      <c r="J13" s="668"/>
      <c r="K13" s="666" t="s">
        <v>2408</v>
      </c>
      <c r="L13" s="668"/>
      <c r="M13" s="668"/>
      <c r="N13" s="668"/>
      <c r="O13" s="668"/>
      <c r="P13" s="669"/>
      <c r="Q13" s="668" t="s">
        <v>819</v>
      </c>
      <c r="R13" s="670"/>
      <c r="S13" s="678" t="s">
        <v>862</v>
      </c>
      <c r="T13" s="670"/>
      <c r="U13" s="668"/>
      <c r="V13" s="667"/>
      <c r="W13" s="667" t="s">
        <v>863</v>
      </c>
      <c r="X13" s="667"/>
      <c r="Y13" s="671"/>
      <c r="Z13" s="668"/>
      <c r="AA13" s="672"/>
      <c r="AB13" s="668"/>
      <c r="AC13" s="670"/>
      <c r="AD13" s="670"/>
    </row>
    <row r="14" spans="1:1014" s="224" customFormat="1" ht="13.5" customHeight="1">
      <c r="A14" s="225">
        <v>6</v>
      </c>
      <c r="B14" s="217"/>
      <c r="C14" s="219" t="s">
        <v>2409</v>
      </c>
      <c r="D14" s="241"/>
      <c r="E14" s="241"/>
      <c r="F14" s="241"/>
      <c r="G14" s="241"/>
      <c r="H14" s="668"/>
      <c r="I14" s="666"/>
      <c r="J14" s="668"/>
      <c r="K14" s="666" t="s">
        <v>2410</v>
      </c>
      <c r="L14" s="668"/>
      <c r="M14" s="668"/>
      <c r="N14" s="668"/>
      <c r="O14" s="668"/>
      <c r="P14" s="669"/>
      <c r="Q14" s="668" t="s">
        <v>819</v>
      </c>
      <c r="R14" s="670"/>
      <c r="S14" s="678" t="s">
        <v>862</v>
      </c>
      <c r="T14" s="670"/>
      <c r="U14" s="668"/>
      <c r="V14" s="667"/>
      <c r="W14" s="667" t="s">
        <v>863</v>
      </c>
      <c r="X14" s="667"/>
      <c r="Y14" s="671"/>
      <c r="Z14" s="668"/>
      <c r="AA14" s="672"/>
      <c r="AB14" s="668"/>
      <c r="AC14" s="670"/>
      <c r="AD14" s="670"/>
    </row>
    <row r="15" spans="1:1014" s="224" customFormat="1" ht="13.5" customHeight="1">
      <c r="A15" s="225">
        <v>7</v>
      </c>
      <c r="B15" s="217"/>
      <c r="C15" s="219" t="s">
        <v>2411</v>
      </c>
      <c r="D15" s="241"/>
      <c r="E15" s="241"/>
      <c r="F15" s="241"/>
      <c r="G15" s="241"/>
      <c r="H15" s="668"/>
      <c r="I15" s="666"/>
      <c r="J15" s="668"/>
      <c r="K15" s="666" t="s">
        <v>2412</v>
      </c>
      <c r="L15" s="668"/>
      <c r="M15" s="668"/>
      <c r="N15" s="668"/>
      <c r="O15" s="668"/>
      <c r="P15" s="669"/>
      <c r="Q15" s="668" t="s">
        <v>816</v>
      </c>
      <c r="R15" s="670"/>
      <c r="S15" s="678" t="s">
        <v>862</v>
      </c>
      <c r="T15" s="670"/>
      <c r="U15" s="668"/>
      <c r="V15" s="667"/>
      <c r="W15" s="667" t="s">
        <v>863</v>
      </c>
      <c r="X15" s="667"/>
      <c r="Y15" s="671"/>
      <c r="Z15" s="668"/>
      <c r="AA15" s="672"/>
      <c r="AB15" s="668"/>
      <c r="AC15" s="670"/>
      <c r="AD15" s="670"/>
    </row>
    <row r="16" spans="1:1014" s="224" customFormat="1" ht="13.5" customHeight="1">
      <c r="A16" s="225">
        <v>8</v>
      </c>
      <c r="B16" s="217"/>
      <c r="C16" s="219" t="s">
        <v>2413</v>
      </c>
      <c r="D16" s="241"/>
      <c r="E16" s="241"/>
      <c r="F16" s="241"/>
      <c r="G16" s="241"/>
      <c r="H16" s="668"/>
      <c r="I16" s="666"/>
      <c r="J16" s="668"/>
      <c r="K16" s="666" t="s">
        <v>1591</v>
      </c>
      <c r="L16" s="668"/>
      <c r="M16" s="668"/>
      <c r="N16" s="668"/>
      <c r="O16" s="668"/>
      <c r="P16" s="669"/>
      <c r="Q16" s="668" t="s">
        <v>822</v>
      </c>
      <c r="R16" s="670"/>
      <c r="S16" s="678" t="s">
        <v>862</v>
      </c>
      <c r="T16" s="670"/>
      <c r="U16" s="668"/>
      <c r="V16" s="667"/>
      <c r="W16" s="667" t="s">
        <v>863</v>
      </c>
      <c r="X16" s="667"/>
      <c r="Y16" s="671"/>
      <c r="Z16" s="668"/>
      <c r="AA16" s="672"/>
      <c r="AB16" s="668"/>
      <c r="AC16" s="670"/>
      <c r="AD16" s="670"/>
    </row>
    <row r="17" spans="1:30" s="224" customFormat="1" ht="13.5" customHeight="1">
      <c r="A17" s="225">
        <v>9</v>
      </c>
      <c r="B17" s="216" t="s">
        <v>2414</v>
      </c>
      <c r="C17" s="520"/>
      <c r="D17" s="712"/>
      <c r="E17" s="712"/>
      <c r="F17" s="712"/>
      <c r="G17" s="712"/>
      <c r="H17" s="710"/>
      <c r="I17" s="710"/>
      <c r="J17" s="710"/>
      <c r="K17" s="666" t="s">
        <v>1402</v>
      </c>
      <c r="L17" s="668"/>
      <c r="M17" s="668"/>
      <c r="N17" s="668"/>
      <c r="O17" s="668"/>
      <c r="P17" s="669"/>
      <c r="Q17" s="668" t="s">
        <v>819</v>
      </c>
      <c r="R17" s="670" t="s">
        <v>863</v>
      </c>
      <c r="S17" s="378" t="s">
        <v>1402</v>
      </c>
      <c r="T17" s="670"/>
      <c r="U17" s="668"/>
      <c r="V17" s="667"/>
      <c r="W17" s="667" t="s">
        <v>863</v>
      </c>
      <c r="X17" s="667"/>
      <c r="Y17" s="671"/>
      <c r="Z17" s="668"/>
      <c r="AA17" s="672"/>
      <c r="AB17" s="668"/>
      <c r="AC17" s="670"/>
      <c r="AD17" s="670"/>
    </row>
    <row r="18" spans="1:30" s="224" customFormat="1" ht="13.5" customHeight="1">
      <c r="A18" s="225">
        <v>10</v>
      </c>
      <c r="B18" s="217"/>
      <c r="C18" s="219" t="s">
        <v>1403</v>
      </c>
      <c r="D18" s="241"/>
      <c r="E18" s="241"/>
      <c r="F18" s="241"/>
      <c r="G18" s="241"/>
      <c r="H18" s="668" t="s">
        <v>2415</v>
      </c>
      <c r="I18" s="668" t="s">
        <v>2416</v>
      </c>
      <c r="J18" s="668"/>
      <c r="K18" s="666" t="s">
        <v>2417</v>
      </c>
      <c r="L18" s="668"/>
      <c r="M18" s="668"/>
      <c r="N18" s="668"/>
      <c r="O18" s="668"/>
      <c r="P18" s="669"/>
      <c r="Q18" s="668" t="s">
        <v>819</v>
      </c>
      <c r="R18" s="670"/>
      <c r="S18" s="666" t="s">
        <v>862</v>
      </c>
      <c r="T18" s="670"/>
      <c r="U18" s="668"/>
      <c r="V18" s="667"/>
      <c r="W18" s="667" t="s">
        <v>863</v>
      </c>
      <c r="X18" s="667"/>
      <c r="Y18" s="671"/>
      <c r="Z18" s="668"/>
      <c r="AA18" s="672"/>
      <c r="AB18" s="668"/>
      <c r="AC18" s="670"/>
      <c r="AD18" s="670"/>
    </row>
    <row r="19" spans="1:30" s="224" customFormat="1" ht="13.5" customHeight="1">
      <c r="A19" s="225">
        <v>11</v>
      </c>
      <c r="B19" s="217"/>
      <c r="C19" s="219" t="s">
        <v>2418</v>
      </c>
      <c r="D19" s="241"/>
      <c r="E19" s="241"/>
      <c r="F19" s="241"/>
      <c r="G19" s="241"/>
      <c r="H19" s="668"/>
      <c r="I19" s="668" t="s">
        <v>2419</v>
      </c>
      <c r="J19" s="668"/>
      <c r="K19" s="666" t="s">
        <v>2420</v>
      </c>
      <c r="L19" s="668"/>
      <c r="M19" s="668"/>
      <c r="N19" s="668"/>
      <c r="O19" s="668"/>
      <c r="P19" s="669"/>
      <c r="Q19" s="668" t="s">
        <v>816</v>
      </c>
      <c r="R19" s="670"/>
      <c r="S19" s="678" t="s">
        <v>862</v>
      </c>
      <c r="T19" s="670"/>
      <c r="U19" s="668"/>
      <c r="V19" s="667"/>
      <c r="W19" s="667" t="s">
        <v>863</v>
      </c>
      <c r="X19" s="667"/>
      <c r="Y19" s="671"/>
      <c r="Z19" s="668"/>
      <c r="AA19" s="672"/>
      <c r="AB19" s="668"/>
      <c r="AC19" s="670"/>
      <c r="AD19" s="670"/>
    </row>
    <row r="20" spans="1:30" s="224" customFormat="1" ht="13.5" customHeight="1">
      <c r="A20" s="225">
        <v>12</v>
      </c>
      <c r="B20" s="253"/>
      <c r="C20" s="219" t="s">
        <v>1103</v>
      </c>
      <c r="D20" s="221"/>
      <c r="E20" s="221"/>
      <c r="F20" s="221"/>
      <c r="G20" s="221"/>
      <c r="H20" s="668" t="s">
        <v>2421</v>
      </c>
      <c r="I20" s="668" t="s">
        <v>1133</v>
      </c>
      <c r="J20" s="668"/>
      <c r="K20" s="666" t="s">
        <v>1310</v>
      </c>
      <c r="L20" s="668"/>
      <c r="M20" s="668"/>
      <c r="N20" s="668"/>
      <c r="O20" s="668"/>
      <c r="P20" s="669"/>
      <c r="Q20" s="668" t="s">
        <v>816</v>
      </c>
      <c r="R20" s="670"/>
      <c r="S20" s="668" t="s">
        <v>862</v>
      </c>
      <c r="T20" s="670"/>
      <c r="U20" s="668"/>
      <c r="V20" s="667"/>
      <c r="W20" s="667" t="s">
        <v>863</v>
      </c>
      <c r="X20" s="667"/>
      <c r="Y20" s="671"/>
      <c r="Z20" s="668"/>
      <c r="AA20" s="672"/>
      <c r="AB20" s="668"/>
      <c r="AC20" s="670"/>
      <c r="AD20" s="670"/>
    </row>
    <row r="21" spans="1:30" s="224" customFormat="1" ht="13.5" customHeight="1">
      <c r="A21" s="225">
        <v>13</v>
      </c>
      <c r="B21" s="217"/>
      <c r="C21" s="219" t="s">
        <v>1311</v>
      </c>
      <c r="D21" s="241"/>
      <c r="E21" s="241"/>
      <c r="F21" s="241"/>
      <c r="G21" s="241"/>
      <c r="H21" s="668" t="s">
        <v>2422</v>
      </c>
      <c r="I21" s="666" t="s">
        <v>1313</v>
      </c>
      <c r="J21" s="666"/>
      <c r="K21" s="666" t="s">
        <v>1314</v>
      </c>
      <c r="L21" s="668"/>
      <c r="M21" s="668"/>
      <c r="N21" s="668"/>
      <c r="O21" s="668"/>
      <c r="P21" s="669"/>
      <c r="Q21" s="668" t="s">
        <v>816</v>
      </c>
      <c r="R21" s="670"/>
      <c r="S21" s="668" t="s">
        <v>862</v>
      </c>
      <c r="T21" s="670"/>
      <c r="U21" s="668"/>
      <c r="V21" s="667"/>
      <c r="W21" s="667" t="s">
        <v>863</v>
      </c>
      <c r="X21" s="667"/>
      <c r="Y21" s="671"/>
      <c r="Z21" s="668"/>
      <c r="AA21" s="672"/>
      <c r="AB21" s="668"/>
      <c r="AC21" s="670"/>
      <c r="AD21" s="670"/>
    </row>
    <row r="22" spans="1:30" s="224" customFormat="1" ht="13.5" customHeight="1">
      <c r="A22" s="225">
        <v>14</v>
      </c>
      <c r="B22" s="217"/>
      <c r="C22" s="219" t="s">
        <v>1478</v>
      </c>
      <c r="D22" s="241"/>
      <c r="E22" s="241"/>
      <c r="F22" s="241"/>
      <c r="G22" s="241"/>
      <c r="H22" s="668" t="s">
        <v>1479</v>
      </c>
      <c r="I22" s="668"/>
      <c r="J22" s="668"/>
      <c r="K22" s="666" t="s">
        <v>1480</v>
      </c>
      <c r="L22" s="668"/>
      <c r="M22" s="668"/>
      <c r="N22" s="668"/>
      <c r="O22" s="668"/>
      <c r="P22" s="669"/>
      <c r="Q22" s="668" t="s">
        <v>816</v>
      </c>
      <c r="R22" s="670"/>
      <c r="S22" s="668" t="s">
        <v>1481</v>
      </c>
      <c r="T22" s="670"/>
      <c r="U22" s="668"/>
      <c r="V22" s="667"/>
      <c r="W22" s="667" t="s">
        <v>863</v>
      </c>
      <c r="X22" s="667"/>
      <c r="Y22" s="671"/>
      <c r="Z22" s="668"/>
      <c r="AA22" s="672"/>
      <c r="AB22" s="668"/>
      <c r="AC22" s="670"/>
      <c r="AD22" s="670"/>
    </row>
    <row r="23" spans="1:30" s="224" customFormat="1" ht="13.5" customHeight="1">
      <c r="A23" s="225">
        <v>15</v>
      </c>
      <c r="B23" s="217"/>
      <c r="C23" s="219" t="s">
        <v>2423</v>
      </c>
      <c r="D23" s="241"/>
      <c r="E23" s="241"/>
      <c r="F23" s="241"/>
      <c r="G23" s="241"/>
      <c r="H23" s="668" t="s">
        <v>2424</v>
      </c>
      <c r="I23" s="666">
        <v>69</v>
      </c>
      <c r="J23" s="666"/>
      <c r="K23" s="666" t="s">
        <v>1503</v>
      </c>
      <c r="L23" s="668"/>
      <c r="M23" s="668"/>
      <c r="N23" s="668"/>
      <c r="O23" s="668"/>
      <c r="P23" s="669"/>
      <c r="Q23" s="668" t="s">
        <v>816</v>
      </c>
      <c r="R23" s="670"/>
      <c r="S23" s="678" t="s">
        <v>862</v>
      </c>
      <c r="T23" s="670"/>
      <c r="U23" s="668"/>
      <c r="V23" s="667"/>
      <c r="W23" s="667" t="s">
        <v>863</v>
      </c>
      <c r="X23" s="667"/>
      <c r="Y23" s="671"/>
      <c r="Z23" s="668"/>
      <c r="AA23" s="672"/>
      <c r="AB23" s="668"/>
      <c r="AC23" s="670"/>
      <c r="AD23" s="670"/>
    </row>
    <row r="24" spans="1:30" s="224" customFormat="1" ht="13.5" customHeight="1">
      <c r="A24" s="225">
        <v>16</v>
      </c>
      <c r="B24" s="217"/>
      <c r="C24" s="219" t="s">
        <v>2313</v>
      </c>
      <c r="D24" s="241"/>
      <c r="E24" s="241"/>
      <c r="F24" s="241"/>
      <c r="G24" s="241"/>
      <c r="H24" s="668"/>
      <c r="I24" s="666" t="s">
        <v>698</v>
      </c>
      <c r="J24" s="668"/>
      <c r="K24" s="666" t="s">
        <v>1484</v>
      </c>
      <c r="L24" s="668"/>
      <c r="M24" s="668"/>
      <c r="N24" s="668"/>
      <c r="O24" s="668"/>
      <c r="P24" s="669"/>
      <c r="Q24" s="668" t="s">
        <v>816</v>
      </c>
      <c r="R24" s="670"/>
      <c r="S24" s="678" t="s">
        <v>862</v>
      </c>
      <c r="T24" s="670"/>
      <c r="U24" s="668"/>
      <c r="V24" s="667"/>
      <c r="W24" s="667" t="s">
        <v>863</v>
      </c>
      <c r="X24" s="667"/>
      <c r="Y24" s="671"/>
      <c r="Z24" s="668"/>
      <c r="AA24" s="672"/>
      <c r="AB24" s="668"/>
      <c r="AC24" s="670"/>
      <c r="AD24" s="670"/>
    </row>
    <row r="25" spans="1:30" s="224" customFormat="1" ht="13.5" customHeight="1">
      <c r="A25" s="225">
        <v>17</v>
      </c>
      <c r="B25" s="217"/>
      <c r="C25" s="219" t="s">
        <v>2425</v>
      </c>
      <c r="D25" s="241"/>
      <c r="E25" s="241"/>
      <c r="F25" s="241"/>
      <c r="G25" s="241"/>
      <c r="H25" s="668" t="s">
        <v>2426</v>
      </c>
      <c r="I25" s="666" t="s">
        <v>1281</v>
      </c>
      <c r="J25" s="668"/>
      <c r="K25" s="666" t="s">
        <v>2427</v>
      </c>
      <c r="L25" s="668"/>
      <c r="M25" s="668"/>
      <c r="N25" s="668"/>
      <c r="O25" s="668"/>
      <c r="P25" s="669"/>
      <c r="Q25" s="668" t="s">
        <v>816</v>
      </c>
      <c r="R25" s="670"/>
      <c r="S25" s="678" t="s">
        <v>862</v>
      </c>
      <c r="T25" s="670"/>
      <c r="U25" s="668"/>
      <c r="V25" s="667" t="s">
        <v>863</v>
      </c>
      <c r="W25" s="667"/>
      <c r="X25" s="667"/>
      <c r="Y25" s="671"/>
      <c r="Z25" s="668"/>
      <c r="AA25" s="672"/>
      <c r="AB25" s="668"/>
      <c r="AC25" s="670"/>
      <c r="AD25" s="670"/>
    </row>
    <row r="26" spans="1:30" s="224" customFormat="1" ht="13.5" customHeight="1">
      <c r="A26" s="225">
        <v>18</v>
      </c>
      <c r="B26" s="216"/>
      <c r="C26" s="240" t="s">
        <v>2319</v>
      </c>
      <c r="D26" s="519"/>
      <c r="E26" s="519"/>
      <c r="F26" s="519"/>
      <c r="G26" s="519"/>
      <c r="H26" s="710"/>
      <c r="I26" s="711"/>
      <c r="J26" s="710"/>
      <c r="K26" s="666" t="s">
        <v>2320</v>
      </c>
      <c r="L26" s="668"/>
      <c r="M26" s="668"/>
      <c r="N26" s="668"/>
      <c r="O26" s="668"/>
      <c r="P26" s="669"/>
      <c r="Q26" s="668" t="s">
        <v>816</v>
      </c>
      <c r="R26" s="670" t="s">
        <v>863</v>
      </c>
      <c r="S26" s="378" t="s">
        <v>2320</v>
      </c>
      <c r="T26" s="670"/>
      <c r="U26" s="668"/>
      <c r="V26" s="667"/>
      <c r="W26" s="667" t="s">
        <v>863</v>
      </c>
      <c r="X26" s="667"/>
      <c r="Y26" s="671"/>
      <c r="Z26" s="668"/>
      <c r="AA26" s="672"/>
      <c r="AB26" s="668"/>
      <c r="AC26" s="670"/>
      <c r="AD26" s="670"/>
    </row>
    <row r="27" spans="1:30" s="224" customFormat="1" ht="13.5" customHeight="1">
      <c r="A27" s="225">
        <v>19</v>
      </c>
      <c r="B27" s="216"/>
      <c r="C27" s="677"/>
      <c r="D27" s="241" t="s">
        <v>2321</v>
      </c>
      <c r="E27" s="241"/>
      <c r="F27" s="241"/>
      <c r="G27" s="241"/>
      <c r="H27" s="668" t="s">
        <v>2322</v>
      </c>
      <c r="I27" s="666">
        <v>92300</v>
      </c>
      <c r="J27" s="668"/>
      <c r="K27" s="666" t="s">
        <v>1106</v>
      </c>
      <c r="L27" s="668"/>
      <c r="M27" s="668"/>
      <c r="N27" s="668"/>
      <c r="O27" s="668"/>
      <c r="P27" s="669"/>
      <c r="Q27" s="668" t="s">
        <v>819</v>
      </c>
      <c r="R27" s="670"/>
      <c r="S27" s="668" t="s">
        <v>862</v>
      </c>
      <c r="T27" s="670"/>
      <c r="U27" s="668"/>
      <c r="V27" s="667"/>
      <c r="W27" s="667" t="s">
        <v>863</v>
      </c>
      <c r="X27" s="667"/>
      <c r="Y27" s="671"/>
      <c r="Z27" s="668"/>
      <c r="AA27" s="672"/>
      <c r="AB27" s="668"/>
      <c r="AC27" s="670"/>
      <c r="AD27" s="670"/>
    </row>
    <row r="28" spans="1:30" s="224" customFormat="1" ht="13.5" customHeight="1">
      <c r="A28" s="225">
        <v>20</v>
      </c>
      <c r="B28" s="216"/>
      <c r="C28" s="677"/>
      <c r="D28" s="241" t="s">
        <v>388</v>
      </c>
      <c r="E28" s="241"/>
      <c r="F28" s="241"/>
      <c r="G28" s="241"/>
      <c r="H28" s="668" t="s">
        <v>1107</v>
      </c>
      <c r="I28" s="666" t="s">
        <v>2324</v>
      </c>
      <c r="J28" s="668"/>
      <c r="K28" s="666" t="s">
        <v>2323</v>
      </c>
      <c r="L28" s="668"/>
      <c r="M28" s="668"/>
      <c r="N28" s="668"/>
      <c r="O28" s="668"/>
      <c r="P28" s="669"/>
      <c r="Q28" s="668" t="s">
        <v>819</v>
      </c>
      <c r="R28" s="670"/>
      <c r="S28" s="668" t="s">
        <v>862</v>
      </c>
      <c r="T28" s="670"/>
      <c r="U28" s="668"/>
      <c r="V28" s="667"/>
      <c r="W28" s="667" t="s">
        <v>863</v>
      </c>
      <c r="X28" s="667"/>
      <c r="Y28" s="671"/>
      <c r="Z28" s="668"/>
      <c r="AA28" s="672"/>
      <c r="AB28" s="668"/>
      <c r="AC28" s="670"/>
      <c r="AD28" s="670"/>
    </row>
    <row r="29" spans="1:30" ht="15" customHeight="1">
      <c r="A29" s="225">
        <v>21</v>
      </c>
      <c r="B29" s="242" t="s">
        <v>2327</v>
      </c>
      <c r="C29" s="519"/>
      <c r="D29" s="519"/>
      <c r="E29" s="519"/>
      <c r="F29" s="519"/>
      <c r="G29" s="519"/>
      <c r="H29" s="710"/>
      <c r="I29" s="711"/>
      <c r="J29" s="711"/>
      <c r="K29" s="666" t="s">
        <v>1053</v>
      </c>
      <c r="L29" s="668"/>
      <c r="M29" s="668"/>
      <c r="N29" s="668"/>
      <c r="O29" s="668"/>
      <c r="P29" s="669"/>
      <c r="Q29" s="668" t="s">
        <v>819</v>
      </c>
      <c r="R29" s="670" t="s">
        <v>863</v>
      </c>
      <c r="S29" s="243" t="s">
        <v>1053</v>
      </c>
      <c r="T29" s="670"/>
      <c r="U29" s="668"/>
      <c r="V29" s="667"/>
      <c r="W29" s="667" t="s">
        <v>863</v>
      </c>
      <c r="X29" s="667"/>
      <c r="Y29" s="671"/>
      <c r="Z29" s="668"/>
      <c r="AA29" s="672"/>
      <c r="AB29" s="668"/>
      <c r="AC29" s="670"/>
      <c r="AD29" s="670"/>
    </row>
    <row r="30" spans="1:30" ht="15" customHeight="1">
      <c r="A30" s="225">
        <v>22</v>
      </c>
      <c r="B30" s="217"/>
      <c r="C30" s="216" t="s">
        <v>1080</v>
      </c>
      <c r="D30" s="519"/>
      <c r="E30" s="519"/>
      <c r="F30" s="519"/>
      <c r="G30" s="519"/>
      <c r="H30" s="710"/>
      <c r="I30" s="711"/>
      <c r="J30" s="710"/>
      <c r="K30" s="666" t="s">
        <v>1081</v>
      </c>
      <c r="L30" s="668"/>
      <c r="M30" s="668"/>
      <c r="N30" s="668"/>
      <c r="O30" s="668"/>
      <c r="P30" s="669"/>
      <c r="Q30" s="668" t="s">
        <v>816</v>
      </c>
      <c r="R30" s="670" t="s">
        <v>863</v>
      </c>
      <c r="S30" s="243" t="s">
        <v>1081</v>
      </c>
      <c r="T30" s="670"/>
      <c r="U30" s="668"/>
      <c r="V30" s="667"/>
      <c r="W30" s="667" t="s">
        <v>863</v>
      </c>
      <c r="X30" s="667"/>
      <c r="Y30" s="671"/>
      <c r="Z30" s="668"/>
      <c r="AA30" s="672"/>
      <c r="AB30" s="668"/>
      <c r="AC30" s="670"/>
      <c r="AD30" s="670"/>
    </row>
    <row r="31" spans="1:30" ht="15" customHeight="1">
      <c r="A31" s="225">
        <v>23</v>
      </c>
      <c r="B31" s="241"/>
      <c r="C31" s="217"/>
      <c r="D31" s="677" t="s">
        <v>1082</v>
      </c>
      <c r="E31" s="253"/>
      <c r="F31" s="241"/>
      <c r="G31" s="668"/>
      <c r="H31" s="668" t="s">
        <v>1083</v>
      </c>
      <c r="I31" s="666" t="s">
        <v>1084</v>
      </c>
      <c r="J31" s="668" t="s">
        <v>1085</v>
      </c>
      <c r="K31" s="666" t="s">
        <v>1086</v>
      </c>
      <c r="L31" s="668"/>
      <c r="M31" s="668"/>
      <c r="N31" s="668"/>
      <c r="O31" s="668"/>
      <c r="P31" s="669"/>
      <c r="Q31" s="668" t="s">
        <v>819</v>
      </c>
      <c r="R31" s="670"/>
      <c r="S31" s="668" t="s">
        <v>862</v>
      </c>
      <c r="T31" s="670"/>
      <c r="U31" s="668" t="s">
        <v>1087</v>
      </c>
      <c r="V31" s="667"/>
      <c r="W31" s="667" t="s">
        <v>863</v>
      </c>
      <c r="X31" s="667"/>
      <c r="Y31" s="671"/>
      <c r="Z31" s="668"/>
      <c r="AA31" s="672"/>
      <c r="AB31" s="668"/>
      <c r="AC31" s="670"/>
      <c r="AD31" s="670"/>
    </row>
    <row r="32" spans="1:30" ht="15" customHeight="1">
      <c r="A32" s="225">
        <v>24</v>
      </c>
      <c r="B32" s="241"/>
      <c r="C32" s="222"/>
      <c r="D32" s="677" t="s">
        <v>1088</v>
      </c>
      <c r="E32" s="221"/>
      <c r="F32" s="241"/>
      <c r="G32" s="668"/>
      <c r="H32" s="668" t="s">
        <v>1089</v>
      </c>
      <c r="I32" s="666" t="s">
        <v>1090</v>
      </c>
      <c r="J32" s="668"/>
      <c r="K32" s="666" t="s">
        <v>1091</v>
      </c>
      <c r="L32" s="668" t="s">
        <v>1092</v>
      </c>
      <c r="M32" s="668" t="s">
        <v>254</v>
      </c>
      <c r="N32" s="668"/>
      <c r="O32" s="668"/>
      <c r="P32" s="669"/>
      <c r="Q32" s="668" t="s">
        <v>816</v>
      </c>
      <c r="R32" s="670"/>
      <c r="S32" s="668" t="s">
        <v>862</v>
      </c>
      <c r="T32" s="670"/>
      <c r="U32" s="668"/>
      <c r="V32" s="667"/>
      <c r="W32" s="667" t="s">
        <v>863</v>
      </c>
      <c r="X32" s="667"/>
      <c r="Y32" s="671"/>
      <c r="Z32" s="668"/>
      <c r="AA32" s="672"/>
      <c r="AB32" s="668"/>
      <c r="AC32" s="670"/>
      <c r="AD32" s="670"/>
    </row>
    <row r="33" spans="1:30" ht="15" customHeight="1">
      <c r="A33" s="225">
        <v>25</v>
      </c>
      <c r="B33" s="217"/>
      <c r="C33" s="222"/>
      <c r="D33" s="240" t="s">
        <v>1093</v>
      </c>
      <c r="E33" s="521"/>
      <c r="F33" s="519"/>
      <c r="G33" s="519"/>
      <c r="H33" s="710"/>
      <c r="I33" s="711"/>
      <c r="J33" s="710"/>
      <c r="K33" s="666" t="s">
        <v>1094</v>
      </c>
      <c r="L33" s="668" t="s">
        <v>1095</v>
      </c>
      <c r="M33" s="668" t="s">
        <v>1096</v>
      </c>
      <c r="N33" s="668"/>
      <c r="O33" s="668"/>
      <c r="P33" s="669"/>
      <c r="Q33" s="668" t="s">
        <v>816</v>
      </c>
      <c r="R33" s="670" t="s">
        <v>863</v>
      </c>
      <c r="S33" s="243" t="s">
        <v>1094</v>
      </c>
      <c r="T33" s="670"/>
      <c r="U33" s="668"/>
      <c r="V33" s="667"/>
      <c r="W33" s="667" t="s">
        <v>863</v>
      </c>
      <c r="X33" s="667"/>
      <c r="Y33" s="671"/>
      <c r="Z33" s="668"/>
      <c r="AA33" s="672"/>
      <c r="AB33" s="668"/>
      <c r="AC33" s="670"/>
      <c r="AD33" s="670"/>
    </row>
    <row r="34" spans="1:30" ht="15" customHeight="1">
      <c r="A34" s="225">
        <v>26</v>
      </c>
      <c r="B34" s="217"/>
      <c r="C34" s="222"/>
      <c r="D34" s="241"/>
      <c r="E34" s="241" t="s">
        <v>1097</v>
      </c>
      <c r="F34" s="241"/>
      <c r="G34" s="241"/>
      <c r="H34" s="668" t="s">
        <v>1098</v>
      </c>
      <c r="I34" s="666" t="s">
        <v>1099</v>
      </c>
      <c r="J34" s="668"/>
      <c r="K34" s="666" t="s">
        <v>1086</v>
      </c>
      <c r="L34" s="668"/>
      <c r="M34" s="668"/>
      <c r="N34" s="668"/>
      <c r="O34" s="668"/>
      <c r="P34" s="669"/>
      <c r="Q34" s="668" t="s">
        <v>819</v>
      </c>
      <c r="R34" s="670"/>
      <c r="S34" s="668" t="s">
        <v>862</v>
      </c>
      <c r="T34" s="670"/>
      <c r="U34" s="668" t="s">
        <v>1100</v>
      </c>
      <c r="V34" s="667"/>
      <c r="W34" s="667" t="s">
        <v>863</v>
      </c>
      <c r="X34" s="667"/>
      <c r="Y34" s="671"/>
      <c r="Z34" s="668"/>
      <c r="AA34" s="672"/>
      <c r="AB34" s="668"/>
      <c r="AC34" s="670"/>
      <c r="AD34" s="670"/>
    </row>
    <row r="35" spans="1:30" ht="15" customHeight="1">
      <c r="A35" s="225">
        <v>27</v>
      </c>
      <c r="B35" s="217"/>
      <c r="C35" s="217"/>
      <c r="D35" s="241"/>
      <c r="E35" s="241" t="s">
        <v>1101</v>
      </c>
      <c r="F35" s="241"/>
      <c r="G35" s="241"/>
      <c r="H35" s="668"/>
      <c r="I35" s="666" t="s">
        <v>1102</v>
      </c>
      <c r="J35" s="668"/>
      <c r="K35" s="666" t="s">
        <v>969</v>
      </c>
      <c r="L35" s="668"/>
      <c r="M35" s="668"/>
      <c r="N35" s="668"/>
      <c r="O35" s="668"/>
      <c r="P35" s="669"/>
      <c r="Q35" s="668" t="s">
        <v>816</v>
      </c>
      <c r="R35" s="670"/>
      <c r="S35" s="668" t="s">
        <v>862</v>
      </c>
      <c r="T35" s="670"/>
      <c r="U35" s="668"/>
      <c r="V35" s="667"/>
      <c r="W35" s="667" t="s">
        <v>863</v>
      </c>
      <c r="X35" s="667"/>
      <c r="Y35" s="671"/>
      <c r="Z35" s="668"/>
      <c r="AA35" s="672"/>
      <c r="AB35" s="668"/>
      <c r="AC35" s="670"/>
      <c r="AD35" s="670"/>
    </row>
    <row r="36" spans="1:30" ht="15" customHeight="1">
      <c r="A36" s="225">
        <v>28</v>
      </c>
      <c r="B36" s="217"/>
      <c r="C36" s="217"/>
      <c r="D36" s="241"/>
      <c r="E36" s="241" t="s">
        <v>1103</v>
      </c>
      <c r="F36" s="241"/>
      <c r="G36" s="241"/>
      <c r="H36" s="668"/>
      <c r="I36" s="666" t="s">
        <v>1104</v>
      </c>
      <c r="J36" s="668"/>
      <c r="K36" s="666" t="s">
        <v>870</v>
      </c>
      <c r="L36" s="668"/>
      <c r="M36" s="668"/>
      <c r="N36" s="668"/>
      <c r="O36" s="668"/>
      <c r="P36" s="669"/>
      <c r="Q36" s="668" t="s">
        <v>816</v>
      </c>
      <c r="R36" s="670"/>
      <c r="S36" s="668" t="s">
        <v>862</v>
      </c>
      <c r="T36" s="670"/>
      <c r="U36" s="668"/>
      <c r="V36" s="667"/>
      <c r="W36" s="667" t="s">
        <v>863</v>
      </c>
      <c r="X36" s="667"/>
      <c r="Y36" s="671"/>
      <c r="Z36" s="668"/>
      <c r="AA36" s="672"/>
      <c r="AB36" s="668"/>
      <c r="AC36" s="670"/>
      <c r="AD36" s="670"/>
    </row>
    <row r="37" spans="1:30" ht="15" customHeight="1">
      <c r="A37" s="225">
        <v>29</v>
      </c>
      <c r="B37" s="217"/>
      <c r="C37" s="216" t="s">
        <v>1105</v>
      </c>
      <c r="D37" s="521"/>
      <c r="E37" s="521"/>
      <c r="F37" s="519"/>
      <c r="G37" s="519"/>
      <c r="H37" s="710"/>
      <c r="I37" s="711"/>
      <c r="J37" s="710"/>
      <c r="K37" s="666" t="s">
        <v>1106</v>
      </c>
      <c r="L37" s="668"/>
      <c r="M37" s="668"/>
      <c r="N37" s="668"/>
      <c r="O37" s="668"/>
      <c r="P37" s="669"/>
      <c r="Q37" s="668" t="s">
        <v>816</v>
      </c>
      <c r="R37" s="670" t="s">
        <v>863</v>
      </c>
      <c r="S37" s="243" t="s">
        <v>1106</v>
      </c>
      <c r="T37" s="670"/>
      <c r="U37" s="668"/>
      <c r="V37" s="667"/>
      <c r="W37" s="667" t="s">
        <v>863</v>
      </c>
      <c r="X37" s="667"/>
      <c r="Y37" s="671"/>
      <c r="Z37" s="668"/>
      <c r="AA37" s="672"/>
      <c r="AB37" s="668"/>
      <c r="AC37" s="670"/>
      <c r="AD37" s="670"/>
    </row>
    <row r="38" spans="1:30" ht="15" customHeight="1">
      <c r="A38" s="225">
        <v>30</v>
      </c>
      <c r="B38" s="217"/>
      <c r="C38" s="217"/>
      <c r="D38" s="241" t="s">
        <v>388</v>
      </c>
      <c r="E38" s="217"/>
      <c r="F38" s="241"/>
      <c r="G38" s="241"/>
      <c r="H38" s="668" t="s">
        <v>1107</v>
      </c>
      <c r="I38" s="666" t="s">
        <v>1108</v>
      </c>
      <c r="J38" s="668" t="s">
        <v>1106</v>
      </c>
      <c r="K38" s="666" t="s">
        <v>870</v>
      </c>
      <c r="L38" s="668" t="s">
        <v>1109</v>
      </c>
      <c r="M38" s="668" t="s">
        <v>388</v>
      </c>
      <c r="N38" s="668"/>
      <c r="O38" s="668"/>
      <c r="P38" s="252"/>
      <c r="Q38" s="668" t="s">
        <v>816</v>
      </c>
      <c r="R38" s="670"/>
      <c r="S38" s="668" t="s">
        <v>862</v>
      </c>
      <c r="T38" s="670"/>
      <c r="U38" s="668"/>
      <c r="V38" s="667"/>
      <c r="W38" s="667" t="s">
        <v>863</v>
      </c>
      <c r="X38" s="667"/>
      <c r="Y38" s="671"/>
      <c r="Z38" s="668"/>
      <c r="AA38" s="672"/>
      <c r="AB38" s="668"/>
      <c r="AC38" s="670"/>
      <c r="AD38" s="670"/>
    </row>
    <row r="39" spans="1:30" ht="15" customHeight="1">
      <c r="A39" s="225">
        <v>31</v>
      </c>
      <c r="B39" s="217"/>
      <c r="C39" s="217"/>
      <c r="D39" s="241" t="s">
        <v>392</v>
      </c>
      <c r="E39" s="217"/>
      <c r="F39" s="241"/>
      <c r="G39" s="241"/>
      <c r="H39" s="668" t="s">
        <v>1111</v>
      </c>
      <c r="I39" s="666">
        <v>59350</v>
      </c>
      <c r="J39" s="668" t="s">
        <v>1112</v>
      </c>
      <c r="K39" s="666" t="s">
        <v>1113</v>
      </c>
      <c r="L39" s="668" t="s">
        <v>1114</v>
      </c>
      <c r="M39" s="668" t="s">
        <v>392</v>
      </c>
      <c r="N39" s="668"/>
      <c r="O39" s="668"/>
      <c r="P39" s="252"/>
      <c r="Q39" s="668" t="s">
        <v>816</v>
      </c>
      <c r="R39" s="670"/>
      <c r="S39" s="668" t="s">
        <v>862</v>
      </c>
      <c r="T39" s="670"/>
      <c r="U39" s="668" t="s">
        <v>1115</v>
      </c>
      <c r="V39" s="667"/>
      <c r="W39" s="667" t="s">
        <v>863</v>
      </c>
      <c r="X39" s="667"/>
      <c r="Y39" s="671"/>
      <c r="Z39" s="668"/>
      <c r="AA39" s="672"/>
      <c r="AB39" s="668"/>
      <c r="AC39" s="670"/>
      <c r="AD39" s="670"/>
    </row>
    <row r="40" spans="1:30" ht="15" customHeight="1">
      <c r="A40" s="225">
        <v>32</v>
      </c>
      <c r="B40" s="217"/>
      <c r="C40" s="217"/>
      <c r="D40" s="241" t="s">
        <v>1116</v>
      </c>
      <c r="E40" s="241"/>
      <c r="F40" s="241"/>
      <c r="G40" s="241"/>
      <c r="H40" s="263" t="s">
        <v>1117</v>
      </c>
      <c r="I40" s="666" t="s">
        <v>1118</v>
      </c>
      <c r="J40" s="668"/>
      <c r="K40" s="666" t="s">
        <v>1119</v>
      </c>
      <c r="L40" s="668"/>
      <c r="M40" s="668"/>
      <c r="N40" s="668"/>
      <c r="O40" s="668"/>
      <c r="P40" s="669"/>
      <c r="Q40" s="668" t="s">
        <v>816</v>
      </c>
      <c r="R40" s="670"/>
      <c r="S40" s="668" t="s">
        <v>862</v>
      </c>
      <c r="T40" s="281"/>
      <c r="U40" s="668"/>
      <c r="V40" s="668"/>
      <c r="W40" s="667" t="s">
        <v>863</v>
      </c>
      <c r="X40" s="668"/>
      <c r="Y40" s="671"/>
      <c r="Z40" s="668"/>
      <c r="AA40" s="672"/>
      <c r="AB40" s="668"/>
      <c r="AC40" s="670"/>
      <c r="AD40" s="670"/>
    </row>
    <row r="41" spans="1:30" ht="15" customHeight="1">
      <c r="A41" s="225">
        <v>33</v>
      </c>
      <c r="B41" s="216" t="s">
        <v>2428</v>
      </c>
      <c r="C41" s="520"/>
      <c r="D41" s="519"/>
      <c r="E41" s="519"/>
      <c r="F41" s="519"/>
      <c r="G41" s="519"/>
      <c r="H41" s="710"/>
      <c r="I41" s="711"/>
      <c r="J41" s="710"/>
      <c r="K41" s="666" t="s">
        <v>2429</v>
      </c>
      <c r="L41" s="668"/>
      <c r="M41" s="668"/>
      <c r="N41" s="668"/>
      <c r="O41" s="668"/>
      <c r="P41" s="669"/>
      <c r="Q41" s="668" t="s">
        <v>819</v>
      </c>
      <c r="R41" s="670" t="s">
        <v>863</v>
      </c>
      <c r="S41" s="378" t="s">
        <v>2429</v>
      </c>
      <c r="T41" s="670"/>
      <c r="U41" s="668"/>
      <c r="V41" s="667" t="s">
        <v>2430</v>
      </c>
      <c r="W41" s="667" t="s">
        <v>863</v>
      </c>
      <c r="X41" s="667"/>
      <c r="Y41" s="671"/>
      <c r="Z41" s="668"/>
      <c r="AA41" s="672"/>
      <c r="AB41" s="668"/>
      <c r="AC41" s="670"/>
      <c r="AD41" s="670"/>
    </row>
    <row r="42" spans="1:30" ht="15" customHeight="1">
      <c r="A42" s="225">
        <v>34</v>
      </c>
      <c r="B42" s="217"/>
      <c r="C42" s="262" t="s">
        <v>2431</v>
      </c>
      <c r="D42" s="520"/>
      <c r="E42" s="519"/>
      <c r="F42" s="519"/>
      <c r="G42" s="519"/>
      <c r="H42" s="710"/>
      <c r="I42" s="711"/>
      <c r="J42" s="710"/>
      <c r="K42" s="666" t="s">
        <v>2432</v>
      </c>
      <c r="L42" s="668"/>
      <c r="M42" s="668"/>
      <c r="N42" s="668"/>
      <c r="O42" s="668"/>
      <c r="P42" s="669"/>
      <c r="Q42" s="668" t="s">
        <v>816</v>
      </c>
      <c r="R42" s="670" t="s">
        <v>863</v>
      </c>
      <c r="S42" s="378" t="s">
        <v>2433</v>
      </c>
      <c r="T42" s="670"/>
      <c r="U42" s="668"/>
      <c r="V42" s="667" t="s">
        <v>2430</v>
      </c>
      <c r="W42" s="667" t="s">
        <v>863</v>
      </c>
      <c r="X42" s="667"/>
      <c r="Y42" s="671"/>
      <c r="Z42" s="668"/>
      <c r="AA42" s="672"/>
      <c r="AB42" s="668"/>
      <c r="AC42" s="670"/>
      <c r="AD42" s="670"/>
    </row>
    <row r="43" spans="1:30" ht="15" customHeight="1">
      <c r="A43" s="225">
        <v>35</v>
      </c>
      <c r="B43" s="217"/>
      <c r="C43" s="219"/>
      <c r="D43" s="219" t="s">
        <v>1533</v>
      </c>
      <c r="E43" s="241"/>
      <c r="F43" s="241"/>
      <c r="G43" s="241"/>
      <c r="H43" s="668" t="s">
        <v>2434</v>
      </c>
      <c r="I43" s="666"/>
      <c r="J43" s="668"/>
      <c r="K43" s="666" t="s">
        <v>1535</v>
      </c>
      <c r="L43" s="668"/>
      <c r="M43" s="668"/>
      <c r="N43" s="668"/>
      <c r="O43" s="668"/>
      <c r="P43" s="669"/>
      <c r="Q43" s="668" t="s">
        <v>816</v>
      </c>
      <c r="R43" s="670"/>
      <c r="S43" s="668" t="s">
        <v>862</v>
      </c>
      <c r="T43" s="670"/>
      <c r="U43" s="668"/>
      <c r="V43" s="667" t="s">
        <v>2430</v>
      </c>
      <c r="W43" s="667" t="s">
        <v>863</v>
      </c>
      <c r="X43" s="667"/>
      <c r="Y43" s="671"/>
      <c r="Z43" s="668"/>
      <c r="AA43" s="672"/>
      <c r="AB43" s="668"/>
      <c r="AC43" s="670"/>
      <c r="AD43" s="670"/>
    </row>
    <row r="44" spans="1:30" ht="15" customHeight="1">
      <c r="A44" s="225">
        <v>36</v>
      </c>
      <c r="B44" s="217"/>
      <c r="C44" s="219"/>
      <c r="D44" s="219" t="s">
        <v>1536</v>
      </c>
      <c r="E44" s="241"/>
      <c r="F44" s="241"/>
      <c r="G44" s="241"/>
      <c r="H44" s="668" t="s">
        <v>1537</v>
      </c>
      <c r="I44" s="666"/>
      <c r="J44" s="668"/>
      <c r="K44" s="666" t="s">
        <v>1538</v>
      </c>
      <c r="L44" s="668"/>
      <c r="M44" s="668"/>
      <c r="N44" s="668"/>
      <c r="O44" s="668"/>
      <c r="P44" s="669"/>
      <c r="Q44" s="668" t="s">
        <v>816</v>
      </c>
      <c r="R44" s="670"/>
      <c r="S44" s="668" t="s">
        <v>862</v>
      </c>
      <c r="T44" s="670"/>
      <c r="U44" s="668"/>
      <c r="V44" s="667" t="s">
        <v>2430</v>
      </c>
      <c r="W44" s="667" t="s">
        <v>863</v>
      </c>
      <c r="X44" s="667"/>
      <c r="Y44" s="671"/>
      <c r="Z44" s="668"/>
      <c r="AA44" s="672"/>
      <c r="AB44" s="668"/>
      <c r="AC44" s="670"/>
      <c r="AD44" s="670"/>
    </row>
    <row r="45" spans="1:30" ht="15" customHeight="1">
      <c r="A45" s="225">
        <v>37</v>
      </c>
      <c r="B45" s="217"/>
      <c r="C45" s="219"/>
      <c r="D45" s="219" t="s">
        <v>1539</v>
      </c>
      <c r="E45" s="241"/>
      <c r="F45" s="241"/>
      <c r="G45" s="241"/>
      <c r="H45" s="668" t="s">
        <v>1540</v>
      </c>
      <c r="I45" s="666"/>
      <c r="J45" s="668"/>
      <c r="K45" s="666" t="s">
        <v>1541</v>
      </c>
      <c r="L45" s="668"/>
      <c r="M45" s="668"/>
      <c r="N45" s="668"/>
      <c r="O45" s="668"/>
      <c r="P45" s="669"/>
      <c r="Q45" s="668" t="s">
        <v>816</v>
      </c>
      <c r="R45" s="670"/>
      <c r="S45" s="668" t="s">
        <v>862</v>
      </c>
      <c r="T45" s="670"/>
      <c r="U45" s="668"/>
      <c r="V45" s="667" t="s">
        <v>2430</v>
      </c>
      <c r="W45" s="667" t="s">
        <v>863</v>
      </c>
      <c r="X45" s="667"/>
      <c r="Y45" s="671"/>
      <c r="Z45" s="668"/>
      <c r="AA45" s="672"/>
      <c r="AB45" s="668"/>
      <c r="AC45" s="670"/>
      <c r="AD45" s="670"/>
    </row>
    <row r="46" spans="1:30" ht="15" customHeight="1">
      <c r="A46" s="225">
        <v>38</v>
      </c>
      <c r="B46" s="217"/>
      <c r="C46" s="219"/>
      <c r="D46" s="241" t="s">
        <v>2435</v>
      </c>
      <c r="E46" s="241"/>
      <c r="F46" s="241"/>
      <c r="G46" s="241"/>
      <c r="H46" s="668" t="s">
        <v>2436</v>
      </c>
      <c r="I46" s="666"/>
      <c r="J46" s="668"/>
      <c r="K46" s="666" t="s">
        <v>2437</v>
      </c>
      <c r="L46" s="668"/>
      <c r="M46" s="668"/>
      <c r="N46" s="668"/>
      <c r="O46" s="668"/>
      <c r="P46" s="669"/>
      <c r="Q46" s="668" t="s">
        <v>816</v>
      </c>
      <c r="R46" s="670"/>
      <c r="S46" s="668" t="s">
        <v>862</v>
      </c>
      <c r="T46" s="670"/>
      <c r="U46" s="668"/>
      <c r="V46" s="667" t="s">
        <v>2430</v>
      </c>
      <c r="W46" s="667" t="s">
        <v>863</v>
      </c>
      <c r="X46" s="667"/>
      <c r="Y46" s="671"/>
      <c r="Z46" s="668"/>
      <c r="AA46" s="672"/>
      <c r="AB46" s="668"/>
      <c r="AC46" s="670"/>
      <c r="AD46" s="670"/>
    </row>
    <row r="47" spans="1:30" ht="15" customHeight="1">
      <c r="A47" s="225">
        <v>39</v>
      </c>
      <c r="B47" s="217"/>
      <c r="C47" s="262" t="s">
        <v>2438</v>
      </c>
      <c r="D47" s="519"/>
      <c r="E47" s="519"/>
      <c r="F47" s="519"/>
      <c r="G47" s="519"/>
      <c r="H47" s="710"/>
      <c r="I47" s="711"/>
      <c r="J47" s="710"/>
      <c r="K47" s="666" t="s">
        <v>2439</v>
      </c>
      <c r="L47" s="668"/>
      <c r="M47" s="668"/>
      <c r="N47" s="668"/>
      <c r="O47" s="668"/>
      <c r="P47" s="669"/>
      <c r="Q47" s="668" t="s">
        <v>816</v>
      </c>
      <c r="R47" s="670"/>
      <c r="S47" s="378" t="s">
        <v>2439</v>
      </c>
      <c r="T47" s="670"/>
      <c r="U47" s="668"/>
      <c r="V47" s="667" t="s">
        <v>863</v>
      </c>
      <c r="W47" s="667" t="s">
        <v>863</v>
      </c>
      <c r="X47" s="667"/>
      <c r="Y47" s="671"/>
      <c r="Z47" s="668"/>
      <c r="AA47" s="672"/>
      <c r="AB47" s="668"/>
      <c r="AC47" s="670"/>
      <c r="AD47" s="670"/>
    </row>
    <row r="48" spans="1:30" ht="15" customHeight="1">
      <c r="A48" s="225">
        <v>40</v>
      </c>
      <c r="B48" s="217"/>
      <c r="C48" s="219"/>
      <c r="D48" s="219" t="s">
        <v>2440</v>
      </c>
      <c r="E48" s="241"/>
      <c r="F48" s="241"/>
      <c r="G48" s="241"/>
      <c r="H48" s="668" t="s">
        <v>2441</v>
      </c>
      <c r="I48" s="666"/>
      <c r="J48" s="668"/>
      <c r="K48" s="666" t="s">
        <v>2442</v>
      </c>
      <c r="L48" s="668"/>
      <c r="M48" s="668"/>
      <c r="N48" s="668"/>
      <c r="O48" s="668"/>
      <c r="P48" s="669"/>
      <c r="Q48" s="668" t="s">
        <v>816</v>
      </c>
      <c r="R48" s="670"/>
      <c r="S48" s="668" t="s">
        <v>862</v>
      </c>
      <c r="T48" s="670"/>
      <c r="U48" s="668"/>
      <c r="V48" s="667" t="s">
        <v>863</v>
      </c>
      <c r="W48" s="667" t="s">
        <v>863</v>
      </c>
      <c r="X48" s="667"/>
      <c r="Y48" s="671"/>
      <c r="Z48" s="668"/>
      <c r="AA48" s="672"/>
      <c r="AB48" s="668"/>
      <c r="AC48" s="670"/>
      <c r="AD48" s="670"/>
    </row>
    <row r="49" spans="1:30" ht="15" customHeight="1">
      <c r="A49" s="225">
        <v>41</v>
      </c>
      <c r="B49" s="217"/>
      <c r="C49" s="219"/>
      <c r="D49" s="219" t="s">
        <v>2443</v>
      </c>
      <c r="E49" s="241"/>
      <c r="F49" s="241"/>
      <c r="G49" s="241"/>
      <c r="H49" s="668" t="s">
        <v>2444</v>
      </c>
      <c r="I49" s="666"/>
      <c r="J49" s="668"/>
      <c r="K49" s="666" t="s">
        <v>2445</v>
      </c>
      <c r="L49" s="668"/>
      <c r="M49" s="668"/>
      <c r="N49" s="668"/>
      <c r="O49" s="668"/>
      <c r="P49" s="669"/>
      <c r="Q49" s="668" t="s">
        <v>816</v>
      </c>
      <c r="R49" s="670"/>
      <c r="S49" s="668" t="s">
        <v>2294</v>
      </c>
      <c r="T49" s="670"/>
      <c r="U49" s="668"/>
      <c r="V49" s="667" t="s">
        <v>863</v>
      </c>
      <c r="W49" s="667" t="s">
        <v>863</v>
      </c>
      <c r="X49" s="667"/>
      <c r="Y49" s="671"/>
      <c r="Z49" s="668"/>
      <c r="AA49" s="672"/>
      <c r="AB49" s="668"/>
      <c r="AC49" s="670"/>
      <c r="AD49" s="670"/>
    </row>
    <row r="50" spans="1:30" ht="15" customHeight="1">
      <c r="A50" s="225">
        <v>42</v>
      </c>
      <c r="B50" s="217"/>
      <c r="C50" s="219"/>
      <c r="D50" s="219" t="s">
        <v>2446</v>
      </c>
      <c r="E50" s="241"/>
      <c r="F50" s="241"/>
      <c r="G50" s="241"/>
      <c r="H50" s="668"/>
      <c r="I50" s="666"/>
      <c r="J50" s="668"/>
      <c r="K50" s="666" t="s">
        <v>2447</v>
      </c>
      <c r="L50" s="668"/>
      <c r="M50" s="668"/>
      <c r="N50" s="668"/>
      <c r="O50" s="668"/>
      <c r="P50" s="669"/>
      <c r="Q50" s="668" t="s">
        <v>816</v>
      </c>
      <c r="R50" s="670"/>
      <c r="S50" s="668" t="s">
        <v>862</v>
      </c>
      <c r="T50" s="670"/>
      <c r="U50" s="668"/>
      <c r="V50" s="667" t="s">
        <v>863</v>
      </c>
      <c r="W50" s="667" t="s">
        <v>863</v>
      </c>
      <c r="X50" s="667"/>
      <c r="Y50" s="671"/>
      <c r="Z50" s="668"/>
      <c r="AA50" s="672"/>
      <c r="AB50" s="668"/>
      <c r="AC50" s="670"/>
      <c r="AD50" s="670"/>
    </row>
    <row r="51" spans="1:30" ht="15" customHeight="1">
      <c r="A51" s="225">
        <v>43</v>
      </c>
      <c r="B51" s="217"/>
      <c r="C51" s="219"/>
      <c r="D51" s="219" t="s">
        <v>2448</v>
      </c>
      <c r="E51" s="241"/>
      <c r="F51" s="241"/>
      <c r="G51" s="241"/>
      <c r="H51" s="668"/>
      <c r="I51" s="666"/>
      <c r="J51" s="668"/>
      <c r="K51" s="666" t="s">
        <v>2449</v>
      </c>
      <c r="L51" s="668"/>
      <c r="M51" s="668"/>
      <c r="N51" s="668"/>
      <c r="O51" s="668"/>
      <c r="P51" s="669"/>
      <c r="Q51" s="668" t="s">
        <v>816</v>
      </c>
      <c r="R51" s="670"/>
      <c r="S51" s="668" t="s">
        <v>862</v>
      </c>
      <c r="T51" s="670"/>
      <c r="U51" s="668"/>
      <c r="V51" s="667" t="s">
        <v>863</v>
      </c>
      <c r="W51" s="667" t="s">
        <v>863</v>
      </c>
      <c r="X51" s="667"/>
      <c r="Y51" s="671"/>
      <c r="Z51" s="668"/>
      <c r="AA51" s="672"/>
      <c r="AB51" s="668"/>
      <c r="AC51" s="670"/>
      <c r="AD51" s="670"/>
    </row>
    <row r="52" spans="1:30" ht="15" customHeight="1">
      <c r="A52" s="225">
        <v>44</v>
      </c>
      <c r="B52" s="217"/>
      <c r="C52" s="219"/>
      <c r="D52" s="219" t="s">
        <v>2450</v>
      </c>
      <c r="E52" s="241"/>
      <c r="F52" s="241"/>
      <c r="G52" s="241"/>
      <c r="H52" s="668" t="s">
        <v>2451</v>
      </c>
      <c r="I52" s="666"/>
      <c r="J52" s="668"/>
      <c r="K52" s="666" t="s">
        <v>2452</v>
      </c>
      <c r="L52" s="668"/>
      <c r="M52" s="668"/>
      <c r="N52" s="668"/>
      <c r="O52" s="668"/>
      <c r="P52" s="669"/>
      <c r="Q52" s="668" t="s">
        <v>816</v>
      </c>
      <c r="R52" s="670"/>
      <c r="S52" s="668" t="s">
        <v>862</v>
      </c>
      <c r="T52" s="670"/>
      <c r="U52" s="668"/>
      <c r="V52" s="667" t="s">
        <v>863</v>
      </c>
      <c r="W52" s="667" t="s">
        <v>863</v>
      </c>
      <c r="X52" s="667"/>
      <c r="Y52" s="671"/>
      <c r="Z52" s="668"/>
      <c r="AA52" s="672"/>
      <c r="AB52" s="668"/>
      <c r="AC52" s="670"/>
      <c r="AD52" s="670"/>
    </row>
    <row r="53" spans="1:30" ht="15" customHeight="1">
      <c r="A53" s="225">
        <v>45</v>
      </c>
      <c r="B53" s="217"/>
      <c r="C53" s="219"/>
      <c r="D53" s="219" t="s">
        <v>2453</v>
      </c>
      <c r="E53" s="241"/>
      <c r="F53" s="241"/>
      <c r="G53" s="241"/>
      <c r="H53" s="668"/>
      <c r="I53" s="666"/>
      <c r="J53" s="668"/>
      <c r="K53" s="666" t="s">
        <v>2454</v>
      </c>
      <c r="L53" s="668"/>
      <c r="M53" s="668"/>
      <c r="N53" s="668"/>
      <c r="O53" s="668"/>
      <c r="P53" s="669"/>
      <c r="Q53" s="668" t="s">
        <v>816</v>
      </c>
      <c r="R53" s="670"/>
      <c r="S53" s="668" t="s">
        <v>862</v>
      </c>
      <c r="T53" s="670"/>
      <c r="U53" s="668"/>
      <c r="V53" s="667" t="s">
        <v>863</v>
      </c>
      <c r="W53" s="667" t="s">
        <v>863</v>
      </c>
      <c r="X53" s="667"/>
      <c r="Y53" s="671"/>
      <c r="Z53" s="668"/>
      <c r="AA53" s="672"/>
      <c r="AB53" s="668"/>
      <c r="AC53" s="670"/>
      <c r="AD53" s="670"/>
    </row>
    <row r="54" spans="1:30" ht="15" customHeight="1">
      <c r="A54" s="225">
        <v>46</v>
      </c>
      <c r="B54" s="217"/>
      <c r="C54" s="219"/>
      <c r="D54" s="219" t="s">
        <v>2455</v>
      </c>
      <c r="E54" s="241"/>
      <c r="F54" s="241"/>
      <c r="G54" s="241"/>
      <c r="H54" s="668"/>
      <c r="I54" s="666"/>
      <c r="J54" s="668"/>
      <c r="K54" s="666" t="s">
        <v>2456</v>
      </c>
      <c r="L54" s="668"/>
      <c r="M54" s="668"/>
      <c r="N54" s="668"/>
      <c r="O54" s="668"/>
      <c r="P54" s="669"/>
      <c r="Q54" s="668" t="s">
        <v>816</v>
      </c>
      <c r="R54" s="670"/>
      <c r="S54" s="668" t="s">
        <v>2294</v>
      </c>
      <c r="T54" s="670"/>
      <c r="U54" s="668"/>
      <c r="V54" s="667" t="s">
        <v>863</v>
      </c>
      <c r="W54" s="667" t="s">
        <v>863</v>
      </c>
      <c r="X54" s="667"/>
      <c r="Y54" s="671"/>
      <c r="Z54" s="668"/>
      <c r="AA54" s="672"/>
      <c r="AB54" s="668"/>
      <c r="AC54" s="670"/>
      <c r="AD54" s="670"/>
    </row>
    <row r="55" spans="1:30" ht="15" customHeight="1">
      <c r="A55" s="225">
        <v>47</v>
      </c>
      <c r="B55" s="217"/>
      <c r="C55" s="219"/>
      <c r="D55" s="219" t="s">
        <v>2457</v>
      </c>
      <c r="E55" s="241"/>
      <c r="F55" s="241"/>
      <c r="G55" s="241"/>
      <c r="H55" s="668"/>
      <c r="I55" s="666"/>
      <c r="J55" s="668"/>
      <c r="K55" s="666" t="s">
        <v>2458</v>
      </c>
      <c r="L55" s="668"/>
      <c r="M55" s="668"/>
      <c r="N55" s="668"/>
      <c r="O55" s="668"/>
      <c r="P55" s="669"/>
      <c r="Q55" s="668" t="s">
        <v>816</v>
      </c>
      <c r="R55" s="670"/>
      <c r="S55" s="668" t="s">
        <v>862</v>
      </c>
      <c r="T55" s="670"/>
      <c r="U55" s="668"/>
      <c r="V55" s="667" t="s">
        <v>863</v>
      </c>
      <c r="W55" s="667" t="s">
        <v>863</v>
      </c>
      <c r="X55" s="667"/>
      <c r="Y55" s="671"/>
      <c r="Z55" s="668"/>
      <c r="AA55" s="672"/>
      <c r="AB55" s="668"/>
      <c r="AC55" s="670"/>
      <c r="AD55" s="670"/>
    </row>
    <row r="56" spans="1:30" ht="15" customHeight="1">
      <c r="A56" s="225">
        <v>48</v>
      </c>
      <c r="B56" s="217"/>
      <c r="C56" s="219"/>
      <c r="D56" s="219" t="s">
        <v>2459</v>
      </c>
      <c r="E56" s="241"/>
      <c r="F56" s="241"/>
      <c r="G56" s="241"/>
      <c r="H56" s="668"/>
      <c r="I56" s="666"/>
      <c r="J56" s="668"/>
      <c r="K56" s="666" t="s">
        <v>2460</v>
      </c>
      <c r="L56" s="668"/>
      <c r="M56" s="668"/>
      <c r="N56" s="668"/>
      <c r="O56" s="668"/>
      <c r="P56" s="669"/>
      <c r="Q56" s="668" t="s">
        <v>816</v>
      </c>
      <c r="R56" s="670"/>
      <c r="S56" s="668" t="s">
        <v>862</v>
      </c>
      <c r="T56" s="670"/>
      <c r="U56" s="668"/>
      <c r="V56" s="667" t="s">
        <v>863</v>
      </c>
      <c r="W56" s="667" t="s">
        <v>863</v>
      </c>
      <c r="X56" s="667"/>
      <c r="Y56" s="671"/>
      <c r="Z56" s="668"/>
      <c r="AA56" s="672"/>
      <c r="AB56" s="668"/>
      <c r="AC56" s="670"/>
      <c r="AD56" s="670"/>
    </row>
    <row r="57" spans="1:30" ht="15" customHeight="1">
      <c r="A57" s="225">
        <v>49</v>
      </c>
      <c r="B57" s="217"/>
      <c r="C57" s="262" t="s">
        <v>2461</v>
      </c>
      <c r="D57" s="519"/>
      <c r="E57" s="519"/>
      <c r="F57" s="519"/>
      <c r="G57" s="519"/>
      <c r="H57" s="710"/>
      <c r="I57" s="711"/>
      <c r="J57" s="710"/>
      <c r="K57" s="666" t="s">
        <v>2462</v>
      </c>
      <c r="L57" s="668"/>
      <c r="M57" s="668"/>
      <c r="N57" s="668"/>
      <c r="O57" s="668"/>
      <c r="P57" s="669"/>
      <c r="Q57" s="668" t="s">
        <v>816</v>
      </c>
      <c r="R57" s="670"/>
      <c r="S57" s="378" t="s">
        <v>2462</v>
      </c>
      <c r="T57" s="670"/>
      <c r="U57" s="668"/>
      <c r="V57" s="667"/>
      <c r="W57" s="667" t="s">
        <v>863</v>
      </c>
      <c r="X57" s="667"/>
      <c r="Y57" s="671"/>
      <c r="Z57" s="668"/>
      <c r="AA57" s="672"/>
      <c r="AB57" s="668"/>
      <c r="AC57" s="670"/>
      <c r="AD57" s="670"/>
    </row>
    <row r="58" spans="1:30" ht="15" customHeight="1">
      <c r="A58" s="225">
        <v>50</v>
      </c>
      <c r="B58" s="217"/>
      <c r="C58" s="219"/>
      <c r="D58" s="219" t="s">
        <v>2463</v>
      </c>
      <c r="E58" s="241"/>
      <c r="F58" s="241"/>
      <c r="G58" s="241"/>
      <c r="H58" s="668"/>
      <c r="I58" s="666"/>
      <c r="J58" s="668"/>
      <c r="K58" s="666" t="s">
        <v>2464</v>
      </c>
      <c r="L58" s="668"/>
      <c r="M58" s="668"/>
      <c r="N58" s="668"/>
      <c r="O58" s="668"/>
      <c r="P58" s="669"/>
      <c r="Q58" s="668" t="s">
        <v>816</v>
      </c>
      <c r="R58" s="670"/>
      <c r="S58" s="668" t="s">
        <v>2294</v>
      </c>
      <c r="T58" s="670"/>
      <c r="U58" s="668"/>
      <c r="V58" s="667"/>
      <c r="W58" s="667" t="s">
        <v>863</v>
      </c>
      <c r="X58" s="667"/>
      <c r="Y58" s="671"/>
      <c r="Z58" s="668"/>
      <c r="AA58" s="672"/>
      <c r="AB58" s="668"/>
      <c r="AC58" s="670"/>
      <c r="AD58" s="670"/>
    </row>
    <row r="59" spans="1:30" ht="15" customHeight="1">
      <c r="A59" s="225">
        <v>51</v>
      </c>
      <c r="B59" s="217"/>
      <c r="C59" s="219"/>
      <c r="D59" s="219" t="s">
        <v>2465</v>
      </c>
      <c r="E59" s="241"/>
      <c r="F59" s="241"/>
      <c r="G59" s="241"/>
      <c r="H59" s="668" t="s">
        <v>2466</v>
      </c>
      <c r="I59" s="666"/>
      <c r="J59" s="668"/>
      <c r="K59" s="666" t="s">
        <v>2467</v>
      </c>
      <c r="L59" s="668"/>
      <c r="M59" s="668"/>
      <c r="N59" s="668"/>
      <c r="O59" s="668"/>
      <c r="P59" s="669"/>
      <c r="Q59" s="668" t="s">
        <v>816</v>
      </c>
      <c r="R59" s="670"/>
      <c r="S59" s="668" t="s">
        <v>862</v>
      </c>
      <c r="T59" s="670"/>
      <c r="U59" s="668"/>
      <c r="V59" s="667"/>
      <c r="W59" s="667" t="s">
        <v>863</v>
      </c>
      <c r="X59" s="667"/>
      <c r="Y59" s="671"/>
      <c r="Z59" s="668"/>
      <c r="AA59" s="672"/>
      <c r="AB59" s="668"/>
      <c r="AC59" s="670"/>
      <c r="AD59" s="670"/>
    </row>
    <row r="60" spans="1:30" ht="15" customHeight="1">
      <c r="A60" s="225">
        <v>52</v>
      </c>
      <c r="B60" s="217"/>
      <c r="C60" s="219"/>
      <c r="D60" s="219" t="s">
        <v>2468</v>
      </c>
      <c r="E60" s="241"/>
      <c r="F60" s="241"/>
      <c r="G60" s="241"/>
      <c r="H60" s="668" t="s">
        <v>2469</v>
      </c>
      <c r="I60" s="666"/>
      <c r="J60" s="668"/>
      <c r="K60" s="666" t="s">
        <v>2470</v>
      </c>
      <c r="L60" s="668"/>
      <c r="M60" s="668"/>
      <c r="N60" s="668"/>
      <c r="O60" s="668"/>
      <c r="P60" s="669"/>
      <c r="Q60" s="668" t="s">
        <v>816</v>
      </c>
      <c r="R60" s="670"/>
      <c r="S60" s="668" t="s">
        <v>862</v>
      </c>
      <c r="T60" s="670"/>
      <c r="U60" s="668"/>
      <c r="V60" s="667"/>
      <c r="W60" s="667" t="s">
        <v>863</v>
      </c>
      <c r="X60" s="667"/>
      <c r="Y60" s="671"/>
      <c r="Z60" s="668"/>
      <c r="AA60" s="672"/>
      <c r="AB60" s="668"/>
      <c r="AC60" s="670"/>
      <c r="AD60" s="670"/>
    </row>
    <row r="61" spans="1:30" ht="15" customHeight="1">
      <c r="A61" s="225">
        <v>53</v>
      </c>
      <c r="B61" s="217"/>
      <c r="C61" s="219"/>
      <c r="D61" s="522" t="s">
        <v>2471</v>
      </c>
      <c r="E61" s="241"/>
      <c r="F61" s="241"/>
      <c r="G61" s="241"/>
      <c r="H61" s="668"/>
      <c r="I61" s="666"/>
      <c r="J61" s="668"/>
      <c r="K61" s="666" t="s">
        <v>2472</v>
      </c>
      <c r="L61" s="668"/>
      <c r="M61" s="668"/>
      <c r="N61" s="668"/>
      <c r="O61" s="668"/>
      <c r="P61" s="669"/>
      <c r="Q61" s="668" t="s">
        <v>816</v>
      </c>
      <c r="R61" s="670"/>
      <c r="S61" s="668" t="s">
        <v>2294</v>
      </c>
      <c r="T61" s="670"/>
      <c r="U61" s="668"/>
      <c r="V61" s="667"/>
      <c r="W61" s="667" t="s">
        <v>863</v>
      </c>
      <c r="X61" s="667"/>
      <c r="Y61" s="671"/>
      <c r="Z61" s="668"/>
      <c r="AA61" s="672"/>
      <c r="AB61" s="668"/>
      <c r="AC61" s="670"/>
      <c r="AD61" s="670"/>
    </row>
    <row r="62" spans="1:30" ht="15" customHeight="1">
      <c r="A62" s="225">
        <v>54</v>
      </c>
      <c r="B62" s="217"/>
      <c r="C62" s="219"/>
      <c r="D62" s="522" t="s">
        <v>2473</v>
      </c>
      <c r="E62" s="241"/>
      <c r="F62" s="241"/>
      <c r="G62" s="241"/>
      <c r="H62" s="668"/>
      <c r="I62" s="666"/>
      <c r="J62" s="668"/>
      <c r="K62" s="666" t="s">
        <v>2474</v>
      </c>
      <c r="L62" s="668"/>
      <c r="M62" s="668"/>
      <c r="N62" s="668"/>
      <c r="O62" s="668"/>
      <c r="P62" s="669"/>
      <c r="Q62" s="668" t="s">
        <v>816</v>
      </c>
      <c r="R62" s="670"/>
      <c r="S62" s="668" t="s">
        <v>2294</v>
      </c>
      <c r="T62" s="670"/>
      <c r="U62" s="668"/>
      <c r="V62" s="667"/>
      <c r="W62" s="667" t="s">
        <v>863</v>
      </c>
      <c r="X62" s="667"/>
      <c r="Y62" s="671"/>
      <c r="Z62" s="668"/>
      <c r="AA62" s="672"/>
      <c r="AB62" s="668"/>
      <c r="AC62" s="670"/>
      <c r="AD62" s="670"/>
    </row>
    <row r="63" spans="1:30" ht="15" customHeight="1">
      <c r="A63" s="225">
        <v>55</v>
      </c>
      <c r="B63" s="217"/>
      <c r="C63" s="219"/>
      <c r="D63" s="522" t="s">
        <v>2475</v>
      </c>
      <c r="E63" s="241"/>
      <c r="F63" s="241"/>
      <c r="G63" s="241"/>
      <c r="H63" s="668"/>
      <c r="I63" s="666"/>
      <c r="J63" s="668"/>
      <c r="K63" s="666" t="s">
        <v>2476</v>
      </c>
      <c r="L63" s="668"/>
      <c r="M63" s="668"/>
      <c r="N63" s="668"/>
      <c r="O63" s="668"/>
      <c r="P63" s="669"/>
      <c r="Q63" s="668" t="s">
        <v>816</v>
      </c>
      <c r="R63" s="670"/>
      <c r="S63" s="668" t="s">
        <v>2294</v>
      </c>
      <c r="T63" s="670"/>
      <c r="U63" s="668"/>
      <c r="V63" s="667"/>
      <c r="W63" s="667" t="s">
        <v>863</v>
      </c>
      <c r="X63" s="667"/>
      <c r="Y63" s="671"/>
      <c r="Z63" s="668"/>
      <c r="AA63" s="672"/>
      <c r="AB63" s="668"/>
      <c r="AC63" s="670"/>
      <c r="AD63" s="670"/>
    </row>
    <row r="64" spans="1:30" ht="15" customHeight="1">
      <c r="A64" s="225">
        <v>56</v>
      </c>
      <c r="B64" s="217"/>
      <c r="C64" s="219"/>
      <c r="D64" s="522" t="s">
        <v>2477</v>
      </c>
      <c r="E64" s="241"/>
      <c r="F64" s="241"/>
      <c r="G64" s="241"/>
      <c r="H64" s="668"/>
      <c r="I64" s="666"/>
      <c r="J64" s="668"/>
      <c r="K64" s="666" t="s">
        <v>2478</v>
      </c>
      <c r="L64" s="668"/>
      <c r="M64" s="668"/>
      <c r="N64" s="668"/>
      <c r="O64" s="668"/>
      <c r="P64" s="669"/>
      <c r="Q64" s="668" t="s">
        <v>816</v>
      </c>
      <c r="R64" s="670"/>
      <c r="S64" s="668" t="s">
        <v>2294</v>
      </c>
      <c r="T64" s="670"/>
      <c r="U64" s="668"/>
      <c r="V64" s="667"/>
      <c r="W64" s="667" t="s">
        <v>863</v>
      </c>
      <c r="X64" s="667"/>
      <c r="Y64" s="671"/>
      <c r="Z64" s="668"/>
      <c r="AA64" s="672"/>
      <c r="AB64" s="668"/>
      <c r="AC64" s="670"/>
      <c r="AD64" s="670"/>
    </row>
    <row r="65" spans="1:30" ht="15" customHeight="1">
      <c r="A65" s="225">
        <v>57</v>
      </c>
      <c r="B65" s="217"/>
      <c r="C65" s="219"/>
      <c r="D65" s="241"/>
      <c r="E65" s="241"/>
      <c r="F65" s="241"/>
      <c r="G65" s="241"/>
      <c r="H65" s="668"/>
      <c r="I65" s="666"/>
      <c r="J65" s="668"/>
      <c r="K65" s="666"/>
      <c r="L65" s="668"/>
      <c r="M65" s="668"/>
      <c r="N65" s="668"/>
      <c r="O65" s="668"/>
      <c r="P65" s="669"/>
      <c r="Q65" s="668"/>
      <c r="R65" s="670"/>
      <c r="S65" s="668"/>
      <c r="T65" s="670"/>
      <c r="U65" s="668"/>
      <c r="V65" s="667"/>
      <c r="W65" s="667" t="s">
        <v>863</v>
      </c>
      <c r="X65" s="667"/>
      <c r="Y65" s="671"/>
      <c r="Z65" s="668"/>
      <c r="AA65" s="672"/>
      <c r="AB65" s="668"/>
      <c r="AC65" s="670"/>
      <c r="AD65" s="670"/>
    </row>
    <row r="66" spans="1:30" ht="15" customHeight="1">
      <c r="A66" s="225">
        <v>58</v>
      </c>
      <c r="B66" s="217"/>
      <c r="C66" s="219"/>
      <c r="D66" s="522" t="s">
        <v>2479</v>
      </c>
      <c r="E66" s="241"/>
      <c r="F66" s="241"/>
      <c r="G66" s="241"/>
      <c r="H66" s="668"/>
      <c r="I66" s="666"/>
      <c r="J66" s="668"/>
      <c r="K66" s="666" t="s">
        <v>2480</v>
      </c>
      <c r="L66" s="668"/>
      <c r="M66" s="668"/>
      <c r="N66" s="668"/>
      <c r="O66" s="668"/>
      <c r="P66" s="669"/>
      <c r="Q66" s="668" t="s">
        <v>816</v>
      </c>
      <c r="R66" s="670"/>
      <c r="S66" s="668" t="s">
        <v>2294</v>
      </c>
      <c r="T66" s="670"/>
      <c r="U66" s="668"/>
      <c r="V66" s="667"/>
      <c r="W66" s="667" t="s">
        <v>863</v>
      </c>
      <c r="X66" s="667"/>
      <c r="Y66" s="671"/>
      <c r="Z66" s="668"/>
      <c r="AA66" s="672"/>
      <c r="AB66" s="668"/>
      <c r="AC66" s="670"/>
      <c r="AD66" s="670"/>
    </row>
    <row r="67" spans="1:30" ht="15" customHeight="1">
      <c r="A67" s="225">
        <v>59</v>
      </c>
      <c r="B67" s="217"/>
      <c r="C67" s="219"/>
      <c r="D67" s="522" t="s">
        <v>2481</v>
      </c>
      <c r="E67" s="241"/>
      <c r="F67" s="241"/>
      <c r="G67" s="241"/>
      <c r="H67" s="668"/>
      <c r="I67" s="666"/>
      <c r="J67" s="668"/>
      <c r="K67" s="666" t="s">
        <v>2482</v>
      </c>
      <c r="L67" s="668"/>
      <c r="M67" s="668"/>
      <c r="N67" s="668"/>
      <c r="O67" s="668"/>
      <c r="P67" s="669"/>
      <c r="Q67" s="668" t="s">
        <v>816</v>
      </c>
      <c r="R67" s="670"/>
      <c r="S67" s="668" t="s">
        <v>2294</v>
      </c>
      <c r="T67" s="670"/>
      <c r="U67" s="668"/>
      <c r="V67" s="667"/>
      <c r="W67" s="667" t="s">
        <v>863</v>
      </c>
      <c r="X67" s="667"/>
      <c r="Y67" s="671"/>
      <c r="Z67" s="668"/>
      <c r="AA67" s="672"/>
      <c r="AB67" s="668"/>
      <c r="AC67" s="670"/>
      <c r="AD67" s="670"/>
    </row>
    <row r="68" spans="1:30" ht="15" customHeight="1">
      <c r="A68" s="225">
        <v>60</v>
      </c>
      <c r="B68" s="217"/>
      <c r="C68" s="219"/>
      <c r="D68" s="522" t="s">
        <v>2483</v>
      </c>
      <c r="E68" s="241"/>
      <c r="F68" s="241"/>
      <c r="G68" s="241"/>
      <c r="H68" s="668"/>
      <c r="I68" s="666"/>
      <c r="J68" s="668"/>
      <c r="K68" s="666" t="s">
        <v>2484</v>
      </c>
      <c r="L68" s="668"/>
      <c r="M68" s="668"/>
      <c r="N68" s="668"/>
      <c r="O68" s="668"/>
      <c r="P68" s="669"/>
      <c r="Q68" s="668" t="s">
        <v>816</v>
      </c>
      <c r="R68" s="670"/>
      <c r="S68" s="668" t="s">
        <v>2294</v>
      </c>
      <c r="T68" s="670"/>
      <c r="U68" s="668"/>
      <c r="V68" s="667"/>
      <c r="W68" s="667" t="s">
        <v>863</v>
      </c>
      <c r="X68" s="667"/>
      <c r="Y68" s="671"/>
      <c r="Z68" s="668"/>
      <c r="AA68" s="672"/>
      <c r="AB68" s="668"/>
      <c r="AC68" s="670"/>
      <c r="AD68" s="670"/>
    </row>
    <row r="69" spans="1:30" ht="15" customHeight="1">
      <c r="A69" s="225">
        <v>61</v>
      </c>
      <c r="B69" s="216" t="s">
        <v>2485</v>
      </c>
      <c r="C69" s="520"/>
      <c r="D69" s="519"/>
      <c r="E69" s="519"/>
      <c r="F69" s="519"/>
      <c r="G69" s="519"/>
      <c r="H69" s="710"/>
      <c r="I69" s="711"/>
      <c r="J69" s="710"/>
      <c r="K69" s="666" t="s">
        <v>1951</v>
      </c>
      <c r="L69" s="668"/>
      <c r="M69" s="668"/>
      <c r="N69" s="668"/>
      <c r="O69" s="668"/>
      <c r="P69" s="669"/>
      <c r="Q69" s="668" t="s">
        <v>816</v>
      </c>
      <c r="R69" s="670"/>
      <c r="S69" s="668"/>
      <c r="T69" s="670"/>
      <c r="U69" s="668"/>
      <c r="V69" s="667"/>
      <c r="W69" s="667" t="s">
        <v>863</v>
      </c>
      <c r="X69" s="667"/>
      <c r="Y69" s="671"/>
      <c r="Z69" s="668"/>
      <c r="AA69" s="672"/>
      <c r="AB69" s="668"/>
      <c r="AC69" s="670"/>
      <c r="AD69" s="670"/>
    </row>
    <row r="70" spans="1:30" ht="15" customHeight="1">
      <c r="A70" s="225">
        <v>62</v>
      </c>
      <c r="B70" s="217"/>
      <c r="C70" s="219" t="s">
        <v>2486</v>
      </c>
      <c r="D70" s="241"/>
      <c r="E70" s="241"/>
      <c r="F70" s="241"/>
      <c r="G70" s="241"/>
      <c r="H70" s="668" t="s">
        <v>2487</v>
      </c>
      <c r="I70" s="666"/>
      <c r="J70" s="668"/>
      <c r="K70" s="666" t="s">
        <v>2488</v>
      </c>
      <c r="L70" s="668"/>
      <c r="M70" s="668"/>
      <c r="N70" s="668"/>
      <c r="O70" s="668"/>
      <c r="P70" s="669"/>
      <c r="Q70" s="668" t="s">
        <v>816</v>
      </c>
      <c r="R70" s="670"/>
      <c r="S70" s="668"/>
      <c r="T70" s="670"/>
      <c r="U70" s="668"/>
      <c r="V70" s="667"/>
      <c r="W70" s="667" t="s">
        <v>863</v>
      </c>
      <c r="X70" s="667"/>
      <c r="Y70" s="671"/>
      <c r="Z70" s="668"/>
      <c r="AA70" s="672"/>
      <c r="AB70" s="668"/>
      <c r="AC70" s="670"/>
      <c r="AD70" s="670"/>
    </row>
    <row r="71" spans="1:30" ht="15" customHeight="1">
      <c r="A71" s="225">
        <v>63</v>
      </c>
      <c r="B71" s="217"/>
      <c r="C71" s="219" t="s">
        <v>2489</v>
      </c>
      <c r="D71" s="241"/>
      <c r="E71" s="241"/>
      <c r="F71" s="241"/>
      <c r="G71" s="241"/>
      <c r="H71" s="668" t="s">
        <v>2490</v>
      </c>
      <c r="I71" s="666"/>
      <c r="J71" s="668"/>
      <c r="K71" s="666" t="s">
        <v>2449</v>
      </c>
      <c r="L71" s="668"/>
      <c r="M71" s="668"/>
      <c r="N71" s="668"/>
      <c r="O71" s="668"/>
      <c r="P71" s="669"/>
      <c r="Q71" s="668" t="s">
        <v>816</v>
      </c>
      <c r="R71" s="670"/>
      <c r="S71" s="668"/>
      <c r="T71" s="670"/>
      <c r="U71" s="668"/>
      <c r="V71" s="667"/>
      <c r="W71" s="667" t="s">
        <v>863</v>
      </c>
      <c r="X71" s="667"/>
      <c r="Y71" s="671"/>
      <c r="Z71" s="668"/>
      <c r="AA71" s="672"/>
      <c r="AB71" s="668"/>
      <c r="AC71" s="670"/>
      <c r="AD71" s="670"/>
    </row>
    <row r="72" spans="1:30" ht="15" customHeight="1">
      <c r="A72" s="225">
        <v>64</v>
      </c>
      <c r="B72" s="217"/>
      <c r="C72" s="219" t="s">
        <v>2491</v>
      </c>
      <c r="D72" s="241"/>
      <c r="E72" s="241"/>
      <c r="F72" s="241"/>
      <c r="G72" s="241"/>
      <c r="H72" s="668"/>
      <c r="I72" s="666"/>
      <c r="J72" s="668"/>
      <c r="K72" s="666" t="s">
        <v>2492</v>
      </c>
      <c r="L72" s="668"/>
      <c r="M72" s="668"/>
      <c r="N72" s="668"/>
      <c r="O72" s="668"/>
      <c r="P72" s="669"/>
      <c r="Q72" s="668" t="s">
        <v>816</v>
      </c>
      <c r="R72" s="670"/>
      <c r="S72" s="668" t="s">
        <v>2294</v>
      </c>
      <c r="T72" s="670"/>
      <c r="U72" s="668"/>
      <c r="V72" s="667"/>
      <c r="W72" s="667" t="s">
        <v>863</v>
      </c>
      <c r="X72" s="667"/>
      <c r="Y72" s="671"/>
      <c r="Z72" s="668"/>
      <c r="AA72" s="672"/>
      <c r="AB72" s="668"/>
      <c r="AC72" s="670"/>
      <c r="AD72" s="670"/>
    </row>
    <row r="73" spans="1:30" ht="15" customHeight="1">
      <c r="A73" s="225">
        <v>65</v>
      </c>
      <c r="B73" s="217"/>
      <c r="C73" s="219" t="s">
        <v>2493</v>
      </c>
      <c r="D73" s="241"/>
      <c r="E73" s="241"/>
      <c r="F73" s="241"/>
      <c r="G73" s="241"/>
      <c r="H73" s="668"/>
      <c r="I73" s="666"/>
      <c r="J73" s="668"/>
      <c r="K73" s="666"/>
      <c r="L73" s="668"/>
      <c r="M73" s="668"/>
      <c r="N73" s="668"/>
      <c r="O73" s="668"/>
      <c r="P73" s="669"/>
      <c r="Q73" s="668" t="s">
        <v>816</v>
      </c>
      <c r="R73" s="670"/>
      <c r="S73" s="668" t="s">
        <v>2294</v>
      </c>
      <c r="T73" s="670"/>
      <c r="U73" s="668"/>
      <c r="V73" s="667"/>
      <c r="W73" s="667" t="s">
        <v>863</v>
      </c>
      <c r="X73" s="667"/>
      <c r="Y73" s="671"/>
      <c r="Z73" s="668"/>
      <c r="AA73" s="672"/>
      <c r="AB73" s="668"/>
      <c r="AC73" s="670"/>
      <c r="AD73" s="670"/>
    </row>
    <row r="74" spans="1:30" ht="15" customHeight="1">
      <c r="A74" s="225">
        <v>66</v>
      </c>
      <c r="B74" s="217"/>
      <c r="C74" s="219" t="s">
        <v>2494</v>
      </c>
      <c r="D74" s="241"/>
      <c r="E74" s="241"/>
      <c r="F74" s="241"/>
      <c r="G74" s="241"/>
      <c r="H74" s="668"/>
      <c r="I74" s="666"/>
      <c r="J74" s="668"/>
      <c r="K74" s="666" t="s">
        <v>2495</v>
      </c>
      <c r="L74" s="668"/>
      <c r="M74" s="668"/>
      <c r="N74" s="668"/>
      <c r="O74" s="668"/>
      <c r="P74" s="669"/>
      <c r="Q74" s="668" t="s">
        <v>816</v>
      </c>
      <c r="R74" s="670"/>
      <c r="S74" s="668" t="s">
        <v>2294</v>
      </c>
      <c r="T74" s="670"/>
      <c r="U74" s="668"/>
      <c r="V74" s="667"/>
      <c r="W74" s="667" t="s">
        <v>863</v>
      </c>
      <c r="X74" s="667"/>
      <c r="Y74" s="671"/>
      <c r="Z74" s="668"/>
      <c r="AA74" s="672"/>
      <c r="AB74" s="668"/>
      <c r="AC74" s="670"/>
      <c r="AD74" s="670"/>
    </row>
    <row r="75" spans="1:30" ht="15" customHeight="1">
      <c r="A75" s="225">
        <v>67</v>
      </c>
      <c r="B75" s="217"/>
      <c r="C75" s="219" t="s">
        <v>2496</v>
      </c>
      <c r="D75" s="241"/>
      <c r="E75" s="241"/>
      <c r="F75" s="241"/>
      <c r="G75" s="241"/>
      <c r="H75" s="668"/>
      <c r="I75" s="666"/>
      <c r="J75" s="668"/>
      <c r="K75" s="666" t="s">
        <v>2497</v>
      </c>
      <c r="L75" s="668"/>
      <c r="M75" s="668"/>
      <c r="N75" s="668"/>
      <c r="O75" s="668"/>
      <c r="P75" s="669"/>
      <c r="Q75" s="668" t="s">
        <v>816</v>
      </c>
      <c r="R75" s="670"/>
      <c r="S75" s="668" t="s">
        <v>2294</v>
      </c>
      <c r="T75" s="670"/>
      <c r="U75" s="668"/>
      <c r="V75" s="667"/>
      <c r="W75" s="667" t="s">
        <v>863</v>
      </c>
      <c r="X75" s="667"/>
      <c r="Y75" s="671"/>
      <c r="Z75" s="668"/>
      <c r="AA75" s="672"/>
      <c r="AB75" s="668"/>
      <c r="AC75" s="670"/>
      <c r="AD75" s="670"/>
    </row>
    <row r="76" spans="1:30" ht="15" customHeight="1">
      <c r="A76" s="225">
        <v>68</v>
      </c>
      <c r="B76" s="217"/>
      <c r="C76" s="518" t="s">
        <v>2498</v>
      </c>
      <c r="D76" s="241"/>
      <c r="E76" s="241"/>
      <c r="F76" s="241"/>
      <c r="G76" s="241"/>
      <c r="H76" s="668" t="s">
        <v>2499</v>
      </c>
      <c r="I76" s="666"/>
      <c r="J76" s="668"/>
      <c r="K76" s="666"/>
      <c r="L76" s="668"/>
      <c r="M76" s="668"/>
      <c r="N76" s="668"/>
      <c r="O76" s="668"/>
      <c r="P76" s="669"/>
      <c r="Q76" s="668" t="s">
        <v>816</v>
      </c>
      <c r="R76" s="670"/>
      <c r="S76" s="668" t="s">
        <v>2294</v>
      </c>
      <c r="T76" s="670"/>
      <c r="U76" s="668"/>
      <c r="V76" s="667"/>
      <c r="W76" s="667" t="s">
        <v>863</v>
      </c>
      <c r="X76" s="667"/>
      <c r="Y76" s="671"/>
      <c r="Z76" s="668"/>
      <c r="AA76" s="672"/>
      <c r="AB76" s="668"/>
      <c r="AC76" s="670"/>
      <c r="AD76" s="670"/>
    </row>
    <row r="77" spans="1:30" ht="15" customHeight="1">
      <c r="A77" s="225">
        <v>69</v>
      </c>
      <c r="B77" s="217"/>
      <c r="C77" s="518" t="s">
        <v>2500</v>
      </c>
      <c r="D77" s="241"/>
      <c r="E77" s="241"/>
      <c r="F77" s="241"/>
      <c r="G77" s="241"/>
      <c r="H77" s="668" t="s">
        <v>2501</v>
      </c>
      <c r="I77" s="666"/>
      <c r="J77" s="668"/>
      <c r="K77" s="666"/>
      <c r="L77" s="668"/>
      <c r="M77" s="668"/>
      <c r="N77" s="668"/>
      <c r="O77" s="668"/>
      <c r="P77" s="669"/>
      <c r="Q77" s="668" t="s">
        <v>816</v>
      </c>
      <c r="R77" s="670"/>
      <c r="S77" s="668" t="s">
        <v>2294</v>
      </c>
      <c r="T77" s="670"/>
      <c r="U77" s="668"/>
      <c r="V77" s="667"/>
      <c r="W77" s="667" t="s">
        <v>863</v>
      </c>
      <c r="X77" s="667"/>
      <c r="Y77" s="671"/>
      <c r="Z77" s="668"/>
      <c r="AA77" s="672"/>
      <c r="AB77" s="668"/>
      <c r="AC77" s="670"/>
      <c r="AD77" s="670"/>
    </row>
    <row r="78" spans="1:30" ht="15" customHeight="1">
      <c r="A78" s="225">
        <v>70</v>
      </c>
      <c r="B78" s="217"/>
      <c r="C78" s="518" t="s">
        <v>2502</v>
      </c>
      <c r="D78" s="241"/>
      <c r="E78" s="241"/>
      <c r="F78" s="241"/>
      <c r="G78" s="241"/>
      <c r="H78" s="263" t="s">
        <v>2503</v>
      </c>
      <c r="I78" s="666"/>
      <c r="J78" s="668"/>
      <c r="K78" s="666"/>
      <c r="L78" s="668"/>
      <c r="M78" s="668"/>
      <c r="N78" s="668"/>
      <c r="O78" s="668"/>
      <c r="P78" s="669"/>
      <c r="Q78" s="668" t="s">
        <v>816</v>
      </c>
      <c r="R78" s="670"/>
      <c r="S78" s="668" t="s">
        <v>2294</v>
      </c>
      <c r="T78" s="670"/>
      <c r="U78" s="668"/>
      <c r="V78" s="667"/>
      <c r="W78" s="667" t="s">
        <v>863</v>
      </c>
      <c r="X78" s="667"/>
      <c r="Y78" s="671"/>
      <c r="Z78" s="668"/>
      <c r="AA78" s="672"/>
      <c r="AB78" s="668"/>
      <c r="AC78" s="670"/>
      <c r="AD78" s="670"/>
    </row>
    <row r="79" spans="1:30" ht="15" customHeight="1">
      <c r="A79" s="225">
        <v>71</v>
      </c>
      <c r="B79" s="217"/>
      <c r="C79" s="518" t="s">
        <v>2504</v>
      </c>
      <c r="D79" s="241"/>
      <c r="E79" s="241"/>
      <c r="F79" s="241"/>
      <c r="G79" s="241"/>
      <c r="H79" s="668" t="s">
        <v>2505</v>
      </c>
      <c r="I79" s="666"/>
      <c r="J79" s="668"/>
      <c r="K79" s="666"/>
      <c r="L79" s="668"/>
      <c r="M79" s="668"/>
      <c r="N79" s="668"/>
      <c r="O79" s="668"/>
      <c r="P79" s="669"/>
      <c r="Q79" s="668" t="s">
        <v>816</v>
      </c>
      <c r="R79" s="670"/>
      <c r="S79" s="668" t="s">
        <v>2294</v>
      </c>
      <c r="T79" s="670"/>
      <c r="U79" s="668"/>
      <c r="V79" s="667"/>
      <c r="W79" s="667" t="s">
        <v>863</v>
      </c>
      <c r="X79" s="667"/>
      <c r="Y79" s="671"/>
      <c r="Z79" s="668"/>
      <c r="AA79" s="672"/>
      <c r="AB79" s="668"/>
      <c r="AC79" s="670"/>
      <c r="AD79" s="670"/>
    </row>
    <row r="80" spans="1:30" ht="15" customHeight="1">
      <c r="A80" s="225">
        <v>72</v>
      </c>
      <c r="B80" s="217"/>
      <c r="C80" s="518" t="s">
        <v>2506</v>
      </c>
      <c r="D80" s="241"/>
      <c r="E80" s="241"/>
      <c r="F80" s="241"/>
      <c r="G80" s="241"/>
      <c r="H80" s="263" t="s">
        <v>2507</v>
      </c>
      <c r="I80" s="666"/>
      <c r="J80" s="668"/>
      <c r="K80" s="666"/>
      <c r="L80" s="668"/>
      <c r="M80" s="668"/>
      <c r="N80" s="668"/>
      <c r="O80" s="668"/>
      <c r="P80" s="669"/>
      <c r="Q80" s="668" t="s">
        <v>816</v>
      </c>
      <c r="R80" s="670"/>
      <c r="S80" s="668" t="s">
        <v>2294</v>
      </c>
      <c r="T80" s="670"/>
      <c r="U80" s="668"/>
      <c r="V80" s="667"/>
      <c r="W80" s="667" t="s">
        <v>863</v>
      </c>
      <c r="X80" s="667"/>
      <c r="Y80" s="671"/>
      <c r="Z80" s="668"/>
      <c r="AA80" s="672"/>
      <c r="AB80" s="668"/>
      <c r="AC80" s="670"/>
      <c r="AD80" s="670"/>
    </row>
    <row r="81" spans="1:30" ht="15" customHeight="1">
      <c r="A81" s="225">
        <v>73</v>
      </c>
      <c r="B81" s="217"/>
      <c r="C81" s="518" t="s">
        <v>2508</v>
      </c>
      <c r="D81" s="241"/>
      <c r="E81" s="241"/>
      <c r="F81" s="241"/>
      <c r="G81" s="241"/>
      <c r="H81" s="668" t="s">
        <v>2509</v>
      </c>
      <c r="I81" s="666"/>
      <c r="J81" s="668"/>
      <c r="K81" s="666"/>
      <c r="L81" s="668"/>
      <c r="M81" s="668"/>
      <c r="N81" s="668"/>
      <c r="O81" s="668"/>
      <c r="P81" s="669"/>
      <c r="Q81" s="668" t="s">
        <v>816</v>
      </c>
      <c r="R81" s="670"/>
      <c r="S81" s="668" t="s">
        <v>2294</v>
      </c>
      <c r="T81" s="670"/>
      <c r="U81" s="668"/>
      <c r="V81" s="667"/>
      <c r="W81" s="667" t="s">
        <v>863</v>
      </c>
      <c r="X81" s="667"/>
      <c r="Y81" s="671"/>
      <c r="Z81" s="668"/>
      <c r="AA81" s="672"/>
      <c r="AB81" s="668"/>
      <c r="AC81" s="670"/>
      <c r="AD81" s="670"/>
    </row>
    <row r="82" spans="1:30" ht="15" customHeight="1">
      <c r="A82" s="225">
        <v>74</v>
      </c>
      <c r="B82" s="217"/>
      <c r="C82" s="518" t="s">
        <v>2510</v>
      </c>
      <c r="D82" s="241"/>
      <c r="E82" s="241"/>
      <c r="F82" s="241"/>
      <c r="G82" s="241"/>
      <c r="H82" s="668" t="s">
        <v>2511</v>
      </c>
      <c r="I82" s="666"/>
      <c r="J82" s="668"/>
      <c r="K82" s="666"/>
      <c r="L82" s="668"/>
      <c r="M82" s="668"/>
      <c r="N82" s="668"/>
      <c r="O82" s="668"/>
      <c r="P82" s="669"/>
      <c r="Q82" s="668" t="s">
        <v>816</v>
      </c>
      <c r="R82" s="670"/>
      <c r="S82" s="668" t="s">
        <v>2294</v>
      </c>
      <c r="T82" s="670"/>
      <c r="U82" s="668"/>
      <c r="V82" s="667"/>
      <c r="W82" s="667" t="s">
        <v>863</v>
      </c>
      <c r="X82" s="667"/>
      <c r="Y82" s="671"/>
      <c r="Z82" s="668"/>
      <c r="AA82" s="672"/>
      <c r="AB82" s="668"/>
      <c r="AC82" s="670"/>
      <c r="AD82" s="670"/>
    </row>
    <row r="83" spans="1:30" ht="15" customHeight="1">
      <c r="A83" s="225">
        <v>75</v>
      </c>
      <c r="B83" s="216" t="s">
        <v>2512</v>
      </c>
      <c r="C83" s="520"/>
      <c r="D83" s="519"/>
      <c r="E83" s="519"/>
      <c r="F83" s="519"/>
      <c r="G83" s="519"/>
      <c r="H83" s="710"/>
      <c r="I83" s="711"/>
      <c r="J83" s="710"/>
      <c r="K83" s="666" t="s">
        <v>1558</v>
      </c>
      <c r="L83" s="668"/>
      <c r="M83" s="668"/>
      <c r="N83" s="668"/>
      <c r="O83" s="668"/>
      <c r="P83" s="669"/>
      <c r="Q83" s="668"/>
      <c r="R83" s="670"/>
      <c r="S83" s="668"/>
      <c r="T83" s="670"/>
      <c r="U83" s="668"/>
      <c r="V83" s="667"/>
      <c r="W83" s="667"/>
      <c r="X83" s="713"/>
      <c r="Y83" s="671"/>
      <c r="Z83" s="668"/>
      <c r="AA83" s="672"/>
      <c r="AB83" s="668"/>
      <c r="AC83" s="670"/>
      <c r="AD83" s="670"/>
    </row>
    <row r="84" spans="1:30" ht="15" customHeight="1">
      <c r="A84" s="225">
        <v>76</v>
      </c>
      <c r="B84" s="216"/>
      <c r="C84" s="216" t="s">
        <v>2513</v>
      </c>
      <c r="D84" s="520"/>
      <c r="E84" s="519"/>
      <c r="F84" s="519"/>
      <c r="G84" s="519"/>
      <c r="H84" s="710"/>
      <c r="I84" s="711"/>
      <c r="J84" s="710"/>
      <c r="K84" s="666" t="s">
        <v>2514</v>
      </c>
      <c r="L84" s="668"/>
      <c r="M84" s="668"/>
      <c r="N84" s="668"/>
      <c r="O84" s="668"/>
      <c r="P84" s="669"/>
      <c r="Q84" s="668" t="s">
        <v>816</v>
      </c>
      <c r="R84" s="670" t="s">
        <v>863</v>
      </c>
      <c r="S84" s="666" t="s">
        <v>2515</v>
      </c>
      <c r="T84" s="670"/>
      <c r="U84" s="668"/>
      <c r="V84" s="667"/>
      <c r="W84" s="667"/>
      <c r="X84" s="713"/>
      <c r="Y84" s="671"/>
      <c r="Z84" s="668"/>
      <c r="AA84" s="672"/>
      <c r="AB84" s="668"/>
      <c r="AC84" s="670"/>
      <c r="AD84" s="670"/>
    </row>
    <row r="85" spans="1:30" ht="15" customHeight="1">
      <c r="A85" s="225">
        <v>77</v>
      </c>
      <c r="B85" s="217"/>
      <c r="C85" s="219"/>
      <c r="D85" s="241" t="s">
        <v>1555</v>
      </c>
      <c r="E85" s="241"/>
      <c r="F85" s="241"/>
      <c r="G85" s="241"/>
      <c r="H85" s="668" t="s">
        <v>2376</v>
      </c>
      <c r="I85" s="666"/>
      <c r="J85" s="668"/>
      <c r="K85" s="666" t="s">
        <v>969</v>
      </c>
      <c r="L85" s="668"/>
      <c r="M85" s="668"/>
      <c r="N85" s="668"/>
      <c r="O85" s="668"/>
      <c r="P85" s="669"/>
      <c r="Q85" s="668"/>
      <c r="R85" s="670"/>
      <c r="S85" s="668"/>
      <c r="T85" s="670"/>
      <c r="U85" s="668"/>
      <c r="V85" s="667"/>
      <c r="W85" s="667"/>
      <c r="X85" s="713"/>
      <c r="Y85" s="671"/>
      <c r="Z85" s="668"/>
      <c r="AA85" s="672"/>
      <c r="AB85" s="668"/>
      <c r="AC85" s="670"/>
      <c r="AD85" s="670"/>
    </row>
    <row r="86" spans="1:30" ht="15" customHeight="1">
      <c r="A86" s="225">
        <v>78</v>
      </c>
      <c r="B86" s="217"/>
      <c r="C86" s="217"/>
      <c r="D86" s="219" t="s">
        <v>2516</v>
      </c>
      <c r="E86" s="241"/>
      <c r="F86" s="241"/>
      <c r="G86" s="241"/>
      <c r="H86" s="668"/>
      <c r="I86" s="666"/>
      <c r="J86" s="668"/>
      <c r="K86" s="666" t="s">
        <v>1574</v>
      </c>
      <c r="L86" s="668"/>
      <c r="M86" s="668"/>
      <c r="N86" s="668"/>
      <c r="O86" s="668"/>
      <c r="P86" s="669"/>
      <c r="Q86" s="668" t="s">
        <v>816</v>
      </c>
      <c r="R86" s="670"/>
      <c r="S86" s="668"/>
      <c r="T86" s="670"/>
      <c r="U86" s="668"/>
      <c r="V86" s="667"/>
      <c r="W86" s="667"/>
      <c r="X86" s="713"/>
      <c r="Y86" s="671"/>
      <c r="Z86" s="668"/>
      <c r="AA86" s="672"/>
      <c r="AB86" s="668"/>
      <c r="AC86" s="670"/>
      <c r="AD86" s="670"/>
    </row>
    <row r="87" spans="1:30" ht="15" customHeight="1">
      <c r="A87" s="225">
        <v>79</v>
      </c>
      <c r="B87" s="217"/>
      <c r="C87" s="217"/>
      <c r="D87" s="219" t="s">
        <v>2517</v>
      </c>
      <c r="E87" s="241"/>
      <c r="F87" s="241"/>
      <c r="G87" s="241"/>
      <c r="H87" s="668"/>
      <c r="I87" s="666"/>
      <c r="J87" s="668"/>
      <c r="K87" s="666" t="s">
        <v>1577</v>
      </c>
      <c r="L87" s="668"/>
      <c r="M87" s="668"/>
      <c r="N87" s="668"/>
      <c r="O87" s="668"/>
      <c r="P87" s="669"/>
      <c r="Q87" s="668" t="s">
        <v>816</v>
      </c>
      <c r="R87" s="670" t="s">
        <v>863</v>
      </c>
      <c r="S87" s="378" t="s">
        <v>1577</v>
      </c>
      <c r="T87" s="670"/>
      <c r="U87" s="668"/>
      <c r="V87" s="667"/>
      <c r="W87" s="667"/>
      <c r="X87" s="713"/>
      <c r="Y87" s="671"/>
      <c r="Z87" s="668"/>
      <c r="AA87" s="672"/>
      <c r="AB87" s="668"/>
      <c r="AC87" s="670"/>
      <c r="AD87" s="670"/>
    </row>
    <row r="88" spans="1:30" ht="15" customHeight="1">
      <c r="A88" s="225">
        <v>80</v>
      </c>
      <c r="B88" s="217"/>
      <c r="C88" s="217"/>
      <c r="D88" s="219"/>
      <c r="E88" s="219" t="s">
        <v>1668</v>
      </c>
      <c r="F88" s="241"/>
      <c r="G88" s="241"/>
      <c r="H88" s="668"/>
      <c r="I88" s="666"/>
      <c r="J88" s="668"/>
      <c r="K88" s="666" t="s">
        <v>2398</v>
      </c>
      <c r="L88" s="668"/>
      <c r="M88" s="668"/>
      <c r="N88" s="668"/>
      <c r="O88" s="668"/>
      <c r="P88" s="669"/>
      <c r="Q88" s="668" t="s">
        <v>816</v>
      </c>
      <c r="R88" s="670"/>
      <c r="S88" s="668"/>
      <c r="T88" s="670"/>
      <c r="U88" s="668"/>
      <c r="V88" s="667"/>
      <c r="W88" s="667"/>
      <c r="X88" s="713"/>
      <c r="Y88" s="671"/>
      <c r="Z88" s="668"/>
      <c r="AA88" s="672"/>
      <c r="AB88" s="668"/>
      <c r="AC88" s="670"/>
      <c r="AD88" s="670"/>
    </row>
    <row r="89" spans="1:30" ht="15" customHeight="1">
      <c r="A89" s="225">
        <v>81</v>
      </c>
      <c r="B89" s="217"/>
      <c r="C89" s="217"/>
      <c r="D89" s="219"/>
      <c r="E89" s="219" t="s">
        <v>1673</v>
      </c>
      <c r="F89" s="241"/>
      <c r="G89" s="241"/>
      <c r="H89" s="668"/>
      <c r="I89" s="666"/>
      <c r="J89" s="668"/>
      <c r="K89" s="666" t="s">
        <v>1676</v>
      </c>
      <c r="L89" s="668"/>
      <c r="M89" s="668"/>
      <c r="N89" s="668"/>
      <c r="O89" s="668"/>
      <c r="P89" s="669"/>
      <c r="Q89" s="668" t="s">
        <v>816</v>
      </c>
      <c r="R89" s="670"/>
      <c r="S89" s="668"/>
      <c r="T89" s="670"/>
      <c r="U89" s="668"/>
      <c r="V89" s="667"/>
      <c r="W89" s="667"/>
      <c r="X89" s="713"/>
      <c r="Y89" s="671"/>
      <c r="Z89" s="668"/>
      <c r="AA89" s="672"/>
      <c r="AB89" s="668"/>
      <c r="AC89" s="670"/>
      <c r="AD89" s="670"/>
    </row>
    <row r="90" spans="1:30" ht="15" customHeight="1">
      <c r="A90" s="225">
        <v>82</v>
      </c>
      <c r="B90" s="217"/>
      <c r="C90" s="219"/>
      <c r="D90" s="241"/>
      <c r="E90" s="219" t="s">
        <v>1567</v>
      </c>
      <c r="F90" s="241"/>
      <c r="G90" s="241"/>
      <c r="H90" s="668"/>
      <c r="I90" s="666"/>
      <c r="J90" s="668"/>
      <c r="K90" s="666" t="s">
        <v>1679</v>
      </c>
      <c r="L90" s="668"/>
      <c r="M90" s="668"/>
      <c r="N90" s="668"/>
      <c r="O90" s="668"/>
      <c r="P90" s="669"/>
      <c r="Q90" s="668" t="s">
        <v>816</v>
      </c>
      <c r="R90" s="670"/>
      <c r="S90" s="668"/>
      <c r="T90" s="670"/>
      <c r="U90" s="668"/>
      <c r="V90" s="667"/>
      <c r="W90" s="667"/>
      <c r="X90" s="713"/>
      <c r="Y90" s="671"/>
      <c r="Z90" s="668"/>
      <c r="AA90" s="672"/>
      <c r="AB90" s="668"/>
      <c r="AC90" s="670"/>
      <c r="AD90" s="670"/>
    </row>
    <row r="91" spans="1:30" ht="15" customHeight="1">
      <c r="A91" s="225">
        <v>80</v>
      </c>
      <c r="B91" s="217"/>
      <c r="C91" s="217" t="s">
        <v>2518</v>
      </c>
      <c r="D91" s="217"/>
      <c r="E91" s="241"/>
      <c r="F91" s="241"/>
      <c r="G91" s="241"/>
      <c r="H91" s="668"/>
      <c r="I91" s="666"/>
      <c r="J91" s="668"/>
      <c r="K91" s="666" t="s">
        <v>2519</v>
      </c>
      <c r="L91" s="668"/>
      <c r="M91" s="668"/>
      <c r="N91" s="668"/>
      <c r="O91" s="668"/>
      <c r="P91" s="669"/>
      <c r="Q91" s="668" t="s">
        <v>816</v>
      </c>
      <c r="R91" s="670"/>
      <c r="S91" s="668" t="s">
        <v>878</v>
      </c>
      <c r="T91" s="670"/>
      <c r="U91" s="668"/>
      <c r="V91" s="667"/>
      <c r="W91" s="667" t="s">
        <v>863</v>
      </c>
      <c r="X91" s="667"/>
      <c r="Y91" s="671"/>
      <c r="Z91" s="668"/>
      <c r="AA91" s="672"/>
      <c r="AB91" s="668"/>
      <c r="AC91" s="670"/>
      <c r="AD91" s="670"/>
    </row>
    <row r="92" spans="1:30" ht="15" customHeight="1">
      <c r="A92" s="225">
        <v>81</v>
      </c>
      <c r="B92" s="217"/>
      <c r="C92" s="217" t="s">
        <v>2520</v>
      </c>
      <c r="D92" s="217"/>
      <c r="E92" s="241"/>
      <c r="F92" s="241"/>
      <c r="G92" s="241"/>
      <c r="H92" s="668"/>
      <c r="I92" s="666"/>
      <c r="J92" s="668"/>
      <c r="K92" s="666" t="s">
        <v>2521</v>
      </c>
      <c r="L92" s="668"/>
      <c r="M92" s="668"/>
      <c r="N92" s="668"/>
      <c r="O92" s="668"/>
      <c r="P92" s="669"/>
      <c r="Q92" s="668" t="s">
        <v>816</v>
      </c>
      <c r="R92" s="670"/>
      <c r="S92" s="668" t="s">
        <v>878</v>
      </c>
      <c r="T92" s="670"/>
      <c r="U92" s="668"/>
      <c r="V92" s="667"/>
      <c r="W92" s="667" t="s">
        <v>863</v>
      </c>
      <c r="X92" s="667"/>
      <c r="Y92" s="671"/>
      <c r="Z92" s="668"/>
      <c r="AA92" s="672"/>
      <c r="AB92" s="668"/>
      <c r="AC92" s="670"/>
      <c r="AD92" s="670"/>
    </row>
    <row r="93" spans="1:30" ht="16.5" customHeight="1">
      <c r="A93" s="225">
        <f>SUBTOTAL(103,createCase215[ID])</f>
        <v>84</v>
      </c>
      <c r="B93" s="224"/>
      <c r="C93" s="225">
        <f>SUBTOTAL(103,createCase215[Donnée (Niveau 2)])</f>
        <v>34</v>
      </c>
      <c r="D93" s="225">
        <f>SUBTOTAL(103,createCase215[Donnée (Niveau 3)])</f>
        <v>34</v>
      </c>
      <c r="E93" s="225">
        <f>SUBTOTAL(103,createCase215[Donnée (Niveau 4)])</f>
        <v>6</v>
      </c>
      <c r="F93" s="225">
        <f>SUBTOTAL(103,createCase215[Donnée (Niveau 5)])</f>
        <v>0</v>
      </c>
      <c r="G93" s="225">
        <f>SUBTOTAL(103,createCase215[Donnée (Niveau 6)])</f>
        <v>0</v>
      </c>
      <c r="H93" s="225">
        <f>SUBTOTAL(103,createCase215[Description])</f>
        <v>35</v>
      </c>
      <c r="I93" s="225">
        <f>SUBTOTAL(103,createCase215[Exemples])</f>
        <v>20</v>
      </c>
      <c r="J93" s="225">
        <f>SUBTOTAL(103,createCase215[Balise NexSIS])</f>
        <v>3</v>
      </c>
      <c r="K93" s="239">
        <f>SUBTOTAL(103,createCase215[Nouvelle balise])</f>
        <v>75</v>
      </c>
      <c r="L93" s="225">
        <f>SUBTOTAL(103,createCase215[Nantes - balise])</f>
        <v>6</v>
      </c>
      <c r="M93" s="225">
        <f>SUBTOTAL(103,createCase215[Nantes - description])</f>
        <v>6</v>
      </c>
      <c r="N93" s="225">
        <f>SUBTOTAL(103,createCase215[GT399])</f>
        <v>0</v>
      </c>
      <c r="O93" s="225">
        <f>SUBTOTAL(103,createCase215[GT399 description])</f>
        <v>0</v>
      </c>
      <c r="P93" s="234">
        <f>SUBTOTAL(103,createCase215[Priorisation])</f>
        <v>1</v>
      </c>
      <c r="Q93" s="225"/>
      <c r="R93" s="225">
        <f>SUBTOTAL(103,createCase215[Objet])</f>
        <v>11</v>
      </c>
      <c r="S93" s="225">
        <f>SUBTOTAL(103,createCase215[Format (ou type)])</f>
        <v>74</v>
      </c>
      <c r="T93" s="274"/>
      <c r="U93" s="225"/>
      <c r="V93" s="225"/>
      <c r="W93" s="225"/>
      <c r="X93" s="225"/>
      <c r="Y93" s="271">
        <f>SUBTOTAL(103,createCase215[Commentaire Hub Santé])</f>
        <v>0</v>
      </c>
      <c r="Z93" s="225">
        <f>SUBTOTAL(103,createCase215[Commentaire Philippe Dreyfus])</f>
        <v>0</v>
      </c>
      <c r="AA93" s="239"/>
      <c r="AB93" s="225">
        <f>SUBTOTAL(103,createCase215[Commentaire Yann Penverne])</f>
        <v>0</v>
      </c>
      <c r="AC93" s="225">
        <f>SUBTOTAL(103,createCase215[NexSIS])-COUNTIFS(createCase215[NexSIS],"=X")</f>
        <v>0</v>
      </c>
      <c r="AD93" s="225">
        <f>SUBTOTAL(103,createCase215[Métier])-COUNTIFS(createCase215[Métier],"=X")</f>
        <v>0</v>
      </c>
    </row>
    <row r="94" spans="1:30" ht="12" customHeight="1">
      <c r="A94" s="3"/>
      <c r="B94" s="3"/>
      <c r="C94" s="131"/>
      <c r="D94" s="131"/>
      <c r="E94" s="131"/>
      <c r="F94" s="131"/>
      <c r="G94" s="5"/>
      <c r="H94" s="155"/>
      <c r="J94" s="5"/>
      <c r="K94" s="155"/>
      <c r="L94" s="5"/>
      <c r="M94" s="5"/>
      <c r="N94" s="5"/>
      <c r="O94" s="5"/>
      <c r="P94" s="188"/>
      <c r="Q94" s="5"/>
      <c r="R94" s="5"/>
      <c r="S94" s="5"/>
      <c r="T94" s="56"/>
      <c r="U94" s="56"/>
      <c r="V94" s="56"/>
      <c r="W94" s="56"/>
      <c r="X94" s="56"/>
      <c r="Y94" s="178"/>
      <c r="Z94" s="5"/>
      <c r="AB94" s="56"/>
      <c r="AC94" s="128"/>
      <c r="AD94" s="56"/>
    </row>
    <row r="95" spans="1:30" ht="12" customHeight="1">
      <c r="A95" s="129"/>
      <c r="B95" s="129"/>
      <c r="C95" s="129"/>
      <c r="D95" s="129"/>
      <c r="E95" s="129"/>
      <c r="F95" s="129"/>
      <c r="AC95" s="128"/>
    </row>
    <row r="96" spans="1:30" ht="12" customHeight="1">
      <c r="G96" s="128"/>
      <c r="H96" s="128"/>
      <c r="I96" s="224"/>
      <c r="J96" s="128"/>
      <c r="K96" s="128"/>
      <c r="L96" s="128"/>
      <c r="M96" s="128"/>
      <c r="N96" s="128"/>
      <c r="O96" s="128"/>
      <c r="P96" s="174"/>
      <c r="Q96" s="128"/>
      <c r="AC96" s="128"/>
    </row>
    <row r="97" spans="1:1016" ht="12" customHeight="1">
      <c r="G97" s="128"/>
      <c r="H97" s="128"/>
      <c r="I97" s="224"/>
      <c r="J97" s="128"/>
      <c r="K97" s="128"/>
      <c r="L97" s="128"/>
      <c r="M97" s="128"/>
      <c r="N97" s="128"/>
      <c r="O97" s="128"/>
      <c r="P97" s="174"/>
      <c r="Q97" s="128"/>
      <c r="AC97" s="128"/>
    </row>
    <row r="98" spans="1:1016" ht="12" customHeight="1">
      <c r="G98" s="128"/>
      <c r="H98" s="128"/>
      <c r="I98" s="224"/>
      <c r="J98" s="128"/>
      <c r="K98" s="128"/>
      <c r="L98" s="128"/>
      <c r="M98" s="128"/>
      <c r="N98" s="128"/>
      <c r="O98" s="128"/>
      <c r="P98" s="174"/>
      <c r="Q98" s="128"/>
      <c r="AC98" s="128"/>
    </row>
    <row r="99" spans="1:1016" ht="12" customHeight="1">
      <c r="G99" s="128"/>
      <c r="H99" s="128"/>
      <c r="I99" s="224"/>
      <c r="J99" s="128"/>
      <c r="K99" s="128"/>
      <c r="L99" s="128"/>
      <c r="M99" s="128"/>
      <c r="N99" s="128"/>
      <c r="O99" s="128"/>
      <c r="P99" s="174"/>
      <c r="Q99" s="128"/>
      <c r="AC99" s="128"/>
    </row>
    <row r="100" spans="1:1016" ht="12" customHeight="1">
      <c r="G100" s="128"/>
      <c r="H100" s="128"/>
      <c r="I100" s="224"/>
      <c r="J100" s="128"/>
      <c r="K100" s="128"/>
      <c r="L100" s="128"/>
      <c r="M100" s="128"/>
      <c r="N100" s="128"/>
      <c r="O100" s="128"/>
      <c r="P100" s="174"/>
      <c r="Q100" s="128"/>
    </row>
    <row r="101" spans="1:1016" ht="12" customHeight="1">
      <c r="AA101" s="161"/>
      <c r="AC101" s="117"/>
    </row>
    <row r="102" spans="1:1016" ht="12" customHeight="1">
      <c r="A102" s="117"/>
      <c r="B102" s="117"/>
      <c r="C102" s="117"/>
      <c r="D102" s="117"/>
      <c r="E102" s="117"/>
      <c r="F102" s="117"/>
      <c r="G102" s="117"/>
      <c r="H102" s="117"/>
      <c r="I102" s="251"/>
      <c r="J102" s="117"/>
      <c r="K102" s="117"/>
      <c r="L102" s="117"/>
      <c r="M102" s="117"/>
      <c r="N102" s="117"/>
      <c r="O102" s="117"/>
      <c r="P102" s="189"/>
      <c r="Q102" s="117"/>
    </row>
    <row r="103" spans="1:1016" ht="12" customHeight="1">
      <c r="R103" s="112"/>
      <c r="S103" s="112"/>
      <c r="T103" s="125"/>
      <c r="U103" s="112"/>
      <c r="V103" s="112"/>
      <c r="W103" s="112"/>
      <c r="X103" s="112"/>
      <c r="Y103" s="180"/>
      <c r="Z103" s="112"/>
      <c r="AB103" s="112"/>
      <c r="AD103" s="112"/>
    </row>
    <row r="104" spans="1:1016" ht="12" customHeight="1"/>
    <row r="105" spans="1:1016" ht="12" customHeight="1"/>
    <row r="106" spans="1:1016" ht="12" customHeight="1"/>
    <row r="107" spans="1:1016" ht="12" customHeight="1"/>
    <row r="108" spans="1:1016" s="117" customFormat="1" ht="12" customHeight="1">
      <c r="A108" s="128"/>
      <c r="B108" s="128"/>
      <c r="C108" s="128"/>
      <c r="D108" s="128"/>
      <c r="E108" s="128"/>
      <c r="F108" s="128"/>
      <c r="G108" s="96"/>
      <c r="H108" s="96"/>
      <c r="I108" s="225"/>
      <c r="J108" s="96"/>
      <c r="K108" s="159"/>
      <c r="L108" s="96"/>
      <c r="M108" s="96"/>
      <c r="N108" s="96"/>
      <c r="O108" s="96"/>
      <c r="P108" s="173"/>
      <c r="Q108" s="96"/>
      <c r="R108" s="96"/>
      <c r="S108" s="96"/>
      <c r="T108" s="277"/>
      <c r="U108" s="96"/>
      <c r="V108" s="96"/>
      <c r="W108" s="96"/>
      <c r="X108" s="96"/>
      <c r="Y108" s="179"/>
      <c r="Z108" s="96"/>
      <c r="AA108" s="159"/>
      <c r="AB108" s="96"/>
      <c r="AC108"/>
      <c r="AD108" s="96"/>
      <c r="AMB108"/>
    </row>
    <row r="109" spans="1:1016" s="117" customFormat="1" ht="12" customHeight="1">
      <c r="A109" s="128"/>
      <c r="B109" s="128"/>
      <c r="C109" s="128"/>
      <c r="D109" s="128"/>
      <c r="E109" s="128"/>
      <c r="F109" s="128"/>
      <c r="G109" s="96"/>
      <c r="H109" s="96"/>
      <c r="I109" s="225"/>
      <c r="J109" s="96"/>
      <c r="K109" s="159"/>
      <c r="L109" s="96"/>
      <c r="M109" s="96"/>
      <c r="N109" s="96"/>
      <c r="O109" s="96"/>
      <c r="P109" s="173"/>
      <c r="Q109" s="96"/>
      <c r="R109" s="96"/>
      <c r="S109" s="96"/>
      <c r="T109" s="277"/>
      <c r="U109" s="96"/>
      <c r="V109" s="96"/>
      <c r="W109" s="96"/>
      <c r="X109" s="96"/>
      <c r="Y109" s="179"/>
      <c r="Z109" s="96"/>
      <c r="AA109" s="159"/>
      <c r="AB109" s="96"/>
      <c r="AC109"/>
      <c r="AD109" s="96"/>
      <c r="AMB109"/>
    </row>
    <row r="110" spans="1:1016" s="117" customFormat="1" ht="12" customHeight="1">
      <c r="A110" s="128"/>
      <c r="B110" s="128"/>
      <c r="C110" s="128"/>
      <c r="D110" s="128"/>
      <c r="E110" s="128"/>
      <c r="F110" s="128"/>
      <c r="G110" s="96"/>
      <c r="H110" s="96"/>
      <c r="I110" s="225"/>
      <c r="J110" s="96"/>
      <c r="K110" s="159"/>
      <c r="L110" s="96"/>
      <c r="M110" s="96"/>
      <c r="N110" s="96"/>
      <c r="O110" s="96"/>
      <c r="P110" s="173"/>
      <c r="Q110" s="96"/>
      <c r="R110" s="96"/>
      <c r="S110" s="96"/>
      <c r="T110" s="277"/>
      <c r="U110" s="96"/>
      <c r="V110" s="96"/>
      <c r="W110" s="96"/>
      <c r="X110" s="96"/>
      <c r="Y110" s="179"/>
      <c r="Z110" s="96"/>
      <c r="AA110" s="159"/>
      <c r="AB110" s="96"/>
      <c r="AC110"/>
      <c r="AD110" s="96"/>
      <c r="AMB110"/>
    </row>
    <row r="111" spans="1:1016" s="117" customFormat="1" ht="12" customHeight="1">
      <c r="A111" s="128"/>
      <c r="B111" s="128"/>
      <c r="C111" s="128"/>
      <c r="D111" s="128"/>
      <c r="E111" s="128"/>
      <c r="F111" s="128"/>
      <c r="G111" s="96"/>
      <c r="H111" s="96"/>
      <c r="I111" s="225"/>
      <c r="J111" s="96"/>
      <c r="K111" s="159"/>
      <c r="L111" s="96"/>
      <c r="M111" s="96"/>
      <c r="N111" s="96"/>
      <c r="O111" s="96"/>
      <c r="P111" s="173"/>
      <c r="Q111" s="96"/>
      <c r="R111" s="96"/>
      <c r="S111" s="96"/>
      <c r="T111" s="277"/>
      <c r="U111" s="96"/>
      <c r="V111" s="96"/>
      <c r="W111" s="96"/>
      <c r="X111" s="96"/>
      <c r="Y111" s="179"/>
      <c r="Z111" s="96"/>
      <c r="AA111" s="159"/>
      <c r="AB111" s="96"/>
      <c r="AC111"/>
      <c r="AD111" s="96"/>
      <c r="AMB111"/>
    </row>
    <row r="112" spans="1:1016" s="117" customFormat="1" ht="12" customHeight="1">
      <c r="A112" s="128"/>
      <c r="B112" s="128"/>
      <c r="C112" s="128"/>
      <c r="D112" s="128"/>
      <c r="E112" s="128"/>
      <c r="F112" s="128"/>
      <c r="G112" s="96"/>
      <c r="H112" s="96"/>
      <c r="I112" s="225"/>
      <c r="J112" s="96"/>
      <c r="K112" s="159"/>
      <c r="L112" s="96"/>
      <c r="M112" s="96"/>
      <c r="N112" s="96"/>
      <c r="O112" s="96"/>
      <c r="P112" s="173"/>
      <c r="Q112" s="96"/>
      <c r="R112" s="96"/>
      <c r="S112" s="96"/>
      <c r="T112" s="277"/>
      <c r="U112" s="96"/>
      <c r="V112" s="96"/>
      <c r="W112" s="96"/>
      <c r="X112" s="96"/>
      <c r="Y112" s="179"/>
      <c r="Z112" s="96"/>
      <c r="AA112" s="159"/>
      <c r="AB112" s="96"/>
      <c r="AC112"/>
      <c r="AD112" s="96"/>
      <c r="AMB112"/>
    </row>
    <row r="113" spans="1:1016" s="117" customFormat="1" ht="12" customHeight="1">
      <c r="A113" s="128"/>
      <c r="B113" s="128"/>
      <c r="C113" s="128"/>
      <c r="D113" s="128"/>
      <c r="E113" s="128"/>
      <c r="F113" s="128"/>
      <c r="G113" s="96"/>
      <c r="H113" s="96"/>
      <c r="I113" s="225"/>
      <c r="J113" s="96"/>
      <c r="K113" s="159"/>
      <c r="L113" s="96"/>
      <c r="M113" s="96"/>
      <c r="N113" s="96"/>
      <c r="O113" s="96"/>
      <c r="P113" s="173"/>
      <c r="Q113" s="96"/>
      <c r="R113" s="96"/>
      <c r="S113" s="96"/>
      <c r="T113" s="277"/>
      <c r="U113" s="96"/>
      <c r="V113" s="96"/>
      <c r="W113" s="96"/>
      <c r="X113" s="96"/>
      <c r="Y113" s="179"/>
      <c r="Z113" s="96"/>
      <c r="AA113" s="159"/>
      <c r="AB113" s="96"/>
      <c r="AC113"/>
      <c r="AD113" s="96"/>
      <c r="AMB113"/>
    </row>
    <row r="114" spans="1:1016" s="117" customFormat="1" ht="12" customHeight="1">
      <c r="A114" s="128"/>
      <c r="B114" s="128"/>
      <c r="C114" s="128"/>
      <c r="D114" s="128"/>
      <c r="E114" s="128"/>
      <c r="F114" s="128"/>
      <c r="G114" s="96"/>
      <c r="H114" s="96"/>
      <c r="I114" s="225"/>
      <c r="J114" s="96"/>
      <c r="K114" s="159"/>
      <c r="L114" s="96"/>
      <c r="M114" s="96"/>
      <c r="N114" s="96"/>
      <c r="O114" s="96"/>
      <c r="P114" s="173"/>
      <c r="Q114" s="96"/>
      <c r="R114" s="96"/>
      <c r="S114" s="96"/>
      <c r="T114" s="277"/>
      <c r="U114" s="96"/>
      <c r="V114" s="96"/>
      <c r="W114" s="96"/>
      <c r="X114" s="96"/>
      <c r="Y114" s="179"/>
      <c r="Z114" s="96"/>
      <c r="AA114" s="159"/>
      <c r="AB114" s="96"/>
      <c r="AC114"/>
      <c r="AD114" s="96"/>
      <c r="AMB114"/>
    </row>
    <row r="115" spans="1:1016" ht="12" customHeight="1">
      <c r="A115" s="130"/>
      <c r="B115" s="130"/>
      <c r="C115" s="130"/>
      <c r="D115" s="130"/>
      <c r="E115" s="130"/>
      <c r="F115" s="130"/>
    </row>
    <row r="116" spans="1:1016" ht="12" customHeight="1">
      <c r="A116" s="130"/>
      <c r="B116" s="130"/>
      <c r="C116" s="130"/>
      <c r="D116" s="130"/>
      <c r="E116" s="130"/>
      <c r="F116" s="130"/>
    </row>
    <row r="117" spans="1:1016" ht="12" customHeight="1">
      <c r="A117" s="130"/>
      <c r="B117" s="130"/>
      <c r="C117" s="130"/>
      <c r="D117" s="130"/>
      <c r="E117" s="130"/>
      <c r="F117" s="130"/>
    </row>
    <row r="118" spans="1:1016" ht="12" customHeight="1">
      <c r="A118" s="130"/>
      <c r="B118" s="130"/>
      <c r="C118" s="130"/>
      <c r="D118" s="130"/>
      <c r="E118" s="130"/>
      <c r="F118" s="130"/>
    </row>
    <row r="119" spans="1:1016" ht="12" customHeight="1">
      <c r="A119" s="130"/>
      <c r="B119" s="130"/>
      <c r="C119" s="130"/>
      <c r="D119" s="130"/>
      <c r="E119" s="130"/>
      <c r="F119" s="130"/>
    </row>
    <row r="120" spans="1:1016" ht="12" customHeight="1">
      <c r="A120" s="130"/>
      <c r="B120" s="130"/>
      <c r="C120" s="130"/>
      <c r="D120" s="130"/>
      <c r="E120" s="130"/>
      <c r="F120" s="130"/>
    </row>
    <row r="121" spans="1:1016" ht="12" customHeight="1">
      <c r="A121" s="130"/>
      <c r="B121" s="130"/>
      <c r="C121" s="130"/>
      <c r="D121" s="130"/>
      <c r="E121" s="130"/>
      <c r="F121" s="130"/>
    </row>
    <row r="122" spans="1:1016">
      <c r="A122" s="130"/>
      <c r="B122" s="130"/>
      <c r="C122" s="130"/>
      <c r="D122" s="130"/>
      <c r="E122" s="130"/>
      <c r="F122" s="130"/>
    </row>
    <row r="123" spans="1:1016">
      <c r="A123" s="129"/>
      <c r="B123" s="129"/>
      <c r="C123" s="129"/>
      <c r="D123" s="129"/>
      <c r="E123" s="129"/>
      <c r="F123" s="129"/>
    </row>
    <row r="124" spans="1:1016">
      <c r="A124" s="129"/>
      <c r="B124" s="129"/>
      <c r="C124" s="129"/>
      <c r="D124" s="129"/>
      <c r="E124" s="129"/>
      <c r="F124" s="129"/>
    </row>
    <row r="125" spans="1:1016">
      <c r="A125" s="129"/>
      <c r="B125" s="129"/>
      <c r="C125" s="129"/>
      <c r="D125" s="129"/>
      <c r="E125" s="129"/>
      <c r="F125" s="129"/>
    </row>
    <row r="126" spans="1:1016">
      <c r="A126" s="129"/>
      <c r="B126" s="129"/>
      <c r="C126" s="129"/>
      <c r="D126" s="129"/>
      <c r="E126" s="129"/>
      <c r="F126" s="129"/>
    </row>
    <row r="127" spans="1:1016">
      <c r="A127" s="129"/>
      <c r="B127" s="129"/>
      <c r="C127" s="129"/>
      <c r="D127" s="129"/>
      <c r="E127" s="129"/>
      <c r="F127" s="129"/>
    </row>
    <row r="128" spans="1:1016">
      <c r="A128" s="129"/>
      <c r="B128" s="129"/>
      <c r="C128" s="129"/>
      <c r="D128" s="129"/>
      <c r="E128" s="129"/>
      <c r="F128" s="129"/>
    </row>
    <row r="129" spans="1:30">
      <c r="A129" s="129"/>
      <c r="B129" s="129"/>
      <c r="C129" s="129"/>
      <c r="D129" s="129"/>
      <c r="E129" s="129"/>
      <c r="F129" s="129"/>
    </row>
    <row r="130" spans="1:30">
      <c r="A130" s="129"/>
      <c r="B130" s="129"/>
      <c r="C130" s="129"/>
      <c r="D130" s="129"/>
      <c r="E130" s="129"/>
      <c r="F130" s="129"/>
      <c r="AA130" s="161"/>
      <c r="AC130" s="117"/>
    </row>
    <row r="131" spans="1:30">
      <c r="A131" s="130"/>
      <c r="B131" s="130"/>
      <c r="C131" s="130"/>
      <c r="D131" s="130"/>
      <c r="E131" s="130"/>
      <c r="F131" s="130"/>
      <c r="AA131" s="161"/>
      <c r="AC131" s="117"/>
    </row>
    <row r="132" spans="1:30">
      <c r="A132" s="123"/>
      <c r="B132" s="123"/>
      <c r="C132" s="123"/>
      <c r="D132" s="123"/>
      <c r="E132" s="123"/>
      <c r="F132" s="123"/>
      <c r="G132" s="112"/>
      <c r="H132" s="112"/>
      <c r="I132" s="276"/>
      <c r="J132" s="112"/>
      <c r="K132" s="161"/>
      <c r="L132" s="112"/>
      <c r="M132" s="112"/>
      <c r="N132" s="112"/>
      <c r="O132" s="112"/>
      <c r="P132" s="190"/>
      <c r="Q132" s="112"/>
      <c r="R132" s="112"/>
      <c r="S132" s="112"/>
      <c r="T132" s="125"/>
      <c r="U132" s="112"/>
      <c r="V132" s="112"/>
      <c r="W132" s="112"/>
      <c r="X132" s="112"/>
      <c r="Y132" s="180"/>
      <c r="Z132" s="112"/>
      <c r="AA132" s="161"/>
      <c r="AB132" s="112"/>
      <c r="AC132" s="117"/>
      <c r="AD132" s="112"/>
    </row>
    <row r="133" spans="1:30">
      <c r="A133" s="123"/>
      <c r="B133" s="123"/>
      <c r="C133" s="123"/>
      <c r="D133" s="123"/>
      <c r="E133" s="123"/>
      <c r="F133" s="123"/>
      <c r="G133" s="112"/>
      <c r="H133" s="112"/>
      <c r="I133" s="276"/>
      <c r="J133" s="112"/>
      <c r="K133" s="161"/>
      <c r="L133" s="112"/>
      <c r="M133" s="112"/>
      <c r="N133" s="112"/>
      <c r="O133" s="112"/>
      <c r="P133" s="190"/>
      <c r="Q133" s="112"/>
      <c r="R133" s="112"/>
      <c r="S133" s="112"/>
      <c r="T133" s="125"/>
      <c r="U133" s="112"/>
      <c r="V133" s="112"/>
      <c r="W133" s="112"/>
      <c r="X133" s="112"/>
      <c r="Y133" s="180"/>
      <c r="Z133" s="112"/>
      <c r="AA133" s="161"/>
      <c r="AB133" s="112"/>
      <c r="AC133" s="117"/>
      <c r="AD133" s="112"/>
    </row>
    <row r="134" spans="1:30">
      <c r="A134" s="123"/>
      <c r="B134" s="123"/>
      <c r="C134" s="123"/>
      <c r="D134" s="123"/>
      <c r="E134" s="123"/>
      <c r="F134" s="123"/>
      <c r="G134" s="112"/>
      <c r="H134" s="112"/>
      <c r="I134" s="276"/>
      <c r="J134" s="112"/>
      <c r="K134" s="161"/>
      <c r="L134" s="112"/>
      <c r="M134" s="112"/>
      <c r="N134" s="112"/>
      <c r="O134" s="112"/>
      <c r="P134" s="190"/>
      <c r="Q134" s="112"/>
      <c r="R134" s="112"/>
      <c r="S134" s="112"/>
      <c r="T134" s="125"/>
      <c r="U134" s="112"/>
      <c r="V134" s="112"/>
      <c r="W134" s="112"/>
      <c r="X134" s="112"/>
      <c r="Y134" s="180"/>
      <c r="Z134" s="112"/>
      <c r="AA134" s="161"/>
      <c r="AB134" s="112"/>
      <c r="AC134" s="117"/>
      <c r="AD134" s="112"/>
    </row>
    <row r="135" spans="1:30">
      <c r="A135" s="123"/>
      <c r="B135" s="123"/>
      <c r="C135" s="123"/>
      <c r="D135" s="123"/>
      <c r="E135" s="123"/>
      <c r="F135" s="123"/>
      <c r="G135" s="112"/>
      <c r="H135" s="112"/>
      <c r="I135" s="276"/>
      <c r="J135" s="112"/>
      <c r="K135" s="161"/>
      <c r="L135" s="112"/>
      <c r="M135" s="112"/>
      <c r="N135" s="112"/>
      <c r="O135" s="112"/>
      <c r="P135" s="190"/>
      <c r="Q135" s="112"/>
      <c r="R135" s="112"/>
      <c r="S135" s="112"/>
      <c r="T135" s="125"/>
      <c r="U135" s="112"/>
      <c r="V135" s="112"/>
      <c r="W135" s="112"/>
      <c r="X135" s="112"/>
      <c r="Y135" s="180"/>
      <c r="Z135" s="112"/>
      <c r="AA135" s="161"/>
      <c r="AB135" s="112"/>
      <c r="AC135" s="117"/>
      <c r="AD135" s="112"/>
    </row>
    <row r="136" spans="1:30">
      <c r="A136" s="123"/>
      <c r="B136" s="123"/>
      <c r="C136" s="123"/>
      <c r="D136" s="123"/>
      <c r="E136" s="123"/>
      <c r="F136" s="123"/>
      <c r="G136" s="112"/>
      <c r="H136" s="112"/>
      <c r="I136" s="276"/>
      <c r="J136" s="112"/>
      <c r="K136" s="161"/>
      <c r="L136" s="112"/>
      <c r="M136" s="112"/>
      <c r="N136" s="112"/>
      <c r="O136" s="112"/>
      <c r="P136" s="190"/>
      <c r="Q136" s="112"/>
      <c r="R136" s="112"/>
      <c r="S136" s="112"/>
      <c r="T136" s="125"/>
      <c r="U136" s="112"/>
      <c r="V136" s="112"/>
      <c r="W136" s="112"/>
      <c r="X136" s="112"/>
      <c r="Y136" s="180"/>
      <c r="Z136" s="112"/>
      <c r="AA136" s="161"/>
      <c r="AB136" s="112"/>
      <c r="AC136" s="117"/>
      <c r="AD136" s="112"/>
    </row>
    <row r="137" spans="1:30">
      <c r="A137" s="123"/>
      <c r="B137" s="123"/>
      <c r="C137" s="123"/>
      <c r="D137" s="123"/>
      <c r="E137" s="123"/>
      <c r="F137" s="123"/>
      <c r="G137" s="112"/>
      <c r="H137" s="112"/>
      <c r="I137" s="276"/>
      <c r="J137" s="112"/>
      <c r="K137" s="161"/>
      <c r="L137" s="112"/>
      <c r="M137" s="112"/>
      <c r="N137" s="112"/>
      <c r="O137" s="112"/>
      <c r="P137" s="190"/>
      <c r="Q137" s="112"/>
      <c r="R137" s="112"/>
      <c r="S137" s="112"/>
      <c r="T137" s="125"/>
      <c r="U137" s="112"/>
      <c r="V137" s="112"/>
      <c r="W137" s="112"/>
      <c r="X137" s="112"/>
      <c r="Y137" s="180"/>
      <c r="Z137" s="112"/>
      <c r="AB137" s="112"/>
      <c r="AD137" s="112"/>
    </row>
    <row r="138" spans="1:30">
      <c r="A138" s="123"/>
      <c r="B138" s="123"/>
      <c r="C138" s="123"/>
      <c r="D138" s="123"/>
      <c r="E138" s="123"/>
      <c r="F138" s="123"/>
      <c r="G138" s="112"/>
      <c r="H138" s="112"/>
      <c r="I138" s="276"/>
      <c r="J138" s="112"/>
      <c r="K138" s="161"/>
      <c r="L138" s="112"/>
      <c r="M138" s="112"/>
      <c r="N138" s="112"/>
      <c r="O138" s="112"/>
      <c r="P138" s="190"/>
      <c r="Q138" s="112"/>
      <c r="R138" s="112"/>
      <c r="S138" s="112"/>
      <c r="T138" s="125"/>
      <c r="U138" s="112"/>
      <c r="V138" s="112"/>
      <c r="W138" s="112"/>
      <c r="X138" s="112"/>
      <c r="Y138" s="180"/>
      <c r="Z138" s="112"/>
      <c r="AB138" s="112"/>
      <c r="AD138" s="112"/>
    </row>
    <row r="139" spans="1:30">
      <c r="A139" s="130"/>
      <c r="B139" s="130"/>
      <c r="C139" s="130"/>
      <c r="D139" s="130"/>
      <c r="E139" s="130"/>
      <c r="F139" s="130"/>
    </row>
    <row r="140" spans="1:30">
      <c r="A140" s="130"/>
      <c r="B140" s="130"/>
      <c r="C140" s="130"/>
      <c r="D140" s="130"/>
      <c r="E140" s="130"/>
      <c r="F140" s="130"/>
    </row>
    <row r="141" spans="1:30">
      <c r="A141" s="130"/>
      <c r="B141" s="130"/>
      <c r="C141" s="130"/>
      <c r="D141" s="130"/>
      <c r="E141" s="130"/>
      <c r="F141" s="130"/>
    </row>
    <row r="142" spans="1:30">
      <c r="A142" s="136"/>
      <c r="B142" s="136"/>
      <c r="C142" s="136"/>
      <c r="D142" s="136"/>
      <c r="E142" s="136"/>
      <c r="F142" s="136"/>
    </row>
    <row r="143" spans="1:30">
      <c r="A143" s="136"/>
      <c r="B143" s="136"/>
      <c r="C143" s="136"/>
      <c r="D143" s="136"/>
      <c r="E143" s="136"/>
      <c r="F143" s="136"/>
    </row>
  </sheetData>
  <mergeCells count="3">
    <mergeCell ref="L7:O7"/>
    <mergeCell ref="AC7:AD7"/>
    <mergeCell ref="V7:X7"/>
  </mergeCells>
  <conditionalFormatting sqref="A94:F95 A115:F955">
    <cfRule type="expression" dxfId="508" priority="269">
      <formula>OR($AD94="X",$AB94="X")</formula>
    </cfRule>
    <cfRule type="expression" dxfId="507" priority="270">
      <formula>AND($AD94=1,$AB94=1)</formula>
    </cfRule>
    <cfRule type="expression" dxfId="506" priority="271">
      <formula>$AD94=1</formula>
    </cfRule>
    <cfRule type="expression" dxfId="505" priority="272">
      <formula>$AB94=1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4:H95 H115:H955">
    <cfRule type="expression" dxfId="504" priority="268">
      <formula>$Q94="X"</formula>
    </cfRule>
  </conditionalFormatting>
  <conditionalFormatting sqref="Q9:Q92">
    <cfRule type="cellIs" dxfId="503" priority="1" operator="equal">
      <formula>"1..1"</formula>
    </cfRule>
    <cfRule type="cellIs" dxfId="502" priority="2" operator="equal">
      <formula>"0..n"</formula>
    </cfRule>
    <cfRule type="cellIs" dxfId="501"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dimension ref="A1:AMB115"/>
  <sheetViews>
    <sheetView workbookViewId="0">
      <selection activeCell="D25" sqref="D25"/>
    </sheetView>
  </sheetViews>
  <sheetFormatPr baseColWidth="10" defaultColWidth="9.5" defaultRowHeight="15"/>
  <cols>
    <col min="1" max="1" width="4.625" style="128" customWidth="1"/>
    <col min="2" max="2" width="27.125" style="128" customWidth="1"/>
    <col min="3" max="3" width="29.375" style="128" customWidth="1"/>
    <col min="4" max="4" width="27.375" style="128" customWidth="1"/>
    <col min="5" max="5" width="24.625" style="128" bestFit="1" customWidth="1"/>
    <col min="6" max="6" width="20.5" style="128" bestFit="1" customWidth="1"/>
    <col min="7" max="7" width="17.5" style="96" bestFit="1" customWidth="1"/>
    <col min="8" max="9" width="17.5" style="96" customWidth="1"/>
    <col min="10" max="10" width="53.125" style="96" customWidth="1"/>
    <col min="11" max="11" width="33.5" style="225" customWidth="1"/>
    <col min="12" max="12" width="12" style="96" customWidth="1"/>
    <col min="13" max="13" width="17.875" style="159" customWidth="1"/>
    <col min="14" max="15" width="4.875" style="96" hidden="1" customWidth="1"/>
    <col min="16" max="17" width="6.125" style="96" hidden="1" customWidth="1"/>
    <col min="18" max="18" width="6.625" style="173" hidden="1" customWidth="1"/>
    <col min="19" max="19" width="10.5" style="96" customWidth="1"/>
    <col min="20" max="20" width="6" style="96" customWidth="1"/>
    <col min="21" max="21" width="18.5" style="96" customWidth="1"/>
    <col min="22" max="22" width="12.625" style="277" customWidth="1"/>
    <col min="23" max="23" width="28.125" style="96" customWidth="1"/>
    <col min="24"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0" hidden="1" customWidth="1"/>
    <col min="32" max="32" width="8" style="96" hidden="1" customWidth="1"/>
    <col min="33" max="1013" width="9.5" style="128"/>
    <col min="1014" max="1014" width="9" style="128" customWidth="1"/>
    <col min="1015" max="1016" width="9" customWidth="1"/>
  </cols>
  <sheetData>
    <row r="1" spans="1:1014" ht="13.5" customHeight="1">
      <c r="A1" s="228" t="s">
        <v>2522</v>
      </c>
      <c r="C1" s="129" t="s">
        <v>812</v>
      </c>
      <c r="E1" s="150" t="s">
        <v>813</v>
      </c>
      <c r="G1" s="128"/>
      <c r="H1" s="128"/>
      <c r="I1" s="128"/>
      <c r="J1" s="128"/>
      <c r="K1" s="128"/>
      <c r="L1" s="128"/>
      <c r="Q1" s="813" t="s">
        <v>815</v>
      </c>
      <c r="R1" s="813"/>
      <c r="AE1" s="96"/>
      <c r="ALZ1"/>
    </row>
    <row r="2" spans="1:1014" ht="13.5" customHeight="1">
      <c r="C2" s="141" t="s">
        <v>817</v>
      </c>
      <c r="D2" s="284"/>
      <c r="E2" s="152" t="s">
        <v>818</v>
      </c>
      <c r="G2" s="128"/>
      <c r="H2" s="128"/>
      <c r="I2" s="128"/>
      <c r="J2" s="128"/>
      <c r="K2" s="128"/>
      <c r="L2" s="128"/>
      <c r="AE2" s="96"/>
      <c r="ALZ2"/>
    </row>
    <row r="3" spans="1:1014" ht="13.5" customHeight="1">
      <c r="C3" s="142" t="s">
        <v>820</v>
      </c>
      <c r="E3" s="151" t="s">
        <v>821</v>
      </c>
      <c r="G3" s="128"/>
      <c r="H3" s="128"/>
      <c r="I3" s="128"/>
      <c r="J3" s="128"/>
      <c r="K3" s="128"/>
      <c r="L3" s="128"/>
      <c r="AE3" s="96"/>
      <c r="ALZ3"/>
    </row>
    <row r="4" spans="1:1014" ht="13.5" customHeight="1">
      <c r="C4" s="143" t="s">
        <v>823</v>
      </c>
      <c r="E4" s="153" t="s">
        <v>824</v>
      </c>
      <c r="G4" s="128"/>
      <c r="H4" s="128"/>
      <c r="I4" s="128"/>
      <c r="J4" s="128"/>
      <c r="K4" s="128"/>
      <c r="L4" s="128"/>
      <c r="AE4" s="96"/>
      <c r="ALZ4"/>
    </row>
    <row r="5" spans="1:1014" s="149" customFormat="1" ht="13.5" customHeight="1">
      <c r="A5" s="128"/>
      <c r="B5" s="128"/>
      <c r="C5" s="145" t="s">
        <v>825</v>
      </c>
      <c r="D5" s="146"/>
      <c r="E5" s="290" t="s">
        <v>911</v>
      </c>
      <c r="F5" s="128"/>
      <c r="G5" s="128"/>
      <c r="H5" s="128"/>
      <c r="I5" s="128"/>
      <c r="J5" s="128"/>
      <c r="K5" s="128"/>
      <c r="L5" s="128"/>
      <c r="M5" s="160"/>
      <c r="N5" s="148"/>
      <c r="O5" s="148"/>
      <c r="P5" s="148"/>
      <c r="Q5" s="148"/>
      <c r="R5" s="186"/>
      <c r="S5" s="148"/>
      <c r="T5" s="148"/>
      <c r="U5" s="148"/>
      <c r="V5" s="279"/>
      <c r="W5" s="148"/>
      <c r="X5" s="148"/>
      <c r="Y5" s="148"/>
      <c r="Z5"/>
      <c r="AA5" s="181"/>
      <c r="AB5" s="148"/>
      <c r="AC5" s="160"/>
      <c r="AD5" s="148"/>
      <c r="AE5" s="148"/>
      <c r="AF5" s="148"/>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826</v>
      </c>
      <c r="D6" s="138"/>
      <c r="G6" s="128"/>
      <c r="H6" s="128"/>
      <c r="I6" s="128"/>
      <c r="J6" s="128"/>
      <c r="K6" s="128"/>
      <c r="L6" s="128"/>
      <c r="AE6" s="96"/>
      <c r="ALZ6"/>
    </row>
    <row r="7" spans="1:1014" ht="13.5" customHeight="1">
      <c r="A7"/>
      <c r="B7"/>
      <c r="C7" s="138"/>
      <c r="D7" s="377"/>
      <c r="E7" s="138"/>
      <c r="F7" s="138"/>
      <c r="N7" s="814" t="s">
        <v>827</v>
      </c>
      <c r="O7" s="814"/>
      <c r="P7" s="814"/>
      <c r="Q7" s="814"/>
      <c r="X7" s="815" t="s">
        <v>828</v>
      </c>
      <c r="Y7" s="815"/>
      <c r="AE7" s="814" t="s">
        <v>829</v>
      </c>
      <c r="AF7" s="814"/>
      <c r="ALZ7"/>
    </row>
    <row r="8" spans="1:1014" s="238" customFormat="1" ht="55.5" customHeight="1">
      <c r="A8" s="233" t="s">
        <v>830</v>
      </c>
      <c r="B8" s="381" t="s">
        <v>831</v>
      </c>
      <c r="C8" s="278" t="s">
        <v>832</v>
      </c>
      <c r="D8" s="278" t="s">
        <v>833</v>
      </c>
      <c r="E8" s="278" t="s">
        <v>834</v>
      </c>
      <c r="F8" s="278" t="s">
        <v>835</v>
      </c>
      <c r="G8" s="278" t="s">
        <v>836</v>
      </c>
      <c r="H8" s="278" t="s">
        <v>2523</v>
      </c>
      <c r="I8" s="278" t="s">
        <v>2524</v>
      </c>
      <c r="J8" s="234" t="s">
        <v>9</v>
      </c>
      <c r="K8" s="234" t="s">
        <v>837</v>
      </c>
      <c r="L8" s="234" t="s">
        <v>840</v>
      </c>
      <c r="M8" s="234" t="s">
        <v>841</v>
      </c>
      <c r="N8" s="235" t="s">
        <v>842</v>
      </c>
      <c r="O8" s="235" t="s">
        <v>843</v>
      </c>
      <c r="P8" s="235" t="s">
        <v>844</v>
      </c>
      <c r="Q8" s="235" t="s">
        <v>845</v>
      </c>
      <c r="R8" s="235" t="s">
        <v>846</v>
      </c>
      <c r="S8" s="234" t="s">
        <v>677</v>
      </c>
      <c r="T8" s="234" t="s">
        <v>3</v>
      </c>
      <c r="U8" s="234" t="s">
        <v>912</v>
      </c>
      <c r="V8" s="283" t="s">
        <v>913</v>
      </c>
      <c r="W8" s="234" t="s">
        <v>848</v>
      </c>
      <c r="X8" s="229" t="s">
        <v>1610</v>
      </c>
      <c r="Y8" s="229" t="s">
        <v>2525</v>
      </c>
      <c r="Z8" s="230" t="s">
        <v>851</v>
      </c>
      <c r="AA8" s="235" t="s">
        <v>852</v>
      </c>
      <c r="AB8" s="235" t="s">
        <v>853</v>
      </c>
      <c r="AC8" s="236" t="s">
        <v>854</v>
      </c>
      <c r="AD8" s="235" t="s">
        <v>855</v>
      </c>
      <c r="AE8" s="235" t="s">
        <v>856</v>
      </c>
      <c r="AF8" s="237" t="s">
        <v>914</v>
      </c>
    </row>
    <row r="9" spans="1:1014" s="224" customFormat="1" ht="13.5" customHeight="1">
      <c r="A9" s="225">
        <v>1</v>
      </c>
      <c r="B9" s="216" t="s">
        <v>2526</v>
      </c>
      <c r="C9" s="264"/>
      <c r="D9" s="264"/>
      <c r="E9" s="264"/>
      <c r="F9" s="264"/>
      <c r="G9" s="264"/>
      <c r="H9" s="264"/>
      <c r="I9" s="264"/>
      <c r="J9" s="269" t="s">
        <v>1543</v>
      </c>
      <c r="K9" s="666"/>
      <c r="L9" s="668"/>
      <c r="M9" s="666" t="s">
        <v>1544</v>
      </c>
      <c r="N9" s="668"/>
      <c r="O9" s="668"/>
      <c r="P9" s="668"/>
      <c r="Q9" s="668"/>
      <c r="R9" s="669"/>
      <c r="S9" s="668" t="s">
        <v>822</v>
      </c>
      <c r="T9" s="668" t="s">
        <v>863</v>
      </c>
      <c r="U9" s="243" t="s">
        <v>1544</v>
      </c>
      <c r="V9" s="670"/>
      <c r="W9" s="668"/>
      <c r="X9" s="667" t="s">
        <v>863</v>
      </c>
      <c r="Y9" s="260"/>
      <c r="Z9" s="232"/>
      <c r="AA9" s="266"/>
      <c r="AB9" s="263"/>
      <c r="AC9" s="672"/>
      <c r="AD9" s="668"/>
      <c r="AE9" s="670"/>
      <c r="AF9" s="670"/>
    </row>
    <row r="10" spans="1:1014" s="224" customFormat="1" ht="13.5" customHeight="1">
      <c r="A10" s="225">
        <v>2</v>
      </c>
      <c r="B10" s="217"/>
      <c r="C10" s="217" t="s">
        <v>1403</v>
      </c>
      <c r="D10" s="241"/>
      <c r="E10" s="241"/>
      <c r="F10" s="241"/>
      <c r="G10" s="241"/>
      <c r="H10" s="241"/>
      <c r="I10" s="241"/>
      <c r="J10" s="668" t="s">
        <v>1663</v>
      </c>
      <c r="K10" s="666"/>
      <c r="L10" s="668"/>
      <c r="M10" s="666" t="s">
        <v>1217</v>
      </c>
      <c r="N10" s="668"/>
      <c r="O10" s="668"/>
      <c r="P10" s="668"/>
      <c r="Q10" s="668"/>
      <c r="R10" s="669"/>
      <c r="S10" s="668" t="s">
        <v>816</v>
      </c>
      <c r="T10" s="668"/>
      <c r="U10" s="668" t="s">
        <v>862</v>
      </c>
      <c r="V10" s="670"/>
      <c r="W10" s="668"/>
      <c r="X10" s="667" t="s">
        <v>863</v>
      </c>
      <c r="Y10" s="260"/>
      <c r="Z10" s="232"/>
      <c r="AA10" s="671"/>
      <c r="AB10" s="263"/>
      <c r="AC10" s="672"/>
      <c r="AD10" s="668"/>
      <c r="AE10" s="670"/>
      <c r="AF10" s="670"/>
    </row>
    <row r="11" spans="1:1014" s="158" customFormat="1" ht="12.75" customHeight="1">
      <c r="A11" s="225">
        <v>3</v>
      </c>
      <c r="B11" s="217"/>
      <c r="C11" s="241" t="s">
        <v>1547</v>
      </c>
      <c r="D11" s="241"/>
      <c r="E11" s="241"/>
      <c r="F11" s="241"/>
      <c r="G11" s="241"/>
      <c r="H11" s="241"/>
      <c r="I11" s="241"/>
      <c r="J11" s="668" t="s">
        <v>1548</v>
      </c>
      <c r="K11" s="666" t="s">
        <v>929</v>
      </c>
      <c r="L11" s="668"/>
      <c r="M11" s="666" t="s">
        <v>930</v>
      </c>
      <c r="N11" s="668"/>
      <c r="O11" s="668"/>
      <c r="P11" s="668"/>
      <c r="Q11" s="668"/>
      <c r="R11" s="669"/>
      <c r="S11" s="668" t="s">
        <v>819</v>
      </c>
      <c r="T11" s="668"/>
      <c r="U11" s="668" t="s">
        <v>878</v>
      </c>
      <c r="V11" s="268"/>
      <c r="W11" s="668"/>
      <c r="X11" s="667" t="s">
        <v>863</v>
      </c>
      <c r="Y11" s="667"/>
      <c r="Z11" s="232"/>
      <c r="AA11" s="671"/>
      <c r="AB11" s="263"/>
      <c r="AC11" s="672"/>
      <c r="AD11" s="668"/>
      <c r="AE11" s="670"/>
      <c r="AF11" s="670"/>
    </row>
    <row r="12" spans="1:1014" s="158" customFormat="1" ht="12.75" customHeight="1">
      <c r="A12" s="225">
        <v>5</v>
      </c>
      <c r="B12" s="217"/>
      <c r="C12" s="241" t="s">
        <v>1684</v>
      </c>
      <c r="D12" s="241"/>
      <c r="E12" s="241"/>
      <c r="F12" s="241"/>
      <c r="G12" s="241"/>
      <c r="H12" s="241"/>
      <c r="I12" s="241"/>
      <c r="J12" s="266" t="s">
        <v>1556</v>
      </c>
      <c r="K12" s="264" t="s">
        <v>1557</v>
      </c>
      <c r="L12" s="263"/>
      <c r="M12" s="666" t="s">
        <v>1558</v>
      </c>
      <c r="N12" s="668"/>
      <c r="O12" s="668"/>
      <c r="P12" s="668"/>
      <c r="Q12" s="668"/>
      <c r="R12" s="669"/>
      <c r="S12" s="668" t="s">
        <v>816</v>
      </c>
      <c r="T12" s="668"/>
      <c r="U12" s="668" t="s">
        <v>862</v>
      </c>
      <c r="V12" s="268" t="s">
        <v>863</v>
      </c>
      <c r="W12" s="373"/>
      <c r="X12" s="265" t="s">
        <v>863</v>
      </c>
      <c r="Y12" s="260"/>
      <c r="Z12" s="232"/>
      <c r="AA12" s="263"/>
      <c r="AB12" s="389"/>
      <c r="AC12" s="267"/>
      <c r="AD12" s="263"/>
      <c r="AE12" s="670"/>
      <c r="AF12" s="670"/>
    </row>
    <row r="13" spans="1:1014" s="158" customFormat="1" ht="12.75" customHeight="1">
      <c r="A13" s="225"/>
      <c r="B13" s="217"/>
      <c r="C13" s="241" t="s">
        <v>2394</v>
      </c>
      <c r="D13" s="241"/>
      <c r="E13" s="241"/>
      <c r="F13" s="241"/>
      <c r="G13" s="241"/>
      <c r="H13" s="241"/>
      <c r="I13" s="241"/>
      <c r="J13" s="705"/>
      <c r="K13" s="666"/>
      <c r="L13" s="668"/>
      <c r="M13" s="666"/>
      <c r="N13" s="668"/>
      <c r="O13" s="668"/>
      <c r="P13" s="668"/>
      <c r="Q13" s="668"/>
      <c r="R13" s="669"/>
      <c r="S13" s="668"/>
      <c r="T13" s="668"/>
      <c r="U13" s="668"/>
      <c r="V13" s="670"/>
      <c r="W13" s="668"/>
      <c r="X13" s="667"/>
      <c r="Y13" s="667"/>
      <c r="Z13" s="232"/>
      <c r="AA13" s="671"/>
      <c r="AB13" s="668"/>
      <c r="AC13" s="672"/>
      <c r="AD13" s="263"/>
      <c r="AE13" s="670"/>
      <c r="AF13" s="670"/>
    </row>
    <row r="14" spans="1:1014" s="158" customFormat="1" ht="12.75" customHeight="1">
      <c r="A14" s="225">
        <v>6</v>
      </c>
      <c r="B14" s="217"/>
      <c r="C14" s="241"/>
      <c r="D14" s="241" t="s">
        <v>1561</v>
      </c>
      <c r="E14" s="241"/>
      <c r="F14" s="241"/>
      <c r="G14" s="241"/>
      <c r="H14" s="241"/>
      <c r="I14" s="241"/>
      <c r="J14" s="269" t="s">
        <v>1562</v>
      </c>
      <c r="K14" s="264" t="s">
        <v>1563</v>
      </c>
      <c r="L14" s="263"/>
      <c r="M14" s="666" t="s">
        <v>1564</v>
      </c>
      <c r="N14" s="668"/>
      <c r="O14" s="668"/>
      <c r="P14" s="668"/>
      <c r="Q14" s="668"/>
      <c r="R14" s="669"/>
      <c r="S14" s="701" t="s">
        <v>822</v>
      </c>
      <c r="T14" s="668"/>
      <c r="U14" s="668" t="s">
        <v>862</v>
      </c>
      <c r="V14" s="268" t="s">
        <v>863</v>
      </c>
      <c r="W14" s="373"/>
      <c r="X14" s="265" t="s">
        <v>863</v>
      </c>
      <c r="Y14" s="260"/>
      <c r="Z14" s="232"/>
      <c r="AA14" s="389"/>
      <c r="AB14" s="389"/>
      <c r="AC14" s="261"/>
      <c r="AD14" s="263"/>
      <c r="AE14" s="670"/>
      <c r="AF14" s="670"/>
    </row>
    <row r="15" spans="1:1014" s="158" customFormat="1" ht="12.75" customHeight="1">
      <c r="A15" s="225">
        <v>7</v>
      </c>
      <c r="B15" s="217"/>
      <c r="C15" s="241"/>
      <c r="D15" s="241" t="s">
        <v>1673</v>
      </c>
      <c r="E15" s="241"/>
      <c r="F15" s="241"/>
      <c r="G15" s="241"/>
      <c r="H15" s="241"/>
      <c r="I15" s="241"/>
      <c r="J15" s="705"/>
      <c r="K15" s="666" t="s">
        <v>2527</v>
      </c>
      <c r="L15" s="668"/>
      <c r="M15" s="666" t="s">
        <v>1364</v>
      </c>
      <c r="N15" s="668"/>
      <c r="O15" s="668"/>
      <c r="P15" s="668"/>
      <c r="Q15" s="668"/>
      <c r="R15" s="669"/>
      <c r="S15" s="263" t="s">
        <v>816</v>
      </c>
      <c r="T15" s="668"/>
      <c r="U15" s="668" t="s">
        <v>862</v>
      </c>
      <c r="V15" s="670" t="s">
        <v>863</v>
      </c>
      <c r="W15" s="668"/>
      <c r="X15" s="667" t="s">
        <v>863</v>
      </c>
      <c r="Y15" s="667"/>
      <c r="Z15" s="232"/>
      <c r="AA15" s="389"/>
      <c r="AB15" s="668"/>
      <c r="AC15" s="672"/>
      <c r="AD15" s="668"/>
      <c r="AE15" s="670"/>
      <c r="AF15" s="670"/>
    </row>
    <row r="16" spans="1:1014" s="249" customFormat="1" ht="12.75" customHeight="1">
      <c r="A16" s="225">
        <v>8</v>
      </c>
      <c r="B16" s="218"/>
      <c r="C16" s="219"/>
      <c r="D16" s="219" t="s">
        <v>1567</v>
      </c>
      <c r="E16" s="218"/>
      <c r="F16" s="218"/>
      <c r="G16" s="218"/>
      <c r="H16" s="218"/>
      <c r="I16" s="218"/>
      <c r="J16" s="269" t="s">
        <v>1688</v>
      </c>
      <c r="K16" s="499"/>
      <c r="L16" s="255"/>
      <c r="M16" s="264" t="s">
        <v>1569</v>
      </c>
      <c r="N16" s="263"/>
      <c r="O16" s="263"/>
      <c r="P16" s="263"/>
      <c r="Q16" s="263"/>
      <c r="R16" s="265"/>
      <c r="S16" s="263" t="s">
        <v>816</v>
      </c>
      <c r="T16" s="263"/>
      <c r="U16" s="263" t="s">
        <v>862</v>
      </c>
      <c r="V16" s="373"/>
      <c r="W16" s="255"/>
      <c r="X16" s="260" t="s">
        <v>863</v>
      </c>
      <c r="Y16" s="260"/>
      <c r="Z16" s="502"/>
      <c r="AA16" s="389"/>
      <c r="AB16" s="255"/>
      <c r="AC16" s="245"/>
      <c r="AD16" s="255"/>
      <c r="AE16" s="373"/>
      <c r="AF16" s="373"/>
    </row>
    <row r="17" spans="1:32" s="158" customFormat="1" ht="12.75" customHeight="1">
      <c r="A17" s="225">
        <v>9</v>
      </c>
      <c r="B17" s="217"/>
      <c r="C17" s="241"/>
      <c r="D17" s="241" t="s">
        <v>1571</v>
      </c>
      <c r="E17" s="241"/>
      <c r="F17" s="241"/>
      <c r="G17" s="241"/>
      <c r="H17" s="241"/>
      <c r="I17" s="241"/>
      <c r="J17" s="269" t="s">
        <v>1572</v>
      </c>
      <c r="K17" s="264" t="s">
        <v>1573</v>
      </c>
      <c r="L17" s="263"/>
      <c r="M17" s="666" t="s">
        <v>1574</v>
      </c>
      <c r="N17" s="668"/>
      <c r="O17" s="668"/>
      <c r="P17" s="668"/>
      <c r="Q17" s="668"/>
      <c r="R17" s="669"/>
      <c r="S17" s="668" t="s">
        <v>816</v>
      </c>
      <c r="T17" s="668"/>
      <c r="U17" s="668" t="s">
        <v>862</v>
      </c>
      <c r="V17" s="268"/>
      <c r="W17" s="376"/>
      <c r="X17" s="265" t="s">
        <v>863</v>
      </c>
      <c r="Y17" s="260"/>
      <c r="Z17" s="232"/>
      <c r="AA17" s="668"/>
      <c r="AB17" s="389"/>
      <c r="AC17" s="267"/>
      <c r="AD17" s="263"/>
      <c r="AE17" s="670"/>
      <c r="AF17" s="670"/>
    </row>
    <row r="18" spans="1:32" s="158" customFormat="1" ht="12.75" customHeight="1">
      <c r="A18" s="225">
        <v>10</v>
      </c>
      <c r="B18" s="242"/>
      <c r="C18" s="264"/>
      <c r="D18" s="242" t="s">
        <v>1576</v>
      </c>
      <c r="E18" s="264"/>
      <c r="F18" s="264"/>
      <c r="G18" s="264"/>
      <c r="H18" s="264"/>
      <c r="I18" s="264"/>
      <c r="J18" s="264"/>
      <c r="K18" s="264"/>
      <c r="L18" s="263"/>
      <c r="M18" s="666" t="s">
        <v>1577</v>
      </c>
      <c r="N18" s="668"/>
      <c r="O18" s="668"/>
      <c r="P18" s="668"/>
      <c r="Q18" s="668"/>
      <c r="R18" s="669"/>
      <c r="S18" s="701" t="s">
        <v>816</v>
      </c>
      <c r="T18" s="668" t="s">
        <v>863</v>
      </c>
      <c r="U18" s="378" t="s">
        <v>1577</v>
      </c>
      <c r="V18" s="268"/>
      <c r="W18" s="263"/>
      <c r="X18" s="265" t="s">
        <v>863</v>
      </c>
      <c r="Y18" s="260"/>
      <c r="Z18" s="232"/>
      <c r="AA18" s="266"/>
      <c r="AB18" s="263"/>
      <c r="AC18" s="261"/>
      <c r="AD18" s="263"/>
      <c r="AE18" s="670"/>
      <c r="AF18" s="670"/>
    </row>
    <row r="19" spans="1:32" s="158" customFormat="1" ht="12.75" customHeight="1">
      <c r="A19" s="225">
        <v>11</v>
      </c>
      <c r="B19" s="241"/>
      <c r="C19" s="241"/>
      <c r="D19" s="241"/>
      <c r="E19" s="241" t="s">
        <v>1579</v>
      </c>
      <c r="F19" s="241"/>
      <c r="G19" s="241"/>
      <c r="H19" s="241"/>
      <c r="I19" s="241"/>
      <c r="J19" s="269" t="s">
        <v>1580</v>
      </c>
      <c r="K19" s="264"/>
      <c r="L19" s="263"/>
      <c r="M19" s="666" t="s">
        <v>969</v>
      </c>
      <c r="N19" s="668"/>
      <c r="O19" s="668"/>
      <c r="P19" s="668"/>
      <c r="Q19" s="668"/>
      <c r="R19" s="669"/>
      <c r="S19" s="701" t="s">
        <v>816</v>
      </c>
      <c r="T19" s="668"/>
      <c r="U19" s="668" t="s">
        <v>862</v>
      </c>
      <c r="V19" s="268" t="s">
        <v>863</v>
      </c>
      <c r="W19" s="263" t="s">
        <v>1581</v>
      </c>
      <c r="X19" s="265" t="s">
        <v>863</v>
      </c>
      <c r="Y19" s="260"/>
      <c r="Z19" s="232"/>
      <c r="AA19" s="266"/>
      <c r="AB19" s="263"/>
      <c r="AC19" s="261"/>
      <c r="AD19" s="263"/>
      <c r="AE19" s="670"/>
      <c r="AF19" s="670"/>
    </row>
    <row r="20" spans="1:32" s="158" customFormat="1" ht="12.75" customHeight="1">
      <c r="A20" s="225">
        <v>12</v>
      </c>
      <c r="B20" s="241"/>
      <c r="C20" s="242"/>
      <c r="D20" s="241"/>
      <c r="E20" s="242" t="s">
        <v>1582</v>
      </c>
      <c r="F20" s="241"/>
      <c r="G20" s="241"/>
      <c r="H20" s="241"/>
      <c r="I20" s="241"/>
      <c r="J20" s="269"/>
      <c r="K20" s="264"/>
      <c r="L20" s="263"/>
      <c r="M20" s="666" t="s">
        <v>1584</v>
      </c>
      <c r="N20" s="668"/>
      <c r="O20" s="668"/>
      <c r="P20" s="668"/>
      <c r="Q20" s="668"/>
      <c r="R20" s="669"/>
      <c r="S20" s="701" t="s">
        <v>816</v>
      </c>
      <c r="T20" s="668" t="s">
        <v>863</v>
      </c>
      <c r="U20" s="668" t="s">
        <v>1053</v>
      </c>
      <c r="V20" s="268"/>
      <c r="W20" s="263"/>
      <c r="X20" s="265" t="s">
        <v>863</v>
      </c>
      <c r="Y20" s="260"/>
      <c r="Z20" s="232"/>
      <c r="AA20" s="266"/>
      <c r="AB20" s="263"/>
      <c r="AC20" s="261"/>
      <c r="AD20" s="263"/>
      <c r="AE20" s="670"/>
      <c r="AF20" s="670"/>
    </row>
    <row r="21" spans="1:32" s="224" customFormat="1" ht="13.5" customHeight="1">
      <c r="A21" s="225">
        <v>14</v>
      </c>
      <c r="B21" s="217"/>
      <c r="C21" s="217"/>
      <c r="D21" s="217"/>
      <c r="E21" s="217"/>
      <c r="F21" s="217" t="s">
        <v>1054</v>
      </c>
      <c r="G21" s="217"/>
      <c r="H21" s="217"/>
      <c r="I21" s="217"/>
      <c r="J21" s="668" t="s">
        <v>1055</v>
      </c>
      <c r="K21" s="666" t="s">
        <v>1056</v>
      </c>
      <c r="L21" s="668" t="s">
        <v>1057</v>
      </c>
      <c r="M21" s="666"/>
      <c r="N21" s="668"/>
      <c r="O21" s="668"/>
      <c r="P21" s="668"/>
      <c r="Q21" s="668"/>
      <c r="R21" s="669"/>
      <c r="S21" s="668" t="s">
        <v>819</v>
      </c>
      <c r="T21" s="668"/>
      <c r="U21" s="668" t="s">
        <v>862</v>
      </c>
      <c r="V21" s="670"/>
      <c r="W21" s="668"/>
      <c r="X21" s="667" t="s">
        <v>863</v>
      </c>
      <c r="Y21" s="667"/>
      <c r="Z21" s="232"/>
      <c r="AA21" s="671"/>
      <c r="AB21" s="668"/>
      <c r="AC21" s="672"/>
      <c r="AD21" s="668"/>
      <c r="AE21" s="670">
        <v>1</v>
      </c>
      <c r="AF21" s="670">
        <v>1</v>
      </c>
    </row>
    <row r="22" spans="1:32" s="249" customFormat="1" ht="13.5" customHeight="1">
      <c r="A22" s="225">
        <v>15</v>
      </c>
      <c r="B22" s="217"/>
      <c r="C22" s="219"/>
      <c r="D22" s="217"/>
      <c r="E22" s="219"/>
      <c r="F22" s="219" t="s">
        <v>1058</v>
      </c>
      <c r="G22" s="219"/>
      <c r="H22" s="220"/>
      <c r="I22" s="220"/>
      <c r="J22" s="668" t="s">
        <v>1059</v>
      </c>
      <c r="K22" s="666" t="s">
        <v>1060</v>
      </c>
      <c r="L22" s="668" t="s">
        <v>1061</v>
      </c>
      <c r="M22" s="666"/>
      <c r="N22" s="668"/>
      <c r="O22" s="668"/>
      <c r="P22" s="668"/>
      <c r="Q22" s="668"/>
      <c r="R22" s="252"/>
      <c r="S22" s="668" t="s">
        <v>816</v>
      </c>
      <c r="T22" s="668"/>
      <c r="U22" s="668" t="s">
        <v>862</v>
      </c>
      <c r="V22" s="670"/>
      <c r="W22" s="668"/>
      <c r="X22" s="260" t="s">
        <v>863</v>
      </c>
      <c r="Y22" s="667"/>
      <c r="Z22" s="232"/>
      <c r="AA22" s="671"/>
      <c r="AB22" s="668"/>
      <c r="AC22" s="672"/>
      <c r="AD22" s="668"/>
      <c r="AE22" s="670">
        <v>1</v>
      </c>
      <c r="AF22" s="670"/>
    </row>
    <row r="23" spans="1:32" s="224" customFormat="1" ht="13.5" customHeight="1">
      <c r="A23" s="225">
        <v>16</v>
      </c>
      <c r="B23" s="217"/>
      <c r="C23" s="217"/>
      <c r="D23" s="217"/>
      <c r="E23" s="217"/>
      <c r="F23" s="217" t="s">
        <v>1062</v>
      </c>
      <c r="G23" s="217"/>
      <c r="H23" s="217"/>
      <c r="I23" s="217"/>
      <c r="J23" s="263" t="s">
        <v>1063</v>
      </c>
      <c r="K23" s="666" t="s">
        <v>1064</v>
      </c>
      <c r="L23" s="668" t="s">
        <v>870</v>
      </c>
      <c r="M23" s="666"/>
      <c r="N23" s="668" t="s">
        <v>1065</v>
      </c>
      <c r="O23" s="668" t="s">
        <v>1066</v>
      </c>
      <c r="P23" s="668"/>
      <c r="Q23" s="668"/>
      <c r="R23" s="252"/>
      <c r="S23" s="668" t="s">
        <v>816</v>
      </c>
      <c r="T23" s="668"/>
      <c r="U23" s="668" t="s">
        <v>862</v>
      </c>
      <c r="V23" s="670"/>
      <c r="W23" s="668"/>
      <c r="X23" s="260" t="s">
        <v>863</v>
      </c>
      <c r="Y23" s="667"/>
      <c r="Z23" s="232"/>
      <c r="AA23" s="671"/>
      <c r="AB23" s="668"/>
      <c r="AC23" s="672"/>
      <c r="AD23" s="668"/>
      <c r="AE23" s="670">
        <v>1</v>
      </c>
      <c r="AF23" s="670">
        <v>1</v>
      </c>
    </row>
    <row r="24" spans="1:32" s="224" customFormat="1" ht="13.5" customHeight="1">
      <c r="A24" s="225">
        <v>17</v>
      </c>
      <c r="B24" s="217"/>
      <c r="C24" s="241"/>
      <c r="D24" s="217"/>
      <c r="E24" s="241"/>
      <c r="F24" s="241" t="s">
        <v>1067</v>
      </c>
      <c r="G24" s="221"/>
      <c r="H24" s="221"/>
      <c r="I24" s="221"/>
      <c r="J24" s="668" t="s">
        <v>1068</v>
      </c>
      <c r="K24" s="679"/>
      <c r="L24" s="668"/>
      <c r="M24" s="264" t="s">
        <v>1069</v>
      </c>
      <c r="N24" s="668"/>
      <c r="O24" s="668"/>
      <c r="P24" s="668"/>
      <c r="Q24" s="668"/>
      <c r="R24" s="669"/>
      <c r="S24" s="668" t="s">
        <v>822</v>
      </c>
      <c r="T24" s="668" t="s">
        <v>863</v>
      </c>
      <c r="U24" s="524" t="s">
        <v>1069</v>
      </c>
      <c r="V24" s="670"/>
      <c r="W24" s="670"/>
      <c r="X24" s="260" t="s">
        <v>863</v>
      </c>
      <c r="Y24" s="260"/>
      <c r="Z24" s="232"/>
      <c r="AA24" s="671"/>
      <c r="AB24" s="668"/>
      <c r="AC24" s="672"/>
      <c r="AD24" s="668"/>
      <c r="AE24" s="670"/>
      <c r="AF24" s="670">
        <v>1</v>
      </c>
    </row>
    <row r="25" spans="1:32" s="224" customFormat="1" ht="13.5" customHeight="1">
      <c r="A25" s="225">
        <v>18</v>
      </c>
      <c r="B25" s="217"/>
      <c r="C25" s="241"/>
      <c r="D25" s="217"/>
      <c r="E25" s="241"/>
      <c r="F25" s="241"/>
      <c r="G25" s="241" t="s">
        <v>1070</v>
      </c>
      <c r="H25" s="241"/>
      <c r="I25" s="241"/>
      <c r="J25" s="668" t="s">
        <v>1071</v>
      </c>
      <c r="K25" s="679" t="s">
        <v>1072</v>
      </c>
      <c r="L25" s="668"/>
      <c r="M25" s="666" t="s">
        <v>907</v>
      </c>
      <c r="N25" s="668"/>
      <c r="O25" s="668"/>
      <c r="P25" s="668"/>
      <c r="Q25" s="668"/>
      <c r="R25" s="669"/>
      <c r="S25" s="668" t="s">
        <v>819</v>
      </c>
      <c r="T25" s="668"/>
      <c r="U25" s="668" t="s">
        <v>862</v>
      </c>
      <c r="V25" s="670" t="s">
        <v>863</v>
      </c>
      <c r="W25" s="666" t="s">
        <v>1073</v>
      </c>
      <c r="X25" s="260" t="s">
        <v>863</v>
      </c>
      <c r="Y25" s="260"/>
      <c r="Z25" s="232"/>
      <c r="AA25" s="266" t="s">
        <v>1074</v>
      </c>
      <c r="AB25" s="668" t="s">
        <v>1075</v>
      </c>
      <c r="AC25" s="245"/>
      <c r="AD25" s="668"/>
      <c r="AE25" s="670"/>
      <c r="AF25" s="670">
        <v>1</v>
      </c>
    </row>
    <row r="26" spans="1:32" s="224" customFormat="1" ht="13.5" customHeight="1">
      <c r="A26" s="225">
        <v>19</v>
      </c>
      <c r="B26" s="217"/>
      <c r="C26" s="241"/>
      <c r="D26" s="217"/>
      <c r="E26" s="241"/>
      <c r="F26" s="241"/>
      <c r="G26" s="241" t="s">
        <v>1076</v>
      </c>
      <c r="H26" s="241"/>
      <c r="I26" s="241"/>
      <c r="J26" s="668" t="s">
        <v>1077</v>
      </c>
      <c r="K26" s="679" t="s">
        <v>1078</v>
      </c>
      <c r="L26" s="668"/>
      <c r="M26" s="666" t="s">
        <v>1079</v>
      </c>
      <c r="N26" s="668"/>
      <c r="O26" s="668"/>
      <c r="P26" s="668"/>
      <c r="Q26" s="668"/>
      <c r="R26" s="669"/>
      <c r="S26" s="668" t="s">
        <v>819</v>
      </c>
      <c r="T26" s="668"/>
      <c r="U26" s="668" t="s">
        <v>862</v>
      </c>
      <c r="V26" s="670"/>
      <c r="W26" s="670"/>
      <c r="X26" s="260" t="s">
        <v>863</v>
      </c>
      <c r="Y26" s="260"/>
      <c r="Z26" s="232"/>
      <c r="AA26" s="671"/>
      <c r="AB26" s="668"/>
      <c r="AC26" s="245"/>
      <c r="AD26" s="668"/>
      <c r="AE26" s="670"/>
      <c r="AF26" s="670">
        <v>1</v>
      </c>
    </row>
    <row r="27" spans="1:32" s="224" customFormat="1" ht="13.5" customHeight="1">
      <c r="A27" s="225">
        <v>20</v>
      </c>
      <c r="B27" s="217"/>
      <c r="C27" s="217"/>
      <c r="D27" s="217"/>
      <c r="E27" s="217"/>
      <c r="F27" s="217" t="s">
        <v>1080</v>
      </c>
      <c r="G27" s="221"/>
      <c r="H27" s="221"/>
      <c r="I27" s="221"/>
      <c r="J27" s="668"/>
      <c r="K27" s="666"/>
      <c r="L27" s="668"/>
      <c r="M27" s="666" t="s">
        <v>1081</v>
      </c>
      <c r="N27" s="668"/>
      <c r="O27" s="668"/>
      <c r="P27" s="668"/>
      <c r="Q27" s="668"/>
      <c r="R27" s="669"/>
      <c r="S27" s="668" t="s">
        <v>816</v>
      </c>
      <c r="T27" s="668" t="s">
        <v>863</v>
      </c>
      <c r="U27" s="243" t="s">
        <v>1081</v>
      </c>
      <c r="V27" s="670"/>
      <c r="W27" s="668"/>
      <c r="X27" s="260" t="s">
        <v>863</v>
      </c>
      <c r="Y27" s="667"/>
      <c r="Z27" s="232"/>
      <c r="AA27" s="671"/>
      <c r="AB27" s="668"/>
      <c r="AC27" s="672"/>
      <c r="AD27" s="668"/>
      <c r="AE27" s="670">
        <v>1</v>
      </c>
      <c r="AF27" s="670">
        <v>1</v>
      </c>
    </row>
    <row r="28" spans="1:32" s="224" customFormat="1" ht="13.5" customHeight="1">
      <c r="A28" s="225">
        <v>21</v>
      </c>
      <c r="B28" s="217"/>
      <c r="C28" s="217"/>
      <c r="D28" s="217"/>
      <c r="E28" s="217"/>
      <c r="F28" s="217"/>
      <c r="G28" s="677" t="s">
        <v>1082</v>
      </c>
      <c r="H28" s="253"/>
      <c r="I28" s="239"/>
      <c r="J28" s="668" t="s">
        <v>1083</v>
      </c>
      <c r="K28" s="666" t="s">
        <v>1084</v>
      </c>
      <c r="L28" s="668" t="s">
        <v>1085</v>
      </c>
      <c r="M28" s="666" t="s">
        <v>1086</v>
      </c>
      <c r="N28" s="668"/>
      <c r="O28" s="668"/>
      <c r="P28" s="668"/>
      <c r="Q28" s="668"/>
      <c r="R28" s="669"/>
      <c r="S28" s="668" t="s">
        <v>819</v>
      </c>
      <c r="T28" s="668"/>
      <c r="U28" s="668" t="s">
        <v>862</v>
      </c>
      <c r="V28" s="670"/>
      <c r="W28" s="668" t="s">
        <v>1087</v>
      </c>
      <c r="X28" s="667" t="s">
        <v>863</v>
      </c>
      <c r="Y28" s="667"/>
      <c r="Z28" s="232"/>
      <c r="AA28" s="671"/>
      <c r="AB28" s="668"/>
      <c r="AC28" s="672"/>
      <c r="AD28" s="668"/>
      <c r="AE28" s="670">
        <v>1</v>
      </c>
      <c r="AF28" s="670">
        <v>1</v>
      </c>
    </row>
    <row r="29" spans="1:32" s="254" customFormat="1" ht="13.5" customHeight="1">
      <c r="A29" s="225">
        <v>22</v>
      </c>
      <c r="B29" s="217"/>
      <c r="C29" s="222"/>
      <c r="D29" s="217"/>
      <c r="E29" s="222"/>
      <c r="F29" s="222"/>
      <c r="G29" s="677" t="s">
        <v>1088</v>
      </c>
      <c r="H29" s="221"/>
      <c r="I29" s="221"/>
      <c r="J29" s="668" t="s">
        <v>1089</v>
      </c>
      <c r="K29" s="666" t="s">
        <v>1090</v>
      </c>
      <c r="L29" s="668"/>
      <c r="M29" s="666" t="s">
        <v>1091</v>
      </c>
      <c r="N29" s="668" t="s">
        <v>1092</v>
      </c>
      <c r="O29" s="668" t="s">
        <v>254</v>
      </c>
      <c r="P29" s="668"/>
      <c r="Q29" s="668"/>
      <c r="R29" s="669"/>
      <c r="S29" s="668" t="s">
        <v>816</v>
      </c>
      <c r="T29" s="668"/>
      <c r="U29" s="668" t="s">
        <v>862</v>
      </c>
      <c r="V29" s="670"/>
      <c r="W29" s="668"/>
      <c r="X29" s="667" t="s">
        <v>863</v>
      </c>
      <c r="Y29" s="667"/>
      <c r="Z29" s="232"/>
      <c r="AA29" s="671"/>
      <c r="AB29" s="668"/>
      <c r="AC29" s="672"/>
      <c r="AD29" s="668"/>
      <c r="AE29" s="670">
        <v>1</v>
      </c>
      <c r="AF29" s="670">
        <v>1</v>
      </c>
    </row>
    <row r="30" spans="1:32" s="254" customFormat="1" ht="13.5" customHeight="1">
      <c r="A30" s="225">
        <v>23</v>
      </c>
      <c r="B30" s="217"/>
      <c r="C30" s="222"/>
      <c r="D30" s="217"/>
      <c r="E30" s="222"/>
      <c r="F30" s="222"/>
      <c r="G30" s="677" t="s">
        <v>1093</v>
      </c>
      <c r="H30" s="221"/>
      <c r="I30" s="221"/>
      <c r="J30" s="668"/>
      <c r="K30" s="666"/>
      <c r="L30" s="668"/>
      <c r="M30" s="666" t="s">
        <v>1094</v>
      </c>
      <c r="N30" s="668" t="s">
        <v>1095</v>
      </c>
      <c r="O30" s="668" t="s">
        <v>1096</v>
      </c>
      <c r="P30" s="668"/>
      <c r="Q30" s="668"/>
      <c r="R30" s="669"/>
      <c r="S30" s="668" t="s">
        <v>816</v>
      </c>
      <c r="T30" s="668" t="s">
        <v>863</v>
      </c>
      <c r="U30" s="243" t="s">
        <v>1094</v>
      </c>
      <c r="V30" s="670"/>
      <c r="W30" s="668"/>
      <c r="X30" s="667" t="s">
        <v>863</v>
      </c>
      <c r="Y30" s="667"/>
      <c r="Z30" s="232"/>
      <c r="AA30" s="671"/>
      <c r="AB30" s="668"/>
      <c r="AC30" s="672"/>
      <c r="AD30" s="668"/>
      <c r="AE30" s="670">
        <v>1</v>
      </c>
      <c r="AF30" s="670">
        <v>1</v>
      </c>
    </row>
    <row r="31" spans="1:32" s="254" customFormat="1" ht="13.5" customHeight="1">
      <c r="A31" s="225">
        <v>24</v>
      </c>
      <c r="B31" s="217"/>
      <c r="C31" s="222"/>
      <c r="D31" s="217"/>
      <c r="E31" s="222"/>
      <c r="F31" s="222"/>
      <c r="G31" s="241"/>
      <c r="H31" s="241" t="s">
        <v>1097</v>
      </c>
      <c r="I31" s="241"/>
      <c r="J31" s="668" t="s">
        <v>1098</v>
      </c>
      <c r="K31" s="666" t="s">
        <v>1099</v>
      </c>
      <c r="L31" s="668"/>
      <c r="M31" s="666" t="s">
        <v>1086</v>
      </c>
      <c r="N31" s="668"/>
      <c r="O31" s="668"/>
      <c r="P31" s="668"/>
      <c r="Q31" s="668"/>
      <c r="R31" s="669"/>
      <c r="S31" s="668" t="s">
        <v>819</v>
      </c>
      <c r="T31" s="668"/>
      <c r="U31" s="668" t="s">
        <v>862</v>
      </c>
      <c r="V31" s="670"/>
      <c r="W31" s="668" t="s">
        <v>1100</v>
      </c>
      <c r="X31" s="667" t="s">
        <v>863</v>
      </c>
      <c r="Y31" s="667"/>
      <c r="Z31" s="232"/>
      <c r="AA31" s="671"/>
      <c r="AB31" s="668"/>
      <c r="AC31" s="672"/>
      <c r="AD31" s="668"/>
      <c r="AE31" s="670">
        <v>1</v>
      </c>
      <c r="AF31" s="670">
        <v>1</v>
      </c>
    </row>
    <row r="32" spans="1:32" s="224" customFormat="1" ht="13.5" customHeight="1">
      <c r="A32" s="225">
        <v>25</v>
      </c>
      <c r="B32" s="217"/>
      <c r="C32" s="217"/>
      <c r="D32" s="217"/>
      <c r="E32" s="217"/>
      <c r="F32" s="217"/>
      <c r="G32" s="241"/>
      <c r="H32" s="241" t="s">
        <v>1101</v>
      </c>
      <c r="I32" s="241"/>
      <c r="J32" s="668"/>
      <c r="K32" s="666" t="s">
        <v>1102</v>
      </c>
      <c r="L32" s="668"/>
      <c r="M32" s="666" t="s">
        <v>969</v>
      </c>
      <c r="N32" s="668"/>
      <c r="O32" s="668"/>
      <c r="P32" s="668"/>
      <c r="Q32" s="668"/>
      <c r="R32" s="669"/>
      <c r="S32" s="668" t="s">
        <v>816</v>
      </c>
      <c r="T32" s="668"/>
      <c r="U32" s="668" t="s">
        <v>862</v>
      </c>
      <c r="V32" s="670"/>
      <c r="W32" s="668"/>
      <c r="X32" s="667" t="s">
        <v>863</v>
      </c>
      <c r="Y32" s="667"/>
      <c r="Z32" s="232"/>
      <c r="AA32" s="671"/>
      <c r="AB32" s="668"/>
      <c r="AC32" s="672"/>
      <c r="AD32" s="668"/>
      <c r="AE32" s="670">
        <v>1</v>
      </c>
      <c r="AF32" s="670">
        <v>1</v>
      </c>
    </row>
    <row r="33" spans="1:32" s="224" customFormat="1" ht="13.5" customHeight="1">
      <c r="A33" s="225">
        <v>26</v>
      </c>
      <c r="B33" s="217"/>
      <c r="C33" s="217"/>
      <c r="D33" s="217"/>
      <c r="E33" s="217"/>
      <c r="F33" s="217"/>
      <c r="G33" s="241"/>
      <c r="H33" s="241" t="s">
        <v>1103</v>
      </c>
      <c r="I33" s="241"/>
      <c r="J33" s="668"/>
      <c r="K33" s="666" t="s">
        <v>1104</v>
      </c>
      <c r="L33" s="668"/>
      <c r="M33" s="666" t="s">
        <v>870</v>
      </c>
      <c r="N33" s="668"/>
      <c r="O33" s="668"/>
      <c r="P33" s="668"/>
      <c r="Q33" s="668"/>
      <c r="R33" s="669"/>
      <c r="S33" s="668" t="s">
        <v>816</v>
      </c>
      <c r="T33" s="668"/>
      <c r="U33" s="668" t="s">
        <v>862</v>
      </c>
      <c r="V33" s="670"/>
      <c r="W33" s="668"/>
      <c r="X33" s="667" t="s">
        <v>863</v>
      </c>
      <c r="Y33" s="667"/>
      <c r="Z33" s="232"/>
      <c r="AA33" s="671"/>
      <c r="AB33" s="668"/>
      <c r="AC33" s="672"/>
      <c r="AD33" s="668"/>
      <c r="AE33" s="670">
        <v>1</v>
      </c>
      <c r="AF33" s="670">
        <v>1</v>
      </c>
    </row>
    <row r="34" spans="1:32" s="224" customFormat="1" ht="13.5" customHeight="1">
      <c r="A34" s="225">
        <v>27</v>
      </c>
      <c r="B34" s="217"/>
      <c r="C34" s="217"/>
      <c r="D34" s="217"/>
      <c r="E34" s="217"/>
      <c r="F34" s="217" t="s">
        <v>1105</v>
      </c>
      <c r="G34" s="221"/>
      <c r="H34" s="221"/>
      <c r="I34" s="221"/>
      <c r="J34" s="668"/>
      <c r="K34" s="666"/>
      <c r="L34" s="668"/>
      <c r="M34" s="666" t="s">
        <v>1106</v>
      </c>
      <c r="N34" s="668"/>
      <c r="O34" s="668"/>
      <c r="P34" s="668"/>
      <c r="Q34" s="668"/>
      <c r="R34" s="669"/>
      <c r="S34" s="668" t="s">
        <v>816</v>
      </c>
      <c r="T34" s="668" t="s">
        <v>863</v>
      </c>
      <c r="U34" s="243" t="s">
        <v>1106</v>
      </c>
      <c r="V34" s="670"/>
      <c r="W34" s="668"/>
      <c r="X34" s="667" t="s">
        <v>863</v>
      </c>
      <c r="Y34" s="667"/>
      <c r="Z34" s="232"/>
      <c r="AA34" s="671"/>
      <c r="AB34" s="668"/>
      <c r="AC34" s="672"/>
      <c r="AD34" s="668"/>
      <c r="AE34" s="670"/>
      <c r="AF34" s="670">
        <v>1</v>
      </c>
    </row>
    <row r="35" spans="1:32" s="231" customFormat="1" ht="13.5" customHeight="1">
      <c r="A35" s="225">
        <v>28</v>
      </c>
      <c r="B35" s="217"/>
      <c r="C35" s="217"/>
      <c r="D35" s="217"/>
      <c r="E35" s="217"/>
      <c r="F35" s="217"/>
      <c r="G35" s="241" t="s">
        <v>388</v>
      </c>
      <c r="H35" s="217"/>
      <c r="I35" s="217"/>
      <c r="J35" s="668" t="s">
        <v>1107</v>
      </c>
      <c r="K35" s="666" t="s">
        <v>1108</v>
      </c>
      <c r="L35" s="668" t="s">
        <v>1106</v>
      </c>
      <c r="M35" s="666" t="s">
        <v>870</v>
      </c>
      <c r="N35" s="668" t="s">
        <v>1109</v>
      </c>
      <c r="O35" s="668" t="s">
        <v>388</v>
      </c>
      <c r="P35" s="668"/>
      <c r="Q35" s="668"/>
      <c r="R35" s="252"/>
      <c r="S35" s="668" t="s">
        <v>816</v>
      </c>
      <c r="T35" s="668"/>
      <c r="U35" s="668" t="s">
        <v>862</v>
      </c>
      <c r="V35" s="670"/>
      <c r="W35" s="668"/>
      <c r="X35" s="667" t="s">
        <v>863</v>
      </c>
      <c r="Y35" s="667"/>
      <c r="Z35" s="232"/>
      <c r="AA35" s="671"/>
      <c r="AB35" s="255"/>
      <c r="AC35" s="245" t="s">
        <v>1110</v>
      </c>
      <c r="AD35" s="668"/>
      <c r="AE35" s="670">
        <v>1</v>
      </c>
      <c r="AF35" s="670">
        <v>1</v>
      </c>
    </row>
    <row r="36" spans="1:32" s="224" customFormat="1" ht="13.5" customHeight="1">
      <c r="A36" s="225">
        <v>29</v>
      </c>
      <c r="B36" s="217"/>
      <c r="C36" s="217"/>
      <c r="D36" s="217"/>
      <c r="E36" s="217"/>
      <c r="F36" s="217"/>
      <c r="G36" s="241" t="s">
        <v>392</v>
      </c>
      <c r="H36" s="217"/>
      <c r="I36" s="217"/>
      <c r="J36" s="668" t="s">
        <v>1111</v>
      </c>
      <c r="K36" s="666">
        <v>59350</v>
      </c>
      <c r="L36" s="668" t="s">
        <v>1112</v>
      </c>
      <c r="M36" s="666" t="s">
        <v>1113</v>
      </c>
      <c r="N36" s="668" t="s">
        <v>1114</v>
      </c>
      <c r="O36" s="668" t="s">
        <v>392</v>
      </c>
      <c r="P36" s="668"/>
      <c r="Q36" s="668"/>
      <c r="R36" s="252"/>
      <c r="S36" s="668" t="s">
        <v>816</v>
      </c>
      <c r="T36" s="668"/>
      <c r="U36" s="668" t="s">
        <v>862</v>
      </c>
      <c r="V36" s="670"/>
      <c r="W36" s="668" t="s">
        <v>1115</v>
      </c>
      <c r="X36" s="667" t="s">
        <v>863</v>
      </c>
      <c r="Y36" s="667"/>
      <c r="Z36" s="232"/>
      <c r="AA36" s="671"/>
      <c r="AB36" s="668"/>
      <c r="AC36" s="672"/>
      <c r="AD36" s="668"/>
      <c r="AE36" s="670">
        <v>1</v>
      </c>
      <c r="AF36" s="670">
        <v>1</v>
      </c>
    </row>
    <row r="37" spans="1:32" s="224" customFormat="1" ht="13.5" customHeight="1">
      <c r="A37" s="225">
        <v>30</v>
      </c>
      <c r="B37" s="217"/>
      <c r="C37" s="217"/>
      <c r="D37" s="217"/>
      <c r="E37" s="217"/>
      <c r="F37" s="217"/>
      <c r="G37" s="241" t="s">
        <v>1116</v>
      </c>
      <c r="H37" s="241"/>
      <c r="I37" s="241"/>
      <c r="J37" s="263" t="s">
        <v>1117</v>
      </c>
      <c r="K37" s="666" t="s">
        <v>1118</v>
      </c>
      <c r="L37" s="668"/>
      <c r="M37" s="666" t="s">
        <v>1119</v>
      </c>
      <c r="N37" s="668"/>
      <c r="O37" s="668"/>
      <c r="P37" s="668"/>
      <c r="Q37" s="668"/>
      <c r="R37" s="669"/>
      <c r="S37" s="668" t="s">
        <v>816</v>
      </c>
      <c r="T37" s="668"/>
      <c r="U37" s="678" t="s">
        <v>862</v>
      </c>
      <c r="V37" s="281"/>
      <c r="W37" s="668"/>
      <c r="X37" s="667" t="s">
        <v>863</v>
      </c>
      <c r="Y37" s="667"/>
      <c r="Z37" s="232"/>
      <c r="AA37" s="671"/>
      <c r="AB37" s="668"/>
      <c r="AC37" s="672"/>
      <c r="AD37" s="668"/>
      <c r="AE37" s="670"/>
      <c r="AF37" s="670">
        <v>1</v>
      </c>
    </row>
    <row r="38" spans="1:32" s="256" customFormat="1" ht="12.75" customHeight="1">
      <c r="A38" s="225">
        <v>31</v>
      </c>
      <c r="B38" s="217"/>
      <c r="C38" s="217"/>
      <c r="D38" s="217"/>
      <c r="E38" s="217"/>
      <c r="F38" s="217" t="s">
        <v>1120</v>
      </c>
      <c r="G38" s="221"/>
      <c r="H38" s="221"/>
      <c r="I38" s="221"/>
      <c r="J38" s="668" t="s">
        <v>1121</v>
      </c>
      <c r="K38" s="666"/>
      <c r="L38" s="668"/>
      <c r="M38" s="666" t="s">
        <v>1122</v>
      </c>
      <c r="N38" s="668"/>
      <c r="O38" s="668"/>
      <c r="P38" s="668"/>
      <c r="Q38" s="668"/>
      <c r="R38" s="669"/>
      <c r="S38" s="668" t="s">
        <v>816</v>
      </c>
      <c r="T38" s="668" t="s">
        <v>863</v>
      </c>
      <c r="U38" s="243" t="s">
        <v>1122</v>
      </c>
      <c r="V38" s="670"/>
      <c r="W38" s="668"/>
      <c r="X38" s="667" t="s">
        <v>863</v>
      </c>
      <c r="Y38" s="667"/>
      <c r="Z38" s="232"/>
      <c r="AA38" s="671"/>
      <c r="AB38" s="668"/>
      <c r="AC38" s="672"/>
      <c r="AD38" s="668"/>
      <c r="AE38" s="670">
        <v>1</v>
      </c>
      <c r="AF38" s="670">
        <v>1</v>
      </c>
    </row>
    <row r="39" spans="1:32" s="256" customFormat="1" ht="12.75" customHeight="1">
      <c r="A39" s="225">
        <v>32</v>
      </c>
      <c r="B39" s="217"/>
      <c r="C39" s="217"/>
      <c r="D39" s="217"/>
      <c r="E39" s="217"/>
      <c r="F39" s="217"/>
      <c r="G39" s="677" t="s">
        <v>415</v>
      </c>
      <c r="H39" s="221"/>
      <c r="I39" s="221"/>
      <c r="J39" s="668" t="s">
        <v>1123</v>
      </c>
      <c r="K39" s="666" t="s">
        <v>1124</v>
      </c>
      <c r="L39" s="668"/>
      <c r="M39" s="666" t="s">
        <v>1125</v>
      </c>
      <c r="N39" s="668" t="s">
        <v>1126</v>
      </c>
      <c r="O39" s="668" t="s">
        <v>415</v>
      </c>
      <c r="P39" s="668"/>
      <c r="Q39" s="668"/>
      <c r="R39" s="669"/>
      <c r="S39" s="668" t="s">
        <v>816</v>
      </c>
      <c r="T39" s="668"/>
      <c r="U39" s="678" t="s">
        <v>862</v>
      </c>
      <c r="V39" s="281"/>
      <c r="W39" s="668"/>
      <c r="X39" s="667" t="s">
        <v>863</v>
      </c>
      <c r="Y39" s="667"/>
      <c r="Z39" s="232"/>
      <c r="AA39" s="671"/>
      <c r="AB39" s="668"/>
      <c r="AC39" s="672"/>
      <c r="AD39" s="668"/>
      <c r="AE39" s="670">
        <v>1</v>
      </c>
      <c r="AF39" s="670">
        <v>1</v>
      </c>
    </row>
    <row r="40" spans="1:32" s="256" customFormat="1" ht="12.75" customHeight="1">
      <c r="A40" s="225">
        <v>33</v>
      </c>
      <c r="B40" s="217"/>
      <c r="C40" s="217"/>
      <c r="D40" s="217"/>
      <c r="E40" s="217"/>
      <c r="F40" s="217"/>
      <c r="G40" s="677" t="s">
        <v>1127</v>
      </c>
      <c r="H40" s="221"/>
      <c r="I40" s="221"/>
      <c r="J40" s="668" t="s">
        <v>1128</v>
      </c>
      <c r="K40" s="666" t="s">
        <v>1129</v>
      </c>
      <c r="L40" s="668"/>
      <c r="M40" s="666" t="s">
        <v>1130</v>
      </c>
      <c r="N40" s="668" t="s">
        <v>1131</v>
      </c>
      <c r="O40" s="668" t="s">
        <v>424</v>
      </c>
      <c r="P40" s="668"/>
      <c r="Q40" s="668"/>
      <c r="R40" s="669"/>
      <c r="S40" s="668" t="s">
        <v>816</v>
      </c>
      <c r="T40" s="668"/>
      <c r="U40" s="678" t="s">
        <v>862</v>
      </c>
      <c r="V40" s="281"/>
      <c r="W40" s="668"/>
      <c r="X40" s="667" t="s">
        <v>863</v>
      </c>
      <c r="Y40" s="667"/>
      <c r="Z40" s="232"/>
      <c r="AA40" s="671"/>
      <c r="AB40" s="668"/>
      <c r="AC40" s="672"/>
      <c r="AD40" s="668"/>
      <c r="AE40" s="670">
        <v>1</v>
      </c>
      <c r="AF40" s="670">
        <v>1</v>
      </c>
    </row>
    <row r="41" spans="1:32" s="244" customFormat="1" ht="12.75" customHeight="1">
      <c r="A41" s="225">
        <v>34</v>
      </c>
      <c r="B41" s="217"/>
      <c r="C41" s="222"/>
      <c r="D41" s="217"/>
      <c r="E41" s="222"/>
      <c r="F41" s="222"/>
      <c r="G41" s="677" t="s">
        <v>429</v>
      </c>
      <c r="H41" s="221"/>
      <c r="I41" s="221"/>
      <c r="J41" s="668" t="s">
        <v>1132</v>
      </c>
      <c r="K41" s="666" t="s">
        <v>1133</v>
      </c>
      <c r="L41" s="668"/>
      <c r="M41" s="666" t="s">
        <v>1134</v>
      </c>
      <c r="N41" s="668"/>
      <c r="O41" s="668"/>
      <c r="P41" s="668"/>
      <c r="Q41" s="668"/>
      <c r="R41" s="669"/>
      <c r="S41" s="668" t="s">
        <v>816</v>
      </c>
      <c r="T41" s="668"/>
      <c r="U41" s="678" t="s">
        <v>862</v>
      </c>
      <c r="V41" s="281"/>
      <c r="W41" s="668"/>
      <c r="X41" s="667" t="s">
        <v>863</v>
      </c>
      <c r="Y41" s="667"/>
      <c r="Z41" s="232"/>
      <c r="AA41" s="671"/>
      <c r="AB41" s="668"/>
      <c r="AC41" s="672"/>
      <c r="AD41" s="668"/>
      <c r="AE41" s="670">
        <v>1</v>
      </c>
      <c r="AF41" s="670">
        <v>1</v>
      </c>
    </row>
    <row r="42" spans="1:32" s="244" customFormat="1" ht="12.75" customHeight="1">
      <c r="A42" s="225">
        <v>35</v>
      </c>
      <c r="B42" s="217"/>
      <c r="C42" s="222"/>
      <c r="D42" s="217"/>
      <c r="E42" s="222"/>
      <c r="F42" s="222"/>
      <c r="G42" s="677" t="s">
        <v>426</v>
      </c>
      <c r="H42" s="221"/>
      <c r="I42" s="221"/>
      <c r="J42" s="668" t="s">
        <v>1135</v>
      </c>
      <c r="K42" s="666" t="s">
        <v>1136</v>
      </c>
      <c r="L42" s="668"/>
      <c r="M42" s="666" t="s">
        <v>1137</v>
      </c>
      <c r="N42" s="668" t="s">
        <v>1138</v>
      </c>
      <c r="O42" s="668" t="s">
        <v>426</v>
      </c>
      <c r="P42" s="668"/>
      <c r="Q42" s="668"/>
      <c r="R42" s="669"/>
      <c r="S42" s="668" t="s">
        <v>822</v>
      </c>
      <c r="T42" s="668"/>
      <c r="U42" s="678" t="s">
        <v>862</v>
      </c>
      <c r="V42" s="281"/>
      <c r="W42" s="668"/>
      <c r="X42" s="667" t="s">
        <v>863</v>
      </c>
      <c r="Y42" s="667"/>
      <c r="Z42" s="232"/>
      <c r="AA42" s="671"/>
      <c r="AB42" s="668"/>
      <c r="AC42" s="672"/>
      <c r="AD42" s="668"/>
      <c r="AE42" s="670">
        <v>1</v>
      </c>
      <c r="AF42" s="670">
        <v>1</v>
      </c>
    </row>
    <row r="43" spans="1:32" s="244" customFormat="1" ht="12.75" customHeight="1">
      <c r="A43" s="225">
        <v>36</v>
      </c>
      <c r="B43" s="217"/>
      <c r="C43" s="222"/>
      <c r="D43" s="217"/>
      <c r="E43" s="222"/>
      <c r="F43" s="222"/>
      <c r="G43" s="677" t="s">
        <v>1139</v>
      </c>
      <c r="H43" s="221"/>
      <c r="I43" s="221"/>
      <c r="J43" s="668" t="s">
        <v>1140</v>
      </c>
      <c r="K43" s="666" t="s">
        <v>1141</v>
      </c>
      <c r="L43" s="668"/>
      <c r="M43" s="666" t="s">
        <v>1142</v>
      </c>
      <c r="N43" s="668"/>
      <c r="O43" s="668"/>
      <c r="P43" s="668"/>
      <c r="Q43" s="668"/>
      <c r="R43" s="669"/>
      <c r="S43" s="668" t="s">
        <v>816</v>
      </c>
      <c r="T43" s="668"/>
      <c r="U43" s="678" t="s">
        <v>862</v>
      </c>
      <c r="V43" s="281"/>
      <c r="W43" s="668"/>
      <c r="X43" s="667" t="s">
        <v>863</v>
      </c>
      <c r="Y43" s="667"/>
      <c r="Z43" s="232"/>
      <c r="AA43" s="671"/>
      <c r="AB43" s="668"/>
      <c r="AC43" s="672"/>
      <c r="AD43" s="668"/>
      <c r="AE43" s="670">
        <v>1</v>
      </c>
      <c r="AF43" s="670">
        <v>1</v>
      </c>
    </row>
    <row r="44" spans="1:32" s="257" customFormat="1" ht="12.75" customHeight="1">
      <c r="A44" s="225">
        <v>37</v>
      </c>
      <c r="B44" s="217"/>
      <c r="C44" s="222"/>
      <c r="D44" s="217"/>
      <c r="E44" s="222"/>
      <c r="F44" s="222"/>
      <c r="G44" s="677" t="s">
        <v>1143</v>
      </c>
      <c r="H44" s="221"/>
      <c r="I44" s="221"/>
      <c r="J44" s="668" t="s">
        <v>410</v>
      </c>
      <c r="K44" s="666" t="s">
        <v>1144</v>
      </c>
      <c r="L44" s="668"/>
      <c r="M44" s="666" t="s">
        <v>1145</v>
      </c>
      <c r="N44" s="668"/>
      <c r="O44" s="668"/>
      <c r="P44" s="668"/>
      <c r="Q44" s="668"/>
      <c r="R44" s="669"/>
      <c r="S44" s="668" t="s">
        <v>816</v>
      </c>
      <c r="T44" s="668"/>
      <c r="U44" s="678" t="s">
        <v>862</v>
      </c>
      <c r="V44" s="281"/>
      <c r="W44" s="668"/>
      <c r="X44" s="667" t="s">
        <v>863</v>
      </c>
      <c r="Y44" s="667"/>
      <c r="Z44" s="232"/>
      <c r="AA44" s="671"/>
      <c r="AB44" s="668"/>
      <c r="AC44" s="672"/>
      <c r="AD44" s="668"/>
      <c r="AE44" s="670">
        <v>1</v>
      </c>
      <c r="AF44" s="670">
        <v>1</v>
      </c>
    </row>
    <row r="45" spans="1:32" s="258" customFormat="1" ht="12.75" customHeight="1">
      <c r="A45" s="225">
        <v>38</v>
      </c>
      <c r="B45" s="217"/>
      <c r="C45" s="218"/>
      <c r="D45" s="217"/>
      <c r="E45" s="218"/>
      <c r="F45" s="218"/>
      <c r="G45" s="677" t="s">
        <v>1146</v>
      </c>
      <c r="H45" s="221"/>
      <c r="I45" s="221"/>
      <c r="J45" s="668"/>
      <c r="K45" s="666" t="s">
        <v>1147</v>
      </c>
      <c r="L45" s="668"/>
      <c r="M45" s="666" t="s">
        <v>1148</v>
      </c>
      <c r="N45" s="668"/>
      <c r="O45" s="668"/>
      <c r="P45" s="668"/>
      <c r="Q45" s="668"/>
      <c r="R45" s="669"/>
      <c r="S45" s="668" t="s">
        <v>816</v>
      </c>
      <c r="T45" s="668"/>
      <c r="U45" s="678" t="s">
        <v>862</v>
      </c>
      <c r="V45" s="281"/>
      <c r="W45" s="668"/>
      <c r="X45" s="667" t="s">
        <v>863</v>
      </c>
      <c r="Y45" s="667"/>
      <c r="Z45" s="232"/>
      <c r="AA45" s="671"/>
      <c r="AB45" s="668"/>
      <c r="AC45" s="672"/>
      <c r="AD45" s="668"/>
      <c r="AE45" s="670">
        <v>1</v>
      </c>
      <c r="AF45" s="670">
        <v>1</v>
      </c>
    </row>
    <row r="46" spans="1:32" s="256" customFormat="1" ht="12.95" customHeight="1">
      <c r="A46" s="225">
        <v>39</v>
      </c>
      <c r="B46" s="217"/>
      <c r="C46" s="218"/>
      <c r="D46" s="217"/>
      <c r="E46" s="218"/>
      <c r="F46" s="218"/>
      <c r="G46" s="677" t="s">
        <v>178</v>
      </c>
      <c r="H46" s="221"/>
      <c r="I46" s="221"/>
      <c r="J46" s="668" t="s">
        <v>1149</v>
      </c>
      <c r="K46" s="666" t="s">
        <v>1150</v>
      </c>
      <c r="L46" s="668"/>
      <c r="M46" s="666" t="s">
        <v>1151</v>
      </c>
      <c r="N46" s="668"/>
      <c r="O46" s="668"/>
      <c r="P46" s="668"/>
      <c r="Q46" s="668"/>
      <c r="R46" s="669"/>
      <c r="S46" s="668" t="s">
        <v>816</v>
      </c>
      <c r="T46" s="668"/>
      <c r="U46" s="678" t="s">
        <v>862</v>
      </c>
      <c r="V46" s="281"/>
      <c r="W46" s="668"/>
      <c r="X46" s="667" t="s">
        <v>863</v>
      </c>
      <c r="Y46" s="667"/>
      <c r="Z46" s="232"/>
      <c r="AA46" s="671"/>
      <c r="AB46" s="668"/>
      <c r="AC46" s="672"/>
      <c r="AD46" s="668"/>
      <c r="AE46" s="670">
        <v>1</v>
      </c>
      <c r="AF46" s="670">
        <v>1</v>
      </c>
    </row>
    <row r="47" spans="1:32" s="256" customFormat="1" ht="12.95" customHeight="1">
      <c r="A47" s="225">
        <v>40</v>
      </c>
      <c r="B47" s="217"/>
      <c r="C47" s="218"/>
      <c r="D47" s="217"/>
      <c r="E47" s="218"/>
      <c r="F47" s="218"/>
      <c r="G47" s="241" t="s">
        <v>1152</v>
      </c>
      <c r="H47" s="241"/>
      <c r="I47" s="241"/>
      <c r="J47" s="668" t="s">
        <v>1153</v>
      </c>
      <c r="K47" s="666">
        <v>33123452323</v>
      </c>
      <c r="L47" s="668"/>
      <c r="M47" s="666" t="s">
        <v>1154</v>
      </c>
      <c r="N47" s="668"/>
      <c r="O47" s="668"/>
      <c r="P47" s="668"/>
      <c r="Q47" s="668"/>
      <c r="R47" s="669"/>
      <c r="S47" s="668" t="s">
        <v>816</v>
      </c>
      <c r="T47" s="668"/>
      <c r="U47" s="668" t="s">
        <v>1091</v>
      </c>
      <c r="V47" s="670"/>
      <c r="W47" s="668"/>
      <c r="X47" s="667" t="s">
        <v>863</v>
      </c>
      <c r="Y47" s="667"/>
      <c r="Z47" s="232"/>
      <c r="AA47" s="671"/>
      <c r="AB47" s="668" t="s">
        <v>1155</v>
      </c>
      <c r="AC47" s="672"/>
      <c r="AD47" s="668"/>
      <c r="AE47" s="670"/>
      <c r="AF47" s="670">
        <v>1</v>
      </c>
    </row>
    <row r="48" spans="1:32" s="224" customFormat="1" ht="13.5" customHeight="1">
      <c r="A48" s="225">
        <v>41</v>
      </c>
      <c r="B48" s="217"/>
      <c r="C48" s="217"/>
      <c r="D48" s="217"/>
      <c r="E48" s="217"/>
      <c r="F48" s="217" t="s">
        <v>1156</v>
      </c>
      <c r="G48" s="217"/>
      <c r="H48" s="217"/>
      <c r="I48" s="217"/>
      <c r="J48" s="668"/>
      <c r="K48" s="666"/>
      <c r="L48" s="668" t="s">
        <v>1157</v>
      </c>
      <c r="M48" s="666" t="s">
        <v>1158</v>
      </c>
      <c r="N48" s="668"/>
      <c r="O48" s="668"/>
      <c r="P48" s="668"/>
      <c r="Q48" s="668"/>
      <c r="R48" s="252"/>
      <c r="S48" s="668" t="s">
        <v>816</v>
      </c>
      <c r="T48" s="668" t="s">
        <v>863</v>
      </c>
      <c r="U48" s="243" t="s">
        <v>1158</v>
      </c>
      <c r="V48" s="670"/>
      <c r="W48" s="668"/>
      <c r="X48" s="667" t="s">
        <v>863</v>
      </c>
      <c r="Y48" s="667"/>
      <c r="Z48" s="232"/>
      <c r="AA48" s="671"/>
      <c r="AB48" s="668"/>
      <c r="AC48" s="672"/>
      <c r="AD48" s="668"/>
      <c r="AE48" s="670">
        <v>1</v>
      </c>
      <c r="AF48" s="670"/>
    </row>
    <row r="49" spans="1:1015" s="224" customFormat="1" ht="13.5" customHeight="1">
      <c r="A49" s="225">
        <v>42</v>
      </c>
      <c r="B49" s="217"/>
      <c r="C49" s="217"/>
      <c r="D49" s="217"/>
      <c r="E49" s="217"/>
      <c r="F49" s="217"/>
      <c r="G49" s="241" t="s">
        <v>1159</v>
      </c>
      <c r="H49" s="241"/>
      <c r="I49" s="241"/>
      <c r="J49" s="668" t="s">
        <v>1160</v>
      </c>
      <c r="K49" s="666" t="s">
        <v>929</v>
      </c>
      <c r="L49" s="668"/>
      <c r="M49" s="666" t="s">
        <v>1161</v>
      </c>
      <c r="N49" s="668"/>
      <c r="O49" s="668"/>
      <c r="P49" s="668"/>
      <c r="Q49" s="668"/>
      <c r="R49" s="669"/>
      <c r="S49" s="668" t="s">
        <v>819</v>
      </c>
      <c r="T49" s="668"/>
      <c r="U49" s="668" t="s">
        <v>878</v>
      </c>
      <c r="V49" s="670"/>
      <c r="W49" s="668"/>
      <c r="X49" s="667" t="s">
        <v>863</v>
      </c>
      <c r="Y49" s="667"/>
      <c r="Z49" s="232"/>
      <c r="AA49" s="671"/>
      <c r="AB49" s="668" t="s">
        <v>1162</v>
      </c>
      <c r="AC49" s="672"/>
      <c r="AD49" s="668"/>
      <c r="AE49" s="670"/>
      <c r="AF49" s="670">
        <v>1</v>
      </c>
    </row>
    <row r="50" spans="1:1015" s="224" customFormat="1" ht="13.5" customHeight="1">
      <c r="A50" s="225">
        <v>43</v>
      </c>
      <c r="B50" s="217"/>
      <c r="C50" s="217"/>
      <c r="D50" s="217"/>
      <c r="E50" s="217"/>
      <c r="F50" s="217"/>
      <c r="G50" s="217" t="s">
        <v>1163</v>
      </c>
      <c r="H50" s="217"/>
      <c r="I50" s="217"/>
      <c r="J50" s="668" t="s">
        <v>1164</v>
      </c>
      <c r="K50" s="666"/>
      <c r="L50" s="668" t="s">
        <v>1165</v>
      </c>
      <c r="M50" s="666" t="s">
        <v>1165</v>
      </c>
      <c r="N50" s="668"/>
      <c r="O50" s="668"/>
      <c r="P50" s="668"/>
      <c r="Q50" s="668"/>
      <c r="R50" s="252"/>
      <c r="S50" s="668" t="s">
        <v>816</v>
      </c>
      <c r="T50" s="668" t="s">
        <v>863</v>
      </c>
      <c r="U50" s="243" t="s">
        <v>1165</v>
      </c>
      <c r="V50" s="670"/>
      <c r="W50" s="668"/>
      <c r="X50" s="667" t="s">
        <v>863</v>
      </c>
      <c r="Y50" s="667"/>
      <c r="Z50" s="232"/>
      <c r="AA50" s="671"/>
      <c r="AB50" s="668"/>
      <c r="AC50" s="672"/>
      <c r="AD50" s="668"/>
      <c r="AE50" s="670">
        <v>1</v>
      </c>
      <c r="AF50" s="670">
        <v>1</v>
      </c>
    </row>
    <row r="51" spans="1:1015" s="224" customFormat="1" ht="13.5" customHeight="1">
      <c r="A51" s="225">
        <v>44</v>
      </c>
      <c r="B51" s="217"/>
      <c r="C51" s="217"/>
      <c r="D51" s="217"/>
      <c r="E51" s="217"/>
      <c r="F51" s="217"/>
      <c r="G51" s="217"/>
      <c r="H51" s="217" t="s">
        <v>1166</v>
      </c>
      <c r="I51" s="217"/>
      <c r="J51" s="668" t="s">
        <v>1167</v>
      </c>
      <c r="K51" s="666"/>
      <c r="L51" s="668" t="s">
        <v>1168</v>
      </c>
      <c r="M51" s="666" t="s">
        <v>1168</v>
      </c>
      <c r="N51" s="668"/>
      <c r="O51" s="668"/>
      <c r="P51" s="668"/>
      <c r="Q51" s="668"/>
      <c r="R51" s="252"/>
      <c r="S51" s="668" t="s">
        <v>819</v>
      </c>
      <c r="T51" s="668" t="s">
        <v>863</v>
      </c>
      <c r="U51" s="243" t="s">
        <v>1168</v>
      </c>
      <c r="V51" s="670"/>
      <c r="W51" s="668"/>
      <c r="X51" s="667" t="s">
        <v>863</v>
      </c>
      <c r="Y51" s="667"/>
      <c r="Z51" s="232"/>
      <c r="AA51" s="671"/>
      <c r="AB51" s="668"/>
      <c r="AC51" s="672"/>
      <c r="AD51" s="668"/>
      <c r="AE51" s="670">
        <v>1</v>
      </c>
      <c r="AF51" s="670">
        <v>1</v>
      </c>
    </row>
    <row r="52" spans="1:1015" s="224" customFormat="1" ht="13.5" customHeight="1">
      <c r="A52" s="225">
        <v>45</v>
      </c>
      <c r="B52" s="217"/>
      <c r="C52" s="217"/>
      <c r="D52" s="217"/>
      <c r="E52" s="217"/>
      <c r="F52" s="217"/>
      <c r="G52" s="217"/>
      <c r="H52" s="217"/>
      <c r="I52" s="217" t="s">
        <v>1169</v>
      </c>
      <c r="J52" s="668" t="s">
        <v>1170</v>
      </c>
      <c r="K52" s="666" t="s">
        <v>1171</v>
      </c>
      <c r="L52" s="668" t="s">
        <v>1172</v>
      </c>
      <c r="M52" s="666" t="s">
        <v>1172</v>
      </c>
      <c r="N52" s="668"/>
      <c r="O52" s="668"/>
      <c r="P52" s="668"/>
      <c r="Q52" s="668"/>
      <c r="R52" s="252"/>
      <c r="S52" s="668" t="s">
        <v>819</v>
      </c>
      <c r="T52" s="668"/>
      <c r="U52" s="668" t="s">
        <v>1091</v>
      </c>
      <c r="V52" s="670"/>
      <c r="W52" s="668"/>
      <c r="X52" s="667" t="s">
        <v>863</v>
      </c>
      <c r="Y52" s="667"/>
      <c r="Z52" s="232"/>
      <c r="AA52" s="668" t="s">
        <v>1173</v>
      </c>
      <c r="AB52" s="668"/>
      <c r="AC52" s="245" t="s">
        <v>1174</v>
      </c>
      <c r="AD52" s="668"/>
      <c r="AE52" s="670">
        <v>1</v>
      </c>
      <c r="AF52" s="670">
        <v>1</v>
      </c>
    </row>
    <row r="53" spans="1:1015" s="256" customFormat="1" ht="13.5" customHeight="1">
      <c r="A53" s="225">
        <v>46</v>
      </c>
      <c r="B53" s="217"/>
      <c r="C53" s="217"/>
      <c r="D53" s="217"/>
      <c r="E53" s="217"/>
      <c r="F53" s="217"/>
      <c r="G53" s="217"/>
      <c r="H53" s="217"/>
      <c r="I53" s="217" t="s">
        <v>1175</v>
      </c>
      <c r="J53" s="668" t="s">
        <v>1176</v>
      </c>
      <c r="K53" s="666" t="s">
        <v>1177</v>
      </c>
      <c r="L53" s="668" t="s">
        <v>1178</v>
      </c>
      <c r="M53" s="666" t="s">
        <v>1178</v>
      </c>
      <c r="N53" s="668"/>
      <c r="O53" s="668"/>
      <c r="P53" s="668"/>
      <c r="Q53" s="668"/>
      <c r="R53" s="252"/>
      <c r="S53" s="668" t="s">
        <v>819</v>
      </c>
      <c r="T53" s="668"/>
      <c r="U53" s="668" t="s">
        <v>1091</v>
      </c>
      <c r="V53" s="670"/>
      <c r="W53" s="668"/>
      <c r="X53" s="667" t="s">
        <v>863</v>
      </c>
      <c r="Y53" s="667"/>
      <c r="Z53" s="232"/>
      <c r="AA53" s="668" t="s">
        <v>1173</v>
      </c>
      <c r="AB53" s="668"/>
      <c r="AC53" s="245" t="s">
        <v>1174</v>
      </c>
      <c r="AD53" s="668"/>
      <c r="AE53" s="670">
        <v>1</v>
      </c>
      <c r="AF53" s="670">
        <v>1</v>
      </c>
    </row>
    <row r="54" spans="1:1015" s="244" customFormat="1" ht="13.5" customHeight="1">
      <c r="A54" s="225">
        <v>47</v>
      </c>
      <c r="B54" s="217"/>
      <c r="C54" s="222"/>
      <c r="D54" s="217"/>
      <c r="E54" s="222"/>
      <c r="F54" s="222"/>
      <c r="G54" s="222"/>
      <c r="H54" s="222"/>
      <c r="I54" s="222" t="s">
        <v>1179</v>
      </c>
      <c r="J54" s="668" t="s">
        <v>1180</v>
      </c>
      <c r="K54" s="666">
        <v>120</v>
      </c>
      <c r="L54" s="668"/>
      <c r="M54" s="668" t="s">
        <v>1181</v>
      </c>
      <c r="N54" s="668"/>
      <c r="O54" s="668"/>
      <c r="P54" s="668"/>
      <c r="Q54" s="668"/>
      <c r="R54" s="669"/>
      <c r="S54" s="668" t="s">
        <v>816</v>
      </c>
      <c r="T54" s="668"/>
      <c r="U54" s="668" t="s">
        <v>1091</v>
      </c>
      <c r="V54" s="670"/>
      <c r="W54" s="668"/>
      <c r="X54" s="667" t="s">
        <v>863</v>
      </c>
      <c r="Y54" s="667"/>
      <c r="Z54" s="232"/>
      <c r="AA54" s="668" t="s">
        <v>1182</v>
      </c>
      <c r="AB54" s="668"/>
      <c r="AC54" s="672"/>
      <c r="AD54" s="668"/>
      <c r="AE54" s="670">
        <v>1</v>
      </c>
      <c r="AF54" s="670">
        <v>1</v>
      </c>
    </row>
    <row r="55" spans="1:1015" s="256" customFormat="1" ht="13.5" customHeight="1">
      <c r="A55" s="225">
        <v>48</v>
      </c>
      <c r="B55" s="217"/>
      <c r="C55" s="217"/>
      <c r="D55" s="217"/>
      <c r="E55" s="217"/>
      <c r="F55" s="217"/>
      <c r="G55" s="241"/>
      <c r="H55" s="241"/>
      <c r="I55" s="241" t="s">
        <v>1183</v>
      </c>
      <c r="J55" s="668" t="s">
        <v>1184</v>
      </c>
      <c r="K55" s="666">
        <v>96</v>
      </c>
      <c r="L55" s="668"/>
      <c r="M55" s="668" t="s">
        <v>1185</v>
      </c>
      <c r="N55" s="668"/>
      <c r="O55" s="668"/>
      <c r="P55" s="668"/>
      <c r="Q55" s="668"/>
      <c r="R55" s="669"/>
      <c r="S55" s="668" t="s">
        <v>816</v>
      </c>
      <c r="T55" s="668"/>
      <c r="U55" s="668" t="s">
        <v>1091</v>
      </c>
      <c r="V55" s="670"/>
      <c r="W55" s="668"/>
      <c r="X55" s="667" t="s">
        <v>863</v>
      </c>
      <c r="Y55" s="667"/>
      <c r="Z55" s="232"/>
      <c r="AA55" s="668" t="s">
        <v>1186</v>
      </c>
      <c r="AB55" s="668"/>
      <c r="AC55" s="672"/>
      <c r="AD55" s="668"/>
      <c r="AE55" s="670">
        <v>1</v>
      </c>
      <c r="AF55" s="670">
        <v>1</v>
      </c>
    </row>
    <row r="56" spans="1:1015" s="256" customFormat="1" ht="13.5" customHeight="1">
      <c r="A56" s="225">
        <v>49</v>
      </c>
      <c r="B56" s="217"/>
      <c r="C56" s="217"/>
      <c r="D56" s="217"/>
      <c r="E56" s="217"/>
      <c r="F56" s="217"/>
      <c r="G56" s="241"/>
      <c r="H56" s="241"/>
      <c r="I56" s="241" t="s">
        <v>1187</v>
      </c>
      <c r="J56" s="668" t="s">
        <v>1188</v>
      </c>
      <c r="K56" s="666">
        <v>34</v>
      </c>
      <c r="L56" s="668"/>
      <c r="M56" s="668" t="s">
        <v>1189</v>
      </c>
      <c r="N56" s="668"/>
      <c r="O56" s="668"/>
      <c r="P56" s="668"/>
      <c r="Q56" s="668"/>
      <c r="R56" s="669"/>
      <c r="S56" s="668" t="s">
        <v>816</v>
      </c>
      <c r="T56" s="668"/>
      <c r="U56" s="668" t="s">
        <v>1091</v>
      </c>
      <c r="V56" s="670"/>
      <c r="W56" s="668"/>
      <c r="X56" s="667" t="s">
        <v>863</v>
      </c>
      <c r="Y56" s="667"/>
      <c r="Z56" s="232"/>
      <c r="AA56" s="668" t="s">
        <v>1190</v>
      </c>
      <c r="AB56" s="668"/>
      <c r="AC56" s="672"/>
      <c r="AD56" s="668"/>
      <c r="AE56" s="670">
        <v>1</v>
      </c>
      <c r="AF56" s="670">
        <v>1</v>
      </c>
    </row>
    <row r="57" spans="1:1015" s="244" customFormat="1" ht="13.5" customHeight="1">
      <c r="A57" s="225">
        <v>50</v>
      </c>
      <c r="B57" s="217"/>
      <c r="C57" s="222"/>
      <c r="D57" s="217"/>
      <c r="E57" s="222"/>
      <c r="F57" s="222"/>
      <c r="G57" s="241"/>
      <c r="H57" s="241"/>
      <c r="I57" s="241" t="s">
        <v>1191</v>
      </c>
      <c r="J57" s="668" t="s">
        <v>1192</v>
      </c>
      <c r="K57" s="666" t="s">
        <v>1193</v>
      </c>
      <c r="L57" s="668"/>
      <c r="M57" s="666" t="s">
        <v>1194</v>
      </c>
      <c r="N57" s="668"/>
      <c r="O57" s="668"/>
      <c r="P57" s="668"/>
      <c r="Q57" s="668"/>
      <c r="R57" s="669"/>
      <c r="S57" s="668" t="s">
        <v>819</v>
      </c>
      <c r="T57" s="668"/>
      <c r="U57" s="668" t="s">
        <v>862</v>
      </c>
      <c r="V57" s="670" t="s">
        <v>863</v>
      </c>
      <c r="W57" s="668" t="s">
        <v>1195</v>
      </c>
      <c r="X57" s="667" t="s">
        <v>863</v>
      </c>
      <c r="Y57" s="667"/>
      <c r="Z57" s="232"/>
      <c r="AA57" s="671"/>
      <c r="AB57" s="668"/>
      <c r="AC57" s="672"/>
      <c r="AD57" s="668"/>
      <c r="AE57" s="670"/>
      <c r="AF57" s="670">
        <v>1</v>
      </c>
    </row>
    <row r="58" spans="1:1015" s="256" customFormat="1" ht="13.5" customHeight="1">
      <c r="A58" s="225">
        <v>51</v>
      </c>
      <c r="B58" s="217"/>
      <c r="C58" s="217"/>
      <c r="D58" s="217"/>
      <c r="E58" s="217"/>
      <c r="F58" s="217"/>
      <c r="G58" s="217"/>
      <c r="H58" s="217" t="s">
        <v>1196</v>
      </c>
      <c r="I58" s="217"/>
      <c r="J58" s="668" t="s">
        <v>1197</v>
      </c>
      <c r="K58" s="666" t="s">
        <v>1198</v>
      </c>
      <c r="L58" s="668" t="s">
        <v>1199</v>
      </c>
      <c r="M58" s="666" t="s">
        <v>1200</v>
      </c>
      <c r="N58" s="668"/>
      <c r="O58" s="668"/>
      <c r="P58" s="668"/>
      <c r="Q58" s="668"/>
      <c r="R58" s="669">
        <v>1</v>
      </c>
      <c r="S58" s="668" t="s">
        <v>816</v>
      </c>
      <c r="T58" s="668"/>
      <c r="U58" s="668" t="s">
        <v>862</v>
      </c>
      <c r="V58" s="670"/>
      <c r="W58" s="668"/>
      <c r="X58" s="667" t="s">
        <v>863</v>
      </c>
      <c r="Y58" s="667"/>
      <c r="Z58" s="232"/>
      <c r="AA58" s="671"/>
      <c r="AB58" s="668"/>
      <c r="AC58" s="672"/>
      <c r="AD58" s="668"/>
      <c r="AE58" s="670">
        <v>1</v>
      </c>
      <c r="AF58" s="670">
        <v>1</v>
      </c>
    </row>
    <row r="59" spans="1:1015" s="256" customFormat="1" ht="12.95" customHeight="1">
      <c r="A59" s="225">
        <v>52</v>
      </c>
      <c r="B59" s="217"/>
      <c r="C59" s="217"/>
      <c r="D59" s="217"/>
      <c r="E59" s="217"/>
      <c r="F59" s="217"/>
      <c r="G59" s="217" t="s">
        <v>1201</v>
      </c>
      <c r="H59" s="217"/>
      <c r="I59" s="217"/>
      <c r="J59" s="668" t="s">
        <v>1202</v>
      </c>
      <c r="K59" s="666"/>
      <c r="L59" s="668" t="s">
        <v>1203</v>
      </c>
      <c r="M59" s="666" t="s">
        <v>1203</v>
      </c>
      <c r="N59" s="668"/>
      <c r="O59" s="668"/>
      <c r="P59" s="668"/>
      <c r="Q59" s="668"/>
      <c r="R59" s="252"/>
      <c r="S59" s="668" t="s">
        <v>816</v>
      </c>
      <c r="T59" s="668"/>
      <c r="U59" s="668" t="s">
        <v>862</v>
      </c>
      <c r="V59" s="670"/>
      <c r="W59" s="668"/>
      <c r="X59" s="667" t="s">
        <v>863</v>
      </c>
      <c r="Y59" s="667"/>
      <c r="Z59" s="232"/>
      <c r="AA59" s="671"/>
      <c r="AB59" s="668"/>
      <c r="AC59" s="672"/>
      <c r="AD59" s="668"/>
      <c r="AE59" s="670">
        <v>1</v>
      </c>
      <c r="AF59" s="670"/>
    </row>
    <row r="60" spans="1:1015" s="224" customFormat="1" ht="13.5" customHeight="1">
      <c r="A60" s="225">
        <v>53</v>
      </c>
      <c r="B60" s="217"/>
      <c r="C60" s="217"/>
      <c r="D60" s="217"/>
      <c r="E60" s="217"/>
      <c r="F60" s="217" t="s">
        <v>1204</v>
      </c>
      <c r="G60" s="217"/>
      <c r="H60" s="217"/>
      <c r="I60" s="217"/>
      <c r="J60" s="668" t="s">
        <v>1205</v>
      </c>
      <c r="K60" s="666"/>
      <c r="L60" s="668" t="s">
        <v>941</v>
      </c>
      <c r="M60" s="666" t="s">
        <v>1206</v>
      </c>
      <c r="N60" s="668"/>
      <c r="O60" s="668"/>
      <c r="P60" s="668"/>
      <c r="Q60" s="668"/>
      <c r="R60" s="252"/>
      <c r="S60" s="668" t="s">
        <v>822</v>
      </c>
      <c r="T60" s="668" t="s">
        <v>863</v>
      </c>
      <c r="U60" s="243" t="s">
        <v>1206</v>
      </c>
      <c r="V60" s="670"/>
      <c r="W60" s="668"/>
      <c r="X60" s="667" t="s">
        <v>863</v>
      </c>
      <c r="Y60" s="667"/>
      <c r="Z60" s="232"/>
      <c r="AA60" s="671"/>
      <c r="AB60" s="668"/>
      <c r="AC60" s="672"/>
      <c r="AD60" s="668"/>
      <c r="AE60" s="670">
        <v>1</v>
      </c>
      <c r="AF60" s="670">
        <v>1</v>
      </c>
    </row>
    <row r="61" spans="1:1015" s="224" customFormat="1" ht="13.5" customHeight="1">
      <c r="A61" s="225">
        <v>54</v>
      </c>
      <c r="B61" s="217"/>
      <c r="C61" s="217"/>
      <c r="D61" s="217"/>
      <c r="E61" s="217"/>
      <c r="F61" s="217"/>
      <c r="G61" s="217" t="s">
        <v>1207</v>
      </c>
      <c r="H61" s="217"/>
      <c r="I61" s="217"/>
      <c r="J61" s="668" t="s">
        <v>1208</v>
      </c>
      <c r="K61" s="666" t="s">
        <v>1209</v>
      </c>
      <c r="L61" s="668" t="s">
        <v>907</v>
      </c>
      <c r="M61" s="666" t="s">
        <v>938</v>
      </c>
      <c r="N61" s="668"/>
      <c r="O61" s="668"/>
      <c r="P61" s="668"/>
      <c r="Q61" s="668"/>
      <c r="R61" s="252"/>
      <c r="S61" s="668" t="s">
        <v>819</v>
      </c>
      <c r="T61" s="668"/>
      <c r="U61" s="668" t="s">
        <v>862</v>
      </c>
      <c r="V61" s="670" t="s">
        <v>863</v>
      </c>
      <c r="W61" s="668" t="s">
        <v>1210</v>
      </c>
      <c r="X61" s="667" t="s">
        <v>863</v>
      </c>
      <c r="Y61" s="667"/>
      <c r="Z61" s="232"/>
      <c r="AA61" s="671"/>
      <c r="AB61" s="668"/>
      <c r="AC61" s="672"/>
      <c r="AD61" s="668"/>
      <c r="AE61" s="670">
        <v>1</v>
      </c>
      <c r="AF61" s="670">
        <v>1</v>
      </c>
    </row>
    <row r="62" spans="1:1015" s="224" customFormat="1" ht="13.5" customHeight="1">
      <c r="A62" s="225">
        <v>55</v>
      </c>
      <c r="B62" s="217"/>
      <c r="C62" s="217"/>
      <c r="D62" s="217"/>
      <c r="E62" s="217"/>
      <c r="F62" s="217"/>
      <c r="G62" s="217" t="s">
        <v>1211</v>
      </c>
      <c r="H62" s="217"/>
      <c r="I62" s="217"/>
      <c r="J62" s="668" t="s">
        <v>1212</v>
      </c>
      <c r="K62" s="666" t="s">
        <v>1213</v>
      </c>
      <c r="L62" s="668" t="s">
        <v>969</v>
      </c>
      <c r="M62" s="666" t="s">
        <v>969</v>
      </c>
      <c r="N62" s="668"/>
      <c r="O62" s="668"/>
      <c r="P62" s="668"/>
      <c r="Q62" s="668"/>
      <c r="R62" s="252"/>
      <c r="S62" s="668" t="s">
        <v>819</v>
      </c>
      <c r="T62" s="668"/>
      <c r="U62" s="668" t="s">
        <v>862</v>
      </c>
      <c r="V62" s="670" t="s">
        <v>863</v>
      </c>
      <c r="W62" s="668" t="s">
        <v>1214</v>
      </c>
      <c r="X62" s="667" t="s">
        <v>863</v>
      </c>
      <c r="Y62" s="667"/>
      <c r="Z62" s="232"/>
      <c r="AA62" s="671"/>
      <c r="AB62" s="668"/>
      <c r="AC62" s="672"/>
      <c r="AD62" s="668"/>
      <c r="AE62" s="670">
        <v>1</v>
      </c>
      <c r="AF62" s="670">
        <v>1</v>
      </c>
    </row>
    <row r="63" spans="1:1015" s="231" customFormat="1" ht="12.95" customHeight="1">
      <c r="A63" s="225">
        <v>56</v>
      </c>
      <c r="B63" s="217"/>
      <c r="C63" s="217"/>
      <c r="D63" s="217"/>
      <c r="E63" s="217"/>
      <c r="F63" s="217"/>
      <c r="G63" s="217" t="s">
        <v>1076</v>
      </c>
      <c r="H63" s="217"/>
      <c r="I63" s="217"/>
      <c r="J63" s="668" t="s">
        <v>1215</v>
      </c>
      <c r="K63" s="666" t="s">
        <v>1216</v>
      </c>
      <c r="L63" s="668" t="s">
        <v>1217</v>
      </c>
      <c r="M63" s="666" t="s">
        <v>1218</v>
      </c>
      <c r="N63" s="668"/>
      <c r="O63" s="668"/>
      <c r="P63" s="668"/>
      <c r="Q63" s="668"/>
      <c r="R63" s="252"/>
      <c r="S63" s="668" t="s">
        <v>819</v>
      </c>
      <c r="T63" s="668"/>
      <c r="U63" s="678" t="s">
        <v>862</v>
      </c>
      <c r="V63" s="281"/>
      <c r="W63" s="668"/>
      <c r="X63" s="667" t="s">
        <v>863</v>
      </c>
      <c r="Y63" s="667"/>
      <c r="Z63" s="232"/>
      <c r="AA63" s="671"/>
      <c r="AB63" s="668"/>
      <c r="AC63" s="672"/>
      <c r="AD63" s="668"/>
      <c r="AE63" s="670">
        <v>1</v>
      </c>
      <c r="AF63" s="670">
        <v>1</v>
      </c>
      <c r="AG63" s="676"/>
      <c r="AH63" s="676"/>
      <c r="AI63" s="676"/>
      <c r="AJ63" s="676"/>
      <c r="AK63" s="676"/>
      <c r="AL63" s="676"/>
      <c r="AM63" s="676"/>
      <c r="AN63" s="676"/>
      <c r="AO63" s="676"/>
      <c r="AP63" s="676"/>
      <c r="AQ63" s="676"/>
      <c r="AR63" s="676"/>
      <c r="AS63" s="676"/>
      <c r="AT63" s="676"/>
      <c r="AU63" s="676"/>
      <c r="AV63" s="676"/>
      <c r="AW63" s="676"/>
      <c r="AX63" s="676"/>
      <c r="AY63" s="676"/>
      <c r="AZ63" s="676"/>
      <c r="BA63" s="676"/>
      <c r="BB63" s="676"/>
      <c r="BC63" s="676"/>
      <c r="BD63" s="676"/>
      <c r="BE63" s="676"/>
      <c r="BF63" s="676"/>
      <c r="BG63" s="676"/>
      <c r="BH63" s="676"/>
      <c r="BI63" s="676"/>
      <c r="BJ63" s="676"/>
      <c r="BK63" s="676"/>
      <c r="BL63" s="676"/>
      <c r="BM63" s="676"/>
      <c r="BN63" s="676"/>
      <c r="BO63" s="676"/>
      <c r="BP63" s="676"/>
      <c r="BQ63" s="676"/>
      <c r="BR63" s="676"/>
      <c r="BS63" s="676"/>
      <c r="BT63" s="676"/>
      <c r="BU63" s="676"/>
      <c r="BV63" s="676"/>
      <c r="BW63" s="676"/>
      <c r="BX63" s="676"/>
      <c r="BY63" s="676"/>
      <c r="BZ63" s="676"/>
      <c r="CA63" s="676"/>
      <c r="CB63" s="676"/>
      <c r="CC63" s="676"/>
      <c r="CD63" s="676"/>
      <c r="CE63" s="676"/>
      <c r="CF63" s="676"/>
      <c r="CG63" s="676"/>
      <c r="CH63" s="676"/>
      <c r="CI63" s="676"/>
      <c r="CJ63" s="676"/>
      <c r="CK63" s="676"/>
      <c r="CL63" s="676"/>
      <c r="CM63" s="676"/>
      <c r="CN63" s="676"/>
      <c r="CO63" s="676"/>
      <c r="CP63" s="676"/>
      <c r="CQ63" s="676"/>
      <c r="CR63" s="676"/>
      <c r="CS63" s="676"/>
      <c r="CT63" s="676"/>
      <c r="CU63" s="676"/>
      <c r="CV63" s="676"/>
      <c r="CW63" s="676"/>
      <c r="CX63" s="676"/>
      <c r="CY63" s="676"/>
      <c r="CZ63" s="676"/>
      <c r="DA63" s="676"/>
      <c r="DB63" s="676"/>
      <c r="DC63" s="676"/>
      <c r="DD63" s="676"/>
      <c r="DE63" s="676"/>
      <c r="DF63" s="676"/>
      <c r="DG63" s="676"/>
      <c r="DH63" s="676"/>
      <c r="DI63" s="676"/>
      <c r="DJ63" s="676"/>
      <c r="DK63" s="676"/>
      <c r="DL63" s="676"/>
      <c r="DM63" s="676"/>
      <c r="DN63" s="676"/>
      <c r="DO63" s="676"/>
      <c r="DP63" s="676"/>
      <c r="DQ63" s="676"/>
      <c r="DR63" s="676"/>
      <c r="DS63" s="676"/>
      <c r="DT63" s="676"/>
      <c r="DU63" s="676"/>
      <c r="DV63" s="676"/>
      <c r="DW63" s="676"/>
      <c r="DX63" s="676"/>
      <c r="DY63" s="676"/>
      <c r="DZ63" s="676"/>
      <c r="EA63" s="676"/>
      <c r="EB63" s="676"/>
      <c r="EC63" s="676"/>
      <c r="ED63" s="676"/>
      <c r="EE63" s="676"/>
      <c r="EF63" s="676"/>
      <c r="EG63" s="676"/>
      <c r="EH63" s="676"/>
      <c r="EI63" s="676"/>
      <c r="EJ63" s="676"/>
      <c r="EK63" s="676"/>
      <c r="EL63" s="676"/>
      <c r="EM63" s="676"/>
      <c r="EN63" s="676"/>
      <c r="EO63" s="676"/>
      <c r="EP63" s="676"/>
      <c r="EQ63" s="676"/>
      <c r="ER63" s="676"/>
      <c r="ES63" s="676"/>
      <c r="ET63" s="676"/>
      <c r="EU63" s="676"/>
      <c r="EV63" s="676"/>
      <c r="EW63" s="676"/>
      <c r="EX63" s="676"/>
      <c r="EY63" s="676"/>
      <c r="EZ63" s="676"/>
      <c r="FA63" s="676"/>
      <c r="FB63" s="676"/>
      <c r="FC63" s="676"/>
      <c r="FD63" s="676"/>
      <c r="FE63" s="676"/>
      <c r="FF63" s="676"/>
      <c r="FG63" s="676"/>
      <c r="FH63" s="676"/>
      <c r="FI63" s="676"/>
      <c r="FJ63" s="676"/>
      <c r="FK63" s="676"/>
      <c r="FL63" s="676"/>
      <c r="FM63" s="676"/>
      <c r="FN63" s="676"/>
      <c r="FO63" s="676"/>
      <c r="FP63" s="676"/>
      <c r="FQ63" s="676"/>
      <c r="FR63" s="676"/>
      <c r="FS63" s="676"/>
      <c r="FT63" s="676"/>
      <c r="FU63" s="676"/>
      <c r="FV63" s="676"/>
      <c r="FW63" s="676"/>
      <c r="FX63" s="676"/>
      <c r="FY63" s="676"/>
      <c r="FZ63" s="676"/>
      <c r="GA63" s="676"/>
      <c r="GB63" s="676"/>
      <c r="GC63" s="676"/>
      <c r="GD63" s="676"/>
      <c r="GE63" s="676"/>
      <c r="GF63" s="676"/>
      <c r="GG63" s="676"/>
      <c r="GH63" s="676"/>
      <c r="GI63" s="676"/>
      <c r="GJ63" s="676"/>
      <c r="GK63" s="676"/>
      <c r="GL63" s="676"/>
      <c r="GM63" s="676"/>
      <c r="GN63" s="676"/>
      <c r="GO63" s="676"/>
      <c r="GP63" s="676"/>
      <c r="GQ63" s="676"/>
      <c r="GR63" s="676"/>
      <c r="GS63" s="676"/>
      <c r="GT63" s="676"/>
      <c r="GU63" s="676"/>
      <c r="GV63" s="676"/>
      <c r="GW63" s="676"/>
      <c r="GX63" s="676"/>
      <c r="GY63" s="676"/>
      <c r="GZ63" s="676"/>
      <c r="HA63" s="676"/>
      <c r="HB63" s="676"/>
      <c r="HC63" s="676"/>
      <c r="HD63" s="676"/>
      <c r="HE63" s="676"/>
      <c r="HF63" s="676"/>
      <c r="HG63" s="676"/>
      <c r="HH63" s="676"/>
      <c r="HI63" s="676"/>
      <c r="HJ63" s="676"/>
      <c r="HK63" s="676"/>
      <c r="HL63" s="676"/>
      <c r="HM63" s="676"/>
      <c r="HN63" s="676"/>
      <c r="HO63" s="676"/>
      <c r="HP63" s="676"/>
      <c r="HQ63" s="676"/>
      <c r="HR63" s="676"/>
      <c r="HS63" s="676"/>
      <c r="HT63" s="676"/>
      <c r="HU63" s="676"/>
      <c r="HV63" s="676"/>
      <c r="HW63" s="676"/>
      <c r="HX63" s="676"/>
      <c r="HY63" s="676"/>
      <c r="HZ63" s="676"/>
      <c r="IA63" s="676"/>
      <c r="IB63" s="676"/>
      <c r="IC63" s="676"/>
      <c r="ID63" s="676"/>
      <c r="IE63" s="676"/>
      <c r="IF63" s="676"/>
      <c r="IG63" s="676"/>
      <c r="IH63" s="676"/>
      <c r="II63" s="676"/>
      <c r="IJ63" s="676"/>
      <c r="IK63" s="676"/>
      <c r="IL63" s="676"/>
      <c r="IM63" s="676"/>
      <c r="IN63" s="676"/>
      <c r="IO63" s="676"/>
      <c r="IP63" s="676"/>
      <c r="IQ63" s="676"/>
      <c r="IR63" s="676"/>
      <c r="IS63" s="676"/>
      <c r="IT63" s="676"/>
      <c r="IU63" s="676"/>
      <c r="IV63" s="676"/>
      <c r="IW63" s="676"/>
      <c r="IX63" s="676"/>
      <c r="IY63" s="676"/>
      <c r="IZ63" s="676"/>
      <c r="JA63" s="676"/>
      <c r="JB63" s="676"/>
      <c r="JC63" s="676"/>
      <c r="JD63" s="676"/>
      <c r="JE63" s="676"/>
      <c r="JF63" s="676"/>
      <c r="JG63" s="676"/>
      <c r="JH63" s="676"/>
      <c r="JI63" s="676"/>
      <c r="JJ63" s="676"/>
      <c r="JK63" s="676"/>
      <c r="JL63" s="676"/>
      <c r="JM63" s="676"/>
      <c r="JN63" s="676"/>
      <c r="JO63" s="676"/>
      <c r="JP63" s="676"/>
      <c r="JQ63" s="676"/>
      <c r="JR63" s="676"/>
      <c r="JS63" s="676"/>
      <c r="JT63" s="676"/>
      <c r="JU63" s="676"/>
      <c r="JV63" s="676"/>
      <c r="JW63" s="676"/>
      <c r="JX63" s="676"/>
      <c r="JY63" s="676"/>
      <c r="JZ63" s="676"/>
      <c r="KA63" s="676"/>
      <c r="KB63" s="676"/>
      <c r="KC63" s="676"/>
      <c r="KD63" s="676"/>
      <c r="KE63" s="676"/>
      <c r="KF63" s="676"/>
      <c r="KG63" s="676"/>
      <c r="KH63" s="676"/>
      <c r="KI63" s="676"/>
      <c r="KJ63" s="676"/>
      <c r="KK63" s="676"/>
      <c r="KL63" s="676"/>
      <c r="KM63" s="676"/>
      <c r="KN63" s="676"/>
      <c r="KO63" s="676"/>
      <c r="KP63" s="676"/>
      <c r="KQ63" s="676"/>
      <c r="KR63" s="676"/>
      <c r="KS63" s="676"/>
      <c r="KT63" s="676"/>
      <c r="KU63" s="676"/>
      <c r="KV63" s="676"/>
      <c r="KW63" s="676"/>
      <c r="KX63" s="676"/>
      <c r="KY63" s="676"/>
      <c r="KZ63" s="676"/>
      <c r="LA63" s="676"/>
      <c r="LB63" s="676"/>
      <c r="LC63" s="676"/>
      <c r="LD63" s="676"/>
      <c r="LE63" s="676"/>
      <c r="LF63" s="676"/>
      <c r="LG63" s="676"/>
      <c r="LH63" s="676"/>
      <c r="LI63" s="676"/>
      <c r="LJ63" s="676"/>
      <c r="LK63" s="676"/>
      <c r="LL63" s="676"/>
      <c r="LM63" s="676"/>
      <c r="LN63" s="676"/>
      <c r="LO63" s="676"/>
      <c r="LP63" s="676"/>
      <c r="LQ63" s="676"/>
      <c r="LR63" s="676"/>
      <c r="LS63" s="676"/>
      <c r="LT63" s="676"/>
      <c r="LU63" s="676"/>
      <c r="LV63" s="676"/>
      <c r="LW63" s="676"/>
      <c r="LX63" s="676"/>
      <c r="LY63" s="676"/>
      <c r="LZ63" s="676"/>
      <c r="MA63" s="676"/>
      <c r="MB63" s="676"/>
      <c r="MC63" s="676"/>
      <c r="MD63" s="676"/>
      <c r="ME63" s="676"/>
      <c r="MF63" s="676"/>
      <c r="MG63" s="676"/>
      <c r="MH63" s="676"/>
      <c r="MI63" s="676"/>
      <c r="MJ63" s="676"/>
      <c r="MK63" s="676"/>
      <c r="ML63" s="676"/>
      <c r="MM63" s="676"/>
      <c r="MN63" s="676"/>
      <c r="MO63" s="676"/>
      <c r="MP63" s="676"/>
      <c r="MQ63" s="676"/>
      <c r="MR63" s="676"/>
      <c r="MS63" s="676"/>
      <c r="MT63" s="676"/>
      <c r="MU63" s="676"/>
      <c r="MV63" s="676"/>
      <c r="MW63" s="676"/>
      <c r="MX63" s="676"/>
      <c r="MY63" s="676"/>
      <c r="MZ63" s="676"/>
      <c r="NA63" s="676"/>
      <c r="NB63" s="676"/>
      <c r="NC63" s="676"/>
      <c r="ND63" s="676"/>
      <c r="NE63" s="676"/>
      <c r="NF63" s="676"/>
      <c r="NG63" s="676"/>
      <c r="NH63" s="676"/>
      <c r="NI63" s="676"/>
      <c r="NJ63" s="676"/>
      <c r="NK63" s="676"/>
      <c r="NL63" s="676"/>
      <c r="NM63" s="676"/>
      <c r="NN63" s="676"/>
      <c r="NO63" s="676"/>
      <c r="NP63" s="676"/>
      <c r="NQ63" s="676"/>
      <c r="NR63" s="676"/>
      <c r="NS63" s="676"/>
      <c r="NT63" s="676"/>
      <c r="NU63" s="676"/>
      <c r="NV63" s="676"/>
      <c r="NW63" s="676"/>
      <c r="NX63" s="676"/>
      <c r="NY63" s="676"/>
      <c r="NZ63" s="676"/>
      <c r="OA63" s="676"/>
      <c r="OB63" s="676"/>
      <c r="OC63" s="676"/>
      <c r="OD63" s="676"/>
      <c r="OE63" s="676"/>
      <c r="OF63" s="676"/>
      <c r="OG63" s="676"/>
      <c r="OH63" s="676"/>
      <c r="OI63" s="676"/>
      <c r="OJ63" s="676"/>
      <c r="OK63" s="676"/>
      <c r="OL63" s="676"/>
      <c r="OM63" s="676"/>
      <c r="ON63" s="676"/>
      <c r="OO63" s="676"/>
      <c r="OP63" s="676"/>
      <c r="OQ63" s="676"/>
      <c r="OR63" s="676"/>
      <c r="OS63" s="676"/>
      <c r="OT63" s="676"/>
      <c r="OU63" s="676"/>
      <c r="OV63" s="676"/>
      <c r="OW63" s="676"/>
      <c r="OX63" s="676"/>
      <c r="OY63" s="676"/>
      <c r="OZ63" s="676"/>
      <c r="PA63" s="676"/>
      <c r="PB63" s="676"/>
      <c r="PC63" s="676"/>
      <c r="PD63" s="676"/>
      <c r="PE63" s="676"/>
      <c r="PF63" s="676"/>
      <c r="PG63" s="676"/>
      <c r="PH63" s="676"/>
      <c r="PI63" s="676"/>
      <c r="PJ63" s="676"/>
      <c r="PK63" s="676"/>
      <c r="PL63" s="676"/>
      <c r="PM63" s="676"/>
      <c r="PN63" s="676"/>
      <c r="PO63" s="676"/>
      <c r="PP63" s="676"/>
      <c r="PQ63" s="676"/>
      <c r="PR63" s="676"/>
      <c r="PS63" s="676"/>
      <c r="PT63" s="676"/>
      <c r="PU63" s="676"/>
      <c r="PV63" s="676"/>
      <c r="PW63" s="676"/>
      <c r="PX63" s="676"/>
      <c r="PY63" s="676"/>
      <c r="PZ63" s="676"/>
      <c r="QA63" s="676"/>
      <c r="QB63" s="676"/>
      <c r="QC63" s="676"/>
      <c r="QD63" s="676"/>
      <c r="QE63" s="676"/>
      <c r="QF63" s="676"/>
      <c r="QG63" s="676"/>
      <c r="QH63" s="676"/>
      <c r="QI63" s="676"/>
      <c r="QJ63" s="676"/>
      <c r="QK63" s="676"/>
      <c r="QL63" s="676"/>
      <c r="QM63" s="676"/>
      <c r="QN63" s="676"/>
      <c r="QO63" s="676"/>
      <c r="QP63" s="676"/>
      <c r="QQ63" s="676"/>
      <c r="QR63" s="676"/>
      <c r="QS63" s="676"/>
      <c r="QT63" s="676"/>
      <c r="QU63" s="676"/>
      <c r="QV63" s="676"/>
      <c r="QW63" s="676"/>
      <c r="QX63" s="676"/>
      <c r="QY63" s="676"/>
      <c r="QZ63" s="676"/>
      <c r="RA63" s="676"/>
      <c r="RB63" s="676"/>
      <c r="RC63" s="676"/>
      <c r="RD63" s="676"/>
      <c r="RE63" s="676"/>
      <c r="RF63" s="676"/>
      <c r="RG63" s="676"/>
      <c r="RH63" s="676"/>
      <c r="RI63" s="676"/>
      <c r="RJ63" s="676"/>
      <c r="RK63" s="676"/>
      <c r="RL63" s="676"/>
      <c r="RM63" s="676"/>
      <c r="RN63" s="676"/>
      <c r="RO63" s="676"/>
      <c r="RP63" s="676"/>
      <c r="RQ63" s="676"/>
      <c r="RR63" s="676"/>
      <c r="RS63" s="676"/>
      <c r="RT63" s="676"/>
      <c r="RU63" s="676"/>
      <c r="RV63" s="676"/>
      <c r="RW63" s="676"/>
      <c r="RX63" s="676"/>
      <c r="RY63" s="676"/>
      <c r="RZ63" s="676"/>
      <c r="SA63" s="676"/>
      <c r="SB63" s="676"/>
      <c r="SC63" s="676"/>
      <c r="SD63" s="676"/>
      <c r="SE63" s="676"/>
      <c r="SF63" s="676"/>
      <c r="SG63" s="676"/>
      <c r="SH63" s="676"/>
      <c r="SI63" s="676"/>
      <c r="SJ63" s="676"/>
      <c r="SK63" s="676"/>
      <c r="SL63" s="676"/>
      <c r="SM63" s="676"/>
      <c r="SN63" s="676"/>
      <c r="SO63" s="676"/>
      <c r="SP63" s="676"/>
      <c r="SQ63" s="676"/>
      <c r="SR63" s="676"/>
      <c r="SS63" s="676"/>
      <c r="ST63" s="676"/>
      <c r="SU63" s="676"/>
      <c r="SV63" s="676"/>
      <c r="SW63" s="676"/>
      <c r="SX63" s="676"/>
      <c r="SY63" s="676"/>
      <c r="SZ63" s="676"/>
      <c r="TA63" s="676"/>
      <c r="TB63" s="676"/>
      <c r="TC63" s="676"/>
      <c r="TD63" s="676"/>
      <c r="TE63" s="676"/>
      <c r="TF63" s="676"/>
      <c r="TG63" s="676"/>
      <c r="TH63" s="676"/>
      <c r="TI63" s="676"/>
      <c r="TJ63" s="676"/>
      <c r="TK63" s="676"/>
      <c r="TL63" s="676"/>
      <c r="TM63" s="676"/>
      <c r="TN63" s="676"/>
      <c r="TO63" s="676"/>
      <c r="TP63" s="676"/>
      <c r="TQ63" s="676"/>
      <c r="TR63" s="676"/>
      <c r="TS63" s="676"/>
      <c r="TT63" s="676"/>
      <c r="TU63" s="676"/>
      <c r="TV63" s="676"/>
      <c r="TW63" s="676"/>
      <c r="TX63" s="676"/>
      <c r="TY63" s="676"/>
      <c r="TZ63" s="676"/>
      <c r="UA63" s="676"/>
      <c r="UB63" s="676"/>
      <c r="UC63" s="676"/>
      <c r="UD63" s="676"/>
      <c r="UE63" s="676"/>
      <c r="UF63" s="676"/>
      <c r="UG63" s="676"/>
      <c r="UH63" s="676"/>
      <c r="UI63" s="676"/>
      <c r="UJ63" s="676"/>
      <c r="UK63" s="676"/>
      <c r="UL63" s="676"/>
      <c r="UM63" s="676"/>
      <c r="UN63" s="676"/>
      <c r="UO63" s="676"/>
      <c r="UP63" s="676"/>
      <c r="UQ63" s="676"/>
      <c r="UR63" s="676"/>
      <c r="US63" s="676"/>
      <c r="UT63" s="676"/>
      <c r="UU63" s="676"/>
      <c r="UV63" s="676"/>
      <c r="UW63" s="676"/>
      <c r="UX63" s="676"/>
      <c r="UY63" s="676"/>
      <c r="UZ63" s="676"/>
      <c r="VA63" s="676"/>
      <c r="VB63" s="676"/>
      <c r="VC63" s="676"/>
      <c r="VD63" s="676"/>
      <c r="VE63" s="676"/>
      <c r="VF63" s="676"/>
      <c r="VG63" s="676"/>
      <c r="VH63" s="676"/>
      <c r="VI63" s="676"/>
      <c r="VJ63" s="676"/>
      <c r="VK63" s="676"/>
      <c r="VL63" s="676"/>
      <c r="VM63" s="676"/>
      <c r="VN63" s="676"/>
      <c r="VO63" s="676"/>
      <c r="VP63" s="676"/>
      <c r="VQ63" s="676"/>
      <c r="VR63" s="676"/>
      <c r="VS63" s="676"/>
      <c r="VT63" s="676"/>
      <c r="VU63" s="676"/>
      <c r="VV63" s="676"/>
      <c r="VW63" s="676"/>
      <c r="VX63" s="676"/>
      <c r="VY63" s="676"/>
      <c r="VZ63" s="676"/>
      <c r="WA63" s="676"/>
      <c r="WB63" s="676"/>
      <c r="WC63" s="676"/>
      <c r="WD63" s="676"/>
      <c r="WE63" s="676"/>
      <c r="WF63" s="676"/>
      <c r="WG63" s="676"/>
      <c r="WH63" s="676"/>
      <c r="WI63" s="676"/>
      <c r="WJ63" s="676"/>
      <c r="WK63" s="676"/>
      <c r="WL63" s="676"/>
      <c r="WM63" s="676"/>
      <c r="WN63" s="676"/>
      <c r="WO63" s="676"/>
      <c r="WP63" s="676"/>
      <c r="WQ63" s="676"/>
      <c r="WR63" s="676"/>
      <c r="WS63" s="676"/>
      <c r="WT63" s="676"/>
      <c r="WU63" s="676"/>
      <c r="WV63" s="676"/>
      <c r="WW63" s="676"/>
      <c r="WX63" s="676"/>
      <c r="WY63" s="676"/>
      <c r="WZ63" s="676"/>
      <c r="XA63" s="676"/>
      <c r="XB63" s="676"/>
      <c r="XC63" s="676"/>
      <c r="XD63" s="676"/>
      <c r="XE63" s="676"/>
      <c r="XF63" s="676"/>
      <c r="XG63" s="676"/>
      <c r="XH63" s="676"/>
      <c r="XI63" s="676"/>
      <c r="XJ63" s="676"/>
      <c r="XK63" s="676"/>
      <c r="XL63" s="676"/>
      <c r="XM63" s="676"/>
      <c r="XN63" s="676"/>
      <c r="XO63" s="676"/>
      <c r="XP63" s="676"/>
      <c r="XQ63" s="676"/>
      <c r="XR63" s="676"/>
      <c r="XS63" s="676"/>
      <c r="XT63" s="676"/>
      <c r="XU63" s="676"/>
      <c r="XV63" s="676"/>
      <c r="XW63" s="676"/>
      <c r="XX63" s="676"/>
      <c r="XY63" s="676"/>
      <c r="XZ63" s="676"/>
      <c r="YA63" s="676"/>
      <c r="YB63" s="676"/>
      <c r="YC63" s="676"/>
      <c r="YD63" s="676"/>
      <c r="YE63" s="676"/>
      <c r="YF63" s="676"/>
      <c r="YG63" s="676"/>
      <c r="YH63" s="676"/>
      <c r="YI63" s="676"/>
      <c r="YJ63" s="676"/>
      <c r="YK63" s="676"/>
      <c r="YL63" s="676"/>
      <c r="YM63" s="676"/>
      <c r="YN63" s="676"/>
      <c r="YO63" s="676"/>
      <c r="YP63" s="676"/>
      <c r="YQ63" s="676"/>
      <c r="YR63" s="676"/>
      <c r="YS63" s="676"/>
      <c r="YT63" s="676"/>
      <c r="YU63" s="676"/>
      <c r="YV63" s="676"/>
      <c r="YW63" s="676"/>
      <c r="YX63" s="676"/>
      <c r="YY63" s="676"/>
      <c r="YZ63" s="676"/>
      <c r="ZA63" s="676"/>
      <c r="ZB63" s="676"/>
      <c r="ZC63" s="676"/>
      <c r="ZD63" s="676"/>
      <c r="ZE63" s="676"/>
      <c r="ZF63" s="676"/>
      <c r="ZG63" s="676"/>
      <c r="ZH63" s="676"/>
      <c r="ZI63" s="676"/>
      <c r="ZJ63" s="676"/>
      <c r="ZK63" s="676"/>
      <c r="ZL63" s="676"/>
      <c r="ZM63" s="676"/>
      <c r="ZN63" s="676"/>
      <c r="ZO63" s="676"/>
      <c r="ZP63" s="676"/>
      <c r="ZQ63" s="676"/>
      <c r="ZR63" s="676"/>
      <c r="ZS63" s="676"/>
      <c r="ZT63" s="676"/>
      <c r="ZU63" s="676"/>
      <c r="ZV63" s="676"/>
      <c r="ZW63" s="676"/>
      <c r="ZX63" s="676"/>
      <c r="ZY63" s="676"/>
      <c r="ZZ63" s="676"/>
      <c r="AAA63" s="676"/>
      <c r="AAB63" s="676"/>
      <c r="AAC63" s="676"/>
      <c r="AAD63" s="676"/>
      <c r="AAE63" s="676"/>
      <c r="AAF63" s="676"/>
      <c r="AAG63" s="676"/>
      <c r="AAH63" s="676"/>
      <c r="AAI63" s="676"/>
      <c r="AAJ63" s="676"/>
      <c r="AAK63" s="676"/>
      <c r="AAL63" s="676"/>
      <c r="AAM63" s="676"/>
      <c r="AAN63" s="676"/>
      <c r="AAO63" s="676"/>
      <c r="AAP63" s="676"/>
      <c r="AAQ63" s="676"/>
      <c r="AAR63" s="676"/>
      <c r="AAS63" s="676"/>
      <c r="AAT63" s="676"/>
      <c r="AAU63" s="676"/>
      <c r="AAV63" s="676"/>
      <c r="AAW63" s="676"/>
      <c r="AAX63" s="676"/>
      <c r="AAY63" s="676"/>
      <c r="AAZ63" s="676"/>
      <c r="ABA63" s="676"/>
      <c r="ABB63" s="676"/>
      <c r="ABC63" s="676"/>
      <c r="ABD63" s="676"/>
      <c r="ABE63" s="676"/>
      <c r="ABF63" s="676"/>
      <c r="ABG63" s="676"/>
      <c r="ABH63" s="676"/>
      <c r="ABI63" s="676"/>
      <c r="ABJ63" s="676"/>
      <c r="ABK63" s="676"/>
      <c r="ABL63" s="676"/>
      <c r="ABM63" s="676"/>
      <c r="ABN63" s="676"/>
      <c r="ABO63" s="676"/>
      <c r="ABP63" s="676"/>
      <c r="ABQ63" s="676"/>
      <c r="ABR63" s="676"/>
      <c r="ABS63" s="676"/>
      <c r="ABT63" s="676"/>
      <c r="ABU63" s="676"/>
      <c r="ABV63" s="676"/>
      <c r="ABW63" s="676"/>
      <c r="ABX63" s="676"/>
      <c r="ABY63" s="676"/>
      <c r="ABZ63" s="676"/>
      <c r="ACA63" s="676"/>
      <c r="ACB63" s="676"/>
      <c r="ACC63" s="676"/>
      <c r="ACD63" s="676"/>
      <c r="ACE63" s="676"/>
      <c r="ACF63" s="676"/>
      <c r="ACG63" s="676"/>
      <c r="ACH63" s="676"/>
      <c r="ACI63" s="676"/>
      <c r="ACJ63" s="676"/>
      <c r="ACK63" s="676"/>
      <c r="ACL63" s="676"/>
      <c r="ACM63" s="676"/>
      <c r="ACN63" s="676"/>
      <c r="ACO63" s="676"/>
      <c r="ACP63" s="676"/>
      <c r="ACQ63" s="676"/>
      <c r="ACR63" s="676"/>
      <c r="ACS63" s="676"/>
      <c r="ACT63" s="676"/>
      <c r="ACU63" s="676"/>
      <c r="ACV63" s="676"/>
      <c r="ACW63" s="676"/>
      <c r="ACX63" s="676"/>
      <c r="ACY63" s="676"/>
      <c r="ACZ63" s="676"/>
      <c r="ADA63" s="676"/>
      <c r="ADB63" s="676"/>
      <c r="ADC63" s="676"/>
      <c r="ADD63" s="676"/>
      <c r="ADE63" s="676"/>
      <c r="ADF63" s="676"/>
      <c r="ADG63" s="676"/>
      <c r="ADH63" s="676"/>
      <c r="ADI63" s="676"/>
      <c r="ADJ63" s="676"/>
      <c r="ADK63" s="676"/>
      <c r="ADL63" s="676"/>
      <c r="ADM63" s="676"/>
      <c r="ADN63" s="676"/>
      <c r="ADO63" s="676"/>
      <c r="ADP63" s="676"/>
      <c r="ADQ63" s="676"/>
      <c r="ADR63" s="676"/>
      <c r="ADS63" s="676"/>
      <c r="ADT63" s="676"/>
      <c r="ADU63" s="676"/>
      <c r="ADV63" s="676"/>
      <c r="ADW63" s="676"/>
      <c r="ADX63" s="676"/>
      <c r="ADY63" s="676"/>
      <c r="ADZ63" s="676"/>
      <c r="AEA63" s="676"/>
      <c r="AEB63" s="676"/>
      <c r="AEC63" s="676"/>
      <c r="AED63" s="676"/>
      <c r="AEE63" s="676"/>
      <c r="AEF63" s="676"/>
      <c r="AEG63" s="676"/>
      <c r="AEH63" s="676"/>
      <c r="AEI63" s="676"/>
      <c r="AEJ63" s="676"/>
      <c r="AEK63" s="676"/>
      <c r="AEL63" s="676"/>
      <c r="AEM63" s="676"/>
      <c r="AEN63" s="676"/>
      <c r="AEO63" s="676"/>
      <c r="AEP63" s="676"/>
      <c r="AEQ63" s="676"/>
      <c r="AER63" s="676"/>
      <c r="AES63" s="676"/>
      <c r="AET63" s="676"/>
      <c r="AEU63" s="676"/>
      <c r="AEV63" s="676"/>
      <c r="AEW63" s="676"/>
      <c r="AEX63" s="676"/>
      <c r="AEY63" s="676"/>
      <c r="AEZ63" s="676"/>
      <c r="AFA63" s="676"/>
      <c r="AFB63" s="676"/>
      <c r="AFC63" s="676"/>
      <c r="AFD63" s="676"/>
      <c r="AFE63" s="676"/>
      <c r="AFF63" s="676"/>
      <c r="AFG63" s="676"/>
      <c r="AFH63" s="676"/>
      <c r="AFI63" s="676"/>
      <c r="AFJ63" s="676"/>
      <c r="AFK63" s="676"/>
      <c r="AFL63" s="676"/>
      <c r="AFM63" s="676"/>
      <c r="AFN63" s="676"/>
      <c r="AFO63" s="676"/>
      <c r="AFP63" s="676"/>
      <c r="AFQ63" s="676"/>
      <c r="AFR63" s="676"/>
      <c r="AFS63" s="676"/>
      <c r="AFT63" s="676"/>
      <c r="AFU63" s="676"/>
      <c r="AFV63" s="676"/>
      <c r="AFW63" s="676"/>
      <c r="AFX63" s="676"/>
      <c r="AFY63" s="676"/>
      <c r="AFZ63" s="676"/>
      <c r="AGA63" s="676"/>
      <c r="AGB63" s="676"/>
      <c r="AGC63" s="676"/>
      <c r="AGD63" s="676"/>
      <c r="AGE63" s="676"/>
      <c r="AGF63" s="676"/>
      <c r="AGG63" s="676"/>
      <c r="AGH63" s="676"/>
      <c r="AGI63" s="676"/>
      <c r="AGJ63" s="676"/>
      <c r="AGK63" s="676"/>
      <c r="AGL63" s="676"/>
      <c r="AGM63" s="676"/>
      <c r="AGN63" s="676"/>
      <c r="AGO63" s="676"/>
      <c r="AGP63" s="676"/>
      <c r="AGQ63" s="676"/>
      <c r="AGR63" s="676"/>
      <c r="AGS63" s="676"/>
      <c r="AGT63" s="676"/>
      <c r="AGU63" s="676"/>
      <c r="AGV63" s="676"/>
      <c r="AGW63" s="676"/>
      <c r="AGX63" s="676"/>
      <c r="AGY63" s="676"/>
      <c r="AGZ63" s="676"/>
      <c r="AHA63" s="676"/>
      <c r="AHB63" s="676"/>
      <c r="AHC63" s="676"/>
      <c r="AHD63" s="676"/>
      <c r="AHE63" s="676"/>
      <c r="AHF63" s="676"/>
      <c r="AHG63" s="676"/>
      <c r="AHH63" s="676"/>
      <c r="AHI63" s="676"/>
      <c r="AHJ63" s="676"/>
      <c r="AHK63" s="676"/>
      <c r="AHL63" s="676"/>
      <c r="AHM63" s="676"/>
      <c r="AHN63" s="676"/>
      <c r="AHO63" s="676"/>
      <c r="AHP63" s="676"/>
      <c r="AHQ63" s="676"/>
      <c r="AHR63" s="676"/>
      <c r="AHS63" s="676"/>
      <c r="AHT63" s="676"/>
      <c r="AHU63" s="676"/>
      <c r="AHV63" s="676"/>
      <c r="AHW63" s="676"/>
      <c r="AHX63" s="676"/>
      <c r="AHY63" s="676"/>
      <c r="AHZ63" s="676"/>
      <c r="AIA63" s="676"/>
      <c r="AIB63" s="676"/>
      <c r="AIC63" s="676"/>
      <c r="AID63" s="676"/>
      <c r="AIE63" s="676"/>
      <c r="AIF63" s="676"/>
      <c r="AIG63" s="676"/>
      <c r="AIH63" s="676"/>
      <c r="AII63" s="676"/>
      <c r="AIJ63" s="676"/>
      <c r="AIK63" s="676"/>
      <c r="AIL63" s="676"/>
      <c r="AIM63" s="676"/>
      <c r="AIN63" s="676"/>
      <c r="AIO63" s="676"/>
      <c r="AIP63" s="676"/>
      <c r="AIQ63" s="676"/>
      <c r="AIR63" s="676"/>
      <c r="AIS63" s="676"/>
      <c r="AIT63" s="676"/>
      <c r="AIU63" s="676"/>
      <c r="AIV63" s="676"/>
      <c r="AIW63" s="676"/>
      <c r="AIX63" s="676"/>
      <c r="AIY63" s="676"/>
      <c r="AIZ63" s="676"/>
      <c r="AJA63" s="676"/>
      <c r="AJB63" s="676"/>
      <c r="AJC63" s="676"/>
      <c r="AJD63" s="676"/>
      <c r="AJE63" s="676"/>
      <c r="AJF63" s="676"/>
      <c r="AJG63" s="676"/>
      <c r="AJH63" s="676"/>
      <c r="AJI63" s="676"/>
      <c r="AJJ63" s="676"/>
      <c r="AJK63" s="676"/>
      <c r="AJL63" s="676"/>
      <c r="AJM63" s="676"/>
      <c r="AJN63" s="676"/>
      <c r="AJO63" s="676"/>
      <c r="AJP63" s="676"/>
      <c r="AJQ63" s="676"/>
      <c r="AJR63" s="676"/>
      <c r="AJS63" s="676"/>
      <c r="AJT63" s="676"/>
      <c r="AJU63" s="676"/>
      <c r="AJV63" s="676"/>
      <c r="AJW63" s="676"/>
      <c r="AJX63" s="676"/>
      <c r="AJY63" s="676"/>
      <c r="AJZ63" s="676"/>
      <c r="AKA63" s="676"/>
      <c r="AKB63" s="676"/>
      <c r="AKC63" s="676"/>
      <c r="AKD63" s="676"/>
      <c r="AKE63" s="676"/>
      <c r="AKF63" s="676"/>
      <c r="AKG63" s="676"/>
      <c r="AKH63" s="676"/>
      <c r="AKI63" s="676"/>
      <c r="AKJ63" s="676"/>
      <c r="AKK63" s="676"/>
      <c r="AKL63" s="676"/>
      <c r="AKM63" s="676"/>
      <c r="AKN63" s="676"/>
      <c r="AKO63" s="676"/>
      <c r="AKP63" s="676"/>
      <c r="AKQ63" s="676"/>
      <c r="AKR63" s="676"/>
      <c r="AKS63" s="676"/>
      <c r="AKT63" s="676"/>
      <c r="AKU63" s="676"/>
      <c r="AKV63" s="676"/>
      <c r="AKW63" s="676"/>
      <c r="AKX63" s="676"/>
      <c r="AKY63" s="676"/>
      <c r="AKZ63" s="676"/>
      <c r="ALA63" s="676"/>
      <c r="ALB63" s="676"/>
      <c r="ALC63" s="676"/>
      <c r="ALD63" s="676"/>
      <c r="ALE63" s="676"/>
      <c r="ALF63" s="676"/>
      <c r="ALG63" s="676"/>
      <c r="ALH63" s="676"/>
      <c r="ALI63" s="676"/>
      <c r="ALJ63" s="676"/>
      <c r="ALK63" s="676"/>
      <c r="ALL63" s="676"/>
      <c r="ALM63" s="676"/>
      <c r="ALN63" s="676"/>
      <c r="ALO63" s="676"/>
      <c r="ALP63" s="676"/>
      <c r="ALQ63" s="676"/>
      <c r="ALR63" s="676"/>
      <c r="ALS63" s="676"/>
      <c r="ALT63" s="676"/>
      <c r="ALU63" s="676"/>
      <c r="ALV63" s="676"/>
      <c r="ALW63" s="676"/>
      <c r="ALX63" s="676"/>
      <c r="ALY63" s="676"/>
      <c r="ALZ63" s="676"/>
      <c r="AMA63" s="676"/>
    </row>
    <row r="64" spans="1:1015" s="224" customFormat="1" ht="13.5" customHeight="1">
      <c r="A64" s="225">
        <v>57</v>
      </c>
      <c r="B64" s="217"/>
      <c r="C64" s="217"/>
      <c r="D64" s="217"/>
      <c r="E64" s="217"/>
      <c r="F64" s="217" t="s">
        <v>264</v>
      </c>
      <c r="G64" s="217"/>
      <c r="H64" s="217"/>
      <c r="I64" s="217"/>
      <c r="J64" s="668"/>
      <c r="K64" s="666" t="s">
        <v>1219</v>
      </c>
      <c r="L64" s="668" t="s">
        <v>1220</v>
      </c>
      <c r="M64" s="666"/>
      <c r="N64" s="668"/>
      <c r="O64" s="668"/>
      <c r="P64" s="668"/>
      <c r="Q64" s="668"/>
      <c r="R64" s="252"/>
      <c r="S64" s="668" t="s">
        <v>819</v>
      </c>
      <c r="T64" s="668"/>
      <c r="U64" s="678" t="s">
        <v>862</v>
      </c>
      <c r="V64" s="281" t="s">
        <v>863</v>
      </c>
      <c r="W64" s="668" t="s">
        <v>1221</v>
      </c>
      <c r="X64" s="667" t="s">
        <v>863</v>
      </c>
      <c r="Y64" s="667"/>
      <c r="Z64" s="232"/>
      <c r="AA64" s="671"/>
      <c r="AB64" s="668" t="s">
        <v>1222</v>
      </c>
      <c r="AC64" s="245" t="s">
        <v>1223</v>
      </c>
      <c r="AD64" s="668"/>
      <c r="AE64" s="670"/>
      <c r="AF64" s="670">
        <v>1</v>
      </c>
    </row>
    <row r="65" spans="1:32">
      <c r="A65" s="225">
        <f>SUBTOTAL(103,createCase16[ID])</f>
        <v>55</v>
      </c>
      <c r="B65" s="224"/>
      <c r="C65" s="225">
        <f>SUBTOTAL(103,createCase16[Donnée (Niveau 2)])</f>
        <v>4</v>
      </c>
      <c r="D65" s="225">
        <f>SUBTOTAL(103,createCase16[Donnée (Niveau 3)])</f>
        <v>5</v>
      </c>
      <c r="E65" s="225">
        <f>SUBTOTAL(103,createCase16[Donnée (Niveau 4)])</f>
        <v>2</v>
      </c>
      <c r="F65" s="225">
        <f>SUBTOTAL(103,createCase16[Donnée (Niveau 5)])</f>
        <v>10</v>
      </c>
      <c r="G65" s="225">
        <f>SUBTOTAL(103,createCase16[Donnée (Niveau 6)])</f>
        <v>23</v>
      </c>
      <c r="H65" s="225"/>
      <c r="I65" s="225"/>
      <c r="J65" s="225">
        <f>SUBTOTAL(103,createCase16[Description])</f>
        <v>44</v>
      </c>
      <c r="K65" s="225">
        <f>SUBTOTAL(103,createCase16[Exemples])</f>
        <v>39</v>
      </c>
      <c r="L65" s="225">
        <f>SUBTOTAL(103,createCase16[Balise NexSIS])</f>
        <v>18</v>
      </c>
      <c r="M65" s="239">
        <f>SUBTOTAL(103,createCase16[Nouvelle balise])</f>
        <v>51</v>
      </c>
      <c r="N65" s="225">
        <f>SUBTOTAL(103,createCase16[Nantes - balise])</f>
        <v>8</v>
      </c>
      <c r="O65" s="225">
        <f>SUBTOTAL(103,createCase16[Nantes - description])</f>
        <v>8</v>
      </c>
      <c r="P65" s="225">
        <f>SUBTOTAL(103,createCase16[GT399])</f>
        <v>0</v>
      </c>
      <c r="Q65" s="225">
        <f>SUBTOTAL(103,createCase16[GT399 description])</f>
        <v>0</v>
      </c>
      <c r="R65" s="234">
        <f>SUBTOTAL(103,createCase16[Priorisation])</f>
        <v>1</v>
      </c>
      <c r="S65" s="225"/>
      <c r="T65" s="225">
        <f>SUBTOTAL(103,createCase16[Objet])</f>
        <v>12</v>
      </c>
      <c r="U65" s="225">
        <f>SUBTOTAL(103,createCase16[Format (ou type)])</f>
        <v>55</v>
      </c>
      <c r="V65" s="274"/>
      <c r="W65" s="225"/>
      <c r="X65" s="225"/>
      <c r="Y65" s="225"/>
      <c r="Z65" s="224"/>
      <c r="AA65" s="271">
        <f>SUBTOTAL(103,createCase16[Commentaire Hub Santé])</f>
        <v>6</v>
      </c>
      <c r="AB65" s="225">
        <f>SUBTOTAL(103,createCase16[Commentaire Philippe Dreyfus])</f>
        <v>4</v>
      </c>
      <c r="AC65" s="271"/>
      <c r="AD65" s="225">
        <f>SUBTOTAL(103,createCase16[Commentaire Yann Penverne])</f>
        <v>0</v>
      </c>
      <c r="AE65" s="225">
        <f>SUBTOTAL(103,createCase16[NexSIS])-COUNTIFS(createCase16[NexSIS],"=X")</f>
        <v>35</v>
      </c>
      <c r="AF65" s="225">
        <f>SUBTOTAL(103,createCase16[Métier])-COUNTIFS(createCase16[Métier],"=X")</f>
        <v>41</v>
      </c>
    </row>
    <row r="66" spans="1:32">
      <c r="A66" s="3"/>
      <c r="B66" s="3"/>
      <c r="C66" s="131"/>
      <c r="D66" s="131"/>
      <c r="E66" s="131"/>
      <c r="F66" s="131"/>
      <c r="G66" s="5"/>
      <c r="H66" s="5"/>
      <c r="I66" s="5"/>
      <c r="J66" s="155"/>
      <c r="L66" s="5"/>
      <c r="M66" s="155"/>
      <c r="N66" s="5"/>
      <c r="O66" s="5"/>
      <c r="P66" s="5"/>
      <c r="Q66" s="5"/>
      <c r="R66" s="188"/>
      <c r="S66" s="5"/>
      <c r="T66" s="5"/>
      <c r="U66" s="5"/>
      <c r="V66" s="56"/>
      <c r="W66" s="56"/>
      <c r="X66" s="56"/>
      <c r="Y66" s="56"/>
      <c r="AA66" s="178"/>
      <c r="AB66" s="5"/>
      <c r="AC66" s="225"/>
      <c r="AD66" s="56"/>
      <c r="AE66" s="128"/>
      <c r="AF66" s="56"/>
    </row>
    <row r="67" spans="1:32">
      <c r="A67" s="129"/>
      <c r="B67" s="129"/>
      <c r="C67" s="129"/>
      <c r="D67" s="129"/>
      <c r="E67" s="129"/>
      <c r="F67" s="129"/>
      <c r="AE67" s="128"/>
    </row>
    <row r="68" spans="1:32">
      <c r="G68" s="128"/>
      <c r="H68" s="128"/>
      <c r="I68" s="128"/>
      <c r="J68" s="128"/>
      <c r="K68" s="224"/>
      <c r="L68" s="128"/>
      <c r="M68" s="128"/>
      <c r="N68" s="128"/>
      <c r="O68" s="128"/>
      <c r="P68" s="128"/>
      <c r="Q68" s="128"/>
      <c r="R68" s="174"/>
      <c r="S68" s="128"/>
      <c r="AE68" s="128"/>
    </row>
    <row r="69" spans="1:32">
      <c r="G69" s="128"/>
      <c r="H69" s="128"/>
      <c r="I69" s="128"/>
      <c r="J69" s="128"/>
      <c r="K69" s="224"/>
      <c r="L69" s="128"/>
      <c r="M69" s="128"/>
      <c r="N69" s="128"/>
      <c r="O69" s="128"/>
      <c r="P69" s="128"/>
      <c r="Q69" s="128"/>
      <c r="R69" s="174"/>
      <c r="S69" s="128"/>
      <c r="AE69" s="128"/>
    </row>
    <row r="70" spans="1:32">
      <c r="G70" s="128"/>
      <c r="H70" s="128"/>
      <c r="I70" s="128"/>
      <c r="J70" s="128"/>
      <c r="K70" s="224"/>
      <c r="L70" s="128"/>
      <c r="M70" s="128"/>
      <c r="N70" s="128"/>
      <c r="O70" s="128"/>
      <c r="P70" s="128"/>
      <c r="Q70" s="128"/>
      <c r="R70" s="174"/>
      <c r="S70" s="128"/>
      <c r="AE70" s="128"/>
    </row>
    <row r="71" spans="1:32">
      <c r="G71" s="128"/>
      <c r="H71" s="128"/>
      <c r="I71" s="128"/>
      <c r="J71" s="128"/>
      <c r="K71" s="224"/>
      <c r="L71" s="128"/>
      <c r="M71" s="128"/>
      <c r="N71" s="128"/>
      <c r="O71" s="128"/>
      <c r="P71" s="128"/>
      <c r="Q71" s="128"/>
      <c r="R71" s="174"/>
      <c r="S71" s="128"/>
      <c r="AE71" s="128"/>
    </row>
    <row r="72" spans="1:32">
      <c r="G72" s="128"/>
      <c r="H72" s="128"/>
      <c r="I72" s="128"/>
      <c r="J72" s="128"/>
      <c r="K72" s="224"/>
      <c r="L72" s="128"/>
      <c r="M72" s="128"/>
      <c r="N72" s="128"/>
      <c r="O72" s="128"/>
      <c r="P72" s="128"/>
      <c r="Q72" s="128"/>
      <c r="R72" s="174"/>
      <c r="S72" s="128"/>
    </row>
    <row r="73" spans="1:32" ht="12" customHeight="1">
      <c r="AC73" s="161"/>
      <c r="AE73" s="117"/>
    </row>
    <row r="74" spans="1:32" ht="12" customHeight="1">
      <c r="A74" s="117"/>
      <c r="B74" s="117"/>
      <c r="C74" s="117"/>
      <c r="D74" s="117"/>
      <c r="E74" s="117"/>
      <c r="F74" s="117"/>
      <c r="G74" s="117"/>
      <c r="H74" s="117"/>
      <c r="I74" s="117"/>
      <c r="J74" s="117"/>
      <c r="K74" s="251"/>
      <c r="L74" s="117"/>
      <c r="M74" s="117"/>
      <c r="N74" s="117"/>
      <c r="O74" s="117"/>
      <c r="P74" s="117"/>
      <c r="Q74" s="117"/>
      <c r="R74" s="189"/>
      <c r="S74" s="117"/>
    </row>
    <row r="75" spans="1:32" ht="12" customHeight="1">
      <c r="T75" s="112"/>
      <c r="U75" s="112"/>
      <c r="V75" s="125"/>
      <c r="W75" s="112"/>
      <c r="X75" s="112"/>
      <c r="Y75" s="112"/>
      <c r="AA75" s="180"/>
      <c r="AB75" s="112"/>
      <c r="AD75" s="112"/>
      <c r="AF75" s="112"/>
    </row>
    <row r="76" spans="1:32" ht="12" customHeight="1"/>
    <row r="77" spans="1:32" ht="12" customHeight="1"/>
    <row r="78" spans="1:32" ht="12" customHeight="1"/>
    <row r="79" spans="1:32" ht="12" customHeight="1"/>
    <row r="80" spans="1:32" ht="12" customHeight="1"/>
    <row r="81" spans="1:1016" ht="12" customHeight="1"/>
    <row r="82" spans="1:1016" ht="12" customHeight="1"/>
    <row r="83" spans="1:1016" ht="12" customHeight="1"/>
    <row r="84" spans="1:1016" ht="12" customHeight="1"/>
    <row r="85" spans="1:1016" ht="12" customHeight="1"/>
    <row r="86" spans="1:1016" ht="12" customHeight="1"/>
    <row r="87" spans="1:1016" ht="12" customHeight="1">
      <c r="A87" s="130"/>
      <c r="B87" s="130"/>
      <c r="C87" s="130"/>
      <c r="D87" s="130"/>
      <c r="E87" s="130"/>
      <c r="F87" s="130"/>
    </row>
    <row r="88" spans="1:1016" s="117" customFormat="1" ht="12" customHeight="1">
      <c r="A88" s="130"/>
      <c r="B88" s="130"/>
      <c r="C88" s="130"/>
      <c r="D88" s="130"/>
      <c r="E88" s="130"/>
      <c r="F88" s="130"/>
      <c r="G88" s="96"/>
      <c r="H88" s="96"/>
      <c r="I88" s="96"/>
      <c r="J88" s="96"/>
      <c r="K88" s="225"/>
      <c r="L88" s="96"/>
      <c r="M88" s="159"/>
      <c r="N88" s="96"/>
      <c r="O88" s="96"/>
      <c r="P88" s="96"/>
      <c r="Q88" s="96"/>
      <c r="R88" s="173"/>
      <c r="S88" s="96"/>
      <c r="T88" s="96"/>
      <c r="U88" s="96"/>
      <c r="V88" s="277"/>
      <c r="W88" s="96"/>
      <c r="X88" s="96"/>
      <c r="Y88" s="96"/>
      <c r="Z88"/>
      <c r="AA88" s="179"/>
      <c r="AB88" s="96"/>
      <c r="AC88" s="159"/>
      <c r="AD88" s="96"/>
      <c r="AE88"/>
      <c r="AF88" s="96"/>
      <c r="AMB88"/>
    </row>
    <row r="89" spans="1:1016" s="117" customFormat="1" ht="12" customHeight="1">
      <c r="A89" s="130"/>
      <c r="B89" s="130"/>
      <c r="C89" s="130"/>
      <c r="D89" s="130"/>
      <c r="E89" s="130"/>
      <c r="F89" s="130"/>
      <c r="G89" s="96"/>
      <c r="H89" s="96"/>
      <c r="I89" s="96"/>
      <c r="J89" s="96"/>
      <c r="K89" s="225"/>
      <c r="L89" s="96"/>
      <c r="M89" s="159"/>
      <c r="N89" s="96"/>
      <c r="O89" s="96"/>
      <c r="P89" s="96"/>
      <c r="Q89" s="96"/>
      <c r="R89" s="173"/>
      <c r="S89" s="96"/>
      <c r="T89" s="96"/>
      <c r="U89" s="96"/>
      <c r="V89" s="277"/>
      <c r="W89" s="96"/>
      <c r="X89" s="96"/>
      <c r="Y89" s="96"/>
      <c r="Z89"/>
      <c r="AA89" s="179"/>
      <c r="AB89" s="96"/>
      <c r="AC89" s="159"/>
      <c r="AD89" s="96"/>
      <c r="AE89"/>
      <c r="AF89" s="96"/>
      <c r="AMB89"/>
    </row>
    <row r="90" spans="1:1016" s="117" customFormat="1" ht="12" customHeight="1">
      <c r="A90" s="130"/>
      <c r="B90" s="130"/>
      <c r="C90" s="130"/>
      <c r="D90" s="130"/>
      <c r="E90" s="130"/>
      <c r="F90" s="130"/>
      <c r="G90" s="96"/>
      <c r="H90" s="96"/>
      <c r="I90" s="96"/>
      <c r="J90" s="96"/>
      <c r="K90" s="225"/>
      <c r="L90" s="96"/>
      <c r="M90" s="159"/>
      <c r="N90" s="96"/>
      <c r="O90" s="96"/>
      <c r="P90" s="96"/>
      <c r="Q90" s="96"/>
      <c r="R90" s="173"/>
      <c r="S90" s="96"/>
      <c r="T90" s="96"/>
      <c r="U90" s="96"/>
      <c r="V90" s="277"/>
      <c r="W90" s="96"/>
      <c r="X90" s="96"/>
      <c r="Y90" s="96"/>
      <c r="Z90"/>
      <c r="AA90" s="179"/>
      <c r="AB90" s="96"/>
      <c r="AC90" s="159"/>
      <c r="AD90" s="96"/>
      <c r="AE90"/>
      <c r="AF90" s="96"/>
      <c r="AMB90"/>
    </row>
    <row r="91" spans="1:1016" s="117" customFormat="1" ht="12" customHeight="1">
      <c r="A91" s="130"/>
      <c r="B91" s="130"/>
      <c r="C91" s="130"/>
      <c r="D91" s="130"/>
      <c r="E91" s="130"/>
      <c r="F91" s="130"/>
      <c r="G91" s="96"/>
      <c r="H91" s="96"/>
      <c r="I91" s="96"/>
      <c r="J91" s="96"/>
      <c r="K91" s="225"/>
      <c r="L91" s="96"/>
      <c r="M91" s="159"/>
      <c r="N91" s="96"/>
      <c r="O91" s="96"/>
      <c r="P91" s="96"/>
      <c r="Q91" s="96"/>
      <c r="R91" s="173"/>
      <c r="S91" s="96"/>
      <c r="T91" s="96"/>
      <c r="U91" s="96"/>
      <c r="V91" s="277"/>
      <c r="W91" s="96"/>
      <c r="X91" s="96"/>
      <c r="Y91" s="96"/>
      <c r="Z91"/>
      <c r="AA91" s="179"/>
      <c r="AB91" s="96"/>
      <c r="AC91" s="159"/>
      <c r="AD91" s="96"/>
      <c r="AE91"/>
      <c r="AF91" s="96"/>
      <c r="AMB91"/>
    </row>
    <row r="92" spans="1:1016" s="117" customFormat="1" ht="12" customHeight="1">
      <c r="A92" s="130"/>
      <c r="B92" s="130"/>
      <c r="C92" s="130"/>
      <c r="D92" s="130"/>
      <c r="E92" s="130"/>
      <c r="F92" s="130"/>
      <c r="G92" s="96"/>
      <c r="H92" s="96"/>
      <c r="I92" s="96"/>
      <c r="J92" s="96"/>
      <c r="K92" s="225"/>
      <c r="L92" s="96"/>
      <c r="M92" s="159"/>
      <c r="N92" s="96"/>
      <c r="O92" s="96"/>
      <c r="P92" s="96"/>
      <c r="Q92" s="96"/>
      <c r="R92" s="173"/>
      <c r="S92" s="96"/>
      <c r="T92" s="96"/>
      <c r="U92" s="96"/>
      <c r="V92" s="277"/>
      <c r="W92" s="96"/>
      <c r="X92" s="96"/>
      <c r="Y92" s="96"/>
      <c r="Z92"/>
      <c r="AA92" s="179"/>
      <c r="AB92" s="96"/>
      <c r="AC92" s="159"/>
      <c r="AD92" s="96"/>
      <c r="AE92"/>
      <c r="AF92" s="96"/>
      <c r="AMB92"/>
    </row>
    <row r="93" spans="1:1016" s="117" customFormat="1" ht="12" customHeight="1">
      <c r="A93" s="130"/>
      <c r="B93" s="130"/>
      <c r="C93" s="130"/>
      <c r="D93" s="130"/>
      <c r="E93" s="130"/>
      <c r="F93" s="130"/>
      <c r="G93" s="96"/>
      <c r="H93" s="96"/>
      <c r="I93" s="96"/>
      <c r="J93" s="96"/>
      <c r="K93" s="225"/>
      <c r="L93" s="96"/>
      <c r="M93" s="159"/>
      <c r="N93" s="96"/>
      <c r="O93" s="96"/>
      <c r="P93" s="96"/>
      <c r="Q93" s="96"/>
      <c r="R93" s="173"/>
      <c r="S93" s="96"/>
      <c r="T93" s="96"/>
      <c r="U93" s="96"/>
      <c r="V93" s="277"/>
      <c r="W93" s="96"/>
      <c r="X93" s="96"/>
      <c r="Y93" s="96"/>
      <c r="Z93"/>
      <c r="AA93" s="179"/>
      <c r="AB93" s="96"/>
      <c r="AC93" s="159"/>
      <c r="AD93" s="96"/>
      <c r="AE93"/>
      <c r="AF93" s="96"/>
      <c r="AMB93"/>
    </row>
    <row r="94" spans="1:1016" s="117" customFormat="1" ht="12" customHeight="1">
      <c r="A94" s="130"/>
      <c r="B94" s="130"/>
      <c r="C94" s="130"/>
      <c r="D94" s="130"/>
      <c r="E94" s="130"/>
      <c r="F94" s="130"/>
      <c r="G94" s="96"/>
      <c r="H94" s="96"/>
      <c r="I94" s="96"/>
      <c r="J94" s="96"/>
      <c r="K94" s="225"/>
      <c r="L94" s="96"/>
      <c r="M94" s="159"/>
      <c r="N94" s="96"/>
      <c r="O94" s="96"/>
      <c r="P94" s="96"/>
      <c r="Q94" s="96"/>
      <c r="R94" s="173"/>
      <c r="S94" s="96"/>
      <c r="T94" s="96"/>
      <c r="U94" s="96"/>
      <c r="V94" s="277"/>
      <c r="W94" s="96"/>
      <c r="X94" s="96"/>
      <c r="Y94" s="96"/>
      <c r="Z94"/>
      <c r="AA94" s="179"/>
      <c r="AB94" s="96"/>
      <c r="AC94" s="159"/>
      <c r="AD94" s="96"/>
      <c r="AE94"/>
      <c r="AF94" s="96"/>
      <c r="AMB94"/>
    </row>
    <row r="95" spans="1:1016" ht="12" customHeight="1">
      <c r="A95" s="129"/>
      <c r="B95" s="129"/>
      <c r="C95" s="129"/>
      <c r="D95" s="129"/>
      <c r="E95" s="129"/>
      <c r="F95" s="129"/>
    </row>
    <row r="96" spans="1:1016" ht="12" customHeight="1">
      <c r="A96" s="129"/>
      <c r="B96" s="129"/>
      <c r="C96" s="129"/>
      <c r="D96" s="129"/>
      <c r="E96" s="129"/>
      <c r="F96" s="129"/>
    </row>
    <row r="97" spans="1:32" ht="12" customHeight="1">
      <c r="A97" s="129"/>
      <c r="B97" s="129"/>
      <c r="C97" s="129"/>
      <c r="D97" s="129"/>
      <c r="E97" s="129"/>
      <c r="F97" s="129"/>
    </row>
    <row r="98" spans="1:32" ht="12" customHeight="1">
      <c r="A98" s="129"/>
      <c r="B98" s="129"/>
      <c r="C98" s="129"/>
      <c r="D98" s="129"/>
      <c r="E98" s="129"/>
      <c r="F98" s="129"/>
    </row>
    <row r="99" spans="1:32" ht="12" customHeight="1">
      <c r="A99" s="129"/>
      <c r="B99" s="129"/>
      <c r="C99" s="129"/>
      <c r="D99" s="129"/>
      <c r="E99" s="129"/>
      <c r="F99" s="129"/>
    </row>
    <row r="100" spans="1:32" ht="12" customHeight="1">
      <c r="A100" s="129"/>
      <c r="B100" s="129"/>
      <c r="C100" s="129"/>
      <c r="D100" s="129"/>
      <c r="E100" s="129"/>
      <c r="F100" s="129"/>
    </row>
    <row r="101" spans="1:32" ht="12" customHeight="1">
      <c r="A101" s="129"/>
      <c r="B101" s="129"/>
      <c r="C101" s="129"/>
      <c r="D101" s="129"/>
      <c r="E101" s="129"/>
      <c r="F101" s="129"/>
    </row>
    <row r="102" spans="1:32">
      <c r="A102" s="129"/>
      <c r="B102" s="129"/>
      <c r="C102" s="129"/>
      <c r="D102" s="129"/>
      <c r="E102" s="129"/>
      <c r="F102" s="129"/>
      <c r="AC102" s="161"/>
      <c r="AE102" s="117"/>
    </row>
    <row r="103" spans="1:32">
      <c r="A103" s="130"/>
      <c r="B103" s="130"/>
      <c r="C103" s="130"/>
      <c r="D103" s="130"/>
      <c r="E103" s="130"/>
      <c r="F103" s="130"/>
      <c r="AC103" s="161"/>
      <c r="AE103" s="117"/>
    </row>
    <row r="104" spans="1:32">
      <c r="A104" s="123"/>
      <c r="B104" s="123"/>
      <c r="C104" s="123"/>
      <c r="D104" s="123"/>
      <c r="E104" s="123"/>
      <c r="F104" s="123"/>
      <c r="G104" s="112"/>
      <c r="H104" s="112"/>
      <c r="I104" s="112"/>
      <c r="J104" s="112"/>
      <c r="K104" s="276"/>
      <c r="L104" s="112"/>
      <c r="M104" s="161"/>
      <c r="N104" s="112"/>
      <c r="O104" s="112"/>
      <c r="P104" s="112"/>
      <c r="Q104" s="112"/>
      <c r="R104" s="190"/>
      <c r="S104" s="112"/>
      <c r="T104" s="112"/>
      <c r="U104" s="112"/>
      <c r="V104" s="125"/>
      <c r="W104" s="112"/>
      <c r="X104" s="112"/>
      <c r="Y104" s="112"/>
      <c r="AA104" s="180"/>
      <c r="AB104" s="112"/>
      <c r="AC104" s="161"/>
      <c r="AD104" s="112"/>
      <c r="AE104" s="117"/>
      <c r="AF104" s="112"/>
    </row>
    <row r="105" spans="1:32">
      <c r="A105" s="123"/>
      <c r="B105" s="123"/>
      <c r="C105" s="123"/>
      <c r="D105" s="123"/>
      <c r="E105" s="123"/>
      <c r="F105" s="123"/>
      <c r="G105" s="112"/>
      <c r="H105" s="112"/>
      <c r="I105" s="112"/>
      <c r="J105" s="112"/>
      <c r="K105" s="276"/>
      <c r="L105" s="112"/>
      <c r="M105" s="161"/>
      <c r="N105" s="112"/>
      <c r="O105" s="112"/>
      <c r="P105" s="112"/>
      <c r="Q105" s="112"/>
      <c r="R105" s="190"/>
      <c r="S105" s="112"/>
      <c r="T105" s="112"/>
      <c r="U105" s="112"/>
      <c r="V105" s="125"/>
      <c r="W105" s="112"/>
      <c r="X105" s="112"/>
      <c r="Y105" s="112"/>
      <c r="AA105" s="180"/>
      <c r="AB105" s="112"/>
      <c r="AC105" s="161"/>
      <c r="AD105" s="112"/>
      <c r="AE105" s="117"/>
      <c r="AF105" s="112"/>
    </row>
    <row r="106" spans="1:32">
      <c r="A106" s="123"/>
      <c r="B106" s="123"/>
      <c r="C106" s="123"/>
      <c r="D106" s="123"/>
      <c r="E106" s="123"/>
      <c r="F106" s="123"/>
      <c r="G106" s="112"/>
      <c r="H106" s="112"/>
      <c r="I106" s="112"/>
      <c r="J106" s="112"/>
      <c r="K106" s="276"/>
      <c r="L106" s="112"/>
      <c r="M106" s="161"/>
      <c r="N106" s="112"/>
      <c r="O106" s="112"/>
      <c r="P106" s="112"/>
      <c r="Q106" s="112"/>
      <c r="R106" s="190"/>
      <c r="S106" s="112"/>
      <c r="T106" s="112"/>
      <c r="U106" s="112"/>
      <c r="V106" s="125"/>
      <c r="W106" s="112"/>
      <c r="X106" s="112"/>
      <c r="Y106" s="112"/>
      <c r="AA106" s="180"/>
      <c r="AB106" s="112"/>
      <c r="AC106" s="161"/>
      <c r="AD106" s="112"/>
      <c r="AE106" s="117"/>
      <c r="AF106" s="112"/>
    </row>
    <row r="107" spans="1:32">
      <c r="A107" s="123"/>
      <c r="B107" s="123"/>
      <c r="C107" s="123"/>
      <c r="D107" s="123"/>
      <c r="E107" s="123"/>
      <c r="F107" s="123"/>
      <c r="G107" s="112"/>
      <c r="H107" s="112"/>
      <c r="I107" s="112"/>
      <c r="J107" s="112"/>
      <c r="K107" s="276"/>
      <c r="L107" s="112"/>
      <c r="M107" s="161"/>
      <c r="N107" s="112"/>
      <c r="O107" s="112"/>
      <c r="P107" s="112"/>
      <c r="Q107" s="112"/>
      <c r="R107" s="190"/>
      <c r="S107" s="112"/>
      <c r="T107" s="112"/>
      <c r="U107" s="112"/>
      <c r="V107" s="125"/>
      <c r="W107" s="112"/>
      <c r="X107" s="112"/>
      <c r="Y107" s="112"/>
      <c r="AA107" s="180"/>
      <c r="AB107" s="112"/>
      <c r="AC107" s="161"/>
      <c r="AD107" s="112"/>
      <c r="AE107" s="117"/>
      <c r="AF107" s="112"/>
    </row>
    <row r="108" spans="1:32">
      <c r="A108" s="123"/>
      <c r="B108" s="123"/>
      <c r="C108" s="123"/>
      <c r="D108" s="123"/>
      <c r="E108" s="123"/>
      <c r="F108" s="123"/>
      <c r="G108" s="112"/>
      <c r="H108" s="112"/>
      <c r="I108" s="112"/>
      <c r="J108" s="112"/>
      <c r="K108" s="276"/>
      <c r="L108" s="112"/>
      <c r="M108" s="161"/>
      <c r="N108" s="112"/>
      <c r="O108" s="112"/>
      <c r="P108" s="112"/>
      <c r="Q108" s="112"/>
      <c r="R108" s="190"/>
      <c r="S108" s="112"/>
      <c r="T108" s="112"/>
      <c r="U108" s="112"/>
      <c r="V108" s="125"/>
      <c r="W108" s="112"/>
      <c r="X108" s="112"/>
      <c r="Y108" s="112"/>
      <c r="AA108" s="180"/>
      <c r="AB108" s="112"/>
      <c r="AC108" s="161"/>
      <c r="AD108" s="112"/>
      <c r="AE108" s="117"/>
      <c r="AF108" s="112"/>
    </row>
    <row r="109" spans="1:32">
      <c r="A109" s="123"/>
      <c r="B109" s="123"/>
      <c r="C109" s="123"/>
      <c r="D109" s="123"/>
      <c r="E109" s="123"/>
      <c r="F109" s="123"/>
      <c r="G109" s="112"/>
      <c r="H109" s="112"/>
      <c r="I109" s="112"/>
      <c r="J109" s="112"/>
      <c r="K109" s="276"/>
      <c r="L109" s="112"/>
      <c r="M109" s="161"/>
      <c r="N109" s="112"/>
      <c r="O109" s="112"/>
      <c r="P109" s="112"/>
      <c r="Q109" s="112"/>
      <c r="R109" s="190"/>
      <c r="S109" s="112"/>
      <c r="T109" s="112"/>
      <c r="U109" s="112"/>
      <c r="V109" s="125"/>
      <c r="W109" s="112"/>
      <c r="X109" s="112"/>
      <c r="Y109" s="112"/>
      <c r="AA109" s="180"/>
      <c r="AB109" s="112"/>
      <c r="AD109" s="112"/>
      <c r="AF109" s="112"/>
    </row>
    <row r="110" spans="1:32">
      <c r="A110" s="123"/>
      <c r="B110" s="123"/>
      <c r="C110" s="123"/>
      <c r="D110" s="123"/>
      <c r="E110" s="123"/>
      <c r="F110" s="123"/>
      <c r="G110" s="112"/>
      <c r="H110" s="112"/>
      <c r="I110" s="112"/>
      <c r="J110" s="112"/>
      <c r="K110" s="276"/>
      <c r="L110" s="112"/>
      <c r="M110" s="161"/>
      <c r="N110" s="112"/>
      <c r="O110" s="112"/>
      <c r="P110" s="112"/>
      <c r="Q110" s="112"/>
      <c r="R110" s="190"/>
      <c r="S110" s="112"/>
      <c r="T110" s="112"/>
      <c r="U110" s="112"/>
      <c r="V110" s="125"/>
      <c r="W110" s="112"/>
      <c r="X110" s="112"/>
      <c r="Y110" s="112"/>
      <c r="AA110" s="180"/>
      <c r="AB110" s="112"/>
      <c r="AD110" s="112"/>
      <c r="AF110" s="112"/>
    </row>
    <row r="111" spans="1:32">
      <c r="A111" s="130"/>
      <c r="B111" s="130"/>
      <c r="C111" s="130"/>
      <c r="D111" s="130"/>
      <c r="E111" s="130"/>
      <c r="F111" s="130"/>
    </row>
    <row r="112" spans="1:32">
      <c r="A112" s="130"/>
      <c r="B112" s="130"/>
      <c r="C112" s="130"/>
      <c r="D112" s="130"/>
      <c r="E112" s="130"/>
      <c r="F112" s="130"/>
    </row>
    <row r="113" spans="1:6">
      <c r="A113" s="130"/>
      <c r="B113" s="130"/>
      <c r="C113" s="130"/>
      <c r="D113" s="130"/>
      <c r="E113" s="130"/>
      <c r="F113" s="130"/>
    </row>
    <row r="114" spans="1:6">
      <c r="A114" s="136"/>
      <c r="B114" s="136"/>
      <c r="C114" s="136"/>
      <c r="D114" s="136"/>
      <c r="E114" s="136"/>
      <c r="F114" s="136"/>
    </row>
    <row r="115" spans="1:6">
      <c r="A115" s="136"/>
      <c r="B115" s="136"/>
      <c r="C115" s="136"/>
      <c r="D115" s="136"/>
      <c r="E115" s="136"/>
      <c r="F115" s="136"/>
    </row>
  </sheetData>
  <mergeCells count="4">
    <mergeCell ref="Q1:R1"/>
    <mergeCell ref="N7:Q7"/>
    <mergeCell ref="X7:Y7"/>
    <mergeCell ref="AE7:AF7"/>
  </mergeCells>
  <conditionalFormatting sqref="A66:F67 A87:F927">
    <cfRule type="expression" dxfId="437" priority="259">
      <formula>OR($AF66="X",$AD66="X")</formula>
    </cfRule>
    <cfRule type="expression" dxfId="436" priority="260">
      <formula>AND($AF66=1,$AD66=1)</formula>
    </cfRule>
    <cfRule type="expression" dxfId="435" priority="261">
      <formula>$AF66=1</formula>
    </cfRule>
    <cfRule type="expression" dxfId="434" priority="262">
      <formula>$AD66=1</formula>
    </cfRule>
  </conditionalFormatting>
  <conditionalFormatting sqref="C9:I9 K9:K64">
    <cfRule type="expression" dxfId="433" priority="1">
      <formula>$T9="X"</formula>
    </cfRule>
  </conditionalFormatting>
  <conditionalFormatting sqref="C18:J18">
    <cfRule type="expression" dxfId="432" priority="2">
      <formula>$T18="X"</formula>
    </cfRule>
  </conditionalFormatting>
  <conditionalFormatting sqref="J66:J67 J87:J927">
    <cfRule type="expression" dxfId="431" priority="258">
      <formula>$S66="X"</formula>
    </cfRule>
  </conditionalFormatting>
  <conditionalFormatting sqref="S9:S64">
    <cfRule type="cellIs" dxfId="430" priority="168" operator="equal">
      <formula>"1..1"</formula>
    </cfRule>
    <cfRule type="cellIs" dxfId="429" priority="169" operator="equal">
      <formula>"0..n"</formula>
    </cfRule>
    <cfRule type="cellIs" dxfId="428" priority="170" operator="equal">
      <formula>"0..1"</formula>
    </cfRule>
  </conditionalFormatting>
  <pageMargins left="0.7" right="0.7" top="0.75" bottom="0.75" header="0.3" footer="0.3"/>
  <legacyDrawing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MC65"/>
  <sheetViews>
    <sheetView workbookViewId="0">
      <selection activeCell="H54" sqref="H54"/>
    </sheetView>
  </sheetViews>
  <sheetFormatPr baseColWidth="10" defaultColWidth="9.5" defaultRowHeight="15"/>
  <cols>
    <col min="1" max="1" width="4.625" style="128" customWidth="1"/>
    <col min="2" max="2" width="24.625" style="128" customWidth="1"/>
    <col min="3" max="3" width="44.625" style="128" bestFit="1" customWidth="1"/>
    <col min="4" max="4" width="50.625" style="128" customWidth="1"/>
    <col min="5" max="5" width="11.625" style="128" customWidth="1"/>
    <col min="6" max="6" width="8.625" style="128" customWidth="1"/>
    <col min="7" max="7" width="10.125" style="96" customWidth="1"/>
    <col min="8" max="8" width="60" style="96" customWidth="1"/>
    <col min="9" max="9" width="33.5" style="225" customWidth="1"/>
    <col min="10" max="10" width="12" style="96" hidden="1"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11" style="277" customWidth="1"/>
    <col min="19" max="19" width="18.5" style="96" customWidth="1"/>
    <col min="20" max="20" width="12.625" style="277"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7" ht="13.5" customHeight="1">
      <c r="A1" s="228" t="s">
        <v>2528</v>
      </c>
      <c r="C1" s="129" t="s">
        <v>812</v>
      </c>
      <c r="E1" s="150" t="s">
        <v>813</v>
      </c>
      <c r="F1" s="157"/>
      <c r="G1" s="128"/>
      <c r="AC1" s="96"/>
      <c r="AE1"/>
      <c r="AF1" s="128"/>
      <c r="ALZ1"/>
    </row>
    <row r="2" spans="1:1017" ht="13.5" customHeight="1">
      <c r="C2" s="141" t="s">
        <v>817</v>
      </c>
      <c r="D2" s="284"/>
      <c r="E2" s="152" t="s">
        <v>818</v>
      </c>
      <c r="F2" s="157"/>
      <c r="G2" s="128"/>
      <c r="AC2" s="96"/>
      <c r="AE2"/>
      <c r="AF2" s="128"/>
      <c r="ALZ2"/>
    </row>
    <row r="3" spans="1:1017" ht="13.5" customHeight="1">
      <c r="C3" s="142" t="s">
        <v>820</v>
      </c>
      <c r="E3" s="151" t="s">
        <v>821</v>
      </c>
      <c r="G3" s="128"/>
      <c r="AC3" s="96"/>
      <c r="AE3"/>
      <c r="AF3" s="128"/>
      <c r="ALZ3"/>
    </row>
    <row r="4" spans="1:1017" ht="13.5" customHeight="1">
      <c r="C4" s="143" t="s">
        <v>823</v>
      </c>
      <c r="E4" s="153" t="s">
        <v>824</v>
      </c>
      <c r="G4" s="137"/>
      <c r="AC4" s="96"/>
      <c r="AE4"/>
      <c r="AF4" s="128"/>
      <c r="ALZ4"/>
    </row>
    <row r="5" spans="1:1017" s="149" customFormat="1" ht="13.5" customHeight="1">
      <c r="A5" s="128"/>
      <c r="B5" s="128"/>
      <c r="C5" s="145" t="s">
        <v>825</v>
      </c>
      <c r="D5" s="146"/>
      <c r="E5" s="290" t="s">
        <v>911</v>
      </c>
      <c r="F5" s="146"/>
      <c r="G5" s="148"/>
      <c r="H5" s="148"/>
      <c r="I5" s="275"/>
      <c r="J5" s="148"/>
      <c r="K5" s="160"/>
      <c r="L5" s="148"/>
      <c r="M5" s="148"/>
      <c r="N5" s="148"/>
      <c r="O5" s="148"/>
      <c r="P5" s="186"/>
      <c r="Q5" s="148"/>
      <c r="R5" s="279"/>
      <c r="S5" s="148"/>
      <c r="T5" s="279"/>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826</v>
      </c>
      <c r="D6" s="138"/>
      <c r="F6" s="138"/>
      <c r="AC6" s="96"/>
      <c r="AE6"/>
      <c r="AF6" s="128"/>
      <c r="ALZ6"/>
    </row>
    <row r="7" spans="1:1017" ht="13.5" customHeight="1">
      <c r="A7"/>
      <c r="B7"/>
      <c r="C7" s="138"/>
      <c r="D7" s="377"/>
      <c r="E7" s="138"/>
      <c r="F7" s="138"/>
      <c r="L7" s="814" t="s">
        <v>827</v>
      </c>
      <c r="M7" s="814"/>
      <c r="N7" s="814"/>
      <c r="O7" s="814"/>
      <c r="V7" s="815" t="s">
        <v>828</v>
      </c>
      <c r="W7" s="815"/>
      <c r="AC7" s="814" t="s">
        <v>829</v>
      </c>
      <c r="AD7" s="814"/>
      <c r="AE7"/>
      <c r="AF7" s="128"/>
      <c r="ALZ7"/>
    </row>
    <row r="8" spans="1:1017" s="238" customFormat="1" ht="55.5" customHeight="1">
      <c r="A8" s="233" t="s">
        <v>830</v>
      </c>
      <c r="B8" s="381" t="s">
        <v>831</v>
      </c>
      <c r="C8" s="278" t="s">
        <v>832</v>
      </c>
      <c r="D8" s="278" t="s">
        <v>833</v>
      </c>
      <c r="E8" s="278" t="s">
        <v>834</v>
      </c>
      <c r="F8" s="278" t="s">
        <v>835</v>
      </c>
      <c r="G8" s="278" t="s">
        <v>836</v>
      </c>
      <c r="H8" s="234" t="s">
        <v>9</v>
      </c>
      <c r="I8" s="234" t="s">
        <v>837</v>
      </c>
      <c r="J8" s="234" t="s">
        <v>840</v>
      </c>
      <c r="K8" s="234" t="s">
        <v>841</v>
      </c>
      <c r="L8" s="235" t="s">
        <v>842</v>
      </c>
      <c r="M8" s="235" t="s">
        <v>843</v>
      </c>
      <c r="N8" s="235" t="s">
        <v>844</v>
      </c>
      <c r="O8" s="235" t="s">
        <v>845</v>
      </c>
      <c r="P8" s="235" t="s">
        <v>846</v>
      </c>
      <c r="Q8" s="234" t="s">
        <v>677</v>
      </c>
      <c r="R8" s="234" t="s">
        <v>3</v>
      </c>
      <c r="S8" s="234" t="s">
        <v>912</v>
      </c>
      <c r="T8" s="283" t="s">
        <v>913</v>
      </c>
      <c r="U8" s="234" t="s">
        <v>848</v>
      </c>
      <c r="V8" s="229" t="s">
        <v>849</v>
      </c>
      <c r="W8" s="229" t="s">
        <v>850</v>
      </c>
      <c r="X8" s="230" t="s">
        <v>851</v>
      </c>
      <c r="Y8" s="235" t="s">
        <v>852</v>
      </c>
      <c r="Z8" s="235" t="s">
        <v>853</v>
      </c>
      <c r="AA8" s="236" t="s">
        <v>854</v>
      </c>
      <c r="AB8" s="235" t="s">
        <v>855</v>
      </c>
      <c r="AC8" s="235" t="s">
        <v>856</v>
      </c>
      <c r="AD8" s="237" t="s">
        <v>914</v>
      </c>
    </row>
    <row r="9" spans="1:1017" s="224" customFormat="1" ht="13.5" customHeight="1">
      <c r="A9" s="225">
        <v>1</v>
      </c>
      <c r="B9" s="517" t="s">
        <v>2263</v>
      </c>
      <c r="C9" s="513"/>
      <c r="D9" s="513"/>
      <c r="E9" s="513"/>
      <c r="F9" s="513"/>
      <c r="G9" s="513"/>
      <c r="H9" s="708"/>
      <c r="I9" s="514"/>
      <c r="J9" s="668"/>
      <c r="K9" s="666" t="s">
        <v>1793</v>
      </c>
      <c r="L9" s="668"/>
      <c r="M9" s="668"/>
      <c r="N9" s="668"/>
      <c r="O9" s="668"/>
      <c r="P9" s="669"/>
      <c r="Q9" s="668" t="s">
        <v>819</v>
      </c>
      <c r="R9" s="670" t="s">
        <v>863</v>
      </c>
      <c r="S9" s="243" t="s">
        <v>1793</v>
      </c>
      <c r="T9" s="668"/>
      <c r="U9" s="668"/>
      <c r="V9" s="667"/>
      <c r="W9" s="667"/>
      <c r="X9" s="232"/>
      <c r="Y9" s="671"/>
      <c r="Z9" s="668"/>
      <c r="AA9" s="672"/>
      <c r="AB9" s="668"/>
      <c r="AC9" s="670"/>
      <c r="AD9" s="670"/>
    </row>
    <row r="10" spans="1:1017" s="224" customFormat="1" ht="13.5" customHeight="1">
      <c r="A10" s="225">
        <v>2</v>
      </c>
      <c r="B10" s="240"/>
      <c r="C10" s="241" t="s">
        <v>2529</v>
      </c>
      <c r="D10" s="241"/>
      <c r="E10" s="241"/>
      <c r="F10" s="241"/>
      <c r="G10" s="241"/>
      <c r="H10" s="668" t="s">
        <v>2530</v>
      </c>
      <c r="I10" s="666" t="s">
        <v>1340</v>
      </c>
      <c r="J10" s="668"/>
      <c r="K10" s="666" t="s">
        <v>2266</v>
      </c>
      <c r="L10" s="668"/>
      <c r="M10" s="668"/>
      <c r="N10" s="668"/>
      <c r="O10" s="668"/>
      <c r="P10" s="669"/>
      <c r="Q10" s="668" t="s">
        <v>819</v>
      </c>
      <c r="R10" s="670"/>
      <c r="S10" s="668" t="s">
        <v>862</v>
      </c>
      <c r="T10" s="668"/>
      <c r="U10" s="668"/>
      <c r="V10" s="667"/>
      <c r="W10" s="667"/>
      <c r="X10" s="232"/>
      <c r="Y10" s="671"/>
      <c r="Z10" s="668"/>
      <c r="AA10" s="672"/>
      <c r="AB10" s="668"/>
      <c r="AC10" s="670"/>
      <c r="AD10" s="670"/>
    </row>
    <row r="11" spans="1:1017" s="224" customFormat="1" ht="13.5" customHeight="1">
      <c r="A11" s="225">
        <v>3</v>
      </c>
      <c r="B11" s="240"/>
      <c r="C11" s="241" t="s">
        <v>2267</v>
      </c>
      <c r="D11" s="241"/>
      <c r="E11" s="241"/>
      <c r="F11" s="241"/>
      <c r="G11" s="241"/>
      <c r="H11" s="668" t="s">
        <v>2268</v>
      </c>
      <c r="I11" s="666" t="s">
        <v>2269</v>
      </c>
      <c r="J11" s="668"/>
      <c r="K11" s="666" t="s">
        <v>2270</v>
      </c>
      <c r="L11" s="668"/>
      <c r="M11" s="668"/>
      <c r="N11" s="668"/>
      <c r="O11" s="668"/>
      <c r="P11" s="669"/>
      <c r="Q11" s="668" t="s">
        <v>819</v>
      </c>
      <c r="R11" s="670"/>
      <c r="S11" s="668" t="s">
        <v>862</v>
      </c>
      <c r="T11" s="668"/>
      <c r="U11" s="668"/>
      <c r="V11" s="667"/>
      <c r="W11" s="667"/>
      <c r="X11" s="232"/>
      <c r="Y11" s="671"/>
      <c r="Z11" s="668"/>
      <c r="AA11" s="672"/>
      <c r="AB11" s="668"/>
      <c r="AC11" s="670"/>
      <c r="AD11" s="670"/>
    </row>
    <row r="12" spans="1:1017" s="224" customFormat="1" ht="13.5" customHeight="1">
      <c r="A12" s="225">
        <v>4</v>
      </c>
      <c r="B12" s="242" t="s">
        <v>2360</v>
      </c>
      <c r="C12" s="515"/>
      <c r="D12" s="515"/>
      <c r="E12" s="515"/>
      <c r="F12" s="515"/>
      <c r="G12" s="515"/>
      <c r="H12" s="708"/>
      <c r="I12" s="709"/>
      <c r="J12" s="668"/>
      <c r="K12" s="666" t="s">
        <v>2531</v>
      </c>
      <c r="L12" s="668"/>
      <c r="M12" s="668"/>
      <c r="N12" s="668"/>
      <c r="O12" s="668"/>
      <c r="P12" s="669"/>
      <c r="Q12" s="668" t="s">
        <v>816</v>
      </c>
      <c r="R12" s="670" t="s">
        <v>863</v>
      </c>
      <c r="S12" s="243" t="s">
        <v>2362</v>
      </c>
      <c r="T12" s="670"/>
      <c r="U12" s="668"/>
      <c r="V12" s="667"/>
      <c r="W12" s="667"/>
      <c r="X12" s="232"/>
      <c r="Y12" s="671"/>
      <c r="Z12" s="668"/>
      <c r="AA12" s="672"/>
      <c r="AB12" s="668"/>
      <c r="AC12" s="670"/>
      <c r="AD12" s="670"/>
    </row>
    <row r="13" spans="1:1017" s="224" customFormat="1" ht="13.5" customHeight="1">
      <c r="A13" s="225">
        <v>5</v>
      </c>
      <c r="B13" s="241"/>
      <c r="C13" s="241" t="s">
        <v>2532</v>
      </c>
      <c r="D13" s="241"/>
      <c r="E13" s="241"/>
      <c r="F13" s="241"/>
      <c r="G13" s="241"/>
      <c r="H13" s="668" t="s">
        <v>2272</v>
      </c>
      <c r="I13" s="666" t="s">
        <v>929</v>
      </c>
      <c r="J13" s="668"/>
      <c r="K13" s="666" t="s">
        <v>2364</v>
      </c>
      <c r="L13" s="668"/>
      <c r="M13" s="668"/>
      <c r="N13" s="668"/>
      <c r="O13" s="668"/>
      <c r="P13" s="669"/>
      <c r="Q13" s="668" t="s">
        <v>819</v>
      </c>
      <c r="R13" s="670"/>
      <c r="S13" s="668" t="s">
        <v>878</v>
      </c>
      <c r="T13" s="670"/>
      <c r="U13" s="668"/>
      <c r="V13" s="667"/>
      <c r="W13" s="667"/>
      <c r="X13" s="232"/>
      <c r="Y13" s="671"/>
      <c r="Z13" s="668"/>
      <c r="AA13" s="672"/>
      <c r="AB13" s="668"/>
      <c r="AC13" s="670"/>
      <c r="AD13" s="670"/>
    </row>
    <row r="14" spans="1:1017" s="224" customFormat="1" ht="13.5" customHeight="1">
      <c r="A14" s="225">
        <v>6</v>
      </c>
      <c r="B14" s="217"/>
      <c r="C14" s="241" t="s">
        <v>2533</v>
      </c>
      <c r="D14" s="241"/>
      <c r="E14" s="241"/>
      <c r="F14" s="241"/>
      <c r="G14" s="241"/>
      <c r="H14" s="668"/>
      <c r="I14" s="666"/>
      <c r="J14" s="668"/>
      <c r="K14" s="666"/>
      <c r="L14" s="668"/>
      <c r="M14" s="668"/>
      <c r="N14" s="668"/>
      <c r="O14" s="668"/>
      <c r="P14" s="669"/>
      <c r="Q14" s="668"/>
      <c r="R14" s="670"/>
      <c r="S14" s="668"/>
      <c r="T14" s="670"/>
      <c r="U14" s="668"/>
      <c r="V14" s="667"/>
      <c r="W14" s="667"/>
      <c r="X14" s="232"/>
      <c r="Y14" s="671"/>
      <c r="Z14" s="668"/>
      <c r="AA14" s="672"/>
      <c r="AB14" s="668"/>
      <c r="AC14" s="670"/>
      <c r="AD14" s="670"/>
    </row>
    <row r="15" spans="1:1017" s="224" customFormat="1" ht="12" customHeight="1">
      <c r="A15" s="225">
        <f>SUBTOTAL(103,createCase291217[ID])</f>
        <v>6</v>
      </c>
      <c r="C15" s="225">
        <f>SUBTOTAL(103,createCase291217[Donnée (Niveau 2)])</f>
        <v>4</v>
      </c>
      <c r="D15" s="225">
        <f>SUBTOTAL(103,createCase291217[Donnée (Niveau 3)])</f>
        <v>0</v>
      </c>
      <c r="E15" s="225">
        <f>SUBTOTAL(103,createCase291217[Donnée (Niveau 4)])</f>
        <v>0</v>
      </c>
      <c r="F15" s="225">
        <f>SUBTOTAL(103,createCase291217[Donnée (Niveau 5)])</f>
        <v>0</v>
      </c>
      <c r="G15" s="225">
        <f>SUBTOTAL(103,createCase291217[Donnée (Niveau 6)])</f>
        <v>0</v>
      </c>
      <c r="H15" s="225">
        <f>SUBTOTAL(103,createCase291217[Description])</f>
        <v>3</v>
      </c>
      <c r="I15" s="225">
        <f>SUBTOTAL(103,createCase291217[Exemples])</f>
        <v>3</v>
      </c>
      <c r="J15" s="225">
        <f>SUBTOTAL(103,createCase291217[Balise NexSIS])</f>
        <v>0</v>
      </c>
      <c r="K15" s="239">
        <f>SUBTOTAL(103,createCase291217[Nouvelle balise])</f>
        <v>5</v>
      </c>
      <c r="L15" s="225">
        <f>SUBTOTAL(103,createCase291217[Nantes - balise])</f>
        <v>0</v>
      </c>
      <c r="M15" s="225">
        <f>SUBTOTAL(103,createCase291217[Nantes - description])</f>
        <v>0</v>
      </c>
      <c r="N15" s="225">
        <f>SUBTOTAL(103,createCase291217[GT399])</f>
        <v>0</v>
      </c>
      <c r="O15" s="225">
        <f>SUBTOTAL(103,createCase291217[GT399 description])</f>
        <v>0</v>
      </c>
      <c r="P15" s="234">
        <f>SUBTOTAL(103,createCase291217[Priorisation])</f>
        <v>0</v>
      </c>
      <c r="Q15" s="225"/>
      <c r="R15" s="274">
        <f>SUBTOTAL(103,createCase291217[Objet])</f>
        <v>2</v>
      </c>
      <c r="S15" s="225">
        <f>SUBTOTAL(103,createCase291217[Format (ou type)])</f>
        <v>5</v>
      </c>
      <c r="T15" s="274"/>
      <c r="U15" s="225"/>
      <c r="V15" s="225"/>
      <c r="W15" s="225"/>
      <c r="Y15" s="271">
        <f>SUBTOTAL(103,createCase291217[Commentaire Hub Santé])</f>
        <v>0</v>
      </c>
      <c r="Z15" s="225">
        <f>SUBTOTAL(103,createCase291217[Commentaire Philippe Dreyfus])</f>
        <v>0</v>
      </c>
      <c r="AA15" s="239"/>
      <c r="AB15" s="225">
        <f>SUBTOTAL(103,createCase291217[Commentaire Yann Penverne])</f>
        <v>0</v>
      </c>
      <c r="AC15" s="225">
        <f>SUBTOTAL(103,createCase291217[NexSIS])-COUNTIFS(createCase291217[NexSIS],"=X")</f>
        <v>0</v>
      </c>
      <c r="AD15" s="225">
        <f>SUBTOTAL(103,createCase291217[Métier])-COUNTIFS(createCase291217[Métier],"=X")</f>
        <v>0</v>
      </c>
    </row>
    <row r="16" spans="1:1017" s="128" customFormat="1" ht="12" customHeight="1">
      <c r="A16" s="3"/>
      <c r="B16" s="3"/>
      <c r="C16" s="131"/>
      <c r="D16" s="131"/>
      <c r="E16" s="131"/>
      <c r="F16" s="131"/>
      <c r="G16" s="5"/>
      <c r="H16" s="155"/>
      <c r="I16" s="225"/>
      <c r="J16" s="5"/>
      <c r="K16" s="155"/>
      <c r="L16" s="5"/>
      <c r="M16" s="5"/>
      <c r="N16" s="5"/>
      <c r="O16" s="5"/>
      <c r="P16" s="188"/>
      <c r="Q16" s="5"/>
      <c r="R16" s="56"/>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277"/>
      <c r="S17" s="96"/>
      <c r="T17" s="277"/>
      <c r="U17" s="96"/>
      <c r="V17" s="96"/>
      <c r="W17" s="96"/>
      <c r="X17"/>
      <c r="Y17" s="179"/>
      <c r="Z17" s="96"/>
      <c r="AA17" s="159"/>
      <c r="AB17" s="96"/>
      <c r="AD17" s="96"/>
      <c r="AMA17"/>
      <c r="AMB17"/>
      <c r="AMC17"/>
    </row>
    <row r="18" spans="1:1017" s="128" customFormat="1" ht="12" customHeight="1">
      <c r="I18" s="224"/>
      <c r="P18" s="174"/>
      <c r="R18" s="277"/>
      <c r="S18" s="96"/>
      <c r="T18" s="277"/>
      <c r="U18" s="96"/>
      <c r="V18" s="96"/>
      <c r="W18" s="96"/>
      <c r="X18"/>
      <c r="Y18" s="179"/>
      <c r="Z18" s="96"/>
      <c r="AA18" s="159"/>
      <c r="AB18" s="96"/>
      <c r="AD18" s="96"/>
      <c r="AMA18"/>
      <c r="AMB18"/>
      <c r="AMC18"/>
    </row>
    <row r="19" spans="1:1017" s="128" customFormat="1" ht="12" customHeight="1">
      <c r="I19" s="224"/>
      <c r="P19" s="174"/>
      <c r="R19" s="277"/>
      <c r="S19" s="96"/>
      <c r="T19" s="277"/>
      <c r="U19" s="96"/>
      <c r="V19" s="96"/>
      <c r="W19" s="96"/>
      <c r="X19"/>
      <c r="Y19" s="179"/>
      <c r="Z19" s="96"/>
      <c r="AA19" s="159"/>
      <c r="AB19" s="96"/>
      <c r="AD19" s="96"/>
      <c r="AMA19"/>
      <c r="AMB19"/>
      <c r="AMC19"/>
    </row>
    <row r="20" spans="1:1017" s="128" customFormat="1" ht="12" customHeight="1">
      <c r="I20" s="224"/>
      <c r="P20" s="174"/>
      <c r="R20" s="277"/>
      <c r="S20" s="96"/>
      <c r="T20" s="277"/>
      <c r="U20" s="96"/>
      <c r="V20" s="96"/>
      <c r="W20" s="96"/>
      <c r="X20"/>
      <c r="Y20" s="179"/>
      <c r="Z20" s="96"/>
      <c r="AA20" s="159"/>
      <c r="AB20" s="96"/>
      <c r="AD20" s="96"/>
      <c r="AMA20"/>
      <c r="AMB20"/>
      <c r="AMC20"/>
    </row>
    <row r="21" spans="1:1017" s="128" customFormat="1" ht="12" customHeight="1">
      <c r="I21" s="224"/>
      <c r="P21" s="174"/>
      <c r="R21" s="277"/>
      <c r="S21" s="96"/>
      <c r="T21" s="277"/>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277"/>
      <c r="S23" s="96"/>
      <c r="T23" s="277"/>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25"/>
      <c r="S25" s="112"/>
      <c r="T25" s="125"/>
      <c r="U25" s="112"/>
      <c r="V25" s="112"/>
      <c r="W25" s="112"/>
      <c r="Y25" s="180"/>
      <c r="Z25" s="112"/>
      <c r="AB25" s="112"/>
      <c r="AD25" s="112"/>
    </row>
    <row r="37" spans="1:6" ht="12" customHeight="1">
      <c r="A37" s="130"/>
      <c r="B37" s="130"/>
      <c r="C37" s="130"/>
      <c r="D37" s="130"/>
      <c r="E37" s="130"/>
      <c r="F37" s="130"/>
    </row>
    <row r="38" spans="1:6" ht="12" customHeight="1">
      <c r="A38" s="130"/>
      <c r="B38" s="130"/>
      <c r="C38" s="130"/>
      <c r="D38" s="130"/>
      <c r="E38" s="130"/>
      <c r="F38" s="130"/>
    </row>
    <row r="39" spans="1:6" ht="12" customHeight="1">
      <c r="A39" s="130"/>
      <c r="B39" s="130"/>
      <c r="C39" s="130"/>
      <c r="D39" s="130"/>
      <c r="E39" s="130"/>
      <c r="F39" s="130"/>
    </row>
    <row r="40" spans="1:6" ht="12" customHeight="1">
      <c r="A40" s="130"/>
      <c r="B40" s="130"/>
      <c r="C40" s="130"/>
      <c r="D40" s="130"/>
      <c r="E40" s="130"/>
      <c r="F40" s="130"/>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29"/>
      <c r="B45" s="129"/>
      <c r="C45" s="129"/>
      <c r="D45" s="129"/>
      <c r="E45" s="129"/>
      <c r="F45" s="129"/>
    </row>
    <row r="46" spans="1:6" ht="12" customHeight="1">
      <c r="A46" s="129"/>
      <c r="B46" s="129"/>
      <c r="C46" s="129"/>
      <c r="D46" s="129"/>
      <c r="E46" s="129"/>
      <c r="F46" s="129"/>
    </row>
    <row r="47" spans="1:6" ht="12" customHeight="1">
      <c r="A47" s="129"/>
      <c r="B47" s="129"/>
      <c r="C47" s="129"/>
      <c r="D47" s="129"/>
      <c r="E47" s="129"/>
      <c r="F47" s="129"/>
    </row>
    <row r="48" spans="1:6" ht="12" customHeight="1">
      <c r="A48" s="129"/>
      <c r="B48" s="129"/>
      <c r="C48" s="129"/>
      <c r="D48" s="129"/>
      <c r="E48" s="129"/>
      <c r="F48" s="129"/>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s="117" customFormat="1" ht="12" customHeight="1">
      <c r="A52" s="129"/>
      <c r="B52" s="129"/>
      <c r="C52" s="129"/>
      <c r="D52" s="129"/>
      <c r="E52" s="129"/>
      <c r="F52" s="129"/>
      <c r="G52" s="96"/>
      <c r="H52" s="96"/>
      <c r="I52" s="225"/>
      <c r="J52" s="96"/>
      <c r="K52" s="159"/>
      <c r="L52" s="96"/>
      <c r="M52" s="96"/>
      <c r="N52" s="96"/>
      <c r="O52" s="96"/>
      <c r="P52" s="173"/>
      <c r="Q52" s="96"/>
      <c r="R52" s="277"/>
      <c r="S52" s="96"/>
      <c r="T52" s="277"/>
      <c r="U52" s="96"/>
      <c r="V52" s="96"/>
      <c r="W52" s="96"/>
      <c r="X52"/>
      <c r="Y52" s="179"/>
      <c r="Z52" s="96"/>
      <c r="AA52" s="161"/>
      <c r="AB52" s="96"/>
      <c r="AD52" s="96"/>
      <c r="AMB52"/>
    </row>
    <row r="53" spans="1:1016" s="117" customFormat="1" ht="12" customHeight="1">
      <c r="A53" s="130"/>
      <c r="B53" s="130"/>
      <c r="C53" s="130"/>
      <c r="D53" s="130"/>
      <c r="E53" s="130"/>
      <c r="F53" s="130"/>
      <c r="G53" s="96"/>
      <c r="H53" s="96"/>
      <c r="I53" s="225"/>
      <c r="J53" s="96"/>
      <c r="K53" s="159"/>
      <c r="L53" s="96"/>
      <c r="M53" s="96"/>
      <c r="N53" s="96"/>
      <c r="O53" s="96"/>
      <c r="P53" s="173"/>
      <c r="Q53" s="96"/>
      <c r="R53" s="277"/>
      <c r="S53" s="96"/>
      <c r="T53" s="277"/>
      <c r="U53" s="96"/>
      <c r="V53" s="96"/>
      <c r="W53" s="96"/>
      <c r="X53"/>
      <c r="Y53" s="179"/>
      <c r="Z53" s="96"/>
      <c r="AA53" s="161"/>
      <c r="AB53" s="96"/>
      <c r="AD53" s="96"/>
      <c r="AMB53"/>
    </row>
    <row r="54" spans="1:1016" s="117" customFormat="1" ht="12" customHeight="1">
      <c r="A54" s="123"/>
      <c r="B54" s="123"/>
      <c r="C54" s="123"/>
      <c r="D54" s="123"/>
      <c r="E54" s="123"/>
      <c r="F54" s="123"/>
      <c r="G54" s="112"/>
      <c r="H54" s="112"/>
      <c r="I54" s="276"/>
      <c r="J54" s="112"/>
      <c r="K54" s="161"/>
      <c r="L54" s="112"/>
      <c r="M54" s="112"/>
      <c r="N54" s="112"/>
      <c r="O54" s="112"/>
      <c r="P54" s="190"/>
      <c r="Q54" s="112"/>
      <c r="R54" s="125"/>
      <c r="S54" s="112"/>
      <c r="T54" s="125"/>
      <c r="U54" s="112"/>
      <c r="V54" s="112"/>
      <c r="W54" s="112"/>
      <c r="X54"/>
      <c r="Y54" s="180"/>
      <c r="Z54" s="112"/>
      <c r="AA54" s="161"/>
      <c r="AB54" s="112"/>
      <c r="AD54" s="112"/>
      <c r="AMB54"/>
    </row>
    <row r="55" spans="1:1016" s="117" customFormat="1" ht="12" customHeight="1">
      <c r="A55" s="123"/>
      <c r="B55" s="123"/>
      <c r="C55" s="123"/>
      <c r="D55" s="123"/>
      <c r="E55" s="123"/>
      <c r="F55" s="123"/>
      <c r="G55" s="112"/>
      <c r="H55" s="112"/>
      <c r="I55" s="276"/>
      <c r="J55" s="112"/>
      <c r="K55" s="161"/>
      <c r="L55" s="112"/>
      <c r="M55" s="112"/>
      <c r="N55" s="112"/>
      <c r="O55" s="112"/>
      <c r="P55" s="190"/>
      <c r="Q55" s="112"/>
      <c r="R55" s="125"/>
      <c r="S55" s="112"/>
      <c r="T55" s="125"/>
      <c r="U55" s="112"/>
      <c r="V55" s="112"/>
      <c r="W55" s="112"/>
      <c r="X55"/>
      <c r="Y55" s="180"/>
      <c r="Z55" s="112"/>
      <c r="AA55" s="161"/>
      <c r="AB55" s="112"/>
      <c r="AD55" s="112"/>
      <c r="AMB55"/>
    </row>
    <row r="56" spans="1:1016" s="117" customFormat="1" ht="12" customHeight="1">
      <c r="A56" s="123"/>
      <c r="B56" s="123"/>
      <c r="C56" s="123"/>
      <c r="D56" s="123"/>
      <c r="E56" s="123"/>
      <c r="F56" s="123"/>
      <c r="G56" s="112"/>
      <c r="H56" s="112"/>
      <c r="I56" s="276"/>
      <c r="J56" s="112"/>
      <c r="K56" s="161"/>
      <c r="L56" s="112"/>
      <c r="M56" s="112"/>
      <c r="N56" s="112"/>
      <c r="O56" s="112"/>
      <c r="P56" s="190"/>
      <c r="Q56" s="112"/>
      <c r="R56" s="125"/>
      <c r="S56" s="112"/>
      <c r="T56" s="125"/>
      <c r="U56" s="112"/>
      <c r="V56" s="112"/>
      <c r="W56" s="112"/>
      <c r="X56"/>
      <c r="Y56" s="180"/>
      <c r="Z56" s="112"/>
      <c r="AA56" s="161"/>
      <c r="AB56" s="112"/>
      <c r="AD56" s="112"/>
      <c r="AMB56"/>
    </row>
    <row r="57" spans="1:1016" s="117" customFormat="1" ht="12" customHeight="1">
      <c r="A57" s="123"/>
      <c r="B57" s="123"/>
      <c r="C57" s="123"/>
      <c r="D57" s="123"/>
      <c r="E57" s="123"/>
      <c r="F57" s="123"/>
      <c r="G57" s="112"/>
      <c r="H57" s="112"/>
      <c r="I57" s="276"/>
      <c r="J57" s="112"/>
      <c r="K57" s="161"/>
      <c r="L57" s="112"/>
      <c r="M57" s="112"/>
      <c r="N57" s="112"/>
      <c r="O57" s="112"/>
      <c r="P57" s="190"/>
      <c r="Q57" s="112"/>
      <c r="R57" s="125"/>
      <c r="S57" s="112"/>
      <c r="T57" s="125"/>
      <c r="U57" s="112"/>
      <c r="V57" s="112"/>
      <c r="W57" s="112"/>
      <c r="X57"/>
      <c r="Y57" s="180"/>
      <c r="Z57" s="112"/>
      <c r="AA57" s="161"/>
      <c r="AB57" s="112"/>
      <c r="AD57" s="112"/>
      <c r="AMB57"/>
    </row>
    <row r="58" spans="1:1016" s="117" customFormat="1" ht="12" customHeight="1">
      <c r="A58" s="123"/>
      <c r="B58" s="123"/>
      <c r="C58" s="123"/>
      <c r="D58" s="123"/>
      <c r="E58" s="123"/>
      <c r="F58" s="123"/>
      <c r="G58" s="112"/>
      <c r="H58" s="112"/>
      <c r="I58" s="276"/>
      <c r="J58" s="112"/>
      <c r="K58" s="161"/>
      <c r="L58" s="112"/>
      <c r="M58" s="112"/>
      <c r="N58" s="112"/>
      <c r="O58" s="112"/>
      <c r="P58" s="190"/>
      <c r="Q58" s="112"/>
      <c r="R58" s="125"/>
      <c r="S58" s="112"/>
      <c r="T58" s="125"/>
      <c r="U58" s="112"/>
      <c r="V58" s="112"/>
      <c r="W58" s="112"/>
      <c r="X58"/>
      <c r="Y58" s="180"/>
      <c r="Z58" s="112"/>
      <c r="AA58" s="161"/>
      <c r="AB58" s="112"/>
      <c r="AD58" s="112"/>
      <c r="AMB58"/>
    </row>
    <row r="59" spans="1:1016" ht="12" customHeight="1">
      <c r="A59" s="123"/>
      <c r="B59" s="123"/>
      <c r="C59" s="123"/>
      <c r="D59" s="123"/>
      <c r="E59" s="123"/>
      <c r="F59" s="123"/>
      <c r="G59" s="112"/>
      <c r="H59" s="112"/>
      <c r="I59" s="276"/>
      <c r="J59" s="112"/>
      <c r="K59" s="161"/>
      <c r="L59" s="112"/>
      <c r="M59" s="112"/>
      <c r="N59" s="112"/>
      <c r="O59" s="112"/>
      <c r="P59" s="190"/>
      <c r="Q59" s="112"/>
      <c r="R59" s="125"/>
      <c r="S59" s="112"/>
      <c r="T59" s="125"/>
      <c r="U59" s="112"/>
      <c r="V59" s="112"/>
      <c r="W59" s="112"/>
      <c r="Y59" s="180"/>
      <c r="Z59" s="112"/>
      <c r="AB59" s="112"/>
      <c r="AD59" s="112"/>
    </row>
    <row r="60" spans="1:1016" ht="12" customHeight="1">
      <c r="A60" s="123"/>
      <c r="B60" s="123"/>
      <c r="C60" s="123"/>
      <c r="D60" s="123"/>
      <c r="E60" s="123"/>
      <c r="F60" s="123"/>
      <c r="G60" s="112"/>
      <c r="H60" s="112"/>
      <c r="I60" s="276"/>
      <c r="J60" s="112"/>
      <c r="K60" s="161"/>
      <c r="L60" s="112"/>
      <c r="M60" s="112"/>
      <c r="N60" s="112"/>
      <c r="O60" s="112"/>
      <c r="P60" s="190"/>
      <c r="Q60" s="112"/>
      <c r="R60" s="125"/>
      <c r="S60" s="112"/>
      <c r="T60" s="125"/>
      <c r="U60" s="112"/>
      <c r="V60" s="112"/>
      <c r="W60" s="112"/>
      <c r="Y60" s="180"/>
      <c r="Z60" s="112"/>
      <c r="AB60" s="112"/>
      <c r="AD60" s="112"/>
    </row>
    <row r="61" spans="1:1016" ht="12" customHeight="1">
      <c r="A61" s="130"/>
      <c r="B61" s="130"/>
      <c r="C61" s="130"/>
      <c r="D61" s="130"/>
      <c r="E61" s="130"/>
      <c r="F61" s="130"/>
    </row>
    <row r="62" spans="1:1016" ht="12" customHeight="1">
      <c r="A62" s="130"/>
      <c r="B62" s="130"/>
      <c r="C62" s="130"/>
      <c r="D62" s="130"/>
      <c r="E62" s="130"/>
      <c r="F62" s="130"/>
    </row>
    <row r="63" spans="1:1016" ht="12" customHeight="1">
      <c r="A63" s="130"/>
      <c r="B63" s="130"/>
      <c r="C63" s="130"/>
      <c r="D63" s="130"/>
      <c r="E63" s="130"/>
      <c r="F63" s="130"/>
    </row>
    <row r="64" spans="1:1016" ht="12" customHeight="1">
      <c r="A64" s="136"/>
      <c r="B64" s="136"/>
      <c r="C64" s="136"/>
      <c r="D64" s="136"/>
      <c r="E64" s="136"/>
      <c r="F64" s="136"/>
    </row>
    <row r="65" spans="1:6" ht="12" customHeight="1">
      <c r="A65" s="136"/>
      <c r="B65" s="136"/>
      <c r="C65" s="136"/>
      <c r="D65" s="136"/>
      <c r="E65" s="136"/>
      <c r="F65" s="136"/>
    </row>
  </sheetData>
  <mergeCells count="3">
    <mergeCell ref="L7:O7"/>
    <mergeCell ref="V7:W7"/>
    <mergeCell ref="AC7:AD7"/>
  </mergeCells>
  <conditionalFormatting sqref="A16:F17 A37:F877">
    <cfRule type="expression" dxfId="360" priority="15">
      <formula>OR($AD16="X",$AB16="X")</formula>
    </cfRule>
    <cfRule type="expression" dxfId="359" priority="16">
      <formula>AND($AD16=1,$AB16=1)</formula>
    </cfRule>
    <cfRule type="expression" dxfId="358" priority="17">
      <formula>$AD16=1</formula>
    </cfRule>
    <cfRule type="expression" dxfId="357" priority="18">
      <formula>$AB16=1</formula>
    </cfRule>
  </conditionalFormatting>
  <conditionalFormatting sqref="F1:F2">
    <cfRule type="dataBar" priority="13">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H16:H17 H37:H877">
    <cfRule type="expression" dxfId="356" priority="14">
      <formula>$Q16="X"</formula>
    </cfRule>
  </conditionalFormatting>
  <conditionalFormatting sqref="Q9:Q14">
    <cfRule type="cellIs" dxfId="355" priority="7" operator="equal">
      <formula>"1..1"</formula>
    </cfRule>
    <cfRule type="cellIs" dxfId="354" priority="8" operator="equal">
      <formula>"0..n"</formula>
    </cfRule>
    <cfRule type="cellIs" dxfId="353" priority="9" operator="equal">
      <formula>"0..1"</formula>
    </cfRule>
  </conditionalFormatting>
  <conditionalFormatting sqref="T9:T11">
    <cfRule type="cellIs" dxfId="352" priority="10" operator="equal">
      <formula>"1..1"</formula>
    </cfRule>
    <cfRule type="cellIs" dxfId="351" priority="11" operator="equal">
      <formula>"0..n"</formula>
    </cfRule>
    <cfRule type="cellIs" dxfId="350" priority="12"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C69"/>
  <sheetViews>
    <sheetView topLeftCell="A6" workbookViewId="0">
      <selection activeCell="C33" sqref="C33"/>
    </sheetView>
  </sheetViews>
  <sheetFormatPr baseColWidth="10" defaultColWidth="9.5" defaultRowHeight="15"/>
  <cols>
    <col min="1" max="1" width="4.625" style="128" customWidth="1"/>
    <col min="2" max="2" width="39.625" style="128" bestFit="1" customWidth="1"/>
    <col min="3" max="3" width="29.375" style="128" customWidth="1"/>
    <col min="4" max="5" width="11.625" style="128" customWidth="1"/>
    <col min="6" max="6" width="8.625" style="128" customWidth="1"/>
    <col min="7" max="7" width="10.125" style="96" customWidth="1"/>
    <col min="8" max="8" width="53.125" style="96" customWidth="1"/>
    <col min="9" max="9" width="33.5" style="225" customWidth="1"/>
    <col min="10" max="10" width="12" style="96"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7"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2534</v>
      </c>
      <c r="C1" s="129" t="s">
        <v>812</v>
      </c>
      <c r="E1" s="150" t="s">
        <v>813</v>
      </c>
      <c r="F1" s="157">
        <f>createCase29[[#Totals],[Métier]] / createCase29[[#Totals],[ID]]</f>
        <v>0</v>
      </c>
      <c r="G1" s="128"/>
      <c r="AC1" s="96"/>
      <c r="AE1"/>
      <c r="AF1" s="128"/>
      <c r="ALZ1"/>
    </row>
    <row r="2" spans="1:1014" ht="13.5" customHeight="1">
      <c r="C2" s="141" t="s">
        <v>817</v>
      </c>
      <c r="D2" s="284"/>
      <c r="E2" s="152" t="s">
        <v>818</v>
      </c>
      <c r="F2" s="157">
        <f>createCase29[[#Totals],[NexSIS]] / createCase29[[#Totals],[ID]]</f>
        <v>0</v>
      </c>
      <c r="G2" s="128"/>
      <c r="AC2" s="96"/>
      <c r="AE2"/>
      <c r="AF2" s="128"/>
      <c r="ALZ2"/>
    </row>
    <row r="3" spans="1:1014" ht="13.5" customHeight="1">
      <c r="C3" s="142" t="s">
        <v>820</v>
      </c>
      <c r="E3" s="151" t="s">
        <v>821</v>
      </c>
      <c r="G3" s="128"/>
      <c r="AC3" s="96"/>
      <c r="AE3"/>
      <c r="AF3" s="128"/>
      <c r="ALZ3"/>
    </row>
    <row r="4" spans="1:1014" ht="13.5" customHeight="1">
      <c r="C4" s="143" t="s">
        <v>823</v>
      </c>
      <c r="E4" s="153" t="s">
        <v>824</v>
      </c>
      <c r="G4" s="137"/>
      <c r="AC4" s="96"/>
      <c r="AE4"/>
      <c r="AF4" s="128"/>
      <c r="ALZ4"/>
    </row>
    <row r="5" spans="1:1014" s="149" customFormat="1" ht="13.5" customHeight="1">
      <c r="A5" s="128"/>
      <c r="B5" s="128"/>
      <c r="C5" s="145" t="s">
        <v>825</v>
      </c>
      <c r="D5" s="146"/>
      <c r="E5" s="290" t="s">
        <v>911</v>
      </c>
      <c r="F5" s="146"/>
      <c r="G5" s="148"/>
      <c r="H5" s="148"/>
      <c r="I5" s="275"/>
      <c r="J5" s="148"/>
      <c r="K5" s="160"/>
      <c r="L5" s="148"/>
      <c r="M5" s="148"/>
      <c r="N5" s="148"/>
      <c r="O5" s="148"/>
      <c r="P5" s="186"/>
      <c r="Q5" s="148"/>
      <c r="R5" s="148"/>
      <c r="S5" s="148"/>
      <c r="T5" s="279"/>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826</v>
      </c>
      <c r="D6" s="138"/>
      <c r="F6" s="138"/>
      <c r="AC6" s="96"/>
      <c r="AE6"/>
      <c r="AF6" s="128"/>
      <c r="ALZ6"/>
    </row>
    <row r="7" spans="1:1014" ht="13.5" customHeight="1">
      <c r="A7"/>
      <c r="B7"/>
      <c r="C7" s="138"/>
      <c r="D7" s="377"/>
      <c r="E7" s="138"/>
      <c r="F7" s="138"/>
      <c r="L7" s="814" t="s">
        <v>827</v>
      </c>
      <c r="M7" s="814"/>
      <c r="N7" s="814"/>
      <c r="O7" s="814"/>
      <c r="V7" s="815" t="s">
        <v>828</v>
      </c>
      <c r="W7" s="815"/>
      <c r="AC7" s="814" t="s">
        <v>829</v>
      </c>
      <c r="AD7" s="814"/>
      <c r="AE7"/>
      <c r="AF7" s="128"/>
      <c r="ALZ7"/>
    </row>
    <row r="8" spans="1:1014" s="238" customFormat="1" ht="55.5" customHeight="1">
      <c r="A8" s="233" t="s">
        <v>830</v>
      </c>
      <c r="B8" s="381" t="s">
        <v>831</v>
      </c>
      <c r="C8" s="278" t="s">
        <v>832</v>
      </c>
      <c r="D8" s="278" t="s">
        <v>833</v>
      </c>
      <c r="E8" s="278" t="s">
        <v>834</v>
      </c>
      <c r="F8" s="278" t="s">
        <v>835</v>
      </c>
      <c r="G8" s="278" t="s">
        <v>836</v>
      </c>
      <c r="H8" s="234" t="s">
        <v>9</v>
      </c>
      <c r="I8" s="234" t="s">
        <v>837</v>
      </c>
      <c r="J8" s="234" t="s">
        <v>840</v>
      </c>
      <c r="K8" s="234" t="s">
        <v>841</v>
      </c>
      <c r="L8" s="235" t="s">
        <v>842</v>
      </c>
      <c r="M8" s="235" t="s">
        <v>843</v>
      </c>
      <c r="N8" s="235" t="s">
        <v>844</v>
      </c>
      <c r="O8" s="235" t="s">
        <v>845</v>
      </c>
      <c r="P8" s="235" t="s">
        <v>846</v>
      </c>
      <c r="Q8" s="234" t="s">
        <v>677</v>
      </c>
      <c r="R8" s="234" t="s">
        <v>3</v>
      </c>
      <c r="S8" s="234" t="s">
        <v>912</v>
      </c>
      <c r="T8" s="283" t="s">
        <v>913</v>
      </c>
      <c r="U8" s="234" t="s">
        <v>848</v>
      </c>
      <c r="V8" s="229" t="s">
        <v>849</v>
      </c>
      <c r="W8" s="229" t="s">
        <v>850</v>
      </c>
      <c r="X8" s="230" t="s">
        <v>851</v>
      </c>
      <c r="Y8" s="235" t="s">
        <v>852</v>
      </c>
      <c r="Z8" s="235" t="s">
        <v>853</v>
      </c>
      <c r="AA8" s="236" t="s">
        <v>854</v>
      </c>
      <c r="AB8" s="235" t="s">
        <v>855</v>
      </c>
      <c r="AC8" s="235" t="s">
        <v>856</v>
      </c>
      <c r="AD8" s="237" t="s">
        <v>914</v>
      </c>
    </row>
    <row r="9" spans="1:1014" s="224" customFormat="1" ht="13.5" customHeight="1">
      <c r="A9" s="225">
        <v>1</v>
      </c>
      <c r="B9" s="217"/>
      <c r="C9" s="240"/>
      <c r="D9" s="677"/>
      <c r="E9" s="677"/>
      <c r="F9" s="677"/>
      <c r="G9" s="677"/>
      <c r="H9" s="668"/>
      <c r="I9" s="316"/>
      <c r="J9" s="668"/>
      <c r="K9" s="666"/>
      <c r="L9" s="668"/>
      <c r="M9" s="668"/>
      <c r="N9" s="668"/>
      <c r="O9" s="668"/>
      <c r="P9" s="669"/>
      <c r="Q9" s="668"/>
      <c r="R9" s="668"/>
      <c r="S9" s="668"/>
      <c r="T9" s="670"/>
      <c r="U9" s="668"/>
      <c r="V9" s="667"/>
      <c r="W9" s="667"/>
      <c r="X9" s="232"/>
      <c r="Y9" s="671"/>
      <c r="Z9" s="668"/>
      <c r="AA9" s="672"/>
      <c r="AB9" s="668"/>
      <c r="AC9" s="670"/>
      <c r="AD9" s="670"/>
    </row>
    <row r="10" spans="1:1014" s="224" customFormat="1" ht="13.5" customHeight="1">
      <c r="A10" s="225">
        <v>2</v>
      </c>
      <c r="B10" s="253"/>
      <c r="C10" s="221"/>
      <c r="D10" s="221"/>
      <c r="E10" s="221"/>
      <c r="F10" s="221"/>
      <c r="G10" s="221"/>
      <c r="H10" s="668"/>
      <c r="I10" s="131"/>
      <c r="J10" s="668"/>
      <c r="K10" s="666"/>
      <c r="L10" s="668"/>
      <c r="M10" s="668"/>
      <c r="N10" s="668"/>
      <c r="O10" s="668"/>
      <c r="P10" s="669"/>
      <c r="Q10" s="668"/>
      <c r="R10" s="668"/>
      <c r="S10" s="668"/>
      <c r="T10" s="670"/>
      <c r="U10" s="668"/>
      <c r="V10" s="667"/>
      <c r="W10" s="667"/>
      <c r="X10" s="232"/>
      <c r="Y10" s="671"/>
      <c r="Z10" s="668"/>
      <c r="AA10" s="672"/>
      <c r="AB10" s="668"/>
      <c r="AC10" s="670"/>
      <c r="AD10" s="670"/>
    </row>
    <row r="11" spans="1:1014" s="224" customFormat="1" ht="13.5" customHeight="1">
      <c r="A11" s="225">
        <v>3</v>
      </c>
      <c r="B11" s="217"/>
      <c r="C11" s="240"/>
      <c r="D11" s="241"/>
      <c r="E11" s="241"/>
      <c r="F11" s="241"/>
      <c r="G11" s="241"/>
      <c r="H11" s="668"/>
      <c r="I11" s="666"/>
      <c r="J11" s="668"/>
      <c r="K11" s="666"/>
      <c r="L11" s="668"/>
      <c r="M11" s="668"/>
      <c r="N11" s="668"/>
      <c r="O11" s="668"/>
      <c r="P11" s="669"/>
      <c r="Q11" s="668"/>
      <c r="R11" s="668"/>
      <c r="S11" s="668"/>
      <c r="T11" s="670"/>
      <c r="U11" s="668"/>
      <c r="V11" s="667"/>
      <c r="W11" s="667"/>
      <c r="X11" s="232"/>
      <c r="Y11" s="671"/>
      <c r="Z11" s="668"/>
      <c r="AA11" s="672"/>
      <c r="AB11" s="668"/>
      <c r="AC11" s="670"/>
      <c r="AD11" s="670"/>
    </row>
    <row r="12" spans="1:1014" s="224" customFormat="1" ht="13.5" customHeight="1">
      <c r="A12" s="225">
        <v>4</v>
      </c>
      <c r="B12" s="217"/>
      <c r="C12" s="240"/>
      <c r="D12" s="241"/>
      <c r="E12" s="241"/>
      <c r="F12" s="241"/>
      <c r="G12" s="241"/>
      <c r="H12" s="668"/>
      <c r="I12" s="666"/>
      <c r="J12" s="668"/>
      <c r="K12" s="666"/>
      <c r="L12" s="668"/>
      <c r="M12" s="668"/>
      <c r="N12" s="668"/>
      <c r="O12" s="668"/>
      <c r="P12" s="669"/>
      <c r="Q12" s="668"/>
      <c r="R12" s="668"/>
      <c r="S12" s="668"/>
      <c r="T12" s="670"/>
      <c r="U12" s="668"/>
      <c r="V12" s="667"/>
      <c r="W12" s="667"/>
      <c r="X12" s="232"/>
      <c r="Y12" s="671"/>
      <c r="Z12" s="668"/>
      <c r="AA12" s="672"/>
      <c r="AB12" s="668"/>
      <c r="AC12" s="670"/>
      <c r="AD12" s="670"/>
    </row>
    <row r="13" spans="1:1014" s="224" customFormat="1" ht="13.5" customHeight="1">
      <c r="A13" s="225">
        <v>5</v>
      </c>
      <c r="B13" s="217"/>
      <c r="C13" s="677"/>
      <c r="D13" s="241"/>
      <c r="E13" s="241"/>
      <c r="F13" s="241"/>
      <c r="G13" s="241"/>
      <c r="H13" s="668"/>
      <c r="I13" s="666"/>
      <c r="J13" s="668"/>
      <c r="K13" s="666"/>
      <c r="L13" s="668"/>
      <c r="M13" s="668"/>
      <c r="N13" s="668"/>
      <c r="O13" s="668"/>
      <c r="P13" s="669"/>
      <c r="Q13" s="668"/>
      <c r="R13" s="668"/>
      <c r="S13" s="243"/>
      <c r="T13" s="670"/>
      <c r="U13" s="668"/>
      <c r="V13" s="667"/>
      <c r="W13" s="667"/>
      <c r="X13" s="232"/>
      <c r="Y13" s="671"/>
      <c r="Z13" s="668"/>
      <c r="AA13" s="672"/>
      <c r="AB13" s="668"/>
      <c r="AC13" s="670"/>
      <c r="AD13" s="670"/>
    </row>
    <row r="14" spans="1:1014" s="224" customFormat="1" ht="13.5" customHeight="1">
      <c r="A14" s="225">
        <v>6</v>
      </c>
      <c r="B14" s="217"/>
      <c r="C14" s="677"/>
      <c r="D14" s="241"/>
      <c r="E14" s="241"/>
      <c r="F14" s="241"/>
      <c r="G14" s="241"/>
      <c r="H14" s="668"/>
      <c r="I14" s="666"/>
      <c r="J14" s="668"/>
      <c r="K14" s="666"/>
      <c r="L14" s="668"/>
      <c r="M14" s="668"/>
      <c r="N14" s="668"/>
      <c r="O14" s="668"/>
      <c r="P14" s="669"/>
      <c r="Q14" s="668"/>
      <c r="R14" s="668"/>
      <c r="S14" s="668"/>
      <c r="T14" s="670"/>
      <c r="U14" s="668"/>
      <c r="V14" s="667"/>
      <c r="W14" s="667"/>
      <c r="X14" s="232"/>
      <c r="Y14" s="671"/>
      <c r="Z14" s="668"/>
      <c r="AA14" s="672"/>
      <c r="AB14" s="668"/>
      <c r="AC14" s="670"/>
      <c r="AD14" s="670"/>
    </row>
    <row r="15" spans="1:1014" s="224" customFormat="1" ht="13.5" customHeight="1">
      <c r="A15" s="225">
        <v>7</v>
      </c>
      <c r="B15" s="217"/>
      <c r="C15" s="677"/>
      <c r="D15" s="241"/>
      <c r="E15" s="241"/>
      <c r="F15" s="241"/>
      <c r="G15" s="241"/>
      <c r="H15" s="668"/>
      <c r="I15" s="666"/>
      <c r="J15" s="668"/>
      <c r="K15" s="666"/>
      <c r="L15" s="668"/>
      <c r="M15" s="668"/>
      <c r="N15" s="668"/>
      <c r="O15" s="668"/>
      <c r="P15" s="669"/>
      <c r="Q15" s="668"/>
      <c r="R15" s="668"/>
      <c r="S15" s="668"/>
      <c r="T15" s="670"/>
      <c r="U15" s="668"/>
      <c r="V15" s="667"/>
      <c r="W15" s="667"/>
      <c r="X15" s="232"/>
      <c r="Y15" s="671"/>
      <c r="Z15" s="668"/>
      <c r="AA15" s="672"/>
      <c r="AB15" s="668"/>
      <c r="AC15" s="670"/>
      <c r="AD15" s="670"/>
    </row>
    <row r="16" spans="1:1014" s="224" customFormat="1" ht="13.5" customHeight="1">
      <c r="A16" s="225">
        <v>8</v>
      </c>
      <c r="B16" s="217"/>
      <c r="C16" s="677"/>
      <c r="D16" s="241"/>
      <c r="E16" s="241"/>
      <c r="F16" s="241"/>
      <c r="G16" s="241"/>
      <c r="H16" s="668"/>
      <c r="I16" s="666"/>
      <c r="J16" s="668"/>
      <c r="K16" s="666"/>
      <c r="L16" s="668"/>
      <c r="M16" s="668"/>
      <c r="N16" s="668"/>
      <c r="O16" s="668"/>
      <c r="P16" s="669"/>
      <c r="Q16" s="668"/>
      <c r="R16" s="668"/>
      <c r="S16" s="668"/>
      <c r="T16" s="670"/>
      <c r="U16" s="668"/>
      <c r="V16" s="667"/>
      <c r="W16" s="667"/>
      <c r="X16" s="232"/>
      <c r="Y16" s="671"/>
      <c r="Z16" s="668"/>
      <c r="AA16" s="672"/>
      <c r="AB16" s="668"/>
      <c r="AC16" s="670"/>
      <c r="AD16" s="670"/>
    </row>
    <row r="17" spans="1:1017" s="224" customFormat="1" ht="13.5" customHeight="1">
      <c r="A17" s="225">
        <v>9</v>
      </c>
      <c r="B17" s="217"/>
      <c r="C17" s="677"/>
      <c r="D17" s="241"/>
      <c r="E17" s="241"/>
      <c r="F17" s="241"/>
      <c r="G17" s="241"/>
      <c r="H17" s="668"/>
      <c r="I17" s="666"/>
      <c r="J17" s="668"/>
      <c r="K17" s="666"/>
      <c r="L17" s="668"/>
      <c r="M17" s="668"/>
      <c r="N17" s="668"/>
      <c r="O17" s="668"/>
      <c r="P17" s="669"/>
      <c r="Q17" s="668"/>
      <c r="R17" s="668"/>
      <c r="S17" s="668"/>
      <c r="T17" s="670"/>
      <c r="U17" s="668"/>
      <c r="V17" s="667"/>
      <c r="W17" s="667"/>
      <c r="X17" s="232"/>
      <c r="Y17" s="671"/>
      <c r="Z17" s="668"/>
      <c r="AA17" s="672"/>
      <c r="AB17" s="668"/>
      <c r="AC17" s="670"/>
      <c r="AD17" s="670"/>
    </row>
    <row r="18" spans="1:1017" s="224" customFormat="1" ht="13.5" customHeight="1">
      <c r="A18" s="225">
        <v>10</v>
      </c>
      <c r="B18" s="217"/>
      <c r="C18" s="677"/>
      <c r="D18" s="241"/>
      <c r="E18" s="241"/>
      <c r="F18" s="241"/>
      <c r="G18" s="241"/>
      <c r="H18" s="668"/>
      <c r="I18" s="666"/>
      <c r="J18" s="668"/>
      <c r="K18" s="666"/>
      <c r="L18" s="668"/>
      <c r="M18" s="668"/>
      <c r="N18" s="668"/>
      <c r="O18" s="668"/>
      <c r="P18" s="669"/>
      <c r="Q18" s="668"/>
      <c r="R18" s="668"/>
      <c r="S18" s="668"/>
      <c r="T18" s="670"/>
      <c r="U18" s="668"/>
      <c r="V18" s="667"/>
      <c r="W18" s="667"/>
      <c r="X18" s="232"/>
      <c r="Y18" s="671"/>
      <c r="Z18" s="668"/>
      <c r="AA18" s="672"/>
      <c r="AB18" s="668"/>
      <c r="AC18" s="670"/>
      <c r="AD18" s="670"/>
    </row>
    <row r="19" spans="1:1017" s="224" customFormat="1" ht="12" customHeight="1">
      <c r="A19" s="225">
        <f>SUBTOTAL(103,createCase29[ID])</f>
        <v>10</v>
      </c>
      <c r="C19" s="225">
        <f>SUBTOTAL(103,createCase29[Donnée (Niveau 2)])</f>
        <v>0</v>
      </c>
      <c r="D19" s="225">
        <f>SUBTOTAL(103,createCase29[Donnée (Niveau 3)])</f>
        <v>0</v>
      </c>
      <c r="E19" s="225">
        <f>SUBTOTAL(103,createCase29[Donnée (Niveau 4)])</f>
        <v>0</v>
      </c>
      <c r="F19" s="225">
        <f>SUBTOTAL(103,createCase29[Donnée (Niveau 5)])</f>
        <v>0</v>
      </c>
      <c r="G19" s="225">
        <f>SUBTOTAL(103,createCase29[Donnée (Niveau 6)])</f>
        <v>0</v>
      </c>
      <c r="H19" s="225">
        <f>SUBTOTAL(103,createCase29[Description])</f>
        <v>0</v>
      </c>
      <c r="I19" s="225">
        <f>SUBTOTAL(103,createCase29[Exemples])</f>
        <v>0</v>
      </c>
      <c r="J19" s="225">
        <f>SUBTOTAL(103,createCase29[Balise NexSIS])</f>
        <v>0</v>
      </c>
      <c r="K19" s="239">
        <f>SUBTOTAL(103,createCase29[Nouvelle balise])</f>
        <v>0</v>
      </c>
      <c r="L19" s="225">
        <f>SUBTOTAL(103,createCase29[Nantes - balise])</f>
        <v>0</v>
      </c>
      <c r="M19" s="225">
        <f>SUBTOTAL(103,createCase29[Nantes - description])</f>
        <v>0</v>
      </c>
      <c r="N19" s="225">
        <f>SUBTOTAL(103,createCase29[GT399])</f>
        <v>0</v>
      </c>
      <c r="O19" s="225">
        <f>SUBTOTAL(103,createCase29[GT399 description])</f>
        <v>0</v>
      </c>
      <c r="P19" s="234">
        <f>SUBTOTAL(103,createCase29[Priorisation])</f>
        <v>0</v>
      </c>
      <c r="Q19" s="225"/>
      <c r="R19" s="225">
        <f>SUBTOTAL(103,createCase29[Objet])</f>
        <v>0</v>
      </c>
      <c r="S19" s="225">
        <f>SUBTOTAL(103,createCase29[Format (ou type)])</f>
        <v>0</v>
      </c>
      <c r="T19" s="274"/>
      <c r="U19" s="225"/>
      <c r="V19" s="225"/>
      <c r="W19" s="225"/>
      <c r="Y19" s="271">
        <f>SUBTOTAL(103,createCase29[Commentaire Hub Santé])</f>
        <v>0</v>
      </c>
      <c r="Z19" s="225">
        <f>SUBTOTAL(103,createCase29[Commentaire Philippe Dreyfus])</f>
        <v>0</v>
      </c>
      <c r="AA19" s="239"/>
      <c r="AB19" s="225">
        <f>SUBTOTAL(103,createCase29[Commentaire Yann Penverne])</f>
        <v>0</v>
      </c>
      <c r="AC19" s="225">
        <f>SUBTOTAL(103,createCase29[NexSIS])-COUNTIFS(createCase29[NexSIS],"=X")</f>
        <v>0</v>
      </c>
      <c r="AD19" s="225">
        <f>SUBTOTAL(103,createCase29[Métier])-COUNTIFS(createCase29[Métier],"=X")</f>
        <v>0</v>
      </c>
    </row>
    <row r="20" spans="1:1017" s="128" customFormat="1" ht="12" customHeight="1">
      <c r="A20" s="3"/>
      <c r="B20" s="3"/>
      <c r="C20" s="131"/>
      <c r="D20" s="131"/>
      <c r="E20" s="131"/>
      <c r="F20" s="131"/>
      <c r="G20" s="5"/>
      <c r="H20" s="155"/>
      <c r="I20" s="225"/>
      <c r="J20" s="5"/>
      <c r="K20" s="155"/>
      <c r="L20" s="5"/>
      <c r="M20" s="5"/>
      <c r="N20" s="5"/>
      <c r="O20" s="5"/>
      <c r="P20" s="188"/>
      <c r="Q20" s="5"/>
      <c r="R20" s="5"/>
      <c r="S20" s="5"/>
      <c r="T20" s="56"/>
      <c r="U20" s="56"/>
      <c r="V20" s="56"/>
      <c r="W20" s="56"/>
      <c r="X20"/>
      <c r="Y20" s="178"/>
      <c r="Z20" s="5"/>
      <c r="AA20" s="159"/>
      <c r="AB20" s="56"/>
      <c r="AD20" s="56"/>
      <c r="AMA20"/>
      <c r="AMB20"/>
      <c r="AMC20"/>
    </row>
    <row r="21" spans="1:1017" s="128" customFormat="1" ht="12" customHeight="1">
      <c r="A21" s="129"/>
      <c r="B21" s="129"/>
      <c r="C21" s="129"/>
      <c r="D21" s="129"/>
      <c r="E21" s="129"/>
      <c r="F21" s="129"/>
      <c r="G21" s="96"/>
      <c r="H21" s="96"/>
      <c r="I21" s="225"/>
      <c r="J21" s="96"/>
      <c r="K21" s="159"/>
      <c r="L21" s="96"/>
      <c r="M21" s="96"/>
      <c r="N21" s="96"/>
      <c r="O21" s="96"/>
      <c r="P21" s="173"/>
      <c r="Q21" s="96"/>
      <c r="R21" s="96"/>
      <c r="S21" s="96"/>
      <c r="T21" s="277"/>
      <c r="U21" s="96"/>
      <c r="V21" s="96"/>
      <c r="W21" s="96"/>
      <c r="X21"/>
      <c r="Y21" s="179"/>
      <c r="Z21" s="96"/>
      <c r="AA21" s="159"/>
      <c r="AB21" s="96"/>
      <c r="AD21" s="96"/>
      <c r="AMA21"/>
      <c r="AMB21"/>
      <c r="AMC21"/>
    </row>
    <row r="22" spans="1:1017" s="128" customFormat="1" ht="12" customHeight="1">
      <c r="I22" s="224"/>
      <c r="P22" s="174"/>
      <c r="R22" s="96"/>
      <c r="S22" s="96"/>
      <c r="T22" s="277"/>
      <c r="U22" s="96"/>
      <c r="V22" s="96"/>
      <c r="W22" s="96"/>
      <c r="X22"/>
      <c r="Y22" s="179"/>
      <c r="Z22" s="96"/>
      <c r="AA22" s="159"/>
      <c r="AB22" s="96"/>
      <c r="AD22" s="96"/>
      <c r="AMA22"/>
      <c r="AMB22"/>
      <c r="AMC22"/>
    </row>
    <row r="23" spans="1:1017" s="128" customFormat="1" ht="12" customHeight="1">
      <c r="I23" s="224"/>
      <c r="P23" s="174"/>
      <c r="R23" s="96"/>
      <c r="S23" s="96"/>
      <c r="T23" s="277"/>
      <c r="U23" s="96"/>
      <c r="V23" s="96"/>
      <c r="W23" s="96"/>
      <c r="X23"/>
      <c r="Y23" s="179"/>
      <c r="Z23" s="96"/>
      <c r="AA23" s="159"/>
      <c r="AB23" s="96"/>
      <c r="AD23" s="96"/>
      <c r="AMA23"/>
      <c r="AMB23"/>
      <c r="AMC23"/>
    </row>
    <row r="24" spans="1:1017" s="128" customFormat="1" ht="12" customHeight="1">
      <c r="I24" s="224"/>
      <c r="P24" s="174"/>
      <c r="R24" s="96"/>
      <c r="S24" s="96"/>
      <c r="T24" s="277"/>
      <c r="U24" s="96"/>
      <c r="V24" s="96"/>
      <c r="W24" s="96"/>
      <c r="X24"/>
      <c r="Y24" s="179"/>
      <c r="Z24" s="96"/>
      <c r="AA24" s="159"/>
      <c r="AB24" s="96"/>
      <c r="AD24" s="96"/>
      <c r="AMA24"/>
      <c r="AMB24"/>
      <c r="AMC24"/>
    </row>
    <row r="25" spans="1:1017" s="128" customFormat="1" ht="12" customHeight="1">
      <c r="I25" s="224"/>
      <c r="P25" s="174"/>
      <c r="R25" s="96"/>
      <c r="S25" s="96"/>
      <c r="T25" s="277"/>
      <c r="U25" s="96"/>
      <c r="V25" s="96"/>
      <c r="W25" s="96"/>
      <c r="X25"/>
      <c r="Y25" s="179"/>
      <c r="Z25" s="96"/>
      <c r="AA25" s="159"/>
      <c r="AB25" s="96"/>
      <c r="AD25" s="96"/>
      <c r="AMA25"/>
      <c r="AMB25"/>
      <c r="AMC25"/>
    </row>
    <row r="26" spans="1:1017" ht="12" customHeight="1">
      <c r="G26" s="128"/>
      <c r="H26" s="128"/>
      <c r="I26" s="224"/>
      <c r="J26" s="128"/>
      <c r="K26" s="128"/>
      <c r="L26" s="128"/>
      <c r="M26" s="128"/>
      <c r="N26" s="128"/>
      <c r="O26" s="128"/>
      <c r="P26" s="174"/>
      <c r="Q26" s="128"/>
    </row>
    <row r="27" spans="1:1017" s="117" customFormat="1" ht="12" customHeight="1">
      <c r="A27" s="128"/>
      <c r="B27" s="128"/>
      <c r="C27" s="128"/>
      <c r="D27" s="128"/>
      <c r="E27" s="128"/>
      <c r="F27" s="128"/>
      <c r="G27" s="96"/>
      <c r="H27" s="96"/>
      <c r="I27" s="225"/>
      <c r="J27" s="96"/>
      <c r="K27" s="159"/>
      <c r="L27" s="96"/>
      <c r="M27" s="96"/>
      <c r="N27" s="96"/>
      <c r="O27" s="96"/>
      <c r="P27" s="173"/>
      <c r="Q27" s="96"/>
      <c r="R27" s="96"/>
      <c r="S27" s="96"/>
      <c r="T27" s="277"/>
      <c r="U27" s="96"/>
      <c r="V27" s="96"/>
      <c r="W27" s="96"/>
      <c r="X27"/>
      <c r="Y27" s="179"/>
      <c r="Z27" s="96"/>
      <c r="AA27" s="161"/>
      <c r="AB27" s="96"/>
      <c r="AD27" s="96"/>
      <c r="AMB27"/>
    </row>
    <row r="28" spans="1:1017" ht="12" customHeight="1">
      <c r="A28" s="117"/>
      <c r="B28" s="117"/>
      <c r="C28" s="117"/>
      <c r="D28" s="117"/>
      <c r="E28" s="117"/>
      <c r="F28" s="117"/>
      <c r="G28" s="117"/>
      <c r="H28" s="117"/>
      <c r="I28" s="251"/>
      <c r="J28" s="117"/>
      <c r="K28" s="117"/>
      <c r="L28" s="117"/>
      <c r="M28" s="117"/>
      <c r="N28" s="117"/>
      <c r="O28" s="117"/>
      <c r="P28" s="189"/>
      <c r="Q28" s="117"/>
    </row>
    <row r="29" spans="1:1017" ht="12" customHeight="1">
      <c r="R29" s="112"/>
      <c r="S29" s="112"/>
      <c r="T29" s="125"/>
      <c r="U29" s="112"/>
      <c r="V29" s="112"/>
      <c r="W29" s="112"/>
      <c r="Y29" s="180"/>
      <c r="Z29" s="112"/>
      <c r="AB29" s="112"/>
      <c r="AD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ht="12" customHeight="1">
      <c r="A52" s="129"/>
      <c r="B52" s="129"/>
      <c r="C52" s="129"/>
      <c r="D52" s="129"/>
      <c r="E52" s="129"/>
      <c r="F52" s="129"/>
    </row>
    <row r="53" spans="1:1016" ht="12" customHeight="1">
      <c r="A53" s="129"/>
      <c r="B53" s="129"/>
      <c r="C53" s="129"/>
      <c r="D53" s="129"/>
      <c r="E53" s="129"/>
      <c r="F53" s="129"/>
    </row>
    <row r="54" spans="1:1016" ht="12" customHeight="1">
      <c r="A54" s="129"/>
      <c r="B54" s="129"/>
      <c r="C54" s="129"/>
      <c r="D54" s="129"/>
      <c r="E54" s="129"/>
      <c r="F54" s="129"/>
    </row>
    <row r="55" spans="1:1016" ht="12" customHeight="1">
      <c r="A55" s="129"/>
      <c r="B55" s="129"/>
      <c r="C55" s="129"/>
      <c r="D55" s="129"/>
      <c r="E55" s="129"/>
      <c r="F55" s="129"/>
    </row>
    <row r="56" spans="1:1016" s="117" customFormat="1" ht="12" customHeight="1">
      <c r="A56" s="129"/>
      <c r="B56" s="129"/>
      <c r="C56" s="129"/>
      <c r="D56" s="129"/>
      <c r="E56" s="129"/>
      <c r="F56" s="129"/>
      <c r="G56" s="96"/>
      <c r="H56" s="96"/>
      <c r="I56" s="225"/>
      <c r="J56" s="96"/>
      <c r="K56" s="159"/>
      <c r="L56" s="96"/>
      <c r="M56" s="96"/>
      <c r="N56" s="96"/>
      <c r="O56" s="96"/>
      <c r="P56" s="173"/>
      <c r="Q56" s="96"/>
      <c r="R56" s="96"/>
      <c r="S56" s="96"/>
      <c r="T56" s="277"/>
      <c r="U56" s="96"/>
      <c r="V56" s="96"/>
      <c r="W56" s="96"/>
      <c r="X56"/>
      <c r="Y56" s="179"/>
      <c r="Z56" s="96"/>
      <c r="AA56" s="161"/>
      <c r="AB56" s="96"/>
      <c r="AD56" s="96"/>
      <c r="AMB56"/>
    </row>
    <row r="57" spans="1:1016" s="117" customFormat="1" ht="12" customHeight="1">
      <c r="A57" s="130"/>
      <c r="B57" s="130"/>
      <c r="C57" s="130"/>
      <c r="D57" s="130"/>
      <c r="E57" s="130"/>
      <c r="F57" s="130"/>
      <c r="G57" s="96"/>
      <c r="H57" s="96"/>
      <c r="I57" s="225"/>
      <c r="J57" s="96"/>
      <c r="K57" s="159"/>
      <c r="L57" s="96"/>
      <c r="M57" s="96"/>
      <c r="N57" s="96"/>
      <c r="O57" s="96"/>
      <c r="P57" s="173"/>
      <c r="Q57" s="96"/>
      <c r="R57" s="96"/>
      <c r="S57" s="96"/>
      <c r="T57" s="277"/>
      <c r="U57" s="96"/>
      <c r="V57" s="96"/>
      <c r="W57" s="96"/>
      <c r="X57"/>
      <c r="Y57" s="179"/>
      <c r="Z57" s="96"/>
      <c r="AA57" s="161"/>
      <c r="AB57" s="96"/>
      <c r="AD57" s="96"/>
      <c r="AMB57"/>
    </row>
    <row r="58" spans="1:1016" s="117" customFormat="1" ht="12" customHeight="1">
      <c r="A58" s="123"/>
      <c r="B58" s="123"/>
      <c r="C58" s="123"/>
      <c r="D58" s="123"/>
      <c r="E58" s="123"/>
      <c r="F58" s="123"/>
      <c r="G58" s="112"/>
      <c r="H58" s="112"/>
      <c r="I58" s="276"/>
      <c r="J58" s="112"/>
      <c r="K58" s="161"/>
      <c r="L58" s="112"/>
      <c r="M58" s="112"/>
      <c r="N58" s="112"/>
      <c r="O58" s="112"/>
      <c r="P58" s="190"/>
      <c r="Q58" s="112"/>
      <c r="R58" s="112"/>
      <c r="S58" s="112"/>
      <c r="T58" s="125"/>
      <c r="U58" s="112"/>
      <c r="V58" s="112"/>
      <c r="W58" s="112"/>
      <c r="X58"/>
      <c r="Y58" s="180"/>
      <c r="Z58" s="112"/>
      <c r="AA58" s="161"/>
      <c r="AB58" s="112"/>
      <c r="AD58" s="112"/>
      <c r="AMB58"/>
    </row>
    <row r="59" spans="1:1016" s="117" customFormat="1" ht="12" customHeight="1">
      <c r="A59" s="123"/>
      <c r="B59" s="123"/>
      <c r="C59" s="123"/>
      <c r="D59" s="123"/>
      <c r="E59" s="123"/>
      <c r="F59" s="123"/>
      <c r="G59" s="112"/>
      <c r="H59" s="112"/>
      <c r="I59" s="276"/>
      <c r="J59" s="112"/>
      <c r="K59" s="161"/>
      <c r="L59" s="112"/>
      <c r="M59" s="112"/>
      <c r="N59" s="112"/>
      <c r="O59" s="112"/>
      <c r="P59" s="190"/>
      <c r="Q59" s="112"/>
      <c r="R59" s="112"/>
      <c r="S59" s="112"/>
      <c r="T59" s="125"/>
      <c r="U59" s="112"/>
      <c r="V59" s="112"/>
      <c r="W59" s="112"/>
      <c r="X59"/>
      <c r="Y59" s="180"/>
      <c r="Z59" s="112"/>
      <c r="AA59" s="161"/>
      <c r="AB59" s="112"/>
      <c r="AD59" s="112"/>
      <c r="AMB59"/>
    </row>
    <row r="60" spans="1:1016" s="117" customFormat="1" ht="12" customHeight="1">
      <c r="A60" s="123"/>
      <c r="B60" s="123"/>
      <c r="C60" s="123"/>
      <c r="D60" s="123"/>
      <c r="E60" s="123"/>
      <c r="F60" s="123"/>
      <c r="G60" s="112"/>
      <c r="H60" s="112"/>
      <c r="I60" s="276"/>
      <c r="J60" s="112"/>
      <c r="K60" s="161"/>
      <c r="L60" s="112"/>
      <c r="M60" s="112"/>
      <c r="N60" s="112"/>
      <c r="O60" s="112"/>
      <c r="P60" s="190"/>
      <c r="Q60" s="112"/>
      <c r="R60" s="112"/>
      <c r="S60" s="112"/>
      <c r="T60" s="125"/>
      <c r="U60" s="112"/>
      <c r="V60" s="112"/>
      <c r="W60" s="112"/>
      <c r="X60"/>
      <c r="Y60" s="180"/>
      <c r="Z60" s="112"/>
      <c r="AA60" s="161"/>
      <c r="AB60" s="112"/>
      <c r="AD60" s="112"/>
      <c r="AMB60"/>
    </row>
    <row r="61" spans="1:1016" s="117" customFormat="1" ht="12" customHeight="1">
      <c r="A61" s="123"/>
      <c r="B61" s="123"/>
      <c r="C61" s="123"/>
      <c r="D61" s="123"/>
      <c r="E61" s="123"/>
      <c r="F61" s="123"/>
      <c r="G61" s="112"/>
      <c r="H61" s="112"/>
      <c r="I61" s="276"/>
      <c r="J61" s="112"/>
      <c r="K61" s="161"/>
      <c r="L61" s="112"/>
      <c r="M61" s="112"/>
      <c r="N61" s="112"/>
      <c r="O61" s="112"/>
      <c r="P61" s="190"/>
      <c r="Q61" s="112"/>
      <c r="R61" s="112"/>
      <c r="S61" s="112"/>
      <c r="T61" s="125"/>
      <c r="U61" s="112"/>
      <c r="V61" s="112"/>
      <c r="W61" s="112"/>
      <c r="X61"/>
      <c r="Y61" s="180"/>
      <c r="Z61" s="112"/>
      <c r="AA61" s="161"/>
      <c r="AB61" s="112"/>
      <c r="AD61" s="112"/>
      <c r="AMB61"/>
    </row>
    <row r="62" spans="1:1016" s="117" customFormat="1" ht="12" customHeight="1">
      <c r="A62" s="123"/>
      <c r="B62" s="123"/>
      <c r="C62" s="123"/>
      <c r="D62" s="123"/>
      <c r="E62" s="123"/>
      <c r="F62" s="123"/>
      <c r="G62" s="112"/>
      <c r="H62" s="112"/>
      <c r="I62" s="276"/>
      <c r="J62" s="112"/>
      <c r="K62" s="161"/>
      <c r="L62" s="112"/>
      <c r="M62" s="112"/>
      <c r="N62" s="112"/>
      <c r="O62" s="112"/>
      <c r="P62" s="190"/>
      <c r="Q62" s="112"/>
      <c r="R62" s="112"/>
      <c r="S62" s="112"/>
      <c r="T62" s="125"/>
      <c r="U62" s="112"/>
      <c r="V62" s="112"/>
      <c r="W62" s="112"/>
      <c r="X62"/>
      <c r="Y62" s="180"/>
      <c r="Z62" s="112"/>
      <c r="AA62" s="161"/>
      <c r="AB62" s="112"/>
      <c r="AD62" s="112"/>
      <c r="AMB62"/>
    </row>
    <row r="63" spans="1:1016" ht="12" customHeight="1">
      <c r="A63" s="123"/>
      <c r="B63" s="123"/>
      <c r="C63" s="123"/>
      <c r="D63" s="123"/>
      <c r="E63" s="123"/>
      <c r="F63" s="123"/>
      <c r="G63" s="112"/>
      <c r="H63" s="112"/>
      <c r="I63" s="276"/>
      <c r="J63" s="112"/>
      <c r="K63" s="161"/>
      <c r="L63" s="112"/>
      <c r="M63" s="112"/>
      <c r="N63" s="112"/>
      <c r="O63" s="112"/>
      <c r="P63" s="190"/>
      <c r="Q63" s="112"/>
      <c r="R63" s="112"/>
      <c r="S63" s="112"/>
      <c r="T63" s="125"/>
      <c r="U63" s="112"/>
      <c r="V63" s="112"/>
      <c r="W63" s="112"/>
      <c r="Y63" s="180"/>
      <c r="Z63" s="112"/>
      <c r="AB63" s="112"/>
      <c r="AD63" s="112"/>
    </row>
    <row r="64" spans="1:1016" ht="12" customHeight="1">
      <c r="A64" s="123"/>
      <c r="B64" s="123"/>
      <c r="C64" s="123"/>
      <c r="D64" s="123"/>
      <c r="E64" s="123"/>
      <c r="F64" s="123"/>
      <c r="G64" s="112"/>
      <c r="H64" s="112"/>
      <c r="I64" s="276"/>
      <c r="J64" s="112"/>
      <c r="K64" s="161"/>
      <c r="L64" s="112"/>
      <c r="M64" s="112"/>
      <c r="N64" s="112"/>
      <c r="O64" s="112"/>
      <c r="P64" s="190"/>
      <c r="Q64" s="112"/>
      <c r="R64" s="112"/>
      <c r="S64" s="112"/>
      <c r="T64" s="125"/>
      <c r="U64" s="112"/>
      <c r="V64" s="112"/>
      <c r="W64" s="112"/>
      <c r="Y64" s="180"/>
      <c r="Z64" s="112"/>
      <c r="AB64" s="112"/>
      <c r="AD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L7:O7"/>
    <mergeCell ref="V7:W7"/>
    <mergeCell ref="AC7:AD7"/>
  </mergeCells>
  <conditionalFormatting sqref="A10:A18">
    <cfRule type="expression" dxfId="286" priority="8">
      <formula>OR($AD10="X",$AC10="X")</formula>
    </cfRule>
  </conditionalFormatting>
  <conditionalFormatting sqref="A20:F21 A41:F881">
    <cfRule type="expression" dxfId="285" priority="20">
      <formula>OR($AD20="X",$AB20="X")</formula>
    </cfRule>
    <cfRule type="expression" dxfId="284" priority="21">
      <formula>AND($AD20=1,$AB20=1)</formula>
    </cfRule>
    <cfRule type="expression" dxfId="283" priority="22">
      <formula>$AD20=1</formula>
    </cfRule>
    <cfRule type="expression" dxfId="282" priority="23">
      <formula>$AB20=1</formula>
    </cfRule>
  </conditionalFormatting>
  <conditionalFormatting sqref="A9:G9 A10:A18">
    <cfRule type="expression" dxfId="281" priority="25">
      <formula>AND($AD9=1,$AC9=1)</formula>
    </cfRule>
    <cfRule type="expression" dxfId="280" priority="26">
      <formula>$AD9=1</formula>
    </cfRule>
    <cfRule type="expression" dxfId="279" priority="27">
      <formula>$AC9=1</formula>
    </cfRule>
  </conditionalFormatting>
  <conditionalFormatting sqref="A9:G9">
    <cfRule type="expression" dxfId="278" priority="24">
      <formula>OR($AD9="X",$AC9="X")</formula>
    </cfRule>
  </conditionalFormatting>
  <conditionalFormatting sqref="A9:G18">
    <cfRule type="expression" dxfId="277" priority="28">
      <formula>AND(NOT(ISBLANK($W9)),ISBLANK($AC9),ISBLANK($AD9))</formula>
    </cfRule>
  </conditionalFormatting>
  <conditionalFormatting sqref="B10:G18">
    <cfRule type="expression" dxfId="276" priority="12">
      <formula>OR($AD10="X",$AC10="X")</formula>
    </cfRule>
    <cfRule type="expression" dxfId="275" priority="13">
      <formula>AND($AD10=1,$AC10=1)</formula>
    </cfRule>
    <cfRule type="expression" dxfId="274" priority="14">
      <formula>$AD10=1</formula>
    </cfRule>
    <cfRule type="expression" dxfId="273" priority="15">
      <formula>$AC10=1</formula>
    </cfRule>
  </conditionalFormatting>
  <conditionalFormatting sqref="C9:C18">
    <cfRule type="expression" dxfId="272" priority="11">
      <formula>AND($R9="X",$B9&lt;&gt;"")</formula>
    </cfRule>
  </conditionalFormatting>
  <conditionalFormatting sqref="D9:D18">
    <cfRule type="expression" dxfId="271" priority="2">
      <formula>AND($R9="X",OR($B9&lt;&gt;"",$C9&lt;&gt;""))</formula>
    </cfRule>
  </conditionalFormatting>
  <conditionalFormatting sqref="E9:E18">
    <cfRule type="expression" dxfId="270" priority="3">
      <formula>AND($R9="X",OR($B9&lt;&gt;"",$C9&lt;&gt;"",$D9&lt;&gt;""))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269" priority="4">
      <formula>AND($R9="X",OR($B9&lt;&gt;"",$C9&lt;&gt;"",$D9&lt;&gt;"",$E9&lt;&gt;""))</formula>
    </cfRule>
  </conditionalFormatting>
  <conditionalFormatting sqref="G9:G18">
    <cfRule type="expression" dxfId="268" priority="1">
      <formula>AND($R9="X",OR($B9&lt;&gt;"",$C9&lt;&gt;"",$D9&lt;&gt;"",$E9&lt;&gt;"",$F9&lt;&gt;""))</formula>
    </cfRule>
  </conditionalFormatting>
  <conditionalFormatting sqref="H20:H21 H41:H881">
    <cfRule type="expression" dxfId="267" priority="19">
      <formula>$Q20="X"</formula>
    </cfRule>
  </conditionalFormatting>
  <conditionalFormatting sqref="I11:I18">
    <cfRule type="expression" dxfId="266" priority="10">
      <formula>$R11="X"</formula>
    </cfRule>
  </conditionalFormatting>
  <conditionalFormatting sqref="Q9:Q18">
    <cfRule type="cellIs" dxfId="265" priority="5" operator="equal">
      <formula>"1..1"</formula>
    </cfRule>
    <cfRule type="cellIs" dxfId="264" priority="6" operator="equal">
      <formula>"0..n"</formula>
    </cfRule>
    <cfRule type="cellIs" dxfId="263"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798"/>
      <c r="L1" s="798"/>
      <c r="M1" s="798"/>
      <c r="N1" s="798"/>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tabSelected="1" zoomScaleNormal="100" workbookViewId="0">
      <pane xSplit="7" ySplit="8" topLeftCell="H9" activePane="bottomRight" state="frozen"/>
      <selection pane="topRight"/>
      <selection pane="bottomLeft"/>
      <selection pane="bottomRight" activeCell="I23" sqref="I23"/>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2673</v>
      </c>
      <c r="B1" s="128"/>
      <c r="C1" s="129" t="s">
        <v>812</v>
      </c>
      <c r="D1" s="128"/>
      <c r="E1" s="150" t="s">
        <v>813</v>
      </c>
      <c r="F1" s="157"/>
      <c r="G1" s="128"/>
      <c r="H1" s="148"/>
      <c r="I1" s="275"/>
      <c r="J1" s="148"/>
      <c r="K1" s="159"/>
      <c r="L1" s="96"/>
      <c r="M1" s="96"/>
      <c r="N1" s="96"/>
      <c r="O1" s="813" t="s">
        <v>815</v>
      </c>
      <c r="P1" s="813"/>
      <c r="Q1" s="96"/>
      <c r="R1" s="96"/>
      <c r="S1" s="96"/>
      <c r="T1" s="277"/>
      <c r="U1" s="96"/>
      <c r="V1" s="277"/>
      <c r="W1" s="277"/>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817</v>
      </c>
      <c r="D2" s="284"/>
      <c r="E2" s="152" t="s">
        <v>818</v>
      </c>
      <c r="F2" s="157"/>
      <c r="G2" s="128"/>
      <c r="H2" s="148"/>
      <c r="I2" s="275"/>
      <c r="J2" s="148"/>
      <c r="K2" s="159"/>
      <c r="L2" s="96"/>
      <c r="M2" s="96"/>
      <c r="N2" s="96"/>
      <c r="O2" s="96"/>
      <c r="P2" s="173"/>
      <c r="Q2" s="96"/>
      <c r="R2" s="96"/>
      <c r="S2" s="96"/>
      <c r="T2" s="277"/>
      <c r="U2" s="96"/>
      <c r="V2" s="277"/>
      <c r="W2" s="277"/>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820</v>
      </c>
      <c r="D3" s="128"/>
      <c r="E3" s="151" t="s">
        <v>821</v>
      </c>
      <c r="F3" s="128"/>
      <c r="G3" s="128"/>
      <c r="H3" s="96"/>
      <c r="I3" s="225"/>
      <c r="J3" s="96"/>
      <c r="K3" s="159"/>
      <c r="L3" s="96"/>
      <c r="M3" s="96"/>
      <c r="N3" s="96"/>
      <c r="O3" s="96"/>
      <c r="P3" s="173"/>
      <c r="Q3" s="96"/>
      <c r="R3" s="96"/>
      <c r="S3" s="96"/>
      <c r="T3" s="277"/>
      <c r="U3" s="96"/>
      <c r="V3" s="277"/>
      <c r="W3" s="277"/>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823</v>
      </c>
      <c r="D4" s="128"/>
      <c r="E4" s="153" t="s">
        <v>824</v>
      </c>
      <c r="F4" s="128"/>
      <c r="G4" s="137"/>
      <c r="H4" s="96"/>
      <c r="I4" s="225"/>
      <c r="J4" s="96"/>
      <c r="K4" s="159"/>
      <c r="L4" s="96"/>
      <c r="M4" s="96"/>
      <c r="N4" s="96"/>
      <c r="O4" s="96"/>
      <c r="P4" s="173"/>
      <c r="Q4" s="96"/>
      <c r="R4" s="96"/>
      <c r="S4" s="96"/>
      <c r="T4" s="277"/>
      <c r="U4" s="96"/>
      <c r="V4" s="277"/>
      <c r="W4" s="277"/>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825</v>
      </c>
      <c r="D5" s="146"/>
      <c r="E5" s="290" t="s">
        <v>911</v>
      </c>
      <c r="F5" s="146"/>
      <c r="G5" s="148"/>
      <c r="H5" s="148"/>
      <c r="I5" s="275"/>
      <c r="J5" s="148"/>
      <c r="K5" s="160"/>
      <c r="L5" s="148"/>
      <c r="M5" s="148"/>
      <c r="N5" s="148"/>
      <c r="O5" s="148"/>
      <c r="P5" s="186"/>
      <c r="Q5" s="148"/>
      <c r="R5" s="148"/>
      <c r="S5" s="148"/>
      <c r="T5" s="279"/>
      <c r="U5" s="148"/>
      <c r="V5" s="279"/>
      <c r="W5" s="279"/>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826</v>
      </c>
      <c r="D6" s="138"/>
      <c r="E6" s="128"/>
      <c r="F6" s="138"/>
      <c r="G6" s="96"/>
      <c r="H6" s="96"/>
      <c r="I6" s="225"/>
      <c r="J6" s="96"/>
      <c r="K6" s="159"/>
      <c r="L6" s="96"/>
      <c r="M6" s="96"/>
      <c r="N6" s="96"/>
      <c r="O6" s="96"/>
      <c r="P6" s="173"/>
      <c r="Q6" s="96"/>
      <c r="R6" s="96"/>
      <c r="S6" s="96"/>
      <c r="T6" s="277"/>
      <c r="U6" s="96"/>
      <c r="V6" s="277"/>
      <c r="W6" s="277"/>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7"/>
      <c r="E7" s="138"/>
      <c r="F7" s="138"/>
      <c r="G7" s="96"/>
      <c r="H7" s="96"/>
      <c r="I7" s="225"/>
      <c r="J7" s="96"/>
      <c r="K7" s="159"/>
      <c r="L7" s="814" t="s">
        <v>827</v>
      </c>
      <c r="M7" s="814"/>
      <c r="N7" s="814"/>
      <c r="O7" s="814"/>
      <c r="P7" s="173"/>
      <c r="Q7" s="96"/>
      <c r="R7" s="96"/>
      <c r="S7" s="96"/>
      <c r="T7" s="277"/>
      <c r="U7" s="96"/>
      <c r="V7" s="787" t="s">
        <v>828</v>
      </c>
      <c r="W7" s="787" t="s">
        <v>828</v>
      </c>
      <c r="Y7" s="179"/>
      <c r="Z7" s="96"/>
      <c r="AA7" s="159"/>
      <c r="AB7" s="96"/>
      <c r="AC7" s="814" t="s">
        <v>829</v>
      </c>
      <c r="AD7" s="814"/>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2" t="s">
        <v>830</v>
      </c>
      <c r="B8" s="278" t="s">
        <v>831</v>
      </c>
      <c r="C8" s="278" t="s">
        <v>832</v>
      </c>
      <c r="D8" s="278" t="s">
        <v>833</v>
      </c>
      <c r="E8" s="278" t="s">
        <v>834</v>
      </c>
      <c r="F8" s="278" t="s">
        <v>835</v>
      </c>
      <c r="G8" s="278" t="s">
        <v>836</v>
      </c>
      <c r="H8" s="403" t="s">
        <v>9</v>
      </c>
      <c r="I8" s="403" t="s">
        <v>837</v>
      </c>
      <c r="J8" s="403" t="s">
        <v>840</v>
      </c>
      <c r="K8" s="403" t="s">
        <v>841</v>
      </c>
      <c r="L8" s="403" t="s">
        <v>842</v>
      </c>
      <c r="M8" s="403" t="s">
        <v>843</v>
      </c>
      <c r="N8" s="403" t="s">
        <v>844</v>
      </c>
      <c r="O8" s="403" t="s">
        <v>845</v>
      </c>
      <c r="P8" s="403" t="s">
        <v>846</v>
      </c>
      <c r="Q8" s="403" t="s">
        <v>677</v>
      </c>
      <c r="R8" s="403" t="s">
        <v>3</v>
      </c>
      <c r="S8" s="403" t="s">
        <v>2535</v>
      </c>
      <c r="T8" s="404" t="s">
        <v>913</v>
      </c>
      <c r="U8" s="403" t="s">
        <v>848</v>
      </c>
      <c r="V8" s="229" t="s">
        <v>849</v>
      </c>
      <c r="W8" s="229" t="s">
        <v>850</v>
      </c>
      <c r="X8" s="230" t="s">
        <v>851</v>
      </c>
      <c r="Y8" s="235" t="s">
        <v>852</v>
      </c>
      <c r="Z8" s="235" t="s">
        <v>853</v>
      </c>
      <c r="AA8" s="236" t="s">
        <v>854</v>
      </c>
      <c r="AB8" s="235" t="s">
        <v>855</v>
      </c>
      <c r="AC8" s="235" t="s">
        <v>856</v>
      </c>
      <c r="AD8" s="237" t="s">
        <v>914</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69">
        <v>1</v>
      </c>
      <c r="B9" s="414" t="s">
        <v>2536</v>
      </c>
      <c r="C9" s="414"/>
      <c r="D9" s="414"/>
      <c r="E9" s="414"/>
      <c r="F9" s="414"/>
      <c r="G9" s="414"/>
      <c r="H9" s="316" t="s">
        <v>2537</v>
      </c>
      <c r="I9" s="416" t="s">
        <v>1692</v>
      </c>
      <c r="J9" s="316" t="s">
        <v>2538</v>
      </c>
      <c r="K9" s="316" t="s">
        <v>1951</v>
      </c>
      <c r="L9" s="341" t="s">
        <v>863</v>
      </c>
      <c r="M9" s="341" t="s">
        <v>1951</v>
      </c>
      <c r="N9" s="417"/>
      <c r="O9" s="417"/>
      <c r="P9" s="417" t="s">
        <v>863</v>
      </c>
      <c r="Q9" s="416" t="s">
        <v>822</v>
      </c>
      <c r="R9" s="341" t="s">
        <v>863</v>
      </c>
      <c r="S9" s="341" t="s">
        <v>1951</v>
      </c>
      <c r="T9" s="417"/>
      <c r="U9" s="417"/>
      <c r="V9" s="504" t="s">
        <v>863</v>
      </c>
      <c r="W9" s="505" t="s">
        <v>863</v>
      </c>
      <c r="ALN9" s="238"/>
      <c r="ALO9" s="238"/>
      <c r="ALP9" s="238"/>
      <c r="ALQ9" s="238"/>
      <c r="ALR9" s="238"/>
      <c r="ALS9" s="238"/>
      <c r="ALT9" s="238"/>
      <c r="ALU9" s="238"/>
      <c r="ALV9" s="238"/>
      <c r="ALW9" s="238"/>
      <c r="ALX9" s="238"/>
      <c r="ALY9" s="238"/>
      <c r="ALZ9" s="238"/>
    </row>
    <row r="10" spans="1:1014" ht="14.25" customHeight="1">
      <c r="A10" s="395">
        <v>2</v>
      </c>
      <c r="B10" s="396"/>
      <c r="C10" s="396" t="s">
        <v>2539</v>
      </c>
      <c r="D10" s="465"/>
      <c r="E10" s="465"/>
      <c r="F10" s="465"/>
      <c r="G10" s="465"/>
      <c r="H10" s="322" t="s">
        <v>2540</v>
      </c>
      <c r="I10" s="322" t="s">
        <v>2541</v>
      </c>
      <c r="K10" s="322" t="s">
        <v>1217</v>
      </c>
      <c r="Q10" s="324" t="s">
        <v>819</v>
      </c>
      <c r="R10" s="224"/>
      <c r="S10" s="224" t="s">
        <v>862</v>
      </c>
      <c r="V10" s="95" t="s">
        <v>863</v>
      </c>
      <c r="W10" s="95" t="s">
        <v>863</v>
      </c>
    </row>
    <row r="11" spans="1:1014" ht="14.25" customHeight="1">
      <c r="A11" s="395">
        <v>3</v>
      </c>
      <c r="B11" s="396"/>
      <c r="C11" s="396" t="s">
        <v>2542</v>
      </c>
      <c r="D11" s="396"/>
      <c r="E11" s="396"/>
      <c r="F11" s="396"/>
      <c r="G11" s="396"/>
      <c r="H11" s="316" t="s">
        <v>2543</v>
      </c>
      <c r="I11" s="316" t="s">
        <v>2544</v>
      </c>
      <c r="K11" s="316" t="s">
        <v>878</v>
      </c>
      <c r="Q11" s="319" t="s">
        <v>819</v>
      </c>
      <c r="R11" s="224"/>
      <c r="S11" s="224" t="s">
        <v>878</v>
      </c>
      <c r="V11" s="95" t="s">
        <v>863</v>
      </c>
      <c r="W11" s="95" t="s">
        <v>863</v>
      </c>
    </row>
    <row r="12" spans="1:1014" ht="14.25" customHeight="1">
      <c r="A12" s="469">
        <v>4</v>
      </c>
      <c r="B12" s="396"/>
      <c r="C12" s="396" t="s">
        <v>2545</v>
      </c>
      <c r="D12" s="396"/>
      <c r="E12" s="396"/>
      <c r="F12" s="396"/>
      <c r="G12" s="396"/>
      <c r="H12" s="399" t="s">
        <v>2546</v>
      </c>
      <c r="I12" s="399" t="s">
        <v>2547</v>
      </c>
      <c r="K12" s="399" t="s">
        <v>2548</v>
      </c>
      <c r="Q12" s="332" t="s">
        <v>816</v>
      </c>
      <c r="R12" s="224"/>
      <c r="S12" s="224" t="s">
        <v>878</v>
      </c>
      <c r="V12" s="95" t="s">
        <v>863</v>
      </c>
      <c r="W12" s="95" t="s">
        <v>863</v>
      </c>
    </row>
    <row r="13" spans="1:1014" ht="14.25" customHeight="1">
      <c r="A13" s="395">
        <v>5</v>
      </c>
      <c r="B13" s="396"/>
      <c r="C13" s="396" t="s">
        <v>1166</v>
      </c>
      <c r="D13" s="396"/>
      <c r="E13" s="396"/>
      <c r="F13" s="396"/>
      <c r="G13" s="396"/>
      <c r="H13" s="398" t="s">
        <v>2549</v>
      </c>
      <c r="I13" s="393"/>
      <c r="K13" s="398" t="s">
        <v>1168</v>
      </c>
      <c r="Q13" s="394" t="s">
        <v>822</v>
      </c>
      <c r="R13" s="224" t="s">
        <v>863</v>
      </c>
      <c r="S13" s="316" t="s">
        <v>1168</v>
      </c>
      <c r="V13" s="95" t="s">
        <v>863</v>
      </c>
      <c r="W13" s="95" t="s">
        <v>863</v>
      </c>
    </row>
    <row r="14" spans="1:1014" ht="14.25" customHeight="1">
      <c r="A14" s="395">
        <v>6</v>
      </c>
      <c r="B14" s="396"/>
      <c r="C14" s="396"/>
      <c r="D14" s="396" t="s">
        <v>1970</v>
      </c>
      <c r="E14" s="396"/>
      <c r="F14" s="396"/>
      <c r="G14" s="396"/>
      <c r="H14" s="399" t="s">
        <v>2550</v>
      </c>
      <c r="I14" s="399" t="s">
        <v>1973</v>
      </c>
      <c r="K14" s="399" t="s">
        <v>1172</v>
      </c>
      <c r="Q14" s="324" t="s">
        <v>819</v>
      </c>
      <c r="R14" s="224"/>
      <c r="S14" s="322" t="s">
        <v>1091</v>
      </c>
      <c r="V14" s="95" t="s">
        <v>863</v>
      </c>
      <c r="W14" s="95" t="s">
        <v>863</v>
      </c>
    </row>
    <row r="15" spans="1:1014" ht="14.25" customHeight="1">
      <c r="A15" s="469">
        <v>7</v>
      </c>
      <c r="B15" s="396"/>
      <c r="C15" s="396"/>
      <c r="D15" s="396" t="s">
        <v>1175</v>
      </c>
      <c r="E15" s="396"/>
      <c r="F15" s="396"/>
      <c r="G15" s="396"/>
      <c r="H15" s="398" t="s">
        <v>2551</v>
      </c>
      <c r="I15" s="400" t="s">
        <v>1977</v>
      </c>
      <c r="K15" s="398" t="s">
        <v>1178</v>
      </c>
      <c r="Q15" s="319" t="s">
        <v>819</v>
      </c>
      <c r="R15" s="224"/>
      <c r="S15" s="316" t="s">
        <v>1091</v>
      </c>
      <c r="V15" s="95" t="s">
        <v>863</v>
      </c>
      <c r="W15" s="95" t="s">
        <v>863</v>
      </c>
    </row>
    <row r="16" spans="1:1014" ht="14.25" customHeight="1">
      <c r="A16" s="395">
        <v>8</v>
      </c>
      <c r="B16" s="396"/>
      <c r="C16" s="396"/>
      <c r="D16" s="396" t="s">
        <v>1979</v>
      </c>
      <c r="E16" s="396"/>
      <c r="F16" s="396"/>
      <c r="G16" s="396"/>
      <c r="H16" s="399" t="s">
        <v>2552</v>
      </c>
      <c r="I16" s="401">
        <v>1</v>
      </c>
      <c r="K16" s="399" t="s">
        <v>1181</v>
      </c>
      <c r="Q16" s="332" t="s">
        <v>816</v>
      </c>
      <c r="R16" s="224"/>
      <c r="S16" s="322" t="s">
        <v>1091</v>
      </c>
      <c r="V16" s="95" t="s">
        <v>863</v>
      </c>
      <c r="W16" s="95" t="s">
        <v>863</v>
      </c>
    </row>
    <row r="17" spans="1:23" ht="14.25" customHeight="1">
      <c r="A17" s="395">
        <v>9</v>
      </c>
      <c r="B17" s="396"/>
      <c r="C17" s="396" t="s">
        <v>2553</v>
      </c>
      <c r="D17" s="396"/>
      <c r="E17" s="396"/>
      <c r="F17" s="396"/>
      <c r="G17" s="396"/>
      <c r="H17" s="398" t="s">
        <v>2554</v>
      </c>
      <c r="I17" s="463">
        <v>80</v>
      </c>
      <c r="K17" s="398" t="s">
        <v>1189</v>
      </c>
      <c r="Q17" s="332" t="s">
        <v>816</v>
      </c>
      <c r="R17" s="224"/>
      <c r="S17" s="322" t="s">
        <v>1091</v>
      </c>
      <c r="V17" s="95" t="s">
        <v>863</v>
      </c>
      <c r="W17" s="95" t="s">
        <v>863</v>
      </c>
    </row>
    <row r="18" spans="1:23" ht="14.25" customHeight="1">
      <c r="A18" s="469">
        <v>10</v>
      </c>
      <c r="B18" s="396"/>
      <c r="C18" s="396" t="s">
        <v>2555</v>
      </c>
      <c r="D18" s="396"/>
      <c r="E18" s="396"/>
      <c r="F18" s="396"/>
      <c r="G18" s="396"/>
      <c r="H18" s="399" t="s">
        <v>2556</v>
      </c>
      <c r="I18" s="401">
        <v>96</v>
      </c>
      <c r="K18" s="399" t="s">
        <v>2557</v>
      </c>
      <c r="Q18" s="332" t="s">
        <v>816</v>
      </c>
      <c r="R18" s="224"/>
      <c r="S18" s="224" t="s">
        <v>862</v>
      </c>
      <c r="V18" s="95" t="s">
        <v>863</v>
      </c>
      <c r="W18" s="95" t="s">
        <v>863</v>
      </c>
    </row>
    <row r="19" spans="1:23" ht="14.25" customHeight="1">
      <c r="A19" s="395">
        <v>11</v>
      </c>
      <c r="B19" s="396"/>
      <c r="C19" s="396" t="s">
        <v>2558</v>
      </c>
      <c r="D19" s="396"/>
      <c r="E19" s="396"/>
      <c r="F19" s="396"/>
      <c r="G19" s="396"/>
      <c r="H19" s="398" t="s">
        <v>2559</v>
      </c>
      <c r="I19" s="463" t="s">
        <v>2560</v>
      </c>
      <c r="K19" s="398" t="s">
        <v>2561</v>
      </c>
      <c r="Q19" s="332" t="s">
        <v>816</v>
      </c>
      <c r="R19" s="224"/>
      <c r="S19" s="224" t="s">
        <v>862</v>
      </c>
      <c r="T19" s="456" t="s">
        <v>863</v>
      </c>
      <c r="U19" t="s">
        <v>2562</v>
      </c>
      <c r="V19" s="95" t="s">
        <v>863</v>
      </c>
      <c r="W19" s="95" t="s">
        <v>863</v>
      </c>
    </row>
    <row r="20" spans="1:23" ht="14.25" customHeight="1">
      <c r="A20" s="395">
        <v>12</v>
      </c>
      <c r="B20" s="396"/>
      <c r="C20" s="396" t="s">
        <v>2563</v>
      </c>
      <c r="D20" s="396"/>
      <c r="E20" s="396"/>
      <c r="F20" s="396"/>
      <c r="G20" s="396"/>
      <c r="H20" s="322" t="s">
        <v>2564</v>
      </c>
      <c r="I20" s="375" t="b">
        <v>1</v>
      </c>
      <c r="K20" s="322" t="s">
        <v>2565</v>
      </c>
      <c r="Q20" s="332" t="s">
        <v>816</v>
      </c>
      <c r="R20" s="224"/>
      <c r="S20" s="322" t="s">
        <v>2294</v>
      </c>
      <c r="T20" s="456"/>
      <c r="U20" s="225"/>
      <c r="V20" s="95" t="s">
        <v>863</v>
      </c>
      <c r="W20" s="95" t="s">
        <v>863</v>
      </c>
    </row>
    <row r="21" spans="1:23" ht="14.25" customHeight="1">
      <c r="A21" s="469">
        <v>13</v>
      </c>
      <c r="B21" s="396"/>
      <c r="C21" s="396" t="s">
        <v>2566</v>
      </c>
      <c r="D21" s="396"/>
      <c r="E21" s="396"/>
      <c r="F21" s="396"/>
      <c r="G21" s="396"/>
      <c r="H21" s="398" t="s">
        <v>2567</v>
      </c>
      <c r="I21" s="375" t="b">
        <v>1</v>
      </c>
      <c r="K21" s="398" t="s">
        <v>2568</v>
      </c>
      <c r="Q21" s="332" t="s">
        <v>816</v>
      </c>
      <c r="R21" s="224"/>
      <c r="S21" s="322" t="s">
        <v>2294</v>
      </c>
      <c r="T21" s="456"/>
      <c r="U21" s="225"/>
      <c r="V21" s="95" t="s">
        <v>863</v>
      </c>
      <c r="W21" s="95" t="s">
        <v>863</v>
      </c>
    </row>
    <row r="22" spans="1:23" ht="14.25" customHeight="1">
      <c r="A22" s="395">
        <v>14</v>
      </c>
      <c r="B22" s="396"/>
      <c r="C22" s="396" t="s">
        <v>2125</v>
      </c>
      <c r="D22" s="396"/>
      <c r="E22" s="396"/>
      <c r="F22" s="396"/>
      <c r="G22" s="396"/>
      <c r="H22" s="322" t="s">
        <v>2569</v>
      </c>
      <c r="I22" s="375" t="s">
        <v>2570</v>
      </c>
      <c r="K22" s="322" t="s">
        <v>887</v>
      </c>
      <c r="Q22" s="332" t="s">
        <v>816</v>
      </c>
      <c r="R22" s="224"/>
      <c r="S22" s="224" t="s">
        <v>862</v>
      </c>
      <c r="T22" s="238" t="s">
        <v>863</v>
      </c>
      <c r="U22" s="225" t="s">
        <v>2571</v>
      </c>
      <c r="V22" s="95" t="s">
        <v>863</v>
      </c>
      <c r="W22" s="95" t="s">
        <v>863</v>
      </c>
    </row>
    <row r="23" spans="1:23" ht="14.25" customHeight="1" thickBot="1">
      <c r="A23" s="490">
        <v>15</v>
      </c>
      <c r="B23" s="475"/>
      <c r="C23" s="475" t="s">
        <v>2572</v>
      </c>
      <c r="D23" s="475"/>
      <c r="E23" s="475"/>
      <c r="F23" s="475"/>
      <c r="G23" s="475"/>
      <c r="H23" s="493" t="s">
        <v>2573</v>
      </c>
      <c r="I23" s="494" t="s">
        <v>2574</v>
      </c>
      <c r="J23" s="478"/>
      <c r="K23" s="493" t="s">
        <v>2575</v>
      </c>
      <c r="L23" s="478"/>
      <c r="M23" s="478"/>
      <c r="N23" s="478"/>
      <c r="O23" s="478"/>
      <c r="P23" s="478"/>
      <c r="Q23" s="479" t="s">
        <v>816</v>
      </c>
      <c r="R23" s="481"/>
      <c r="S23" s="481" t="s">
        <v>862</v>
      </c>
      <c r="T23" s="480" t="s">
        <v>863</v>
      </c>
      <c r="U23" s="495" t="s">
        <v>2576</v>
      </c>
      <c r="V23" s="496" t="s">
        <v>863</v>
      </c>
      <c r="W23" s="496" t="s">
        <v>863</v>
      </c>
    </row>
    <row r="24" spans="1:23" ht="15.75" thickTop="1">
      <c r="A24" s="406">
        <f>SUBTOTAL(103,Tableau3[ID])</f>
        <v>15</v>
      </c>
      <c r="B24" s="406">
        <f>SUBTOTAL(103,Tableau3[Donnée (Niveau 1)])</f>
        <v>1</v>
      </c>
      <c r="C24" s="406">
        <f>SUBTOTAL(103,Tableau3[Donnée (Niveau 2)])</f>
        <v>11</v>
      </c>
      <c r="D24" s="406">
        <f>SUBTOTAL(103,Tableau3[Donnée (Niveau 3)])</f>
        <v>3</v>
      </c>
      <c r="E24" s="406">
        <f>SUBTOTAL(103,Tableau3[Donnée (Niveau 4)])</f>
        <v>0</v>
      </c>
      <c r="F24" s="406">
        <f>SUBTOTAL(103,Tableau3[Donnée (Niveau 5)])</f>
        <v>0</v>
      </c>
      <c r="G24" s="406">
        <f>SUBTOTAL(103,Tableau3[Donnée (Niveau 6)])</f>
        <v>0</v>
      </c>
      <c r="H24" s="406">
        <f>SUBTOTAL(103,Tableau3[Description])</f>
        <v>15</v>
      </c>
      <c r="I24" s="406">
        <f>SUBTOTAL(103,Tableau3[Exemples])</f>
        <v>14</v>
      </c>
      <c r="J24" s="406">
        <f>SUBTOTAL(103,Tableau3[Balise NexSIS])</f>
        <v>1</v>
      </c>
      <c r="K24" s="406">
        <f>SUBTOTAL(103,Tableau3[Nouvelle balise])</f>
        <v>15</v>
      </c>
      <c r="L24" s="406">
        <f>SUBTOTAL(103,Tableau3[Nantes - balise])</f>
        <v>1</v>
      </c>
      <c r="M24" s="406">
        <f>SUBTOTAL(103,Tableau3[Nantes - description])</f>
        <v>1</v>
      </c>
      <c r="N24" s="406">
        <f>SUBTOTAL(103,Tableau3[GT399])</f>
        <v>0</v>
      </c>
      <c r="O24" s="406">
        <f>SUBTOTAL(103,Tableau3[GT399 description])</f>
        <v>0</v>
      </c>
      <c r="P24" s="406">
        <f>SUBTOTAL(103,Tableau3[Priorisation])</f>
        <v>1</v>
      </c>
      <c r="Q24" s="406">
        <f>SUBTOTAL(103,Tableau3[Cardinalité])</f>
        <v>15</v>
      </c>
      <c r="R24" s="406">
        <f>SUBTOTAL(103,Tableau3[Objet])</f>
        <v>2</v>
      </c>
      <c r="S24" s="406">
        <f>SUBTOTAL(103,Tableau3[Format (ou type)])</f>
        <v>15</v>
      </c>
      <c r="T24" s="406">
        <f>SUBTOTAL(103,Tableau3[Nomenclature/ énumération])</f>
        <v>3</v>
      </c>
      <c r="U24" s="406">
        <f>SUBTOTAL(103,Tableau3[Détails de format])</f>
        <v>3</v>
      </c>
      <c r="V24" s="406">
        <f>SUBTOTAL(103,Tableau3[15-18])</f>
        <v>15</v>
      </c>
      <c r="W24" s="406">
        <f>SUBTOTAL(103,Tableau3[15-15])</f>
        <v>15</v>
      </c>
    </row>
    <row r="25" spans="1:23"/>
    <row r="26" spans="1:23"/>
    <row r="27" spans="1:23"/>
    <row r="28" spans="1:23"/>
    <row r="29" spans="1:23"/>
    <row r="30" spans="1:23"/>
  </sheetData>
  <mergeCells count="3">
    <mergeCell ref="O1:P1"/>
    <mergeCell ref="L7:O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topRight"/>
      <selection pane="bottomLeft"/>
      <selection pane="bottomRight" activeCell="F21" sqref="F21"/>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2674</v>
      </c>
      <c r="B1" s="128"/>
      <c r="C1" s="129" t="s">
        <v>812</v>
      </c>
      <c r="D1" s="128"/>
      <c r="E1" s="150" t="s">
        <v>813</v>
      </c>
      <c r="F1" s="157"/>
      <c r="G1" s="128"/>
      <c r="H1" s="96"/>
      <c r="I1" s="225"/>
      <c r="J1" s="96"/>
      <c r="K1" s="159"/>
      <c r="L1" s="96"/>
      <c r="M1" s="96"/>
      <c r="N1" s="96"/>
      <c r="O1" s="813" t="s">
        <v>815</v>
      </c>
      <c r="P1" s="813"/>
      <c r="Q1" s="96"/>
      <c r="R1" s="96"/>
      <c r="S1" s="96"/>
      <c r="T1" s="277"/>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817</v>
      </c>
      <c r="D2" s="284"/>
      <c r="E2" s="152" t="s">
        <v>818</v>
      </c>
      <c r="F2" s="157"/>
      <c r="G2" s="128"/>
      <c r="H2" s="148"/>
      <c r="I2" s="275"/>
      <c r="J2" s="148"/>
      <c r="K2" s="159"/>
      <c r="L2" s="96"/>
      <c r="M2" s="96"/>
      <c r="N2" s="96"/>
      <c r="O2" s="96"/>
      <c r="P2" s="173"/>
      <c r="Q2" s="96"/>
      <c r="R2" s="96"/>
      <c r="S2" s="96"/>
      <c r="T2" s="277"/>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820</v>
      </c>
      <c r="D3" s="128"/>
      <c r="E3" s="151" t="s">
        <v>821</v>
      </c>
      <c r="F3" s="128"/>
      <c r="G3" s="128"/>
      <c r="H3" s="96"/>
      <c r="I3" s="225"/>
      <c r="J3" s="96"/>
      <c r="K3" s="159"/>
      <c r="L3" s="96"/>
      <c r="M3" s="96"/>
      <c r="N3" s="96"/>
      <c r="O3" s="96"/>
      <c r="P3" s="173"/>
      <c r="Q3" s="96"/>
      <c r="R3" s="96"/>
      <c r="S3" s="96"/>
      <c r="T3" s="277"/>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823</v>
      </c>
      <c r="D4" s="128"/>
      <c r="E4" s="153" t="s">
        <v>824</v>
      </c>
      <c r="F4" s="128"/>
      <c r="G4" s="137"/>
      <c r="H4" s="96"/>
      <c r="I4" s="225"/>
      <c r="J4" s="96"/>
      <c r="K4" s="159"/>
      <c r="L4" s="96"/>
      <c r="M4" s="96"/>
      <c r="N4" s="96"/>
      <c r="O4" s="96"/>
      <c r="P4" s="173"/>
      <c r="Q4" s="96"/>
      <c r="R4" s="96"/>
      <c r="S4" s="96"/>
      <c r="T4" s="277"/>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825</v>
      </c>
      <c r="D5" s="146"/>
      <c r="E5" s="290" t="s">
        <v>911</v>
      </c>
      <c r="F5" s="146"/>
      <c r="G5" s="148"/>
      <c r="H5" s="148"/>
      <c r="I5" s="275"/>
      <c r="J5" s="148"/>
      <c r="K5" s="160"/>
      <c r="L5" s="148"/>
      <c r="M5" s="148"/>
      <c r="N5" s="148"/>
      <c r="O5" s="148"/>
      <c r="P5" s="186"/>
      <c r="Q5" s="148"/>
      <c r="R5" s="148"/>
      <c r="S5" s="148"/>
      <c r="T5" s="279"/>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826</v>
      </c>
      <c r="D6" s="138"/>
      <c r="E6" s="128"/>
      <c r="F6" s="138"/>
      <c r="G6" s="96"/>
      <c r="H6" s="96"/>
      <c r="I6" s="225"/>
      <c r="J6" s="96"/>
      <c r="K6" s="159"/>
      <c r="L6" s="96"/>
      <c r="M6" s="96"/>
      <c r="N6" s="96"/>
      <c r="O6" s="96"/>
      <c r="P6" s="173"/>
      <c r="Q6" s="96"/>
      <c r="R6" s="96"/>
      <c r="S6" s="96"/>
      <c r="T6" s="277"/>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7"/>
      <c r="E7" s="138"/>
      <c r="F7" s="138"/>
      <c r="G7" s="96"/>
      <c r="H7" s="96"/>
      <c r="I7" s="225"/>
      <c r="J7" s="96"/>
      <c r="K7" s="159"/>
      <c r="L7" s="814" t="s">
        <v>827</v>
      </c>
      <c r="M7" s="814"/>
      <c r="N7" s="814"/>
      <c r="O7" s="814"/>
      <c r="P7" s="173"/>
      <c r="Q7" s="96"/>
      <c r="R7" s="96"/>
      <c r="S7" s="96"/>
      <c r="T7" s="277"/>
      <c r="U7" s="96"/>
      <c r="V7" s="789" t="s">
        <v>828</v>
      </c>
      <c r="W7" s="789" t="s">
        <v>828</v>
      </c>
      <c r="Y7" s="179"/>
      <c r="Z7" s="96"/>
      <c r="AA7" s="159"/>
      <c r="AB7" s="96"/>
      <c r="AC7" s="814" t="s">
        <v>829</v>
      </c>
      <c r="AD7" s="814"/>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2" t="s">
        <v>830</v>
      </c>
      <c r="B8" s="278" t="s">
        <v>831</v>
      </c>
      <c r="C8" s="278" t="s">
        <v>832</v>
      </c>
      <c r="D8" s="278" t="s">
        <v>833</v>
      </c>
      <c r="E8" s="278" t="s">
        <v>834</v>
      </c>
      <c r="F8" s="278" t="s">
        <v>835</v>
      </c>
      <c r="G8" s="278" t="s">
        <v>836</v>
      </c>
      <c r="H8" s="403" t="s">
        <v>9</v>
      </c>
      <c r="I8" s="403" t="s">
        <v>837</v>
      </c>
      <c r="J8" s="403" t="s">
        <v>840</v>
      </c>
      <c r="K8" s="403" t="s">
        <v>841</v>
      </c>
      <c r="L8" s="403" t="s">
        <v>842</v>
      </c>
      <c r="M8" s="403" t="s">
        <v>843</v>
      </c>
      <c r="N8" s="403" t="s">
        <v>844</v>
      </c>
      <c r="O8" s="403" t="s">
        <v>845</v>
      </c>
      <c r="P8" s="403" t="s">
        <v>846</v>
      </c>
      <c r="Q8" s="403" t="s">
        <v>677</v>
      </c>
      <c r="R8" s="403" t="s">
        <v>3</v>
      </c>
      <c r="S8" s="403" t="s">
        <v>2535</v>
      </c>
      <c r="T8" s="404" t="s">
        <v>913</v>
      </c>
      <c r="U8" s="403" t="s">
        <v>848</v>
      </c>
      <c r="V8" s="229" t="s">
        <v>849</v>
      </c>
      <c r="W8" s="229" t="s">
        <v>850</v>
      </c>
      <c r="X8" s="230" t="s">
        <v>851</v>
      </c>
      <c r="Y8" s="235" t="s">
        <v>852</v>
      </c>
      <c r="Z8" s="235" t="s">
        <v>853</v>
      </c>
      <c r="AA8" s="236" t="s">
        <v>854</v>
      </c>
      <c r="AB8" s="235" t="s">
        <v>855</v>
      </c>
      <c r="AC8" s="235" t="s">
        <v>856</v>
      </c>
      <c r="AD8" s="237" t="s">
        <v>914</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490">
        <v>1</v>
      </c>
      <c r="B9" s="474" t="s">
        <v>2577</v>
      </c>
      <c r="C9" s="491"/>
      <c r="D9" s="474"/>
      <c r="E9" s="475"/>
      <c r="F9" s="475"/>
      <c r="G9" s="475"/>
      <c r="H9" s="492" t="s">
        <v>2578</v>
      </c>
      <c r="I9" s="492" t="s">
        <v>2541</v>
      </c>
      <c r="J9" s="478"/>
      <c r="K9" s="492" t="s">
        <v>1679</v>
      </c>
      <c r="L9" s="478"/>
      <c r="M9" s="478"/>
      <c r="N9" s="478"/>
      <c r="O9" s="478"/>
      <c r="P9" s="478"/>
      <c r="Q9" s="479" t="s">
        <v>892</v>
      </c>
      <c r="R9" s="481"/>
      <c r="S9" s="481" t="s">
        <v>862</v>
      </c>
      <c r="T9" s="478"/>
      <c r="U9" s="478"/>
      <c r="V9" s="478" t="s">
        <v>863</v>
      </c>
      <c r="W9" s="478" t="s">
        <v>863</v>
      </c>
    </row>
    <row r="10" spans="1:1014" ht="15.75" thickTop="1">
      <c r="A10" s="405">
        <f>SUBTOTAL(103,Tableau35[ID])</f>
        <v>1</v>
      </c>
      <c r="B10" s="405">
        <f>SUBTOTAL(103,Tableau35[Donnée (Niveau 1)])</f>
        <v>1</v>
      </c>
      <c r="C10" s="405">
        <f>SUBTOTAL(103,Tableau35[Donnée (Niveau 2)])</f>
        <v>0</v>
      </c>
      <c r="D10" s="405">
        <f>SUBTOTAL(103,Tableau35[Donnée (Niveau 3)])</f>
        <v>0</v>
      </c>
      <c r="E10" s="405">
        <f>SUBTOTAL(103,Tableau35[Donnée (Niveau 4)])</f>
        <v>0</v>
      </c>
      <c r="F10" s="405">
        <f>SUBTOTAL(103,Tableau35[Donnée (Niveau 5)])</f>
        <v>0</v>
      </c>
      <c r="G10" s="405">
        <f>SUBTOTAL(103,Tableau35[Donnée (Niveau 6)])</f>
        <v>0</v>
      </c>
      <c r="H10" s="405">
        <f>SUBTOTAL(103,Tableau35[Description])</f>
        <v>1</v>
      </c>
      <c r="I10" s="405">
        <f>SUBTOTAL(103,Tableau35[Exemples])</f>
        <v>1</v>
      </c>
      <c r="J10" s="405">
        <f>SUBTOTAL(103,Tableau35[Balise NexSIS])</f>
        <v>0</v>
      </c>
      <c r="K10" s="405">
        <f>SUBTOTAL(103,Tableau35[Nouvelle balise])</f>
        <v>1</v>
      </c>
      <c r="L10" s="405">
        <f>SUBTOTAL(103,Tableau35[Nantes - balise])</f>
        <v>0</v>
      </c>
      <c r="M10" s="405">
        <f>SUBTOTAL(103,Tableau35[Nantes - description])</f>
        <v>0</v>
      </c>
      <c r="N10" s="405">
        <f>SUBTOTAL(103,Tableau35[GT399])</f>
        <v>0</v>
      </c>
      <c r="O10" s="405">
        <f>SUBTOTAL(103,Tableau35[GT399 description])</f>
        <v>0</v>
      </c>
      <c r="P10" s="405">
        <f>SUBTOTAL(103,Tableau35[Priorisation])</f>
        <v>0</v>
      </c>
      <c r="Q10" s="405">
        <f>SUBTOTAL(103,Tableau35[Cardinalité])</f>
        <v>1</v>
      </c>
      <c r="R10" s="405">
        <f>SUBTOTAL(103,Tableau35[Objet])</f>
        <v>0</v>
      </c>
      <c r="S10" s="405">
        <f>SUBTOTAL(103,Tableau35[Format (ou type)])</f>
        <v>1</v>
      </c>
      <c r="T10" s="405">
        <f>SUBTOTAL(103,Tableau35[Nomenclature/ énumération])</f>
        <v>0</v>
      </c>
      <c r="U10" s="405">
        <f>SUBTOTAL(103,Tableau35[Détails de format])</f>
        <v>0</v>
      </c>
      <c r="V10" s="405">
        <f>SUBTOTAL(103,Tableau35[15-18])</f>
        <v>1</v>
      </c>
      <c r="W10" s="405">
        <f>SUBTOTAL(103,Tableau35[15-15])</f>
        <v>1</v>
      </c>
    </row>
  </sheetData>
  <mergeCells count="3">
    <mergeCell ref="O1:P1"/>
    <mergeCell ref="L7:O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10" activePane="bottomRight" state="frozen"/>
      <selection pane="topRight"/>
      <selection pane="bottomLeft"/>
      <selection pane="bottomRight" activeCell="H28" sqref="H28"/>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2675</v>
      </c>
      <c r="B1" s="128"/>
      <c r="C1" s="129" t="s">
        <v>812</v>
      </c>
      <c r="D1" s="128"/>
      <c r="E1" s="150" t="s">
        <v>813</v>
      </c>
      <c r="F1" s="157"/>
      <c r="G1" s="128"/>
      <c r="H1" s="96"/>
      <c r="I1" s="225"/>
      <c r="J1" s="96"/>
      <c r="K1" s="159"/>
      <c r="L1" s="96"/>
      <c r="M1" s="96"/>
      <c r="N1" s="96"/>
      <c r="O1" s="813" t="s">
        <v>815</v>
      </c>
      <c r="P1" s="813"/>
      <c r="Q1" s="96"/>
      <c r="R1" s="96"/>
      <c r="S1" s="96"/>
      <c r="T1" s="277"/>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4"/>
      <c r="E2" s="152" t="s">
        <v>818</v>
      </c>
      <c r="F2" s="157"/>
      <c r="G2" s="128"/>
      <c r="H2" s="148"/>
      <c r="I2" s="275"/>
      <c r="J2" s="148"/>
      <c r="K2" s="159"/>
      <c r="L2" s="96"/>
      <c r="M2" s="96"/>
      <c r="N2" s="96"/>
      <c r="O2" s="96"/>
      <c r="P2" s="173"/>
      <c r="Q2" s="96"/>
      <c r="R2" s="96"/>
      <c r="S2" s="96"/>
      <c r="T2" s="277"/>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820</v>
      </c>
      <c r="D3" s="128"/>
      <c r="E3" s="151" t="s">
        <v>821</v>
      </c>
      <c r="F3" s="128"/>
      <c r="G3" s="128"/>
      <c r="H3" s="96"/>
      <c r="I3" s="225"/>
      <c r="J3" s="96"/>
      <c r="K3" s="159"/>
      <c r="L3" s="96"/>
      <c r="M3" s="96"/>
      <c r="N3" s="96"/>
      <c r="O3" s="96"/>
      <c r="P3" s="173"/>
      <c r="Q3" s="96"/>
      <c r="R3" s="96"/>
      <c r="S3" s="96"/>
      <c r="T3" s="277"/>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823</v>
      </c>
      <c r="D4" s="128"/>
      <c r="E4" s="153" t="s">
        <v>824</v>
      </c>
      <c r="F4" s="128"/>
      <c r="G4" s="137"/>
      <c r="H4" s="96"/>
      <c r="I4" s="225"/>
      <c r="J4" s="96"/>
      <c r="K4" s="159"/>
      <c r="L4" s="96"/>
      <c r="M4" s="96"/>
      <c r="N4" s="96"/>
      <c r="O4" s="96"/>
      <c r="P4" s="173"/>
      <c r="Q4" s="96"/>
      <c r="R4" s="96"/>
      <c r="S4" s="96"/>
      <c r="T4" s="277"/>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825</v>
      </c>
      <c r="D5" s="146"/>
      <c r="E5" s="290" t="s">
        <v>911</v>
      </c>
      <c r="F5" s="146"/>
      <c r="G5" s="148"/>
      <c r="H5" s="148"/>
      <c r="I5" s="275"/>
      <c r="J5" s="148"/>
      <c r="K5" s="160"/>
      <c r="L5" s="148"/>
      <c r="M5" s="148"/>
      <c r="N5" s="148"/>
      <c r="O5" s="148"/>
      <c r="P5" s="186"/>
      <c r="Q5" s="148"/>
      <c r="R5" s="148"/>
      <c r="S5" s="148"/>
      <c r="T5" s="279"/>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826</v>
      </c>
      <c r="D6" s="138"/>
      <c r="E6" s="128"/>
      <c r="F6" s="138"/>
      <c r="G6" s="96"/>
      <c r="H6" s="96"/>
      <c r="I6" s="225"/>
      <c r="J6" s="96"/>
      <c r="K6" s="159"/>
      <c r="L6" s="96"/>
      <c r="M6" s="96"/>
      <c r="N6" s="96"/>
      <c r="O6" s="96"/>
      <c r="P6" s="173"/>
      <c r="Q6" s="96"/>
      <c r="R6" s="96"/>
      <c r="S6" s="96"/>
      <c r="T6" s="277"/>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7"/>
      <c r="E7" s="138"/>
      <c r="F7" s="138"/>
      <c r="G7" s="96"/>
      <c r="H7" s="96"/>
      <c r="I7" s="225"/>
      <c r="J7" s="96"/>
      <c r="K7" s="159"/>
      <c r="L7" s="814" t="s">
        <v>827</v>
      </c>
      <c r="M7" s="814"/>
      <c r="N7" s="814"/>
      <c r="O7" s="814"/>
      <c r="P7" s="173"/>
      <c r="Q7" s="96"/>
      <c r="R7" s="96"/>
      <c r="S7" s="96"/>
      <c r="T7" s="277"/>
      <c r="U7" s="96"/>
      <c r="V7" s="789" t="s">
        <v>828</v>
      </c>
      <c r="W7" s="789" t="s">
        <v>828</v>
      </c>
      <c r="Y7" s="179"/>
      <c r="Z7" s="96"/>
      <c r="AA7" s="159"/>
      <c r="AB7" s="96"/>
      <c r="AC7" s="814" t="s">
        <v>829</v>
      </c>
      <c r="AD7" s="814"/>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2" t="s">
        <v>830</v>
      </c>
      <c r="B8" s="278" t="s">
        <v>831</v>
      </c>
      <c r="C8" s="278" t="s">
        <v>832</v>
      </c>
      <c r="D8" s="278" t="s">
        <v>833</v>
      </c>
      <c r="E8" s="278" t="s">
        <v>834</v>
      </c>
      <c r="F8" s="278" t="s">
        <v>835</v>
      </c>
      <c r="G8" s="278" t="s">
        <v>836</v>
      </c>
      <c r="H8" s="403" t="s">
        <v>9</v>
      </c>
      <c r="I8" s="403" t="s">
        <v>837</v>
      </c>
      <c r="J8" s="403" t="s">
        <v>840</v>
      </c>
      <c r="K8" s="403" t="s">
        <v>841</v>
      </c>
      <c r="L8" s="403" t="s">
        <v>842</v>
      </c>
      <c r="M8" s="403" t="s">
        <v>843</v>
      </c>
      <c r="N8" s="403" t="s">
        <v>844</v>
      </c>
      <c r="O8" s="403" t="s">
        <v>845</v>
      </c>
      <c r="P8" s="403" t="s">
        <v>846</v>
      </c>
      <c r="Q8" s="403" t="s">
        <v>677</v>
      </c>
      <c r="R8" s="403" t="s">
        <v>3</v>
      </c>
      <c r="S8" s="403" t="s">
        <v>2535</v>
      </c>
      <c r="T8" s="404" t="s">
        <v>913</v>
      </c>
      <c r="U8" s="403" t="s">
        <v>848</v>
      </c>
      <c r="V8" s="229" t="s">
        <v>849</v>
      </c>
      <c r="W8" s="229" t="s">
        <v>850</v>
      </c>
      <c r="X8" s="230" t="s">
        <v>851</v>
      </c>
      <c r="Y8" s="235" t="s">
        <v>852</v>
      </c>
      <c r="Z8" s="235" t="s">
        <v>853</v>
      </c>
      <c r="AA8" s="236" t="s">
        <v>854</v>
      </c>
      <c r="AB8" s="235" t="s">
        <v>855</v>
      </c>
      <c r="AC8" s="235" t="s">
        <v>856</v>
      </c>
      <c r="AD8" s="237" t="s">
        <v>914</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397">
        <v>1</v>
      </c>
      <c r="B9" s="392" t="s">
        <v>2058</v>
      </c>
      <c r="C9" s="392"/>
      <c r="D9" s="392"/>
      <c r="E9" s="396"/>
      <c r="F9" s="396"/>
      <c r="G9" s="396"/>
      <c r="H9" s="316" t="s">
        <v>2579</v>
      </c>
      <c r="I9" s="394"/>
      <c r="K9" s="316" t="s">
        <v>1364</v>
      </c>
      <c r="Q9" s="394" t="s">
        <v>822</v>
      </c>
      <c r="R9" s="224" t="s">
        <v>863</v>
      </c>
      <c r="S9" s="224" t="s">
        <v>1364</v>
      </c>
      <c r="T9" s="456"/>
      <c r="U9" s="224"/>
      <c r="V9" t="s">
        <v>863</v>
      </c>
      <c r="W9" t="s">
        <v>863</v>
      </c>
    </row>
    <row r="10" spans="1:1014" ht="13.5" customHeight="1">
      <c r="A10" s="395">
        <v>2</v>
      </c>
      <c r="B10" s="467"/>
      <c r="C10" s="467" t="s">
        <v>2539</v>
      </c>
      <c r="D10" s="467"/>
      <c r="E10" s="465"/>
      <c r="F10" s="465"/>
      <c r="G10" s="396"/>
      <c r="H10" s="322" t="s">
        <v>2540</v>
      </c>
      <c r="I10" s="322" t="s">
        <v>2541</v>
      </c>
      <c r="K10" s="322" t="s">
        <v>1217</v>
      </c>
      <c r="Q10" s="319" t="s">
        <v>819</v>
      </c>
      <c r="R10" s="224"/>
      <c r="S10" s="224" t="s">
        <v>862</v>
      </c>
      <c r="T10" s="456"/>
      <c r="U10" s="224"/>
      <c r="V10" t="s">
        <v>863</v>
      </c>
      <c r="W10" t="s">
        <v>863</v>
      </c>
    </row>
    <row r="11" spans="1:1014" ht="13.5" customHeight="1">
      <c r="A11" s="397">
        <v>3</v>
      </c>
      <c r="B11" s="392"/>
      <c r="C11" s="392" t="s">
        <v>2009</v>
      </c>
      <c r="D11" s="392"/>
      <c r="E11" s="396"/>
      <c r="F11" s="396"/>
      <c r="G11" s="396"/>
      <c r="H11" s="316" t="s">
        <v>2580</v>
      </c>
      <c r="I11" s="316" t="s">
        <v>2581</v>
      </c>
      <c r="K11" s="316" t="s">
        <v>2582</v>
      </c>
      <c r="Q11" s="319" t="s">
        <v>819</v>
      </c>
      <c r="R11" s="224"/>
      <c r="S11" s="224" t="s">
        <v>862</v>
      </c>
      <c r="T11" s="456"/>
      <c r="U11" s="224"/>
      <c r="V11" t="s">
        <v>863</v>
      </c>
      <c r="W11" t="s">
        <v>863</v>
      </c>
    </row>
    <row r="12" spans="1:1014" ht="13.5" customHeight="1">
      <c r="A12" s="395">
        <v>4</v>
      </c>
      <c r="B12" s="392"/>
      <c r="C12" s="392" t="s">
        <v>2088</v>
      </c>
      <c r="D12" s="392"/>
      <c r="E12" s="396"/>
      <c r="F12" s="396"/>
      <c r="G12" s="396"/>
      <c r="H12" s="322" t="s">
        <v>2583</v>
      </c>
      <c r="I12" s="322" t="s">
        <v>2584</v>
      </c>
      <c r="K12" s="322" t="s">
        <v>870</v>
      </c>
      <c r="Q12" s="332" t="s">
        <v>816</v>
      </c>
      <c r="R12" s="224"/>
      <c r="S12" s="224" t="s">
        <v>862</v>
      </c>
      <c r="T12" s="456"/>
      <c r="U12" s="224"/>
      <c r="V12" t="s">
        <v>863</v>
      </c>
      <c r="W12" t="s">
        <v>863</v>
      </c>
    </row>
    <row r="13" spans="1:1014" ht="13.5" customHeight="1">
      <c r="A13" s="397">
        <v>5</v>
      </c>
      <c r="B13" s="392"/>
      <c r="C13" s="392" t="s">
        <v>2585</v>
      </c>
      <c r="D13" s="392"/>
      <c r="E13" s="396"/>
      <c r="F13" s="396"/>
      <c r="G13" s="396"/>
      <c r="H13" s="316" t="s">
        <v>2586</v>
      </c>
      <c r="I13" s="316" t="s">
        <v>2397</v>
      </c>
      <c r="K13" s="316" t="s">
        <v>969</v>
      </c>
      <c r="Q13" s="324" t="s">
        <v>819</v>
      </c>
      <c r="R13" s="224"/>
      <c r="S13" s="224" t="s">
        <v>862</v>
      </c>
      <c r="T13" s="456" t="s">
        <v>863</v>
      </c>
      <c r="U13" s="224" t="s">
        <v>2587</v>
      </c>
      <c r="V13" t="s">
        <v>863</v>
      </c>
      <c r="W13" t="s">
        <v>863</v>
      </c>
    </row>
    <row r="14" spans="1:1014" ht="13.5" customHeight="1">
      <c r="A14" s="395">
        <v>6</v>
      </c>
      <c r="B14" s="392"/>
      <c r="C14" s="392" t="s">
        <v>2588</v>
      </c>
      <c r="D14" s="392"/>
      <c r="E14" s="396"/>
      <c r="F14" s="396"/>
      <c r="G14" s="396"/>
      <c r="H14" s="322" t="s">
        <v>2589</v>
      </c>
      <c r="I14" s="322" t="s">
        <v>2590</v>
      </c>
      <c r="K14" s="322" t="s">
        <v>2591</v>
      </c>
      <c r="Q14" s="332" t="s">
        <v>816</v>
      </c>
      <c r="R14" s="224"/>
      <c r="S14" s="224" t="s">
        <v>862</v>
      </c>
      <c r="T14" s="456" t="s">
        <v>863</v>
      </c>
      <c r="U14" s="224" t="s">
        <v>2592</v>
      </c>
      <c r="V14" t="s">
        <v>863</v>
      </c>
      <c r="W14" t="s">
        <v>863</v>
      </c>
    </row>
    <row r="15" spans="1:1014" ht="13.5" customHeight="1">
      <c r="A15" s="397">
        <v>7</v>
      </c>
      <c r="B15" s="392"/>
      <c r="C15" s="392" t="s">
        <v>2593</v>
      </c>
      <c r="D15" s="392"/>
      <c r="E15" s="396"/>
      <c r="F15" s="396"/>
      <c r="G15" s="396"/>
      <c r="H15" s="316" t="s">
        <v>2594</v>
      </c>
      <c r="I15" s="316" t="s">
        <v>2595</v>
      </c>
      <c r="K15" s="316" t="s">
        <v>2596</v>
      </c>
      <c r="Q15" s="332" t="s">
        <v>816</v>
      </c>
      <c r="R15" s="224"/>
      <c r="S15" s="224" t="s">
        <v>862</v>
      </c>
      <c r="T15" s="456" t="s">
        <v>863</v>
      </c>
      <c r="U15" s="224" t="s">
        <v>2597</v>
      </c>
      <c r="V15" t="s">
        <v>863</v>
      </c>
      <c r="W15" t="s">
        <v>863</v>
      </c>
    </row>
    <row r="16" spans="1:1014" ht="13.5" customHeight="1">
      <c r="A16" s="395">
        <v>8</v>
      </c>
      <c r="B16" s="392"/>
      <c r="C16" s="392" t="s">
        <v>2073</v>
      </c>
      <c r="D16" s="392"/>
      <c r="E16" s="396"/>
      <c r="F16" s="396"/>
      <c r="G16" s="396"/>
      <c r="H16" s="322" t="s">
        <v>2598</v>
      </c>
      <c r="I16" s="322" t="s">
        <v>2599</v>
      </c>
      <c r="K16" s="322" t="s">
        <v>2600</v>
      </c>
      <c r="Q16" s="332" t="s">
        <v>816</v>
      </c>
      <c r="R16" s="224"/>
      <c r="S16" s="224" t="s">
        <v>862</v>
      </c>
      <c r="T16" s="456" t="s">
        <v>863</v>
      </c>
      <c r="U16" s="224" t="s">
        <v>2601</v>
      </c>
      <c r="V16" t="s">
        <v>863</v>
      </c>
      <c r="W16" t="s">
        <v>863</v>
      </c>
    </row>
    <row r="17" spans="1:23" ht="13.5" customHeight="1">
      <c r="A17" s="397">
        <v>9</v>
      </c>
      <c r="B17" s="392"/>
      <c r="C17" s="392" t="s">
        <v>2134</v>
      </c>
      <c r="D17" s="392"/>
      <c r="E17" s="396"/>
      <c r="F17" s="396"/>
      <c r="G17" s="396"/>
      <c r="H17" s="398" t="s">
        <v>2135</v>
      </c>
      <c r="I17" s="393"/>
      <c r="K17" s="316" t="s">
        <v>2602</v>
      </c>
      <c r="Q17" s="394" t="s">
        <v>822</v>
      </c>
      <c r="R17" s="224" t="s">
        <v>863</v>
      </c>
      <c r="S17" s="224" t="s">
        <v>1263</v>
      </c>
      <c r="T17" s="456"/>
      <c r="U17" s="224"/>
      <c r="V17" t="s">
        <v>863</v>
      </c>
      <c r="W17" t="s">
        <v>863</v>
      </c>
    </row>
    <row r="18" spans="1:23" ht="13.5" customHeight="1">
      <c r="A18" s="470">
        <v>10</v>
      </c>
      <c r="B18" s="468"/>
      <c r="C18" s="468"/>
      <c r="D18" s="468" t="s">
        <v>2138</v>
      </c>
      <c r="E18" s="466"/>
      <c r="F18" s="466"/>
      <c r="G18" s="466"/>
      <c r="H18" s="471" t="s">
        <v>2603</v>
      </c>
      <c r="I18" s="471" t="s">
        <v>1267</v>
      </c>
      <c r="K18" s="471" t="s">
        <v>969</v>
      </c>
      <c r="Q18" s="472" t="s">
        <v>816</v>
      </c>
      <c r="R18" s="224"/>
      <c r="S18" s="506" t="s">
        <v>862</v>
      </c>
      <c r="T18" s="456" t="s">
        <v>863</v>
      </c>
      <c r="U18" s="224" t="s">
        <v>2604</v>
      </c>
      <c r="V18" t="s">
        <v>863</v>
      </c>
      <c r="W18" t="s">
        <v>863</v>
      </c>
    </row>
    <row r="19" spans="1:23" ht="13.5" customHeight="1" thickBot="1">
      <c r="A19" s="473">
        <v>11</v>
      </c>
      <c r="B19" s="474"/>
      <c r="C19" s="474"/>
      <c r="D19" s="474" t="s">
        <v>2141</v>
      </c>
      <c r="E19" s="475"/>
      <c r="F19" s="475"/>
      <c r="G19" s="475"/>
      <c r="H19" s="476" t="s">
        <v>2605</v>
      </c>
      <c r="I19" s="477" t="s">
        <v>2606</v>
      </c>
      <c r="J19" s="478"/>
      <c r="K19" s="476" t="s">
        <v>1012</v>
      </c>
      <c r="L19" s="478"/>
      <c r="M19" s="478"/>
      <c r="N19" s="478"/>
      <c r="O19" s="478"/>
      <c r="P19" s="478"/>
      <c r="Q19" s="479" t="s">
        <v>816</v>
      </c>
      <c r="R19" s="481"/>
      <c r="S19" s="507" t="s">
        <v>862</v>
      </c>
      <c r="T19" s="480"/>
      <c r="U19" s="481"/>
      <c r="V19" s="478" t="s">
        <v>863</v>
      </c>
      <c r="W19" s="478" t="s">
        <v>863</v>
      </c>
    </row>
    <row r="20" spans="1:23" ht="15.75" thickTop="1">
      <c r="A20" s="405">
        <f>SUBTOTAL(103,Tableau357[ID])</f>
        <v>11</v>
      </c>
      <c r="B20" s="405">
        <f>SUBTOTAL(103,Tableau357[Donnée (Niveau 1)])</f>
        <v>1</v>
      </c>
      <c r="C20" s="405">
        <f>SUBTOTAL(103,Tableau357[Donnée (Niveau 2)])</f>
        <v>8</v>
      </c>
      <c r="D20" s="405">
        <f>SUBTOTAL(103,Tableau357[Donnée (Niveau 3)])</f>
        <v>2</v>
      </c>
      <c r="E20" s="405">
        <f>SUBTOTAL(103,Tableau357[Donnée (Niveau 4)])</f>
        <v>0</v>
      </c>
      <c r="F20" s="405">
        <f>SUBTOTAL(103,Tableau357[Donnée (Niveau 5)])</f>
        <v>0</v>
      </c>
      <c r="G20" s="405">
        <f>SUBTOTAL(103,Tableau357[Donnée (Niveau 6)])</f>
        <v>0</v>
      </c>
      <c r="H20" s="405">
        <f>SUBTOTAL(103,Tableau357[Description])</f>
        <v>11</v>
      </c>
      <c r="I20" s="405">
        <f>SUBTOTAL(103,Tableau357[Exemples])</f>
        <v>9</v>
      </c>
      <c r="J20" s="405">
        <f>SUBTOTAL(103,Tableau357[Balise NexSIS])</f>
        <v>0</v>
      </c>
      <c r="K20" s="405">
        <f>SUBTOTAL(103,Tableau357[Nouvelle balise])</f>
        <v>11</v>
      </c>
      <c r="L20" s="405">
        <f>SUBTOTAL(103,Tableau357[Nantes - balise])</f>
        <v>0</v>
      </c>
      <c r="M20" s="405">
        <f>SUBTOTAL(103,Tableau357[Nantes - description])</f>
        <v>0</v>
      </c>
      <c r="N20" s="405">
        <f>SUBTOTAL(103,Tableau357[GT399])</f>
        <v>0</v>
      </c>
      <c r="O20" s="405">
        <f>SUBTOTAL(103,Tableau357[GT399 description])</f>
        <v>0</v>
      </c>
      <c r="P20" s="405">
        <f>SUBTOTAL(103,Tableau357[Priorisation])</f>
        <v>0</v>
      </c>
      <c r="Q20" s="405">
        <f>SUBTOTAL(103,Tableau357[Cardinalité])</f>
        <v>11</v>
      </c>
      <c r="R20" s="405">
        <f>SUBTOTAL(103,Tableau357[Objet])</f>
        <v>2</v>
      </c>
      <c r="S20" s="405">
        <f>SUBTOTAL(103,Tableau357[Format (ou type)])</f>
        <v>11</v>
      </c>
      <c r="T20" s="405">
        <f>SUBTOTAL(103,Tableau357[Nomenclature/ énumération])</f>
        <v>5</v>
      </c>
      <c r="U20" s="405">
        <f>SUBTOTAL(103,Tableau357[Détails de format])</f>
        <v>5</v>
      </c>
      <c r="V20" s="405">
        <f>SUBTOTAL(103,Tableau357[15-18])</f>
        <v>11</v>
      </c>
      <c r="W20" s="405">
        <f>SUBTOTAL(103,Tableau357[15-15])</f>
        <v>11</v>
      </c>
    </row>
  </sheetData>
  <mergeCells count="3">
    <mergeCell ref="O1:P1"/>
    <mergeCell ref="L7:O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topRight"/>
      <selection pane="bottomLeft"/>
      <selection pane="bottomRight" activeCell="D11" sqref="D11"/>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2676</v>
      </c>
      <c r="B1" s="272"/>
      <c r="C1" s="129" t="s">
        <v>812</v>
      </c>
      <c r="D1" s="128"/>
      <c r="E1" s="821" t="s">
        <v>813</v>
      </c>
      <c r="F1" s="821"/>
      <c r="G1" s="128"/>
      <c r="H1" s="817" t="s">
        <v>1692</v>
      </c>
      <c r="I1" s="817"/>
      <c r="J1" s="817"/>
      <c r="K1" s="96"/>
      <c r="L1" s="96"/>
      <c r="M1" s="96"/>
      <c r="N1" s="96"/>
      <c r="O1" s="822" t="s">
        <v>815</v>
      </c>
      <c r="P1" s="822"/>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5" t="s">
        <v>817</v>
      </c>
      <c r="D2" s="128"/>
      <c r="E2" s="828" t="s">
        <v>818</v>
      </c>
      <c r="F2" s="828"/>
      <c r="G2" s="128"/>
      <c r="H2" s="817"/>
      <c r="I2" s="817"/>
      <c r="J2" s="817"/>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7" t="s">
        <v>820</v>
      </c>
      <c r="D3" s="128"/>
      <c r="E3" s="827" t="s">
        <v>821</v>
      </c>
      <c r="F3" s="827"/>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299" t="s">
        <v>823</v>
      </c>
      <c r="D4" s="128"/>
      <c r="E4" s="825" t="s">
        <v>824</v>
      </c>
      <c r="F4" s="826"/>
      <c r="G4" s="137" t="s">
        <v>1692</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825</v>
      </c>
      <c r="D5" s="146" t="s">
        <v>1692</v>
      </c>
      <c r="E5" s="823" t="s">
        <v>911</v>
      </c>
      <c r="F5" s="824"/>
      <c r="G5" s="148"/>
      <c r="H5" s="148"/>
      <c r="I5" s="408"/>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2" t="s">
        <v>826</v>
      </c>
      <c r="D6" s="138" t="s">
        <v>1692</v>
      </c>
      <c r="E6" s="128"/>
      <c r="F6" s="138" t="s">
        <v>1692</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1692</v>
      </c>
      <c r="D7" s="409" t="s">
        <v>1692</v>
      </c>
      <c r="E7" s="303" t="s">
        <v>1692</v>
      </c>
      <c r="F7" s="303" t="s">
        <v>1692</v>
      </c>
      <c r="G7" s="96"/>
      <c r="H7" s="96"/>
      <c r="I7" s="5"/>
      <c r="J7" s="96"/>
      <c r="K7" s="96"/>
      <c r="L7" s="818" t="s">
        <v>827</v>
      </c>
      <c r="M7" s="818"/>
      <c r="N7" s="818"/>
      <c r="O7" s="818"/>
      <c r="P7" s="96"/>
      <c r="Q7" s="96"/>
      <c r="R7" s="96"/>
      <c r="S7" s="96"/>
      <c r="T7" s="96"/>
      <c r="U7" s="96"/>
      <c r="V7" s="410" t="s">
        <v>828</v>
      </c>
      <c r="W7" s="410" t="s">
        <v>828</v>
      </c>
      <c r="Y7" s="96"/>
      <c r="Z7" s="96"/>
      <c r="AA7" s="96"/>
      <c r="AB7" s="96"/>
      <c r="AC7" s="818" t="s">
        <v>829</v>
      </c>
      <c r="AD7" s="81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5" customFormat="1" ht="27.75" customHeight="1">
      <c r="A8" s="437" t="s">
        <v>830</v>
      </c>
      <c r="B8" s="438" t="s">
        <v>831</v>
      </c>
      <c r="C8" s="438" t="s">
        <v>832</v>
      </c>
      <c r="D8" s="438" t="s">
        <v>833</v>
      </c>
      <c r="E8" s="438" t="s">
        <v>834</v>
      </c>
      <c r="F8" s="438" t="s">
        <v>835</v>
      </c>
      <c r="G8" s="438" t="s">
        <v>836</v>
      </c>
      <c r="H8" s="436" t="s">
        <v>9</v>
      </c>
      <c r="I8" s="436" t="s">
        <v>837</v>
      </c>
      <c r="J8" s="436" t="s">
        <v>840</v>
      </c>
      <c r="K8" s="436" t="s">
        <v>841</v>
      </c>
      <c r="L8" s="436" t="s">
        <v>842</v>
      </c>
      <c r="M8" s="436" t="s">
        <v>843</v>
      </c>
      <c r="N8" s="436" t="s">
        <v>844</v>
      </c>
      <c r="O8" s="436" t="s">
        <v>845</v>
      </c>
      <c r="P8" s="436" t="s">
        <v>846</v>
      </c>
      <c r="Q8" s="436" t="s">
        <v>677</v>
      </c>
      <c r="R8" s="436" t="s">
        <v>3</v>
      </c>
      <c r="S8" s="436" t="s">
        <v>2607</v>
      </c>
      <c r="T8" s="436" t="s">
        <v>913</v>
      </c>
      <c r="U8" s="436" t="s">
        <v>848</v>
      </c>
      <c r="V8" s="439" t="s">
        <v>849</v>
      </c>
      <c r="W8" s="439" t="s">
        <v>850</v>
      </c>
      <c r="X8" s="440" t="s">
        <v>851</v>
      </c>
      <c r="Y8" s="441" t="s">
        <v>852</v>
      </c>
      <c r="Z8" s="441" t="s">
        <v>853</v>
      </c>
      <c r="AA8" s="442" t="s">
        <v>854</v>
      </c>
      <c r="AB8" s="441" t="s">
        <v>855</v>
      </c>
      <c r="AC8" s="441" t="s">
        <v>856</v>
      </c>
      <c r="AD8" s="443" t="s">
        <v>914</v>
      </c>
      <c r="AE8" s="444"/>
      <c r="AF8" s="444"/>
      <c r="AG8" s="444"/>
      <c r="AH8" s="444"/>
      <c r="AI8" s="444"/>
      <c r="AJ8" s="444"/>
      <c r="AK8" s="444"/>
      <c r="AL8" s="444"/>
      <c r="AM8" s="444"/>
      <c r="AN8" s="444"/>
      <c r="AO8" s="444"/>
      <c r="AP8" s="444"/>
      <c r="AQ8" s="444"/>
      <c r="AR8" s="444"/>
      <c r="AS8" s="444"/>
      <c r="AT8" s="444"/>
      <c r="AU8" s="444"/>
      <c r="AV8" s="444"/>
      <c r="AW8" s="444"/>
      <c r="AX8" s="444"/>
      <c r="AY8" s="444"/>
      <c r="AZ8" s="444"/>
      <c r="BA8" s="444"/>
      <c r="BB8" s="444"/>
      <c r="BC8" s="444"/>
      <c r="BD8" s="444"/>
      <c r="BE8" s="444"/>
      <c r="BF8" s="444"/>
      <c r="BG8" s="444"/>
      <c r="BH8" s="444"/>
      <c r="BI8" s="444"/>
      <c r="BJ8" s="444"/>
      <c r="BK8" s="444"/>
      <c r="BL8" s="444"/>
      <c r="BM8" s="444"/>
      <c r="BN8" s="444"/>
      <c r="BO8" s="444"/>
      <c r="BP8" s="444"/>
      <c r="BQ8" s="444"/>
      <c r="BR8" s="444"/>
      <c r="BS8" s="444"/>
      <c r="BT8" s="444"/>
      <c r="BU8" s="444"/>
      <c r="BV8" s="444"/>
      <c r="BW8" s="444"/>
      <c r="BX8" s="444"/>
      <c r="BY8" s="444"/>
      <c r="BZ8" s="444"/>
      <c r="CA8" s="444"/>
      <c r="CB8" s="444"/>
      <c r="CC8" s="444"/>
      <c r="CD8" s="444"/>
      <c r="CE8" s="444"/>
      <c r="CF8" s="444"/>
      <c r="CG8" s="444"/>
      <c r="CH8" s="444"/>
      <c r="CI8" s="444"/>
      <c r="CJ8" s="444"/>
      <c r="CK8" s="444"/>
      <c r="CL8" s="444"/>
      <c r="CM8" s="444"/>
      <c r="CN8" s="444"/>
      <c r="CO8" s="444"/>
      <c r="CP8" s="444"/>
      <c r="CQ8" s="444"/>
      <c r="CR8" s="444"/>
      <c r="CS8" s="444"/>
      <c r="CT8" s="444"/>
      <c r="CU8" s="444"/>
      <c r="CV8" s="444"/>
      <c r="CW8" s="444"/>
      <c r="CX8" s="444"/>
      <c r="CY8" s="444"/>
      <c r="CZ8" s="444"/>
      <c r="DA8" s="444"/>
      <c r="DB8" s="444"/>
      <c r="DC8" s="444"/>
      <c r="DD8" s="444"/>
      <c r="DE8" s="444"/>
      <c r="DF8" s="444"/>
      <c r="DG8" s="444"/>
      <c r="DH8" s="444"/>
      <c r="DI8" s="444"/>
      <c r="DJ8" s="444"/>
      <c r="DK8" s="444"/>
      <c r="DL8" s="444"/>
      <c r="DM8" s="444"/>
      <c r="DN8" s="444"/>
      <c r="DO8" s="444"/>
      <c r="DP8" s="444"/>
      <c r="DQ8" s="444"/>
      <c r="DR8" s="444"/>
      <c r="DS8" s="444"/>
      <c r="DT8" s="444"/>
      <c r="DU8" s="444"/>
      <c r="DV8" s="444"/>
      <c r="DW8" s="444"/>
      <c r="DX8" s="444"/>
      <c r="DY8" s="444"/>
      <c r="DZ8" s="444"/>
      <c r="EA8" s="444"/>
      <c r="EB8" s="444"/>
      <c r="EC8" s="444"/>
      <c r="ED8" s="444"/>
      <c r="EE8" s="444"/>
      <c r="EF8" s="444"/>
      <c r="EG8" s="444"/>
      <c r="EH8" s="444"/>
      <c r="EI8" s="444"/>
      <c r="EJ8" s="444"/>
      <c r="EK8" s="444"/>
      <c r="EL8" s="444"/>
      <c r="EM8" s="444"/>
      <c r="EN8" s="444"/>
      <c r="EO8" s="444"/>
      <c r="EP8" s="444"/>
      <c r="EQ8" s="444"/>
      <c r="ER8" s="444"/>
      <c r="ES8" s="444"/>
      <c r="ET8" s="444"/>
      <c r="EU8" s="444"/>
      <c r="EV8" s="444"/>
      <c r="EW8" s="444"/>
      <c r="EX8" s="444"/>
      <c r="EY8" s="444"/>
      <c r="EZ8" s="444"/>
      <c r="FA8" s="444"/>
      <c r="FB8" s="444"/>
      <c r="FC8" s="444"/>
      <c r="FD8" s="444"/>
      <c r="FE8" s="444"/>
      <c r="FF8" s="444"/>
      <c r="FG8" s="444"/>
      <c r="FH8" s="444"/>
      <c r="FI8" s="444"/>
      <c r="FJ8" s="444"/>
      <c r="FK8" s="444"/>
      <c r="FL8" s="444"/>
      <c r="FM8" s="444"/>
      <c r="FN8" s="444"/>
      <c r="FO8" s="444"/>
      <c r="FP8" s="444"/>
      <c r="FQ8" s="444"/>
      <c r="FR8" s="444"/>
      <c r="FS8" s="444"/>
      <c r="FT8" s="444"/>
      <c r="FU8" s="444"/>
      <c r="FV8" s="444"/>
      <c r="FW8" s="444"/>
      <c r="FX8" s="444"/>
      <c r="FY8" s="444"/>
      <c r="FZ8" s="444"/>
      <c r="GA8" s="444"/>
      <c r="GB8" s="444"/>
      <c r="GC8" s="444"/>
      <c r="GD8" s="444"/>
      <c r="GE8" s="444"/>
      <c r="GF8" s="444"/>
      <c r="GG8" s="444"/>
      <c r="GH8" s="444"/>
      <c r="GI8" s="444"/>
      <c r="GJ8" s="444"/>
      <c r="GK8" s="444"/>
      <c r="GL8" s="444"/>
      <c r="GM8" s="444"/>
      <c r="GN8" s="444"/>
      <c r="GO8" s="444"/>
      <c r="GP8" s="444"/>
      <c r="GQ8" s="444"/>
      <c r="GR8" s="444"/>
      <c r="GS8" s="444"/>
      <c r="GT8" s="444"/>
      <c r="GU8" s="444"/>
      <c r="GV8" s="444"/>
      <c r="GW8" s="444"/>
      <c r="GX8" s="444"/>
      <c r="GY8" s="444"/>
      <c r="GZ8" s="444"/>
      <c r="HA8" s="444"/>
      <c r="HB8" s="444"/>
      <c r="HC8" s="444"/>
      <c r="HD8" s="444"/>
      <c r="HE8" s="444"/>
      <c r="HF8" s="444"/>
      <c r="HG8" s="444"/>
      <c r="HH8" s="444"/>
      <c r="HI8" s="444"/>
      <c r="HJ8" s="444"/>
      <c r="HK8" s="444"/>
      <c r="HL8" s="444"/>
      <c r="HM8" s="444"/>
      <c r="HN8" s="444"/>
      <c r="HO8" s="444"/>
      <c r="HP8" s="444"/>
      <c r="HQ8" s="444"/>
      <c r="HR8" s="444"/>
      <c r="HS8" s="444"/>
      <c r="HT8" s="444"/>
      <c r="HU8" s="444"/>
      <c r="HV8" s="444"/>
      <c r="HW8" s="444"/>
      <c r="HX8" s="444"/>
      <c r="HY8" s="444"/>
      <c r="HZ8" s="444"/>
      <c r="IA8" s="444"/>
      <c r="IB8" s="444"/>
      <c r="IC8" s="444"/>
      <c r="ID8" s="444"/>
      <c r="IE8" s="444"/>
      <c r="IF8" s="444"/>
      <c r="IG8" s="444"/>
      <c r="IH8" s="444"/>
      <c r="II8" s="444"/>
      <c r="IJ8" s="444"/>
      <c r="IK8" s="444"/>
      <c r="IL8" s="444"/>
      <c r="IM8" s="444"/>
      <c r="IN8" s="444"/>
      <c r="IO8" s="444"/>
      <c r="IP8" s="444"/>
      <c r="IQ8" s="444"/>
      <c r="IR8" s="444"/>
      <c r="IS8" s="444"/>
      <c r="IT8" s="444"/>
      <c r="IU8" s="444"/>
      <c r="IV8" s="444"/>
      <c r="IW8" s="444"/>
      <c r="IX8" s="444"/>
      <c r="IY8" s="444"/>
      <c r="IZ8" s="444"/>
      <c r="JA8" s="444"/>
      <c r="JB8" s="444"/>
      <c r="JC8" s="444"/>
      <c r="JD8" s="444"/>
      <c r="JE8" s="444"/>
      <c r="JF8" s="444"/>
      <c r="JG8" s="444"/>
      <c r="JH8" s="444"/>
      <c r="JI8" s="444"/>
      <c r="JJ8" s="444"/>
      <c r="JK8" s="444"/>
      <c r="JL8" s="444"/>
      <c r="JM8" s="444"/>
      <c r="JN8" s="444"/>
      <c r="JO8" s="444"/>
      <c r="JP8" s="444"/>
      <c r="JQ8" s="444"/>
      <c r="JR8" s="444"/>
      <c r="JS8" s="444"/>
      <c r="JT8" s="444"/>
      <c r="JU8" s="444"/>
      <c r="JV8" s="444"/>
      <c r="JW8" s="444"/>
      <c r="JX8" s="444"/>
      <c r="JY8" s="444"/>
      <c r="JZ8" s="444"/>
      <c r="KA8" s="444"/>
      <c r="KB8" s="444"/>
      <c r="KC8" s="444"/>
      <c r="KD8" s="444"/>
      <c r="KE8" s="444"/>
      <c r="KF8" s="444"/>
      <c r="KG8" s="444"/>
      <c r="KH8" s="444"/>
      <c r="KI8" s="444"/>
      <c r="KJ8" s="444"/>
      <c r="KK8" s="444"/>
      <c r="KL8" s="444"/>
      <c r="KM8" s="444"/>
      <c r="KN8" s="444"/>
      <c r="KO8" s="444"/>
      <c r="KP8" s="444"/>
      <c r="KQ8" s="444"/>
      <c r="KR8" s="444"/>
      <c r="KS8" s="444"/>
      <c r="KT8" s="444"/>
      <c r="KU8" s="444"/>
      <c r="KV8" s="444"/>
      <c r="KW8" s="444"/>
      <c r="KX8" s="444"/>
      <c r="KY8" s="444"/>
      <c r="KZ8" s="444"/>
      <c r="LA8" s="444"/>
      <c r="LB8" s="444"/>
      <c r="LC8" s="444"/>
      <c r="LD8" s="444"/>
      <c r="LE8" s="444"/>
      <c r="LF8" s="444"/>
      <c r="LG8" s="444"/>
      <c r="LH8" s="444"/>
      <c r="LI8" s="444"/>
      <c r="LJ8" s="444"/>
      <c r="LK8" s="444"/>
      <c r="LL8" s="444"/>
      <c r="LM8" s="444"/>
      <c r="LN8" s="444"/>
      <c r="LO8" s="444"/>
      <c r="LP8" s="444"/>
      <c r="LQ8" s="444"/>
      <c r="LR8" s="444"/>
      <c r="LS8" s="444"/>
      <c r="LT8" s="444"/>
      <c r="LU8" s="444"/>
      <c r="LV8" s="444"/>
      <c r="LW8" s="444"/>
      <c r="LX8" s="444"/>
      <c r="LY8" s="444"/>
      <c r="LZ8" s="444"/>
      <c r="MA8" s="444"/>
      <c r="MB8" s="444"/>
      <c r="MC8" s="444"/>
      <c r="MD8" s="444"/>
      <c r="ME8" s="444"/>
      <c r="MF8" s="444"/>
      <c r="MG8" s="444"/>
      <c r="MH8" s="444"/>
      <c r="MI8" s="444"/>
      <c r="MJ8" s="444"/>
      <c r="MK8" s="444"/>
      <c r="ML8" s="444"/>
      <c r="MM8" s="444"/>
      <c r="MN8" s="444"/>
      <c r="MO8" s="444"/>
      <c r="MP8" s="444"/>
      <c r="MQ8" s="444"/>
      <c r="MR8" s="444"/>
      <c r="MS8" s="444"/>
      <c r="MT8" s="444"/>
      <c r="MU8" s="444"/>
      <c r="MV8" s="444"/>
      <c r="MW8" s="444"/>
      <c r="MX8" s="444"/>
      <c r="MY8" s="444"/>
      <c r="MZ8" s="444"/>
      <c r="NA8" s="444"/>
      <c r="NB8" s="444"/>
      <c r="NC8" s="444"/>
      <c r="ND8" s="444"/>
      <c r="NE8" s="444"/>
      <c r="NF8" s="444"/>
      <c r="NG8" s="444"/>
      <c r="NH8" s="444"/>
      <c r="NI8" s="444"/>
      <c r="NJ8" s="444"/>
      <c r="NK8" s="444"/>
      <c r="NL8" s="444"/>
      <c r="NM8" s="444"/>
      <c r="NN8" s="444"/>
      <c r="NO8" s="444"/>
      <c r="NP8" s="444"/>
      <c r="NQ8" s="444"/>
      <c r="NR8" s="444"/>
      <c r="NS8" s="444"/>
      <c r="NT8" s="444"/>
      <c r="NU8" s="444"/>
      <c r="NV8" s="444"/>
      <c r="NW8" s="444"/>
      <c r="NX8" s="444"/>
      <c r="NY8" s="444"/>
      <c r="NZ8" s="444"/>
      <c r="OA8" s="444"/>
      <c r="OB8" s="444"/>
      <c r="OC8" s="444"/>
      <c r="OD8" s="444"/>
      <c r="OE8" s="444"/>
      <c r="OF8" s="444"/>
      <c r="OG8" s="444"/>
      <c r="OH8" s="444"/>
      <c r="OI8" s="444"/>
      <c r="OJ8" s="444"/>
      <c r="OK8" s="444"/>
      <c r="OL8" s="444"/>
      <c r="OM8" s="444"/>
      <c r="ON8" s="444"/>
      <c r="OO8" s="444"/>
      <c r="OP8" s="444"/>
      <c r="OQ8" s="444"/>
      <c r="OR8" s="444"/>
      <c r="OS8" s="444"/>
      <c r="OT8" s="444"/>
      <c r="OU8" s="444"/>
      <c r="OV8" s="444"/>
      <c r="OW8" s="444"/>
      <c r="OX8" s="444"/>
      <c r="OY8" s="444"/>
      <c r="OZ8" s="444"/>
      <c r="PA8" s="444"/>
      <c r="PB8" s="444"/>
      <c r="PC8" s="444"/>
      <c r="PD8" s="444"/>
      <c r="PE8" s="444"/>
      <c r="PF8" s="444"/>
      <c r="PG8" s="444"/>
      <c r="PH8" s="444"/>
      <c r="PI8" s="444"/>
      <c r="PJ8" s="444"/>
      <c r="PK8" s="444"/>
      <c r="PL8" s="444"/>
      <c r="PM8" s="444"/>
      <c r="PN8" s="444"/>
      <c r="PO8" s="444"/>
      <c r="PP8" s="444"/>
      <c r="PQ8" s="444"/>
      <c r="PR8" s="444"/>
      <c r="PS8" s="444"/>
      <c r="PT8" s="444"/>
      <c r="PU8" s="444"/>
      <c r="PV8" s="444"/>
      <c r="PW8" s="444"/>
      <c r="PX8" s="444"/>
      <c r="PY8" s="444"/>
      <c r="PZ8" s="444"/>
      <c r="QA8" s="444"/>
      <c r="QB8" s="444"/>
      <c r="QC8" s="444"/>
      <c r="QD8" s="444"/>
      <c r="QE8" s="444"/>
      <c r="QF8" s="444"/>
      <c r="QG8" s="444"/>
      <c r="QH8" s="444"/>
      <c r="QI8" s="444"/>
      <c r="QJ8" s="444"/>
      <c r="QK8" s="444"/>
      <c r="QL8" s="444"/>
      <c r="QM8" s="444"/>
      <c r="QN8" s="444"/>
      <c r="QO8" s="444"/>
      <c r="QP8" s="444"/>
      <c r="QQ8" s="444"/>
      <c r="QR8" s="444"/>
      <c r="QS8" s="444"/>
      <c r="QT8" s="444"/>
      <c r="QU8" s="444"/>
      <c r="QV8" s="444"/>
      <c r="QW8" s="444"/>
      <c r="QX8" s="444"/>
      <c r="QY8" s="444"/>
      <c r="QZ8" s="444"/>
      <c r="RA8" s="444"/>
      <c r="RB8" s="444"/>
      <c r="RC8" s="444"/>
      <c r="RD8" s="444"/>
      <c r="RE8" s="444"/>
      <c r="RF8" s="444"/>
      <c r="RG8" s="444"/>
      <c r="RH8" s="444"/>
      <c r="RI8" s="444"/>
      <c r="RJ8" s="444"/>
      <c r="RK8" s="444"/>
      <c r="RL8" s="444"/>
      <c r="RM8" s="444"/>
      <c r="RN8" s="444"/>
      <c r="RO8" s="444"/>
      <c r="RP8" s="444"/>
      <c r="RQ8" s="444"/>
      <c r="RR8" s="444"/>
      <c r="RS8" s="444"/>
      <c r="RT8" s="444"/>
      <c r="RU8" s="444"/>
      <c r="RV8" s="444"/>
      <c r="RW8" s="444"/>
      <c r="RX8" s="444"/>
      <c r="RY8" s="444"/>
      <c r="RZ8" s="444"/>
      <c r="SA8" s="444"/>
      <c r="SB8" s="444"/>
      <c r="SC8" s="444"/>
      <c r="SD8" s="444"/>
      <c r="SE8" s="444"/>
      <c r="SF8" s="444"/>
      <c r="SG8" s="444"/>
      <c r="SH8" s="444"/>
      <c r="SI8" s="444"/>
      <c r="SJ8" s="444"/>
      <c r="SK8" s="444"/>
      <c r="SL8" s="444"/>
      <c r="SM8" s="444"/>
      <c r="SN8" s="444"/>
      <c r="SO8" s="444"/>
      <c r="SP8" s="444"/>
      <c r="SQ8" s="444"/>
      <c r="SR8" s="444"/>
      <c r="SS8" s="444"/>
      <c r="ST8" s="444"/>
      <c r="SU8" s="444"/>
      <c r="SV8" s="444"/>
      <c r="SW8" s="444"/>
      <c r="SX8" s="444"/>
      <c r="SY8" s="444"/>
      <c r="SZ8" s="444"/>
      <c r="TA8" s="444"/>
      <c r="TB8" s="444"/>
      <c r="TC8" s="444"/>
      <c r="TD8" s="444"/>
      <c r="TE8" s="444"/>
      <c r="TF8" s="444"/>
      <c r="TG8" s="444"/>
      <c r="TH8" s="444"/>
      <c r="TI8" s="444"/>
      <c r="TJ8" s="444"/>
      <c r="TK8" s="444"/>
      <c r="TL8" s="444"/>
      <c r="TM8" s="444"/>
      <c r="TN8" s="444"/>
      <c r="TO8" s="444"/>
      <c r="TP8" s="444"/>
      <c r="TQ8" s="444"/>
      <c r="TR8" s="444"/>
      <c r="TS8" s="444"/>
      <c r="TT8" s="444"/>
      <c r="TU8" s="444"/>
      <c r="TV8" s="444"/>
      <c r="TW8" s="444"/>
      <c r="TX8" s="444"/>
      <c r="TY8" s="444"/>
      <c r="TZ8" s="444"/>
      <c r="UA8" s="444"/>
      <c r="UB8" s="444"/>
      <c r="UC8" s="444"/>
      <c r="UD8" s="444"/>
      <c r="UE8" s="444"/>
      <c r="UF8" s="444"/>
      <c r="UG8" s="444"/>
      <c r="UH8" s="444"/>
      <c r="UI8" s="444"/>
      <c r="UJ8" s="444"/>
      <c r="UK8" s="444"/>
      <c r="UL8" s="444"/>
      <c r="UM8" s="444"/>
      <c r="UN8" s="444"/>
      <c r="UO8" s="444"/>
      <c r="UP8" s="444"/>
      <c r="UQ8" s="444"/>
      <c r="UR8" s="444"/>
      <c r="US8" s="444"/>
      <c r="UT8" s="444"/>
      <c r="UU8" s="444"/>
      <c r="UV8" s="444"/>
      <c r="UW8" s="444"/>
      <c r="UX8" s="444"/>
      <c r="UY8" s="444"/>
      <c r="UZ8" s="444"/>
      <c r="VA8" s="444"/>
      <c r="VB8" s="444"/>
      <c r="VC8" s="444"/>
      <c r="VD8" s="444"/>
      <c r="VE8" s="444"/>
      <c r="VF8" s="444"/>
      <c r="VG8" s="444"/>
      <c r="VH8" s="444"/>
      <c r="VI8" s="444"/>
      <c r="VJ8" s="444"/>
      <c r="VK8" s="444"/>
      <c r="VL8" s="444"/>
      <c r="VM8" s="444"/>
      <c r="VN8" s="444"/>
      <c r="VO8" s="444"/>
      <c r="VP8" s="444"/>
      <c r="VQ8" s="444"/>
      <c r="VR8" s="444"/>
      <c r="VS8" s="444"/>
      <c r="VT8" s="444"/>
      <c r="VU8" s="444"/>
      <c r="VV8" s="444"/>
      <c r="VW8" s="444"/>
      <c r="VX8" s="444"/>
      <c r="VY8" s="444"/>
      <c r="VZ8" s="444"/>
      <c r="WA8" s="444"/>
      <c r="WB8" s="444"/>
      <c r="WC8" s="444"/>
      <c r="WD8" s="444"/>
      <c r="WE8" s="444"/>
      <c r="WF8" s="444"/>
      <c r="WG8" s="444"/>
      <c r="WH8" s="444"/>
      <c r="WI8" s="444"/>
      <c r="WJ8" s="444"/>
      <c r="WK8" s="444"/>
      <c r="WL8" s="444"/>
      <c r="WM8" s="444"/>
      <c r="WN8" s="444"/>
      <c r="WO8" s="444"/>
      <c r="WP8" s="444"/>
      <c r="WQ8" s="444"/>
      <c r="WR8" s="444"/>
      <c r="WS8" s="444"/>
      <c r="WT8" s="444"/>
      <c r="WU8" s="444"/>
      <c r="WV8" s="444"/>
      <c r="WW8" s="444"/>
      <c r="WX8" s="444"/>
      <c r="WY8" s="444"/>
      <c r="WZ8" s="444"/>
      <c r="XA8" s="444"/>
      <c r="XB8" s="444"/>
      <c r="XC8" s="444"/>
      <c r="XD8" s="444"/>
      <c r="XE8" s="444"/>
      <c r="XF8" s="444"/>
      <c r="XG8" s="444"/>
      <c r="XH8" s="444"/>
      <c r="XI8" s="444"/>
      <c r="XJ8" s="444"/>
      <c r="XK8" s="444"/>
      <c r="XL8" s="444"/>
      <c r="XM8" s="444"/>
      <c r="XN8" s="444"/>
      <c r="XO8" s="444"/>
      <c r="XP8" s="444"/>
      <c r="XQ8" s="444"/>
      <c r="XR8" s="444"/>
      <c r="XS8" s="444"/>
      <c r="XT8" s="444"/>
      <c r="XU8" s="444"/>
      <c r="XV8" s="444"/>
      <c r="XW8" s="444"/>
      <c r="XX8" s="444"/>
      <c r="XY8" s="444"/>
      <c r="XZ8" s="444"/>
      <c r="YA8" s="444"/>
      <c r="YB8" s="444"/>
      <c r="YC8" s="444"/>
      <c r="YD8" s="444"/>
      <c r="YE8" s="444"/>
      <c r="YF8" s="444"/>
      <c r="YG8" s="444"/>
      <c r="YH8" s="444"/>
      <c r="YI8" s="444"/>
      <c r="YJ8" s="444"/>
      <c r="YK8" s="444"/>
      <c r="YL8" s="444"/>
      <c r="YM8" s="444"/>
      <c r="YN8" s="444"/>
      <c r="YO8" s="444"/>
      <c r="YP8" s="444"/>
      <c r="YQ8" s="444"/>
      <c r="YR8" s="444"/>
      <c r="YS8" s="444"/>
      <c r="YT8" s="444"/>
      <c r="YU8" s="444"/>
      <c r="YV8" s="444"/>
      <c r="YW8" s="444"/>
      <c r="YX8" s="444"/>
      <c r="YY8" s="444"/>
      <c r="YZ8" s="444"/>
      <c r="ZA8" s="444"/>
      <c r="ZB8" s="444"/>
      <c r="ZC8" s="444"/>
      <c r="ZD8" s="444"/>
      <c r="ZE8" s="444"/>
      <c r="ZF8" s="444"/>
      <c r="ZG8" s="444"/>
      <c r="ZH8" s="444"/>
      <c r="ZI8" s="444"/>
      <c r="ZJ8" s="444"/>
      <c r="ZK8" s="444"/>
      <c r="ZL8" s="444"/>
      <c r="ZM8" s="444"/>
      <c r="ZN8" s="444"/>
      <c r="ZO8" s="444"/>
      <c r="ZP8" s="444"/>
      <c r="ZQ8" s="444"/>
      <c r="ZR8" s="444"/>
      <c r="ZS8" s="444"/>
      <c r="ZT8" s="444"/>
      <c r="ZU8" s="444"/>
      <c r="ZV8" s="444"/>
      <c r="ZW8" s="444"/>
      <c r="ZX8" s="444"/>
      <c r="ZY8" s="444"/>
      <c r="ZZ8" s="444"/>
      <c r="AAA8" s="444"/>
      <c r="AAB8" s="444"/>
      <c r="AAC8" s="444"/>
      <c r="AAD8" s="444"/>
      <c r="AAE8" s="444"/>
      <c r="AAF8" s="444"/>
      <c r="AAG8" s="444"/>
      <c r="AAH8" s="444"/>
      <c r="AAI8" s="444"/>
      <c r="AAJ8" s="444"/>
      <c r="AAK8" s="444"/>
      <c r="AAL8" s="444"/>
      <c r="AAM8" s="444"/>
      <c r="AAN8" s="444"/>
      <c r="AAO8" s="444"/>
      <c r="AAP8" s="444"/>
      <c r="AAQ8" s="444"/>
      <c r="AAR8" s="444"/>
      <c r="AAS8" s="444"/>
      <c r="AAT8" s="444"/>
      <c r="AAU8" s="444"/>
      <c r="AAV8" s="444"/>
      <c r="AAW8" s="444"/>
      <c r="AAX8" s="444"/>
      <c r="AAY8" s="444"/>
      <c r="AAZ8" s="444"/>
      <c r="ABA8" s="444"/>
      <c r="ABB8" s="444"/>
      <c r="ABC8" s="444"/>
      <c r="ABD8" s="444"/>
      <c r="ABE8" s="444"/>
      <c r="ABF8" s="444"/>
      <c r="ABG8" s="444"/>
      <c r="ABH8" s="444"/>
      <c r="ABI8" s="444"/>
      <c r="ABJ8" s="444"/>
      <c r="ABK8" s="444"/>
      <c r="ABL8" s="444"/>
      <c r="ABM8" s="444"/>
      <c r="ABN8" s="444"/>
      <c r="ABO8" s="444"/>
      <c r="ABP8" s="444"/>
      <c r="ABQ8" s="444"/>
      <c r="ABR8" s="444"/>
      <c r="ABS8" s="444"/>
      <c r="ABT8" s="444"/>
      <c r="ABU8" s="444"/>
      <c r="ABV8" s="444"/>
      <c r="ABW8" s="444"/>
      <c r="ABX8" s="444"/>
      <c r="ABY8" s="444"/>
      <c r="ABZ8" s="444"/>
      <c r="ACA8" s="444"/>
      <c r="ACB8" s="444"/>
      <c r="ACC8" s="444"/>
      <c r="ACD8" s="444"/>
      <c r="ACE8" s="444"/>
      <c r="ACF8" s="444"/>
      <c r="ACG8" s="444"/>
      <c r="ACH8" s="444"/>
      <c r="ACI8" s="444"/>
      <c r="ACJ8" s="444"/>
      <c r="ACK8" s="444"/>
      <c r="ACL8" s="444"/>
      <c r="ACM8" s="444"/>
      <c r="ACN8" s="444"/>
      <c r="ACO8" s="444"/>
      <c r="ACP8" s="444"/>
      <c r="ACQ8" s="444"/>
      <c r="ACR8" s="444"/>
      <c r="ACS8" s="444"/>
      <c r="ACT8" s="444"/>
      <c r="ACU8" s="444"/>
      <c r="ACV8" s="444"/>
      <c r="ACW8" s="444"/>
      <c r="ACX8" s="444"/>
      <c r="ACY8" s="444"/>
      <c r="ACZ8" s="444"/>
      <c r="ADA8" s="444"/>
      <c r="ADB8" s="444"/>
      <c r="ADC8" s="444"/>
      <c r="ADD8" s="444"/>
      <c r="ADE8" s="444"/>
      <c r="ADF8" s="444"/>
      <c r="ADG8" s="444"/>
      <c r="ADH8" s="444"/>
      <c r="ADI8" s="444"/>
      <c r="ADJ8" s="444"/>
      <c r="ADK8" s="444"/>
      <c r="ADL8" s="444"/>
      <c r="ADM8" s="444"/>
      <c r="ADN8" s="444"/>
      <c r="ADO8" s="444"/>
      <c r="ADP8" s="444"/>
      <c r="ADQ8" s="444"/>
      <c r="ADR8" s="444"/>
      <c r="ADS8" s="444"/>
      <c r="ADT8" s="444"/>
      <c r="ADU8" s="444"/>
      <c r="ADV8" s="444"/>
      <c r="ADW8" s="444"/>
      <c r="ADX8" s="444"/>
      <c r="ADY8" s="444"/>
      <c r="ADZ8" s="444"/>
      <c r="AEA8" s="444"/>
      <c r="AEB8" s="444"/>
      <c r="AEC8" s="444"/>
      <c r="AED8" s="444"/>
      <c r="AEE8" s="444"/>
      <c r="AEF8" s="444"/>
      <c r="AEG8" s="444"/>
      <c r="AEH8" s="444"/>
      <c r="AEI8" s="444"/>
      <c r="AEJ8" s="444"/>
      <c r="AEK8" s="444"/>
      <c r="AEL8" s="444"/>
      <c r="AEM8" s="444"/>
      <c r="AEN8" s="444"/>
      <c r="AEO8" s="444"/>
      <c r="AEP8" s="444"/>
      <c r="AEQ8" s="444"/>
      <c r="AER8" s="444"/>
      <c r="AES8" s="444"/>
      <c r="AET8" s="444"/>
      <c r="AEU8" s="444"/>
      <c r="AEV8" s="444"/>
      <c r="AEW8" s="444"/>
      <c r="AEX8" s="444"/>
      <c r="AEY8" s="444"/>
      <c r="AEZ8" s="444"/>
      <c r="AFA8" s="444"/>
      <c r="AFB8" s="444"/>
      <c r="AFC8" s="444"/>
      <c r="AFD8" s="444"/>
      <c r="AFE8" s="444"/>
      <c r="AFF8" s="444"/>
      <c r="AFG8" s="444"/>
      <c r="AFH8" s="444"/>
      <c r="AFI8" s="444"/>
      <c r="AFJ8" s="444"/>
      <c r="AFK8" s="444"/>
      <c r="AFL8" s="444"/>
      <c r="AFM8" s="444"/>
      <c r="AFN8" s="444"/>
      <c r="AFO8" s="444"/>
      <c r="AFP8" s="444"/>
      <c r="AFQ8" s="444"/>
      <c r="AFR8" s="444"/>
      <c r="AFS8" s="444"/>
      <c r="AFT8" s="444"/>
      <c r="AFU8" s="444"/>
      <c r="AFV8" s="444"/>
      <c r="AFW8" s="444"/>
      <c r="AFX8" s="444"/>
      <c r="AFY8" s="444"/>
      <c r="AFZ8" s="444"/>
      <c r="AGA8" s="444"/>
      <c r="AGB8" s="444"/>
      <c r="AGC8" s="444"/>
      <c r="AGD8" s="444"/>
      <c r="AGE8" s="444"/>
      <c r="AGF8" s="444"/>
      <c r="AGG8" s="444"/>
      <c r="AGH8" s="444"/>
      <c r="AGI8" s="444"/>
      <c r="AGJ8" s="444"/>
      <c r="AGK8" s="444"/>
      <c r="AGL8" s="444"/>
      <c r="AGM8" s="444"/>
      <c r="AGN8" s="444"/>
      <c r="AGO8" s="444"/>
      <c r="AGP8" s="444"/>
      <c r="AGQ8" s="444"/>
      <c r="AGR8" s="444"/>
      <c r="AGS8" s="444"/>
      <c r="AGT8" s="444"/>
      <c r="AGU8" s="444"/>
      <c r="AGV8" s="444"/>
      <c r="AGW8" s="444"/>
      <c r="AGX8" s="444"/>
      <c r="AGY8" s="444"/>
      <c r="AGZ8" s="444"/>
      <c r="AHA8" s="444"/>
      <c r="AHB8" s="444"/>
      <c r="AHC8" s="444"/>
      <c r="AHD8" s="444"/>
      <c r="AHE8" s="444"/>
      <c r="AHF8" s="444"/>
      <c r="AHG8" s="444"/>
      <c r="AHH8" s="444"/>
      <c r="AHI8" s="444"/>
      <c r="AHJ8" s="444"/>
      <c r="AHK8" s="444"/>
      <c r="AHL8" s="444"/>
      <c r="AHM8" s="444"/>
      <c r="AHN8" s="444"/>
      <c r="AHO8" s="444"/>
      <c r="AHP8" s="444"/>
      <c r="AHQ8" s="444"/>
      <c r="AHR8" s="444"/>
      <c r="AHS8" s="444"/>
      <c r="AHT8" s="444"/>
      <c r="AHU8" s="444"/>
      <c r="AHV8" s="444"/>
      <c r="AHW8" s="444"/>
      <c r="AHX8" s="444"/>
      <c r="AHY8" s="444"/>
      <c r="AHZ8" s="444"/>
      <c r="AIA8" s="444"/>
      <c r="AIB8" s="444"/>
      <c r="AIC8" s="444"/>
      <c r="AID8" s="444"/>
      <c r="AIE8" s="444"/>
      <c r="AIF8" s="444"/>
      <c r="AIG8" s="444"/>
      <c r="AIH8" s="444"/>
      <c r="AII8" s="444"/>
      <c r="AIJ8" s="444"/>
      <c r="AIK8" s="444"/>
      <c r="AIL8" s="444"/>
      <c r="AIM8" s="444"/>
      <c r="AIN8" s="444"/>
      <c r="AIO8" s="444"/>
      <c r="AIP8" s="444"/>
      <c r="AIQ8" s="444"/>
      <c r="AIR8" s="444"/>
      <c r="AIS8" s="444"/>
      <c r="AIT8" s="444"/>
      <c r="AIU8" s="444"/>
      <c r="AIV8" s="444"/>
      <c r="AIW8" s="444"/>
      <c r="AIX8" s="444"/>
      <c r="AIY8" s="444"/>
      <c r="AIZ8" s="444"/>
      <c r="AJA8" s="444"/>
      <c r="AJB8" s="444"/>
      <c r="AJC8" s="444"/>
      <c r="AJD8" s="444"/>
      <c r="AJE8" s="444"/>
      <c r="AJF8" s="444"/>
      <c r="AJG8" s="444"/>
      <c r="AJH8" s="444"/>
      <c r="AJI8" s="444"/>
      <c r="AJJ8" s="444"/>
      <c r="AJK8" s="444"/>
      <c r="AJL8" s="444"/>
      <c r="AJM8" s="444"/>
      <c r="AJN8" s="444"/>
      <c r="AJO8" s="444"/>
      <c r="AJP8" s="444"/>
      <c r="AJQ8" s="444"/>
      <c r="AJR8" s="444"/>
      <c r="AJS8" s="444"/>
      <c r="AJT8" s="444"/>
      <c r="AJU8" s="444"/>
      <c r="AJV8" s="444"/>
      <c r="AJW8" s="444"/>
      <c r="AJX8" s="444"/>
      <c r="AJY8" s="444"/>
      <c r="AJZ8" s="444"/>
      <c r="AKA8" s="444"/>
      <c r="AKB8" s="444"/>
      <c r="AKC8" s="444"/>
      <c r="AKD8" s="444"/>
      <c r="AKE8" s="444"/>
      <c r="AKF8" s="444"/>
      <c r="AKG8" s="444"/>
      <c r="AKH8" s="444"/>
      <c r="AKI8" s="444"/>
      <c r="AKJ8" s="444"/>
      <c r="AKK8" s="444"/>
      <c r="AKL8" s="444"/>
      <c r="AKM8" s="444"/>
      <c r="AKN8" s="444"/>
      <c r="AKO8" s="444"/>
      <c r="AKP8" s="444"/>
      <c r="AKQ8" s="444"/>
      <c r="AKR8" s="444"/>
      <c r="AKS8" s="444"/>
      <c r="AKT8" s="444"/>
      <c r="AKU8" s="444"/>
      <c r="AKV8" s="444"/>
      <c r="AKW8" s="444"/>
      <c r="AKX8" s="444"/>
      <c r="AKY8" s="444"/>
      <c r="AKZ8" s="444"/>
      <c r="ALA8" s="444"/>
      <c r="ALB8" s="444"/>
      <c r="ALC8" s="444"/>
      <c r="ALD8" s="444"/>
      <c r="ALE8" s="444"/>
      <c r="ALF8" s="444"/>
      <c r="ALG8" s="444"/>
      <c r="ALH8" s="444"/>
      <c r="ALI8" s="444"/>
      <c r="ALJ8" s="444"/>
      <c r="ALK8" s="444"/>
      <c r="ALL8" s="444"/>
      <c r="ALM8" s="444"/>
      <c r="ALN8" s="444"/>
      <c r="ALO8" s="444"/>
      <c r="ALP8" s="444"/>
      <c r="ALQ8" s="444"/>
      <c r="ALR8" s="444"/>
      <c r="ALS8" s="444"/>
      <c r="ALT8" s="444"/>
      <c r="ALU8" s="444"/>
      <c r="ALV8" s="444"/>
      <c r="ALW8" s="444"/>
      <c r="ALX8" s="444"/>
      <c r="ALY8" s="444"/>
      <c r="ALZ8" s="444"/>
    </row>
    <row r="9" spans="1:1014" ht="15" customHeight="1">
      <c r="A9" s="424">
        <v>1</v>
      </c>
      <c r="B9" s="321" t="s">
        <v>2608</v>
      </c>
      <c r="C9" s="321"/>
      <c r="D9" s="321"/>
      <c r="E9" s="414"/>
      <c r="F9" s="414"/>
      <c r="G9" s="414"/>
      <c r="H9" s="435" t="s">
        <v>2609</v>
      </c>
      <c r="I9" s="415"/>
      <c r="J9" s="417"/>
      <c r="K9" s="316" t="s">
        <v>2610</v>
      </c>
      <c r="L9" s="417"/>
      <c r="M9" s="417"/>
      <c r="N9" s="417"/>
      <c r="O9" s="417"/>
      <c r="P9" s="417"/>
      <c r="Q9" s="416" t="s">
        <v>819</v>
      </c>
      <c r="R9" s="341" t="s">
        <v>863</v>
      </c>
      <c r="S9" s="341" t="s">
        <v>2610</v>
      </c>
      <c r="T9" s="417"/>
      <c r="U9" s="417"/>
      <c r="V9" s="417" t="s">
        <v>863</v>
      </c>
      <c r="W9" s="417" t="s">
        <v>863</v>
      </c>
    </row>
    <row r="10" spans="1:1014" ht="15" customHeight="1">
      <c r="A10" s="424">
        <v>2</v>
      </c>
      <c r="B10" s="321"/>
      <c r="C10" s="321" t="s">
        <v>2611</v>
      </c>
      <c r="D10" s="321"/>
      <c r="E10" s="414"/>
      <c r="F10" s="414"/>
      <c r="G10" s="414"/>
      <c r="H10" s="447" t="s">
        <v>2612</v>
      </c>
      <c r="I10" s="419">
        <v>101</v>
      </c>
      <c r="J10" s="423"/>
      <c r="K10" s="420" t="s">
        <v>2613</v>
      </c>
      <c r="L10" s="421"/>
      <c r="M10" s="421"/>
      <c r="N10" s="421"/>
      <c r="O10" s="421"/>
      <c r="P10" s="421"/>
      <c r="Q10" s="416" t="s">
        <v>819</v>
      </c>
      <c r="R10" s="344"/>
      <c r="S10" s="344" t="s">
        <v>1091</v>
      </c>
      <c r="T10" s="421"/>
      <c r="U10" s="421"/>
      <c r="V10" s="421" t="s">
        <v>863</v>
      </c>
      <c r="W10" s="421" t="s">
        <v>863</v>
      </c>
    </row>
    <row r="11" spans="1:1014" ht="15" customHeight="1">
      <c r="A11" s="424">
        <v>3</v>
      </c>
      <c r="B11" s="321"/>
      <c r="C11" s="321" t="s">
        <v>2614</v>
      </c>
      <c r="D11" s="321"/>
      <c r="E11" s="414"/>
      <c r="F11" s="414"/>
      <c r="G11" s="414"/>
      <c r="H11" s="446" t="s">
        <v>2615</v>
      </c>
      <c r="I11" s="422" t="s">
        <v>2616</v>
      </c>
      <c r="J11" s="417"/>
      <c r="K11" s="316" t="s">
        <v>2617</v>
      </c>
      <c r="L11" s="417"/>
      <c r="M11" s="417"/>
      <c r="N11" s="417"/>
      <c r="O11" s="417"/>
      <c r="P11" s="417"/>
      <c r="Q11" s="416" t="s">
        <v>819</v>
      </c>
      <c r="R11" s="341"/>
      <c r="S11" s="341" t="s">
        <v>862</v>
      </c>
      <c r="T11" s="417"/>
      <c r="U11" s="417"/>
      <c r="V11" s="417" t="s">
        <v>863</v>
      </c>
      <c r="W11" s="417" t="s">
        <v>863</v>
      </c>
    </row>
    <row r="12" spans="1:1014" ht="15" customHeight="1">
      <c r="A12" s="424">
        <v>4</v>
      </c>
      <c r="B12" s="321" t="s">
        <v>2618</v>
      </c>
      <c r="C12" s="321"/>
      <c r="D12" s="321"/>
      <c r="E12" s="414"/>
      <c r="F12" s="414"/>
      <c r="G12" s="414"/>
      <c r="H12" s="448" t="s">
        <v>2619</v>
      </c>
      <c r="I12" s="419" t="s">
        <v>2620</v>
      </c>
      <c r="J12" s="423"/>
      <c r="K12" s="420" t="s">
        <v>2621</v>
      </c>
      <c r="L12" s="421"/>
      <c r="M12" s="421"/>
      <c r="N12" s="421"/>
      <c r="O12" s="421"/>
      <c r="P12" s="421"/>
      <c r="Q12" s="416" t="s">
        <v>819</v>
      </c>
      <c r="R12" s="344"/>
      <c r="S12" s="344" t="s">
        <v>862</v>
      </c>
      <c r="T12" s="421"/>
      <c r="U12" s="421"/>
      <c r="V12" s="421" t="s">
        <v>863</v>
      </c>
      <c r="W12" s="421" t="s">
        <v>863</v>
      </c>
    </row>
    <row r="13" spans="1:1014" ht="15" customHeight="1">
      <c r="A13" s="429">
        <v>5</v>
      </c>
      <c r="B13" s="430" t="s">
        <v>2622</v>
      </c>
      <c r="C13" s="430"/>
      <c r="D13" s="430"/>
      <c r="E13" s="431"/>
      <c r="F13" s="431"/>
      <c r="G13" s="431"/>
      <c r="H13" s="449" t="s">
        <v>2623</v>
      </c>
      <c r="I13" s="432"/>
      <c r="J13" s="433"/>
      <c r="K13" s="432" t="s">
        <v>2624</v>
      </c>
      <c r="L13" s="433"/>
      <c r="M13" s="433"/>
      <c r="N13" s="433"/>
      <c r="O13" s="433"/>
      <c r="P13" s="433"/>
      <c r="Q13" s="434" t="s">
        <v>816</v>
      </c>
      <c r="R13" s="508" t="s">
        <v>863</v>
      </c>
      <c r="S13" s="509" t="s">
        <v>2624</v>
      </c>
      <c r="T13" s="433"/>
      <c r="U13" s="433"/>
      <c r="V13" s="433" t="s">
        <v>863</v>
      </c>
      <c r="W13" s="433" t="s">
        <v>863</v>
      </c>
    </row>
    <row r="14" spans="1:1014" ht="15" customHeight="1" thickBot="1">
      <c r="A14" s="483">
        <v>6</v>
      </c>
      <c r="B14" s="484" t="s">
        <v>2625</v>
      </c>
      <c r="C14" s="484"/>
      <c r="D14" s="484"/>
      <c r="E14" s="485"/>
      <c r="F14" s="485"/>
      <c r="G14" s="485"/>
      <c r="H14" s="486" t="s">
        <v>2626</v>
      </c>
      <c r="I14" s="487"/>
      <c r="J14" s="488"/>
      <c r="K14" s="476" t="s">
        <v>2627</v>
      </c>
      <c r="L14" s="488"/>
      <c r="M14" s="488"/>
      <c r="N14" s="488"/>
      <c r="O14" s="488"/>
      <c r="P14" s="488"/>
      <c r="Q14" s="489" t="s">
        <v>819</v>
      </c>
      <c r="R14" s="510"/>
      <c r="S14" s="510" t="s">
        <v>862</v>
      </c>
      <c r="T14" s="488"/>
      <c r="U14" s="488"/>
      <c r="V14" s="488" t="s">
        <v>863</v>
      </c>
      <c r="W14" s="488" t="s">
        <v>863</v>
      </c>
    </row>
    <row r="15" spans="1:1014" s="455" customFormat="1" ht="15">
      <c r="A15" s="482">
        <f>SUBTOTAL(103, Tableau9[ID])</f>
        <v>6</v>
      </c>
      <c r="B15" s="482">
        <f>SUBTOTAL(103, Tableau9[Donnée (Niveau 1)])</f>
        <v>4</v>
      </c>
      <c r="C15" s="482">
        <f>SUBTOTAL(103, Tableau9[Donnée (Niveau 2)])</f>
        <v>2</v>
      </c>
      <c r="D15" s="482">
        <f>SUBTOTAL(103, Tableau9[Donnée (Niveau 3)])</f>
        <v>0</v>
      </c>
      <c r="E15" s="482">
        <f>SUBTOTAL(103, Tableau9[Donnée (Niveau 4)])</f>
        <v>0</v>
      </c>
      <c r="F15" s="482">
        <f>SUBTOTAL(103, Tableau9[Donnée (Niveau 5)])</f>
        <v>0</v>
      </c>
      <c r="G15" s="482">
        <f>SUBTOTAL(103, Tableau9[Donnée (Niveau 6)])</f>
        <v>0</v>
      </c>
      <c r="H15" s="482">
        <f>SUBTOTAL(103, Tableau9[Description])</f>
        <v>6</v>
      </c>
      <c r="I15" s="482">
        <f>SUBTOTAL(103, Tableau9[Exemples])</f>
        <v>3</v>
      </c>
      <c r="J15" s="482">
        <f>SUBTOTAL(103, Tableau9[Balise NexSIS])</f>
        <v>0</v>
      </c>
      <c r="K15" s="482">
        <f>SUBTOTAL(103, Tableau9[Nouvelle balise])</f>
        <v>6</v>
      </c>
      <c r="L15" s="482">
        <f>SUBTOTAL(103, Tableau9[Nantes - balise])</f>
        <v>0</v>
      </c>
      <c r="M15" s="482">
        <f>SUBTOTAL(103, Tableau9[Nantes - description])</f>
        <v>0</v>
      </c>
      <c r="N15" s="482">
        <f>SUBTOTAL(103, Tableau9[GT399])</f>
        <v>0</v>
      </c>
      <c r="O15" s="482">
        <f>SUBTOTAL(103, Tableau9[GT399 description])</f>
        <v>0</v>
      </c>
      <c r="P15" s="482">
        <f>SUBTOTAL(103, Tableau9[Priorisation])</f>
        <v>0</v>
      </c>
      <c r="Q15" s="482">
        <f>SUBTOTAL(103, Tableau9[Cardinalité])</f>
        <v>6</v>
      </c>
      <c r="R15" s="482">
        <f>SUBTOTAL(103, Tableau9[Objet])</f>
        <v>2</v>
      </c>
      <c r="S15" s="482">
        <f>SUBTOTAL(103, Tableau9[Format (ou type)])</f>
        <v>6</v>
      </c>
      <c r="T15" s="482">
        <f>SUBTOTAL(103, Tableau9[Nomenclature/ énumération])</f>
        <v>0</v>
      </c>
      <c r="U15" s="482">
        <f>SUBTOTAL(103, Tableau9[Détails de format])</f>
        <v>0</v>
      </c>
      <c r="V15" s="482">
        <f>SUBTOTAL(103, Tableau9[15-18])</f>
        <v>6</v>
      </c>
      <c r="W15" s="482">
        <f>SUBTOTAL(103, Tableau9[15-15])</f>
        <v>6</v>
      </c>
    </row>
    <row r="16" spans="1:1014">
      <c r="E16" s="57"/>
      <c r="AF16" s="451"/>
      <c r="AG16" s="452"/>
      <c r="AH16" s="452"/>
      <c r="AI16" s="453"/>
    </row>
    <row r="17" spans="3:5">
      <c r="E17" s="57"/>
    </row>
    <row r="18" spans="3:5">
      <c r="E18" s="57"/>
    </row>
    <row r="19" spans="3:5">
      <c r="C19" s="454"/>
      <c r="E19" s="57"/>
    </row>
  </sheetData>
  <mergeCells count="9">
    <mergeCell ref="E1:F1"/>
    <mergeCell ref="H1:J2"/>
    <mergeCell ref="O1:P1"/>
    <mergeCell ref="L7:O7"/>
    <mergeCell ref="AC7:AD7"/>
    <mergeCell ref="E5:F5"/>
    <mergeCell ref="E4:F4"/>
    <mergeCell ref="E3:F3"/>
    <mergeCell ref="E2:F2"/>
  </mergeCell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9.875" customWidth="1"/>
    <col min="24" max="30" width="9" customWidth="1"/>
  </cols>
  <sheetData>
    <row r="1" spans="1:1014" ht="14.25" customHeight="1">
      <c r="A1" s="272" t="s">
        <v>2677</v>
      </c>
      <c r="B1" s="128"/>
      <c r="C1" s="129" t="s">
        <v>812</v>
      </c>
      <c r="D1" s="128"/>
      <c r="E1" s="293" t="s">
        <v>813</v>
      </c>
      <c r="F1" s="128"/>
      <c r="G1" s="128"/>
      <c r="H1" s="817" t="s">
        <v>1692</v>
      </c>
      <c r="I1" s="817"/>
      <c r="J1" s="96"/>
      <c r="K1" s="96"/>
      <c r="L1" s="96"/>
      <c r="M1" s="96"/>
      <c r="N1" s="96"/>
      <c r="O1" s="822" t="s">
        <v>815</v>
      </c>
      <c r="P1" s="822"/>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5" t="s">
        <v>817</v>
      </c>
      <c r="D2" s="128"/>
      <c r="E2" s="296" t="s">
        <v>818</v>
      </c>
      <c r="F2" s="128"/>
      <c r="G2" s="128"/>
      <c r="H2" s="817"/>
      <c r="I2" s="817"/>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7" t="s">
        <v>820</v>
      </c>
      <c r="D3" s="128"/>
      <c r="E3" s="298" t="s">
        <v>821</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299" t="s">
        <v>823</v>
      </c>
      <c r="D4" s="128"/>
      <c r="E4" s="300" t="s">
        <v>824</v>
      </c>
      <c r="F4" s="128"/>
      <c r="G4" s="137" t="s">
        <v>1692</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825</v>
      </c>
      <c r="D5" s="146" t="s">
        <v>1692</v>
      </c>
      <c r="E5" s="407" t="s">
        <v>911</v>
      </c>
      <c r="F5" s="146" t="s">
        <v>1692</v>
      </c>
      <c r="G5" s="148"/>
      <c r="H5" s="148"/>
      <c r="I5" s="408"/>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2" t="s">
        <v>826</v>
      </c>
      <c r="D6" s="138" t="s">
        <v>1692</v>
      </c>
      <c r="E6" s="128"/>
      <c r="F6" s="138" t="s">
        <v>1692</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1692</v>
      </c>
      <c r="D7" s="409" t="s">
        <v>1692</v>
      </c>
      <c r="E7" s="303" t="s">
        <v>1692</v>
      </c>
      <c r="F7" s="303" t="s">
        <v>1692</v>
      </c>
      <c r="G7" s="96"/>
      <c r="H7" s="96"/>
      <c r="I7" s="5"/>
      <c r="J7" s="96"/>
      <c r="K7" s="96"/>
      <c r="L7" s="818" t="s">
        <v>827</v>
      </c>
      <c r="M7" s="818"/>
      <c r="N7" s="818"/>
      <c r="O7" s="818"/>
      <c r="P7" s="96"/>
      <c r="Q7" s="96"/>
      <c r="R7" s="96"/>
      <c r="S7" s="96"/>
      <c r="T7" s="96"/>
      <c r="V7" s="410" t="s">
        <v>828</v>
      </c>
      <c r="W7" s="410" t="s">
        <v>828</v>
      </c>
      <c r="Y7" s="96"/>
      <c r="Z7" s="96"/>
      <c r="AA7" s="96"/>
      <c r="AB7" s="96"/>
      <c r="AC7" s="818" t="s">
        <v>829</v>
      </c>
      <c r="AD7" s="81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5" customFormat="1" ht="27.75" customHeight="1">
      <c r="A8" s="305" t="s">
        <v>830</v>
      </c>
      <c r="B8" s="411" t="s">
        <v>831</v>
      </c>
      <c r="C8" s="411" t="s">
        <v>832</v>
      </c>
      <c r="D8" s="411" t="s">
        <v>833</v>
      </c>
      <c r="E8" s="411" t="s">
        <v>834</v>
      </c>
      <c r="F8" s="411" t="s">
        <v>835</v>
      </c>
      <c r="G8" s="411" t="s">
        <v>836</v>
      </c>
      <c r="H8" s="309" t="s">
        <v>9</v>
      </c>
      <c r="I8" s="309" t="s">
        <v>837</v>
      </c>
      <c r="J8" s="309" t="s">
        <v>840</v>
      </c>
      <c r="K8" s="309" t="s">
        <v>841</v>
      </c>
      <c r="L8" s="436" t="s">
        <v>842</v>
      </c>
      <c r="M8" s="436" t="s">
        <v>843</v>
      </c>
      <c r="N8" s="436" t="s">
        <v>844</v>
      </c>
      <c r="O8" s="436" t="s">
        <v>845</v>
      </c>
      <c r="P8" s="436" t="s">
        <v>846</v>
      </c>
      <c r="Q8" s="309" t="s">
        <v>677</v>
      </c>
      <c r="R8" s="309" t="s">
        <v>3</v>
      </c>
      <c r="S8" s="309" t="s">
        <v>2607</v>
      </c>
      <c r="T8" s="309" t="s">
        <v>913</v>
      </c>
      <c r="U8" s="309" t="s">
        <v>848</v>
      </c>
      <c r="V8" s="310" t="s">
        <v>849</v>
      </c>
      <c r="W8" s="412" t="s">
        <v>850</v>
      </c>
      <c r="X8" s="440" t="s">
        <v>851</v>
      </c>
      <c r="Y8" s="441" t="s">
        <v>852</v>
      </c>
      <c r="Z8" s="441" t="s">
        <v>853</v>
      </c>
      <c r="AA8" s="442" t="s">
        <v>854</v>
      </c>
      <c r="AB8" s="441" t="s">
        <v>855</v>
      </c>
      <c r="AC8" s="441" t="s">
        <v>856</v>
      </c>
      <c r="AD8" s="443" t="s">
        <v>914</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4"/>
      <c r="ALO8" s="444"/>
      <c r="ALP8" s="444"/>
      <c r="ALQ8" s="444"/>
      <c r="ALR8" s="444"/>
      <c r="ALS8" s="444"/>
      <c r="ALT8" s="444"/>
      <c r="ALU8" s="444"/>
      <c r="ALV8" s="444"/>
      <c r="ALW8" s="444"/>
      <c r="ALX8" s="444"/>
      <c r="ALY8" s="444"/>
      <c r="ALZ8" s="444"/>
    </row>
    <row r="9" spans="1:1014" ht="29.25" customHeight="1">
      <c r="A9" s="413">
        <v>1</v>
      </c>
      <c r="B9" s="321" t="s">
        <v>2629</v>
      </c>
      <c r="C9" s="321"/>
      <c r="D9" s="321"/>
      <c r="E9" s="414"/>
      <c r="F9" s="414"/>
      <c r="G9" s="414"/>
      <c r="H9" s="435" t="s">
        <v>2630</v>
      </c>
      <c r="I9" s="398"/>
      <c r="J9" s="417"/>
      <c r="K9" s="316" t="s">
        <v>2628</v>
      </c>
      <c r="L9" s="316"/>
      <c r="M9" s="316"/>
      <c r="N9" s="316"/>
      <c r="O9" s="316"/>
      <c r="P9" s="316"/>
      <c r="Q9" s="416" t="s">
        <v>819</v>
      </c>
      <c r="R9" s="341"/>
      <c r="S9" s="341" t="s">
        <v>862</v>
      </c>
      <c r="T9" s="417"/>
      <c r="U9" s="417"/>
      <c r="V9" s="417" t="s">
        <v>863</v>
      </c>
      <c r="W9" s="418" t="s">
        <v>863</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K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6.125" customWidth="1"/>
    <col min="12" max="15" width="2.125" customWidth="1"/>
    <col min="16" max="16" width="2.375" customWidth="1"/>
    <col min="17" max="17" width="12.5" customWidth="1"/>
    <col min="18" max="18" width="2" customWidth="1"/>
    <col min="19" max="19" width="7.125" customWidth="1"/>
    <col min="20" max="21" width="2" customWidth="1"/>
    <col min="22" max="22" width="9.375" customWidth="1"/>
    <col min="23" max="23" width="8.5" customWidth="1"/>
    <col min="26" max="26" width="7.375" customWidth="1"/>
    <col min="27" max="27" width="11" bestFit="1" customWidth="1"/>
    <col min="30" max="36" width="0" hidden="1" customWidth="1"/>
  </cols>
  <sheetData>
    <row r="1" spans="1:1020" ht="14.25" customHeight="1">
      <c r="A1" s="272" t="s">
        <v>2678</v>
      </c>
      <c r="B1" s="272"/>
      <c r="C1" s="129" t="s">
        <v>812</v>
      </c>
      <c r="D1" s="128"/>
      <c r="E1" s="293" t="s">
        <v>813</v>
      </c>
      <c r="F1" s="128"/>
      <c r="G1" s="128"/>
      <c r="H1" s="817" t="s">
        <v>1692</v>
      </c>
      <c r="I1" s="817"/>
      <c r="J1" s="294"/>
      <c r="K1" s="96"/>
      <c r="L1" s="96"/>
      <c r="M1" s="96"/>
      <c r="N1" s="96"/>
      <c r="O1" s="822" t="s">
        <v>815</v>
      </c>
      <c r="P1" s="822"/>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5" t="s">
        <v>817</v>
      </c>
      <c r="D2" s="128"/>
      <c r="E2" s="296" t="s">
        <v>818</v>
      </c>
      <c r="F2" s="128"/>
      <c r="G2" s="128"/>
      <c r="H2" s="817"/>
      <c r="I2" s="817"/>
      <c r="J2" s="294"/>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7" t="s">
        <v>820</v>
      </c>
      <c r="D3" s="128"/>
      <c r="E3" s="298" t="s">
        <v>821</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299" t="s">
        <v>823</v>
      </c>
      <c r="D4" s="128"/>
      <c r="E4" s="300" t="s">
        <v>824</v>
      </c>
      <c r="F4" s="128"/>
      <c r="G4" s="137" t="s">
        <v>1692</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825</v>
      </c>
      <c r="D5" s="146" t="s">
        <v>1692</v>
      </c>
      <c r="E5" s="407" t="s">
        <v>911</v>
      </c>
      <c r="F5" s="146" t="s">
        <v>1692</v>
      </c>
      <c r="G5" s="148"/>
      <c r="H5" s="148"/>
      <c r="I5" s="408"/>
      <c r="J5" s="408"/>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2" t="s">
        <v>826</v>
      </c>
      <c r="D6" s="138" t="s">
        <v>1692</v>
      </c>
      <c r="E6" s="128"/>
      <c r="F6" s="138" t="s">
        <v>1692</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1692</v>
      </c>
      <c r="D7" s="409" t="s">
        <v>1692</v>
      </c>
      <c r="E7" s="303" t="s">
        <v>1692</v>
      </c>
      <c r="F7" s="303" t="s">
        <v>1692</v>
      </c>
      <c r="G7" s="96"/>
      <c r="H7" s="96"/>
      <c r="I7" s="5"/>
      <c r="J7" s="5"/>
      <c r="K7" s="96"/>
      <c r="L7" s="818" t="s">
        <v>827</v>
      </c>
      <c r="M7" s="818"/>
      <c r="N7" s="818"/>
      <c r="O7" s="818"/>
      <c r="P7" s="96"/>
      <c r="Q7" s="96"/>
      <c r="R7" s="96"/>
      <c r="S7" s="96"/>
      <c r="T7" s="96"/>
      <c r="U7" s="96"/>
      <c r="V7" s="410" t="s">
        <v>828</v>
      </c>
      <c r="W7" s="410" t="s">
        <v>828</v>
      </c>
      <c r="Y7" s="96"/>
      <c r="Z7" s="96"/>
      <c r="AA7" s="96"/>
      <c r="AB7" s="96"/>
      <c r="AC7" s="818" t="s">
        <v>829</v>
      </c>
      <c r="AD7" s="81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5" customFormat="1" ht="27.75" customHeight="1">
      <c r="A8" s="425" t="s">
        <v>830</v>
      </c>
      <c r="B8" s="426" t="s">
        <v>831</v>
      </c>
      <c r="C8" s="426" t="s">
        <v>832</v>
      </c>
      <c r="D8" s="426" t="s">
        <v>833</v>
      </c>
      <c r="E8" s="426" t="s">
        <v>834</v>
      </c>
      <c r="F8" s="426" t="s">
        <v>835</v>
      </c>
      <c r="G8" s="426" t="s">
        <v>836</v>
      </c>
      <c r="H8" s="427" t="s">
        <v>9</v>
      </c>
      <c r="I8" s="427" t="s">
        <v>837</v>
      </c>
      <c r="J8" s="427" t="s">
        <v>840</v>
      </c>
      <c r="K8" s="427" t="s">
        <v>841</v>
      </c>
      <c r="L8" s="436" t="s">
        <v>842</v>
      </c>
      <c r="M8" s="436" t="s">
        <v>843</v>
      </c>
      <c r="N8" s="436" t="s">
        <v>844</v>
      </c>
      <c r="O8" s="436" t="s">
        <v>845</v>
      </c>
      <c r="P8" s="436" t="s">
        <v>846</v>
      </c>
      <c r="Q8" s="427" t="s">
        <v>677</v>
      </c>
      <c r="R8" s="427" t="s">
        <v>3</v>
      </c>
      <c r="S8" s="427" t="s">
        <v>2607</v>
      </c>
      <c r="T8" s="427" t="s">
        <v>913</v>
      </c>
      <c r="U8" s="427" t="s">
        <v>848</v>
      </c>
      <c r="V8" s="428" t="s">
        <v>849</v>
      </c>
      <c r="W8" s="428" t="s">
        <v>850</v>
      </c>
      <c r="X8" s="440" t="s">
        <v>851</v>
      </c>
      <c r="Y8" s="441" t="s">
        <v>852</v>
      </c>
      <c r="Z8" s="441" t="s">
        <v>853</v>
      </c>
      <c r="AA8" s="442" t="s">
        <v>854</v>
      </c>
      <c r="AB8" s="441" t="s">
        <v>855</v>
      </c>
      <c r="AC8" s="441" t="s">
        <v>856</v>
      </c>
      <c r="AD8" s="443" t="s">
        <v>914</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4"/>
      <c r="ALU8" s="444"/>
      <c r="ALV8" s="444"/>
      <c r="ALW8" s="444"/>
      <c r="ALX8" s="444"/>
      <c r="ALY8" s="444"/>
      <c r="ALZ8" s="444"/>
      <c r="AMA8" s="444"/>
      <c r="AMB8" s="444"/>
      <c r="AMC8" s="444"/>
      <c r="AMD8" s="444"/>
      <c r="AME8" s="444"/>
      <c r="AMF8" s="444"/>
    </row>
    <row r="9" spans="1:1020" ht="15" customHeight="1">
      <c r="A9" s="424">
        <v>1</v>
      </c>
      <c r="B9" s="321" t="s">
        <v>2631</v>
      </c>
      <c r="C9" s="450"/>
      <c r="D9" s="321"/>
      <c r="E9" s="414"/>
      <c r="F9" s="414"/>
      <c r="G9" s="414"/>
      <c r="H9" s="316" t="s">
        <v>2632</v>
      </c>
      <c r="I9" s="416"/>
      <c r="J9" s="398"/>
      <c r="K9" s="316" t="s">
        <v>2633</v>
      </c>
      <c r="L9" s="316"/>
      <c r="M9" s="316"/>
      <c r="N9" s="316"/>
      <c r="O9" s="316"/>
      <c r="P9" s="316"/>
      <c r="Q9" s="416" t="s">
        <v>819</v>
      </c>
      <c r="R9" s="341"/>
      <c r="S9" s="341" t="s">
        <v>862</v>
      </c>
      <c r="T9" s="417"/>
      <c r="U9" s="417"/>
      <c r="V9" s="417" t="s">
        <v>863</v>
      </c>
      <c r="W9" s="417" t="s">
        <v>863</v>
      </c>
    </row>
    <row r="10" spans="1:1020" ht="15" customHeight="1">
      <c r="A10" s="414">
        <v>2</v>
      </c>
      <c r="B10" s="321" t="s">
        <v>2634</v>
      </c>
      <c r="C10" s="450"/>
      <c r="D10" s="321"/>
      <c r="E10" s="414"/>
      <c r="F10" s="414"/>
      <c r="G10" s="414"/>
      <c r="H10" s="316" t="s">
        <v>2635</v>
      </c>
      <c r="I10" s="416"/>
      <c r="J10" s="398"/>
      <c r="K10" s="316" t="s">
        <v>2636</v>
      </c>
      <c r="L10" s="316"/>
      <c r="M10" s="316"/>
      <c r="N10" s="316"/>
      <c r="O10" s="316"/>
      <c r="P10" s="316"/>
      <c r="Q10" s="332" t="s">
        <v>816</v>
      </c>
      <c r="R10" s="344"/>
      <c r="S10" s="344" t="s">
        <v>2294</v>
      </c>
      <c r="T10" s="421"/>
      <c r="U10" s="421"/>
      <c r="V10" s="421" t="s">
        <v>863</v>
      </c>
      <c r="W10" s="421" t="s">
        <v>863</v>
      </c>
    </row>
    <row r="11" spans="1:1020" ht="15">
      <c r="A11" s="414">
        <v>3</v>
      </c>
      <c r="B11" s="321" t="s">
        <v>2637</v>
      </c>
      <c r="C11" s="338"/>
      <c r="D11" s="321"/>
      <c r="E11" s="414"/>
      <c r="F11" s="414"/>
      <c r="G11" s="414"/>
      <c r="H11" s="316" t="s">
        <v>2638</v>
      </c>
      <c r="I11" s="416"/>
      <c r="J11" s="398"/>
      <c r="K11" s="316" t="s">
        <v>2639</v>
      </c>
      <c r="L11" s="316"/>
      <c r="M11" s="316"/>
      <c r="N11" s="316"/>
      <c r="O11" s="316"/>
      <c r="P11" s="316"/>
      <c r="Q11" s="332" t="s">
        <v>816</v>
      </c>
      <c r="R11" s="341"/>
      <c r="S11" s="341" t="s">
        <v>862</v>
      </c>
      <c r="T11" s="417"/>
      <c r="U11" s="417"/>
      <c r="V11" s="417" t="s">
        <v>863</v>
      </c>
      <c r="W11" s="417" t="s">
        <v>863</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4">
    <mergeCell ref="H1:I2"/>
    <mergeCell ref="AC7:AD7"/>
    <mergeCell ref="O1:P1"/>
    <mergeCell ref="L7:O7"/>
  </mergeCell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2679</v>
      </c>
      <c r="B1" s="272"/>
      <c r="C1" s="129" t="s">
        <v>812</v>
      </c>
      <c r="D1" s="128"/>
      <c r="E1" s="293" t="s">
        <v>813</v>
      </c>
      <c r="F1" s="128"/>
      <c r="G1" s="128"/>
      <c r="H1" s="817" t="s">
        <v>1692</v>
      </c>
      <c r="I1" s="817"/>
      <c r="J1" s="294"/>
      <c r="K1" s="96"/>
      <c r="L1" s="96"/>
      <c r="M1" s="96"/>
      <c r="N1" s="96"/>
      <c r="O1" s="822" t="s">
        <v>815</v>
      </c>
      <c r="P1" s="822"/>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5" t="s">
        <v>817</v>
      </c>
      <c r="D2" s="128"/>
      <c r="E2" s="296" t="s">
        <v>818</v>
      </c>
      <c r="F2" s="128"/>
      <c r="G2" s="128"/>
      <c r="H2" s="817"/>
      <c r="I2" s="817"/>
      <c r="J2" s="294"/>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7" t="s">
        <v>820</v>
      </c>
      <c r="D3" s="128"/>
      <c r="E3" s="298" t="s">
        <v>821</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299" t="s">
        <v>823</v>
      </c>
      <c r="D4" s="128"/>
      <c r="E4" s="300" t="s">
        <v>824</v>
      </c>
      <c r="F4" s="128"/>
      <c r="G4" s="137" t="s">
        <v>1692</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825</v>
      </c>
      <c r="D5" s="146" t="s">
        <v>1692</v>
      </c>
      <c r="E5" s="407" t="s">
        <v>911</v>
      </c>
      <c r="F5" s="146" t="s">
        <v>1692</v>
      </c>
      <c r="G5" s="148"/>
      <c r="H5" s="148"/>
      <c r="I5" s="408"/>
      <c r="J5" s="408"/>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2" t="s">
        <v>826</v>
      </c>
      <c r="D6" s="138" t="s">
        <v>1692</v>
      </c>
      <c r="E6" s="128"/>
      <c r="F6" s="138" t="s">
        <v>1692</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1692</v>
      </c>
      <c r="D7" s="409" t="s">
        <v>1692</v>
      </c>
      <c r="E7" s="303" t="s">
        <v>1692</v>
      </c>
      <c r="F7" s="303" t="s">
        <v>1692</v>
      </c>
      <c r="G7" s="96"/>
      <c r="H7" s="96"/>
      <c r="I7" s="5"/>
      <c r="J7" s="5"/>
      <c r="K7" s="96"/>
      <c r="L7" s="818" t="s">
        <v>827</v>
      </c>
      <c r="M7" s="818"/>
      <c r="N7" s="818"/>
      <c r="O7" s="818"/>
      <c r="P7" s="96"/>
      <c r="Q7" s="96"/>
      <c r="R7" s="96"/>
      <c r="S7" s="96"/>
      <c r="T7" s="96"/>
      <c r="U7" s="96"/>
      <c r="V7" s="410" t="s">
        <v>828</v>
      </c>
      <c r="W7" s="410" t="s">
        <v>828</v>
      </c>
      <c r="Y7" s="96"/>
      <c r="Z7" s="96"/>
      <c r="AA7" s="96"/>
      <c r="AB7" s="96"/>
      <c r="AC7" s="818" t="s">
        <v>829</v>
      </c>
      <c r="AD7" s="81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5" customFormat="1" ht="27.75" customHeight="1">
      <c r="A8" s="457" t="s">
        <v>830</v>
      </c>
      <c r="B8" s="458" t="s">
        <v>831</v>
      </c>
      <c r="C8" s="458" t="s">
        <v>832</v>
      </c>
      <c r="D8" s="458" t="s">
        <v>833</v>
      </c>
      <c r="E8" s="458" t="s">
        <v>834</v>
      </c>
      <c r="F8" s="458" t="s">
        <v>835</v>
      </c>
      <c r="G8" s="458" t="s">
        <v>836</v>
      </c>
      <c r="H8" s="459" t="s">
        <v>9</v>
      </c>
      <c r="I8" s="459" t="s">
        <v>837</v>
      </c>
      <c r="J8" s="459" t="s">
        <v>840</v>
      </c>
      <c r="K8" s="459" t="s">
        <v>841</v>
      </c>
      <c r="L8" s="460" t="s">
        <v>842</v>
      </c>
      <c r="M8" s="460" t="s">
        <v>843</v>
      </c>
      <c r="N8" s="460" t="s">
        <v>844</v>
      </c>
      <c r="O8" s="460" t="s">
        <v>845</v>
      </c>
      <c r="P8" s="460" t="s">
        <v>846</v>
      </c>
      <c r="Q8" s="459" t="s">
        <v>677</v>
      </c>
      <c r="R8" s="461" t="s">
        <v>3</v>
      </c>
      <c r="S8" s="427" t="s">
        <v>2607</v>
      </c>
      <c r="T8" s="427" t="s">
        <v>913</v>
      </c>
      <c r="U8" s="427" t="s">
        <v>848</v>
      </c>
      <c r="V8" s="428" t="s">
        <v>849</v>
      </c>
      <c r="W8" s="428" t="s">
        <v>850</v>
      </c>
      <c r="X8" s="440" t="s">
        <v>851</v>
      </c>
      <c r="Y8" s="441" t="s">
        <v>852</v>
      </c>
      <c r="Z8" s="441" t="s">
        <v>853</v>
      </c>
      <c r="AA8" s="442" t="s">
        <v>854</v>
      </c>
      <c r="AB8" s="441" t="s">
        <v>855</v>
      </c>
      <c r="AC8" s="441" t="s">
        <v>856</v>
      </c>
      <c r="AD8" s="443" t="s">
        <v>914</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4"/>
      <c r="ALP8" s="444"/>
      <c r="ALQ8" s="444"/>
      <c r="ALR8" s="444"/>
      <c r="ALS8" s="444"/>
      <c r="ALT8" s="444"/>
      <c r="ALU8" s="444"/>
      <c r="ALV8" s="444"/>
      <c r="ALW8" s="444"/>
      <c r="ALX8" s="444"/>
      <c r="ALY8" s="444"/>
      <c r="ALZ8" s="444"/>
      <c r="AMA8" s="444"/>
    </row>
    <row r="9" spans="1:1015">
      <c r="A9" s="462">
        <v>0</v>
      </c>
      <c r="B9" s="462">
        <v>0</v>
      </c>
      <c r="C9" s="462">
        <v>0</v>
      </c>
      <c r="D9" s="462">
        <v>0</v>
      </c>
      <c r="E9" s="462">
        <v>0</v>
      </c>
      <c r="F9" s="462">
        <v>0</v>
      </c>
      <c r="G9" s="462">
        <v>0</v>
      </c>
      <c r="H9" s="462">
        <v>0</v>
      </c>
      <c r="I9" s="462">
        <v>0</v>
      </c>
      <c r="J9" s="462">
        <v>0</v>
      </c>
      <c r="K9" s="462">
        <v>0</v>
      </c>
      <c r="L9" s="462">
        <v>0</v>
      </c>
      <c r="M9" s="462">
        <v>0</v>
      </c>
      <c r="N9" s="462">
        <v>0</v>
      </c>
      <c r="O9" s="462">
        <v>0</v>
      </c>
      <c r="P9" s="462">
        <v>0</v>
      </c>
      <c r="Q9" s="462">
        <v>0</v>
      </c>
      <c r="R9" s="462">
        <v>0</v>
      </c>
      <c r="S9" s="462">
        <v>0</v>
      </c>
      <c r="T9" s="462">
        <v>0</v>
      </c>
      <c r="U9" s="462">
        <v>0</v>
      </c>
      <c r="V9" s="462">
        <v>0</v>
      </c>
      <c r="W9" s="462">
        <v>0</v>
      </c>
    </row>
  </sheetData>
  <mergeCells count="4">
    <mergeCell ref="O1:P1"/>
    <mergeCell ref="L7:O7"/>
    <mergeCell ref="AC7:AD7"/>
    <mergeCell ref="H1:I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64"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2640</v>
      </c>
    </row>
    <row r="2" spans="2:6" s="4" customFormat="1"/>
    <row r="3" spans="2:6" s="134" customFormat="1">
      <c r="B3" s="133" t="s">
        <v>2641</v>
      </c>
      <c r="C3" s="135"/>
      <c r="D3" s="135"/>
      <c r="E3" s="135"/>
      <c r="F3" s="135"/>
    </row>
    <row r="4" spans="2:6" ht="18" customHeight="1">
      <c r="B4" s="131" t="s">
        <v>2642</v>
      </c>
    </row>
    <row r="5" spans="2:6" ht="18" customHeight="1">
      <c r="B5" s="131" t="s">
        <v>2643</v>
      </c>
    </row>
    <row r="6" spans="2:6" ht="18" customHeight="1">
      <c r="B6" s="131" t="s">
        <v>2644</v>
      </c>
    </row>
    <row r="7" spans="2:6" ht="18" customHeight="1">
      <c r="B7" s="131" t="s">
        <v>2645</v>
      </c>
    </row>
    <row r="8" spans="2:6" ht="18" customHeight="1">
      <c r="B8" s="131" t="s">
        <v>2646</v>
      </c>
    </row>
    <row r="9" spans="2:6" ht="24" customHeight="1">
      <c r="B9" s="829" t="s">
        <v>2647</v>
      </c>
      <c r="C9" s="829"/>
      <c r="D9" s="829"/>
      <c r="E9" s="829"/>
      <c r="F9" s="829"/>
    </row>
    <row r="10" spans="2:6" ht="14.25" customHeight="1">
      <c r="B10" s="830" t="s">
        <v>2648</v>
      </c>
      <c r="C10" s="830"/>
      <c r="D10" s="830"/>
      <c r="E10" s="830"/>
      <c r="F10" s="830"/>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798"/>
      <c r="L1" s="798"/>
      <c r="M1" s="798"/>
      <c r="N1" s="798"/>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798"/>
      <c r="L1" s="798"/>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D23" sqref="D23"/>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799" t="s">
        <v>726</v>
      </c>
      <c r="C2" s="800"/>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9" zoomScale="87" zoomScaleNormal="40" workbookViewId="0">
      <selection activeCell="A28" sqref="A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804" t="s">
        <v>742</v>
      </c>
      <c r="B1" s="805"/>
      <c r="C1" s="805"/>
      <c r="D1" s="805"/>
      <c r="E1" s="805"/>
      <c r="F1" s="805"/>
      <c r="G1" s="805"/>
      <c r="H1" s="806"/>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802" t="s">
        <v>753</v>
      </c>
      <c r="G12" s="802"/>
      <c r="H12" s="802"/>
      <c r="I12" s="203"/>
      <c r="J12" s="203"/>
      <c r="R12" s="196"/>
      <c r="S12" s="196"/>
      <c r="T12" s="196"/>
    </row>
    <row r="13" spans="1:20" ht="14.25" customHeight="1">
      <c r="B13" s="204" t="s">
        <v>754</v>
      </c>
      <c r="C13" s="204"/>
      <c r="D13" s="204"/>
      <c r="E13" s="204"/>
      <c r="F13" s="802" t="s">
        <v>755</v>
      </c>
      <c r="G13" s="802"/>
      <c r="H13" s="802"/>
      <c r="I13" s="204"/>
      <c r="J13" s="204"/>
      <c r="K13" s="204"/>
      <c r="L13" s="204"/>
      <c r="M13" s="204"/>
      <c r="N13" s="204"/>
      <c r="R13" s="196"/>
      <c r="S13" s="196"/>
      <c r="T13" s="196"/>
    </row>
    <row r="14" spans="1:20" ht="14.25" customHeight="1">
      <c r="B14" s="204" t="s">
        <v>756</v>
      </c>
      <c r="C14" s="204"/>
      <c r="D14" s="204"/>
      <c r="E14" s="204"/>
      <c r="F14" s="802" t="s">
        <v>755</v>
      </c>
      <c r="G14" s="802"/>
      <c r="H14" s="802"/>
      <c r="I14" s="204"/>
      <c r="J14" s="204"/>
      <c r="R14" s="196"/>
      <c r="S14" s="196"/>
      <c r="T14" s="196"/>
    </row>
    <row r="15" spans="1:20">
      <c r="B15" s="203" t="s">
        <v>757</v>
      </c>
      <c r="C15" s="203"/>
      <c r="D15" s="203"/>
      <c r="E15" s="203"/>
      <c r="F15" s="802" t="s">
        <v>755</v>
      </c>
      <c r="G15" s="802"/>
      <c r="H15" s="802"/>
      <c r="I15" s="203"/>
      <c r="J15" s="203"/>
      <c r="R15" s="196"/>
      <c r="S15" s="196"/>
      <c r="T15" s="196"/>
    </row>
    <row r="16" spans="1:20">
      <c r="B16" s="801"/>
      <c r="C16" s="801"/>
      <c r="D16" s="801"/>
      <c r="E16" s="801"/>
      <c r="F16" s="801"/>
      <c r="G16" s="801"/>
      <c r="H16" s="801"/>
      <c r="I16" s="801"/>
      <c r="J16" s="801"/>
      <c r="K16" s="801"/>
      <c r="L16" s="801"/>
      <c r="M16" s="801"/>
      <c r="N16" s="801"/>
      <c r="O16" s="801"/>
      <c r="P16" s="801"/>
      <c r="Q16" s="801"/>
    </row>
    <row r="17" spans="1:17" ht="15" thickBot="1">
      <c r="B17" s="801"/>
      <c r="C17" s="801"/>
      <c r="D17" s="801"/>
      <c r="E17" s="801"/>
      <c r="F17" s="801"/>
      <c r="G17" s="801"/>
      <c r="H17" s="801"/>
      <c r="I17" s="801"/>
      <c r="J17" s="801"/>
      <c r="K17" s="801"/>
      <c r="L17" s="801"/>
      <c r="M17" s="801"/>
      <c r="N17" s="801"/>
      <c r="O17" s="801"/>
      <c r="P17" s="801"/>
      <c r="Q17" s="801"/>
    </row>
    <row r="18" spans="1:17" ht="102.75" customHeight="1" thickBot="1">
      <c r="A18" s="807" t="s">
        <v>758</v>
      </c>
      <c r="B18" s="808"/>
      <c r="C18" s="808"/>
      <c r="D18" s="808"/>
      <c r="E18" s="808"/>
      <c r="F18" s="808"/>
      <c r="G18" s="808"/>
      <c r="H18" s="809"/>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801"/>
      <c r="C20" s="801"/>
      <c r="D20" s="801"/>
      <c r="E20" s="801"/>
      <c r="F20" s="801"/>
      <c r="G20" s="801"/>
      <c r="H20" s="801"/>
      <c r="I20" s="801"/>
      <c r="J20" s="801"/>
      <c r="K20" s="801"/>
      <c r="L20" s="801"/>
      <c r="M20" s="801"/>
      <c r="N20" s="801"/>
      <c r="O20" s="801"/>
      <c r="P20" s="801"/>
      <c r="Q20" s="801"/>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7"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811" t="s">
        <v>791</v>
      </c>
      <c r="B30" s="810" t="s">
        <v>792</v>
      </c>
      <c r="C30" s="810" t="s">
        <v>774</v>
      </c>
      <c r="D30" s="810" t="s">
        <v>774</v>
      </c>
      <c r="E30" s="810" t="s">
        <v>770</v>
      </c>
      <c r="F30" s="206" t="s">
        <v>793</v>
      </c>
      <c r="G30" s="803" t="s">
        <v>794</v>
      </c>
      <c r="H30" s="206" t="s">
        <v>795</v>
      </c>
    </row>
    <row r="31" spans="1:17" ht="114.75">
      <c r="A31" s="811"/>
      <c r="B31" s="810"/>
      <c r="C31" s="810"/>
      <c r="D31" s="810"/>
      <c r="E31" s="810"/>
      <c r="F31" s="209" t="s">
        <v>796</v>
      </c>
      <c r="G31" s="803"/>
      <c r="H31" s="206"/>
    </row>
    <row r="32" spans="1:17" ht="85.5">
      <c r="A32" s="208" t="s">
        <v>797</v>
      </c>
      <c r="B32" s="207" t="s">
        <v>798</v>
      </c>
      <c r="C32" s="207" t="s">
        <v>774</v>
      </c>
      <c r="D32" s="207" t="s">
        <v>774</v>
      </c>
      <c r="E32" s="207" t="s">
        <v>770</v>
      </c>
      <c r="F32" s="209" t="s">
        <v>799</v>
      </c>
      <c r="G32" s="209" t="s">
        <v>783</v>
      </c>
      <c r="H32" s="206" t="s">
        <v>800</v>
      </c>
    </row>
    <row r="33" spans="1:8" ht="29.25">
      <c r="A33" s="811" t="s">
        <v>801</v>
      </c>
      <c r="B33" s="810" t="s">
        <v>802</v>
      </c>
      <c r="C33" s="810" t="s">
        <v>774</v>
      </c>
      <c r="D33" s="810" t="s">
        <v>774</v>
      </c>
      <c r="E33" s="810" t="s">
        <v>770</v>
      </c>
      <c r="F33" s="209" t="s">
        <v>803</v>
      </c>
      <c r="G33" s="803" t="s">
        <v>783</v>
      </c>
      <c r="H33" s="206" t="s">
        <v>804</v>
      </c>
    </row>
    <row r="34" spans="1:8" ht="228.75">
      <c r="A34" s="811"/>
      <c r="B34" s="810"/>
      <c r="C34" s="810"/>
      <c r="D34" s="810"/>
      <c r="E34" s="810"/>
      <c r="F34" s="209" t="s">
        <v>805</v>
      </c>
      <c r="G34" s="803"/>
      <c r="H34" s="206" t="s">
        <v>806</v>
      </c>
    </row>
    <row r="35" spans="1:8" ht="71.25">
      <c r="A35" s="292" t="s">
        <v>807</v>
      </c>
      <c r="B35" s="207" t="s">
        <v>808</v>
      </c>
      <c r="C35" s="207" t="s">
        <v>774</v>
      </c>
      <c r="D35" s="207" t="s">
        <v>770</v>
      </c>
      <c r="E35" s="207" t="s">
        <v>770</v>
      </c>
      <c r="F35" s="209" t="s">
        <v>2680</v>
      </c>
      <c r="G35" s="291"/>
      <c r="H35" s="206"/>
    </row>
    <row r="36" spans="1:8">
      <c r="A36" s="208" t="s">
        <v>809</v>
      </c>
      <c r="B36" s="207" t="s">
        <v>771</v>
      </c>
      <c r="C36" s="207" t="s">
        <v>774</v>
      </c>
      <c r="D36" s="207" t="s">
        <v>774</v>
      </c>
      <c r="E36" s="207" t="s">
        <v>774</v>
      </c>
      <c r="F36" s="207" t="s">
        <v>810</v>
      </c>
      <c r="G36" s="207" t="s">
        <v>810</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H26"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811</v>
      </c>
      <c r="C1" s="129" t="s">
        <v>812</v>
      </c>
      <c r="D1" s="150" t="s">
        <v>813</v>
      </c>
      <c r="E1" s="157" t="e">
        <f>#REF! / createCase8[[#Totals],[ID]]</f>
        <v>#REF!</v>
      </c>
      <c r="G1" s="128"/>
      <c r="H1" s="227"/>
      <c r="I1" s="812" t="s">
        <v>814</v>
      </c>
      <c r="J1" s="812"/>
      <c r="K1" s="812"/>
      <c r="L1" s="812"/>
      <c r="Q1" s="813" t="s">
        <v>815</v>
      </c>
      <c r="R1" s="813"/>
      <c r="S1" s="96" t="s">
        <v>816</v>
      </c>
      <c r="AC1" s="96"/>
      <c r="AE1" s="128"/>
      <c r="ALY1"/>
    </row>
    <row r="2" spans="1:1016" ht="15.95" customHeight="1">
      <c r="C2" s="141" t="s">
        <v>817</v>
      </c>
      <c r="D2" s="152" t="s">
        <v>818</v>
      </c>
      <c r="E2" s="157">
        <f>createCase8[[#Totals],[NexSIS]] / createCase8[[#Totals],[ID]]</f>
        <v>0.83333333333333337</v>
      </c>
      <c r="G2" s="128"/>
      <c r="H2" s="227"/>
      <c r="I2" s="812"/>
      <c r="J2" s="812"/>
      <c r="K2" s="812"/>
      <c r="L2" s="812"/>
      <c r="S2" s="96" t="s">
        <v>819</v>
      </c>
      <c r="AC2" s="96"/>
      <c r="AE2" s="128"/>
      <c r="ALY2"/>
    </row>
    <row r="3" spans="1:1016" ht="18" customHeight="1">
      <c r="C3" s="142" t="s">
        <v>820</v>
      </c>
      <c r="D3" s="151" t="s">
        <v>821</v>
      </c>
      <c r="G3" s="128"/>
      <c r="S3" s="96" t="s">
        <v>822</v>
      </c>
      <c r="AC3" s="96"/>
      <c r="AE3" s="128"/>
      <c r="ALY3"/>
    </row>
    <row r="4" spans="1:1016" ht="17.25" customHeight="1">
      <c r="C4" s="143" t="s">
        <v>823</v>
      </c>
      <c r="D4" s="153" t="s">
        <v>824</v>
      </c>
      <c r="G4" s="137"/>
      <c r="AC4" s="96"/>
      <c r="AE4" s="128"/>
      <c r="ALY4"/>
    </row>
    <row r="5" spans="1:1016" s="149" customFormat="1" ht="14.25" customHeight="1">
      <c r="A5" s="128"/>
      <c r="B5" s="128"/>
      <c r="C5" s="145" t="s">
        <v>825</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826</v>
      </c>
      <c r="D6" s="138"/>
      <c r="F6" s="138"/>
      <c r="AC6" s="96"/>
      <c r="AE6" s="128"/>
      <c r="ALY6"/>
    </row>
    <row r="7" spans="1:1016" ht="20.25" customHeight="1">
      <c r="A7"/>
      <c r="B7"/>
      <c r="C7" s="138"/>
      <c r="D7" s="138"/>
      <c r="E7" s="138"/>
      <c r="F7" s="138"/>
      <c r="N7" s="814" t="s">
        <v>827</v>
      </c>
      <c r="O7" s="814"/>
      <c r="P7" s="814"/>
      <c r="Q7" s="814"/>
      <c r="W7" s="815" t="s">
        <v>828</v>
      </c>
      <c r="X7" s="815"/>
      <c r="AC7" s="814" t="s">
        <v>829</v>
      </c>
      <c r="AD7" s="814"/>
      <c r="AE7" s="128"/>
      <c r="ALY7"/>
    </row>
    <row r="8" spans="1:1016" s="175" customFormat="1" ht="37.5" customHeight="1">
      <c r="A8" s="171" t="s">
        <v>830</v>
      </c>
      <c r="B8" s="172" t="s">
        <v>831</v>
      </c>
      <c r="C8" s="172" t="s">
        <v>832</v>
      </c>
      <c r="D8" s="172" t="s">
        <v>833</v>
      </c>
      <c r="E8" s="172" t="s">
        <v>834</v>
      </c>
      <c r="F8" s="172" t="s">
        <v>835</v>
      </c>
      <c r="G8" s="172" t="s">
        <v>836</v>
      </c>
      <c r="H8" s="173" t="s">
        <v>9</v>
      </c>
      <c r="I8" s="173" t="s">
        <v>837</v>
      </c>
      <c r="J8" s="183" t="s">
        <v>838</v>
      </c>
      <c r="K8" s="183" t="s">
        <v>839</v>
      </c>
      <c r="L8" s="173" t="s">
        <v>840</v>
      </c>
      <c r="M8" s="173" t="s">
        <v>841</v>
      </c>
      <c r="N8" s="183" t="s">
        <v>842</v>
      </c>
      <c r="O8" s="183" t="s">
        <v>843</v>
      </c>
      <c r="P8" s="183" t="s">
        <v>844</v>
      </c>
      <c r="Q8" s="183" t="s">
        <v>845</v>
      </c>
      <c r="R8" s="183" t="s">
        <v>846</v>
      </c>
      <c r="S8" s="173" t="s">
        <v>677</v>
      </c>
      <c r="T8" s="173" t="s">
        <v>3</v>
      </c>
      <c r="U8" s="173" t="s">
        <v>847</v>
      </c>
      <c r="V8" s="173" t="s">
        <v>848</v>
      </c>
      <c r="W8" s="184" t="s">
        <v>849</v>
      </c>
      <c r="X8" s="184" t="s">
        <v>850</v>
      </c>
      <c r="Y8" s="226" t="s">
        <v>851</v>
      </c>
      <c r="Z8" s="183" t="s">
        <v>852</v>
      </c>
      <c r="AA8" s="183" t="s">
        <v>853</v>
      </c>
      <c r="AB8" s="185" t="s">
        <v>854</v>
      </c>
      <c r="AC8" s="183" t="s">
        <v>855</v>
      </c>
      <c r="AD8" s="183" t="s">
        <v>856</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857</v>
      </c>
      <c r="C9" s="139"/>
      <c r="D9" s="139"/>
      <c r="E9" s="139"/>
      <c r="F9" s="139"/>
      <c r="G9" s="139"/>
      <c r="H9" s="140" t="s">
        <v>858</v>
      </c>
      <c r="I9" s="154" t="s">
        <v>859</v>
      </c>
      <c r="J9" s="140" t="s">
        <v>860</v>
      </c>
      <c r="K9" s="140"/>
      <c r="L9" s="140" t="s">
        <v>861</v>
      </c>
      <c r="M9" s="154"/>
      <c r="N9" s="140"/>
      <c r="O9" s="140"/>
      <c r="P9" s="140"/>
      <c r="Q9" s="140"/>
      <c r="R9" s="187"/>
      <c r="S9" s="140" t="s">
        <v>819</v>
      </c>
      <c r="T9" s="140"/>
      <c r="U9" s="140" t="s">
        <v>862</v>
      </c>
      <c r="V9" s="140"/>
      <c r="W9" s="176" t="s">
        <v>863</v>
      </c>
      <c r="X9" s="176" t="s">
        <v>863</v>
      </c>
      <c r="Y9" s="289"/>
      <c r="Z9" s="177"/>
      <c r="AA9" s="140"/>
      <c r="AB9" s="182"/>
      <c r="AC9" s="140"/>
      <c r="AD9" s="156">
        <v>1</v>
      </c>
      <c r="ALZ9" s="128"/>
      <c r="AMA9" s="128"/>
      <c r="AMB9" s="128"/>
    </row>
    <row r="10" spans="1:1016" ht="13.5" customHeight="1">
      <c r="A10" s="5">
        <v>2</v>
      </c>
      <c r="B10" s="5" t="s">
        <v>864</v>
      </c>
      <c r="C10" s="139"/>
      <c r="D10" s="131"/>
      <c r="E10" s="131"/>
      <c r="F10" s="131"/>
      <c r="G10" s="131"/>
      <c r="H10" s="3" t="s">
        <v>865</v>
      </c>
      <c r="I10" s="154"/>
      <c r="J10" s="140"/>
      <c r="K10" s="140"/>
      <c r="L10" s="3" t="s">
        <v>866</v>
      </c>
      <c r="M10" s="154"/>
      <c r="N10" s="140"/>
      <c r="O10" s="140"/>
      <c r="P10" s="140"/>
      <c r="Q10" s="140"/>
      <c r="R10" s="187"/>
      <c r="S10" s="140" t="s">
        <v>819</v>
      </c>
      <c r="T10" s="140" t="s">
        <v>863</v>
      </c>
      <c r="U10" s="3"/>
      <c r="V10" s="140"/>
      <c r="W10" s="176" t="s">
        <v>863</v>
      </c>
      <c r="X10" s="176" t="s">
        <v>863</v>
      </c>
      <c r="Y10" s="289"/>
      <c r="Z10" s="177"/>
      <c r="AA10" s="140"/>
      <c r="AB10" s="182"/>
      <c r="AC10" s="140"/>
      <c r="AD10" s="156">
        <v>1</v>
      </c>
      <c r="ALZ10" s="128"/>
      <c r="AMA10" s="128"/>
      <c r="AMB10" s="128"/>
    </row>
    <row r="11" spans="1:1016" ht="13.5" customHeight="1">
      <c r="A11" s="5">
        <v>3</v>
      </c>
      <c r="B11" s="5"/>
      <c r="C11" s="139" t="s">
        <v>867</v>
      </c>
      <c r="D11" s="131"/>
      <c r="E11" s="131"/>
      <c r="F11" s="131"/>
      <c r="G11" s="131"/>
      <c r="H11" s="5" t="s">
        <v>868</v>
      </c>
      <c r="I11" s="154" t="s">
        <v>869</v>
      </c>
      <c r="J11" s="140"/>
      <c r="K11" s="140"/>
      <c r="L11" s="3" t="s">
        <v>870</v>
      </c>
      <c r="M11" s="154"/>
      <c r="N11" s="140"/>
      <c r="O11" s="140"/>
      <c r="P11" s="140"/>
      <c r="Q11" s="140"/>
      <c r="R11" s="187"/>
      <c r="S11" s="140" t="s">
        <v>819</v>
      </c>
      <c r="T11" s="140"/>
      <c r="U11" s="3" t="s">
        <v>862</v>
      </c>
      <c r="V11" s="140"/>
      <c r="W11" s="176" t="s">
        <v>863</v>
      </c>
      <c r="X11" s="176" t="s">
        <v>863</v>
      </c>
      <c r="Y11" s="289"/>
      <c r="Z11" s="177"/>
      <c r="AA11" s="140"/>
      <c r="AB11" s="182"/>
      <c r="AC11" s="140"/>
      <c r="AD11" s="156">
        <v>1</v>
      </c>
      <c r="ALZ11" s="128"/>
      <c r="AMA11" s="128"/>
      <c r="AMB11" s="128"/>
    </row>
    <row r="12" spans="1:1016" ht="13.5" customHeight="1">
      <c r="A12" s="5">
        <v>4</v>
      </c>
      <c r="B12" s="5"/>
      <c r="C12" s="139" t="s">
        <v>871</v>
      </c>
      <c r="D12" s="131"/>
      <c r="E12" s="131"/>
      <c r="F12" s="131"/>
      <c r="G12" s="131"/>
      <c r="H12" s="5" t="s">
        <v>872</v>
      </c>
      <c r="I12" s="154" t="s">
        <v>873</v>
      </c>
      <c r="J12" s="140"/>
      <c r="K12" s="140"/>
      <c r="L12" s="3" t="s">
        <v>874</v>
      </c>
      <c r="M12" s="154"/>
      <c r="N12" s="140"/>
      <c r="O12" s="140"/>
      <c r="P12" s="140"/>
      <c r="Q12" s="140"/>
      <c r="R12" s="187"/>
      <c r="S12" s="140" t="s">
        <v>819</v>
      </c>
      <c r="T12" s="140"/>
      <c r="U12" s="3" t="s">
        <v>862</v>
      </c>
      <c r="V12" s="140"/>
      <c r="W12" s="176" t="s">
        <v>863</v>
      </c>
      <c r="X12" s="176" t="s">
        <v>863</v>
      </c>
      <c r="Y12" s="289"/>
      <c r="Z12" s="177"/>
      <c r="AA12" s="140"/>
      <c r="AB12" s="182"/>
      <c r="AC12" s="140"/>
      <c r="AD12" s="156">
        <v>1</v>
      </c>
      <c r="ALZ12" s="128"/>
      <c r="AMA12" s="128"/>
      <c r="AMB12" s="128"/>
    </row>
    <row r="13" spans="1:1016" ht="13.5" customHeight="1">
      <c r="A13" s="5">
        <v>5</v>
      </c>
      <c r="B13" s="5" t="s">
        <v>875</v>
      </c>
      <c r="C13" s="139"/>
      <c r="D13" s="131"/>
      <c r="E13" s="131"/>
      <c r="F13" s="131"/>
      <c r="G13" s="131"/>
      <c r="H13" s="3" t="s">
        <v>876</v>
      </c>
      <c r="I13" s="154"/>
      <c r="J13" s="140"/>
      <c r="K13" s="140"/>
      <c r="L13" s="3" t="s">
        <v>877</v>
      </c>
      <c r="M13" s="154"/>
      <c r="N13" s="140"/>
      <c r="O13" s="140"/>
      <c r="P13" s="140"/>
      <c r="Q13" s="140"/>
      <c r="R13" s="187"/>
      <c r="S13" s="140" t="s">
        <v>819</v>
      </c>
      <c r="T13" s="140"/>
      <c r="U13" s="3" t="s">
        <v>878</v>
      </c>
      <c r="V13" s="140"/>
      <c r="W13" s="176" t="s">
        <v>863</v>
      </c>
      <c r="X13" s="176" t="s">
        <v>863</v>
      </c>
      <c r="Y13" s="289"/>
      <c r="Z13" s="177"/>
      <c r="AA13" s="140"/>
      <c r="AB13" s="182"/>
      <c r="AC13" s="140"/>
      <c r="AD13" s="156">
        <v>1</v>
      </c>
      <c r="ALZ13" s="128"/>
      <c r="AMA13" s="128"/>
      <c r="AMB13" s="128"/>
    </row>
    <row r="14" spans="1:1016" ht="13.5" customHeight="1">
      <c r="A14" s="5">
        <v>6</v>
      </c>
      <c r="B14" s="5" t="s">
        <v>879</v>
      </c>
      <c r="C14" s="139"/>
      <c r="D14" s="131"/>
      <c r="E14" s="131"/>
      <c r="F14" s="131"/>
      <c r="G14" s="131"/>
      <c r="H14" s="3" t="s">
        <v>880</v>
      </c>
      <c r="I14" s="154" t="s">
        <v>881</v>
      </c>
      <c r="J14" s="140"/>
      <c r="K14" s="140"/>
      <c r="L14" s="3" t="s">
        <v>882</v>
      </c>
      <c r="M14" s="154"/>
      <c r="N14" s="140"/>
      <c r="O14" s="140"/>
      <c r="P14" s="140"/>
      <c r="Q14" s="140"/>
      <c r="R14" s="187"/>
      <c r="S14" s="140" t="s">
        <v>819</v>
      </c>
      <c r="T14" s="140"/>
      <c r="U14" s="3" t="s">
        <v>862</v>
      </c>
      <c r="V14" s="140" t="s">
        <v>883</v>
      </c>
      <c r="W14" s="176" t="s">
        <v>863</v>
      </c>
      <c r="X14" s="176" t="s">
        <v>863</v>
      </c>
      <c r="Y14" s="289"/>
      <c r="Z14" s="177"/>
      <c r="AA14" s="140"/>
      <c r="AB14" s="182"/>
      <c r="AC14" s="140"/>
      <c r="AD14" s="156">
        <v>1</v>
      </c>
      <c r="ALZ14" s="128"/>
      <c r="AMA14" s="128"/>
      <c r="AMB14" s="128"/>
    </row>
    <row r="15" spans="1:1016" ht="13.5" customHeight="1">
      <c r="A15" s="5">
        <v>7</v>
      </c>
      <c r="B15" s="5" t="s">
        <v>884</v>
      </c>
      <c r="C15" s="139"/>
      <c r="D15" s="131"/>
      <c r="E15" s="131"/>
      <c r="F15" s="131"/>
      <c r="G15" s="131"/>
      <c r="H15" s="3" t="s">
        <v>885</v>
      </c>
      <c r="I15" s="154" t="s">
        <v>886</v>
      </c>
      <c r="J15" s="140"/>
      <c r="K15" s="140"/>
      <c r="L15" s="140" t="s">
        <v>887</v>
      </c>
      <c r="M15" s="154"/>
      <c r="N15" s="140"/>
      <c r="O15" s="140"/>
      <c r="P15" s="140"/>
      <c r="Q15" s="140"/>
      <c r="R15" s="187"/>
      <c r="S15" s="140" t="s">
        <v>819</v>
      </c>
      <c r="T15" s="140"/>
      <c r="U15" s="3" t="s">
        <v>862</v>
      </c>
      <c r="V15" s="140" t="s">
        <v>888</v>
      </c>
      <c r="W15" s="176" t="s">
        <v>863</v>
      </c>
      <c r="X15" s="176" t="s">
        <v>863</v>
      </c>
      <c r="Y15" s="289"/>
      <c r="Z15" s="177"/>
      <c r="AA15" s="140"/>
      <c r="AB15" s="182"/>
      <c r="AC15" s="140"/>
      <c r="AD15" s="156">
        <v>1</v>
      </c>
      <c r="ALZ15" s="128"/>
      <c r="AMA15" s="128"/>
      <c r="AMB15" s="128"/>
    </row>
    <row r="16" spans="1:1016" ht="13.5" customHeight="1">
      <c r="A16" s="5">
        <v>8</v>
      </c>
      <c r="B16" s="5" t="s">
        <v>889</v>
      </c>
      <c r="C16" s="139"/>
      <c r="D16" s="131"/>
      <c r="E16" s="131"/>
      <c r="F16" s="131"/>
      <c r="G16" s="131"/>
      <c r="H16" s="3" t="s">
        <v>890</v>
      </c>
      <c r="I16" s="154"/>
      <c r="J16" s="140"/>
      <c r="K16" s="140"/>
      <c r="L16" s="140" t="s">
        <v>891</v>
      </c>
      <c r="M16" s="154"/>
      <c r="N16" s="140"/>
      <c r="O16" s="140"/>
      <c r="P16" s="140"/>
      <c r="Q16" s="140"/>
      <c r="R16" s="187"/>
      <c r="S16" s="140" t="s">
        <v>892</v>
      </c>
      <c r="T16" s="140" t="s">
        <v>863</v>
      </c>
      <c r="U16" s="140" t="s">
        <v>893</v>
      </c>
      <c r="V16" s="140"/>
      <c r="W16" s="176" t="s">
        <v>863</v>
      </c>
      <c r="X16" s="176" t="s">
        <v>863</v>
      </c>
      <c r="Y16" s="289"/>
      <c r="Z16" s="177"/>
      <c r="AA16" s="140"/>
      <c r="AB16" s="182"/>
      <c r="AC16" s="140"/>
      <c r="AD16" s="156">
        <v>1</v>
      </c>
      <c r="ALZ16" s="128"/>
      <c r="AMA16" s="128"/>
      <c r="AMB16" s="128"/>
    </row>
    <row r="17" spans="1:1016" ht="13.5" customHeight="1">
      <c r="A17" s="5">
        <v>10</v>
      </c>
      <c r="B17" s="5"/>
      <c r="C17" s="139" t="s">
        <v>894</v>
      </c>
      <c r="D17" s="139"/>
      <c r="E17" s="131"/>
      <c r="F17" s="131"/>
      <c r="G17" s="131"/>
      <c r="H17" s="140" t="s">
        <v>895</v>
      </c>
      <c r="I17" s="154" t="s">
        <v>896</v>
      </c>
      <c r="J17" s="140"/>
      <c r="K17" s="140"/>
      <c r="L17" s="140" t="s">
        <v>870</v>
      </c>
      <c r="M17" s="154"/>
      <c r="N17" s="140"/>
      <c r="O17" s="140"/>
      <c r="P17" s="140"/>
      <c r="Q17" s="140"/>
      <c r="R17" s="187"/>
      <c r="S17" s="140" t="s">
        <v>819</v>
      </c>
      <c r="T17" s="140"/>
      <c r="U17" s="140" t="s">
        <v>862</v>
      </c>
      <c r="V17" s="140"/>
      <c r="W17" s="176" t="s">
        <v>863</v>
      </c>
      <c r="X17" s="176" t="s">
        <v>863</v>
      </c>
      <c r="Y17" s="289"/>
      <c r="Z17" s="177"/>
      <c r="AA17" s="140"/>
      <c r="AB17" s="182"/>
      <c r="AC17" s="140"/>
      <c r="AD17" s="156">
        <v>1</v>
      </c>
      <c r="ALZ17" s="128"/>
      <c r="AMA17" s="128"/>
      <c r="AMB17" s="128"/>
    </row>
    <row r="18" spans="1:1016" ht="13.5" customHeight="1">
      <c r="A18" s="5">
        <v>11</v>
      </c>
      <c r="B18" s="5"/>
      <c r="C18" s="139" t="s">
        <v>871</v>
      </c>
      <c r="D18" s="139"/>
      <c r="E18" s="131"/>
      <c r="F18" s="131"/>
      <c r="G18" s="131"/>
      <c r="H18" s="140" t="s">
        <v>897</v>
      </c>
      <c r="I18" s="154" t="s">
        <v>898</v>
      </c>
      <c r="J18" s="140"/>
      <c r="K18" s="140"/>
      <c r="L18" s="140" t="s">
        <v>874</v>
      </c>
      <c r="M18" s="154"/>
      <c r="N18" s="140"/>
      <c r="O18" s="140"/>
      <c r="P18" s="140"/>
      <c r="Q18" s="140"/>
      <c r="R18" s="187"/>
      <c r="S18" s="140" t="s">
        <v>819</v>
      </c>
      <c r="T18" s="140"/>
      <c r="U18" s="140" t="s">
        <v>862</v>
      </c>
      <c r="V18" s="140"/>
      <c r="W18" s="176" t="s">
        <v>863</v>
      </c>
      <c r="X18" s="176" t="s">
        <v>863</v>
      </c>
      <c r="Y18" s="289"/>
      <c r="Z18" s="177"/>
      <c r="AA18" s="140"/>
      <c r="AB18" s="182"/>
      <c r="AC18" s="140"/>
      <c r="AD18" s="156">
        <v>1</v>
      </c>
      <c r="ALZ18" s="128"/>
      <c r="AMA18" s="128"/>
      <c r="AMB18" s="128"/>
    </row>
    <row r="19" spans="1:1016" ht="13.5" customHeight="1">
      <c r="A19" s="5">
        <v>11</v>
      </c>
      <c r="B19" s="5"/>
      <c r="C19" s="139" t="s">
        <v>899</v>
      </c>
      <c r="D19" s="131"/>
      <c r="E19" s="131"/>
      <c r="F19" s="131"/>
      <c r="G19" s="131"/>
      <c r="H19" s="140" t="s">
        <v>900</v>
      </c>
      <c r="I19" s="154" t="s">
        <v>901</v>
      </c>
      <c r="J19" s="140"/>
      <c r="K19" s="140"/>
      <c r="L19" s="140"/>
      <c r="M19" s="154" t="s">
        <v>902</v>
      </c>
      <c r="N19" s="140"/>
      <c r="O19" s="140"/>
      <c r="P19" s="140"/>
      <c r="Q19" s="140"/>
      <c r="R19" s="187"/>
      <c r="S19" s="140" t="s">
        <v>819</v>
      </c>
      <c r="T19" s="140"/>
      <c r="U19" s="140" t="s">
        <v>862</v>
      </c>
      <c r="V19" s="140" t="s">
        <v>903</v>
      </c>
      <c r="W19" s="176" t="s">
        <v>863</v>
      </c>
      <c r="X19" s="176" t="s">
        <v>863</v>
      </c>
      <c r="Y19" s="288"/>
      <c r="Z19" s="177"/>
      <c r="AA19" s="140"/>
      <c r="AB19" s="182"/>
      <c r="AC19" s="140"/>
      <c r="AD19" s="156"/>
      <c r="ALZ19" s="128"/>
      <c r="AMA19" s="128"/>
      <c r="AMB19" s="128"/>
    </row>
    <row r="20" spans="1:1016" ht="13.5" customHeight="1">
      <c r="A20" s="5">
        <v>12</v>
      </c>
      <c r="B20" s="5"/>
      <c r="C20" s="139" t="s">
        <v>904</v>
      </c>
      <c r="D20" s="131"/>
      <c r="E20" s="131"/>
      <c r="F20" s="131"/>
      <c r="G20" s="131"/>
      <c r="H20" s="140" t="s">
        <v>905</v>
      </c>
      <c r="I20" s="154" t="s">
        <v>906</v>
      </c>
      <c r="J20" s="140"/>
      <c r="K20" s="140"/>
      <c r="L20" s="140"/>
      <c r="M20" s="154" t="s">
        <v>907</v>
      </c>
      <c r="N20" s="140"/>
      <c r="O20" s="140"/>
      <c r="P20" s="140"/>
      <c r="Q20" s="140"/>
      <c r="R20" s="187"/>
      <c r="S20" s="140" t="s">
        <v>816</v>
      </c>
      <c r="T20" s="140"/>
      <c r="U20" s="140" t="s">
        <v>862</v>
      </c>
      <c r="V20" s="140" t="s">
        <v>908</v>
      </c>
      <c r="W20" s="156" t="s">
        <v>863</v>
      </c>
      <c r="X20" s="156" t="s">
        <v>863</v>
      </c>
      <c r="Y20" s="288"/>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2" type="noConversion"/>
  <conditionalFormatting sqref="A22:F23 A43:F883">
    <cfRule type="expression" dxfId="1855" priority="37">
      <formula>OR($AD22="X",$AB22="X")</formula>
    </cfRule>
    <cfRule type="expression" dxfId="1854" priority="38">
      <formula>AND($AD22=1,$AB22=1)</formula>
    </cfRule>
    <cfRule type="expression" dxfId="1853" priority="39">
      <formula>$AD22=1</formula>
    </cfRule>
    <cfRule type="expression" dxfId="1852" priority="40">
      <formula>$AB22=1</formula>
    </cfRule>
  </conditionalFormatting>
  <conditionalFormatting sqref="A9:G20">
    <cfRule type="expression" dxfId="1851" priority="641">
      <formula>OR(#REF!="X",$AD9="X")</formula>
    </cfRule>
    <cfRule type="expression" dxfId="1850" priority="642">
      <formula>AND(#REF!=1,$AD9=1)</formula>
    </cfRule>
    <cfRule type="expression" dxfId="1849" priority="643">
      <formula>#REF!=1</formula>
    </cfRule>
    <cfRule type="expression" dxfId="1848" priority="644">
      <formula>$AD9=1</formula>
    </cfRule>
  </conditionalFormatting>
  <conditionalFormatting sqref="C9:C20">
    <cfRule type="expression" dxfId="1847" priority="1">
      <formula>AND($T9="X",$B9&lt;&gt;"")</formula>
    </cfRule>
  </conditionalFormatting>
  <conditionalFormatting sqref="C17:C19">
    <cfRule type="expression" dxfId="1846" priority="2">
      <formula>AND($T17="X",OR($B17&lt;&gt;"",$C17&lt;&gt;""))</formula>
    </cfRule>
  </conditionalFormatting>
  <conditionalFormatting sqref="D9:D20">
    <cfRule type="expression" dxfId="1845" priority="11">
      <formula>AND($T9="X",OR($B9&lt;&gt;"",$C9&lt;&gt;""))</formula>
    </cfRule>
  </conditionalFormatting>
  <conditionalFormatting sqref="D18:D19">
    <cfRule type="expression" dxfId="184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843" priority="12">
      <formula>AND($T9="X",OR($B9&lt;&gt;"",$C9&lt;&gt;"",$D9&lt;&gt;""))</formula>
    </cfRule>
  </conditionalFormatting>
  <conditionalFormatting sqref="F9:F20">
    <cfRule type="expression" dxfId="1842" priority="13">
      <formula>AND($T9="X",OR($B9&lt;&gt;"",$C9&lt;&gt;"",$D9&lt;&gt;"",$E9&lt;&gt;""))</formula>
    </cfRule>
  </conditionalFormatting>
  <conditionalFormatting sqref="G9:G20">
    <cfRule type="expression" dxfId="1841" priority="14">
      <formula>AND($T9="X",OR($B9&lt;&gt;"",$C9&lt;&gt;"",$D9&lt;&gt;"",$E9&lt;&gt;"",$F9&lt;&gt;""))</formula>
    </cfRule>
  </conditionalFormatting>
  <conditionalFormatting sqref="H22:H23 H43:H883">
    <cfRule type="expression" dxfId="1840" priority="36">
      <formula>$S22="X"</formula>
    </cfRule>
  </conditionalFormatting>
  <conditionalFormatting sqref="I9:I20">
    <cfRule type="expression" dxfId="1839" priority="16">
      <formula>$T9="X"</formula>
    </cfRule>
  </conditionalFormatting>
  <conditionalFormatting sqref="S9:S20">
    <cfRule type="cellIs" dxfId="1838" priority="7" operator="equal">
      <formula>"1..1"</formula>
    </cfRule>
    <cfRule type="cellIs" dxfId="1837" priority="8" operator="equal">
      <formula>"0..n"</formula>
    </cfRule>
    <cfRule type="cellIs" dxfId="183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21"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7"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909</v>
      </c>
      <c r="C1" s="129" t="s">
        <v>812</v>
      </c>
      <c r="E1" s="150" t="s">
        <v>813</v>
      </c>
      <c r="F1" s="157">
        <f>createCase3[[#Totals],[Métier]] / createCase3[[#Totals],[ID]]</f>
        <v>0</v>
      </c>
      <c r="G1" s="128"/>
      <c r="H1" s="812" t="s">
        <v>910</v>
      </c>
      <c r="I1" s="812"/>
      <c r="J1" s="812"/>
      <c r="O1" s="813" t="s">
        <v>815</v>
      </c>
      <c r="P1" s="813"/>
      <c r="AC1" s="96"/>
      <c r="AE1"/>
      <c r="AF1" s="128"/>
      <c r="ALZ1"/>
    </row>
    <row r="2" spans="1:1017" ht="13.5" customHeight="1">
      <c r="C2" s="141" t="s">
        <v>817</v>
      </c>
      <c r="D2" s="284"/>
      <c r="E2" s="152" t="s">
        <v>818</v>
      </c>
      <c r="F2" s="157">
        <f>createCase3[[#Totals],[NexSIS]] / createCase3[[#Totals],[ID]]</f>
        <v>0.83333333333333337</v>
      </c>
      <c r="G2" s="128"/>
      <c r="H2" s="812"/>
      <c r="I2" s="812"/>
      <c r="J2" s="812"/>
      <c r="AC2" s="96"/>
      <c r="AE2"/>
      <c r="AF2" s="128"/>
      <c r="ALZ2"/>
    </row>
    <row r="3" spans="1:1017" ht="13.5" customHeight="1">
      <c r="C3" s="142" t="s">
        <v>820</v>
      </c>
      <c r="E3" s="151" t="s">
        <v>821</v>
      </c>
      <c r="G3" s="128"/>
      <c r="AC3" s="96"/>
      <c r="AE3"/>
      <c r="AF3" s="128"/>
      <c r="ALZ3"/>
    </row>
    <row r="4" spans="1:1017" ht="13.5" customHeight="1">
      <c r="C4" s="143" t="s">
        <v>823</v>
      </c>
      <c r="E4" s="153" t="s">
        <v>824</v>
      </c>
      <c r="G4" s="137"/>
      <c r="AC4" s="96"/>
      <c r="AE4"/>
      <c r="AF4" s="128"/>
      <c r="ALZ4"/>
    </row>
    <row r="5" spans="1:1017" s="149" customFormat="1" ht="13.5" customHeight="1">
      <c r="A5" s="128"/>
      <c r="B5" s="128"/>
      <c r="C5" s="145" t="s">
        <v>825</v>
      </c>
      <c r="D5" s="146"/>
      <c r="E5" s="290" t="s">
        <v>911</v>
      </c>
      <c r="F5" s="146"/>
      <c r="G5" s="148"/>
      <c r="H5" s="148"/>
      <c r="I5" s="275"/>
      <c r="J5" s="148"/>
      <c r="K5" s="160"/>
      <c r="L5" s="148"/>
      <c r="M5" s="148"/>
      <c r="N5" s="148"/>
      <c r="O5" s="148"/>
      <c r="P5" s="186"/>
      <c r="Q5" s="148"/>
      <c r="R5" s="148"/>
      <c r="S5" s="148"/>
      <c r="T5" s="279"/>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826</v>
      </c>
      <c r="D6" s="138"/>
      <c r="F6" s="138"/>
      <c r="AC6" s="96"/>
      <c r="AE6"/>
      <c r="AF6" s="128"/>
      <c r="ALZ6"/>
    </row>
    <row r="7" spans="1:1017" ht="13.5" customHeight="1">
      <c r="A7"/>
      <c r="B7"/>
      <c r="C7" s="138"/>
      <c r="D7" s="138"/>
      <c r="E7" s="138"/>
      <c r="F7" s="138"/>
      <c r="L7" s="814" t="s">
        <v>827</v>
      </c>
      <c r="M7" s="814"/>
      <c r="N7" s="814"/>
      <c r="O7" s="814"/>
      <c r="V7" s="815" t="s">
        <v>828</v>
      </c>
      <c r="W7" s="815"/>
      <c r="AC7" s="814" t="s">
        <v>829</v>
      </c>
      <c r="AD7" s="814"/>
      <c r="AE7"/>
      <c r="AF7" s="128"/>
      <c r="ALZ7"/>
    </row>
    <row r="8" spans="1:1017" s="238" customFormat="1" ht="27.95" customHeight="1">
      <c r="A8" s="233" t="s">
        <v>830</v>
      </c>
      <c r="B8" s="278" t="s">
        <v>831</v>
      </c>
      <c r="C8" s="278" t="s">
        <v>832</v>
      </c>
      <c r="D8" s="278" t="s">
        <v>833</v>
      </c>
      <c r="E8" s="278" t="s">
        <v>834</v>
      </c>
      <c r="F8" s="278" t="s">
        <v>835</v>
      </c>
      <c r="G8" s="278" t="s">
        <v>836</v>
      </c>
      <c r="H8" s="234" t="s">
        <v>9</v>
      </c>
      <c r="I8" s="234" t="s">
        <v>837</v>
      </c>
      <c r="J8" s="234" t="s">
        <v>840</v>
      </c>
      <c r="K8" s="234" t="s">
        <v>841</v>
      </c>
      <c r="L8" s="235" t="s">
        <v>842</v>
      </c>
      <c r="M8" s="235" t="s">
        <v>843</v>
      </c>
      <c r="N8" s="235" t="s">
        <v>844</v>
      </c>
      <c r="O8" s="235" t="s">
        <v>845</v>
      </c>
      <c r="P8" s="235" t="s">
        <v>846</v>
      </c>
      <c r="Q8" s="234" t="s">
        <v>677</v>
      </c>
      <c r="R8" s="234" t="s">
        <v>3</v>
      </c>
      <c r="S8" s="234" t="s">
        <v>912</v>
      </c>
      <c r="T8" s="283" t="s">
        <v>913</v>
      </c>
      <c r="U8" s="234" t="s">
        <v>848</v>
      </c>
      <c r="V8" s="229" t="s">
        <v>849</v>
      </c>
      <c r="W8" s="229" t="s">
        <v>850</v>
      </c>
      <c r="X8" s="230" t="s">
        <v>851</v>
      </c>
      <c r="Y8" s="235" t="s">
        <v>852</v>
      </c>
      <c r="Z8" s="235" t="s">
        <v>853</v>
      </c>
      <c r="AA8" s="236" t="s">
        <v>854</v>
      </c>
      <c r="AB8" s="235" t="s">
        <v>855</v>
      </c>
      <c r="AC8" s="235" t="s">
        <v>856</v>
      </c>
      <c r="AD8" s="237" t="s">
        <v>914</v>
      </c>
    </row>
    <row r="9" spans="1:1017" s="224" customFormat="1" ht="13.5" customHeight="1">
      <c r="A9" s="225">
        <v>1</v>
      </c>
      <c r="B9" s="239" t="s">
        <v>915</v>
      </c>
      <c r="C9" s="240"/>
      <c r="D9" s="677"/>
      <c r="E9" s="677"/>
      <c r="F9" s="677"/>
      <c r="G9" s="677"/>
      <c r="H9" s="668" t="s">
        <v>916</v>
      </c>
      <c r="I9" s="666" t="s">
        <v>917</v>
      </c>
      <c r="J9" s="668"/>
      <c r="K9" s="666" t="s">
        <v>918</v>
      </c>
      <c r="L9" s="668"/>
      <c r="M9" s="668"/>
      <c r="N9" s="668"/>
      <c r="O9" s="668"/>
      <c r="P9" s="669"/>
      <c r="Q9" s="668" t="s">
        <v>819</v>
      </c>
      <c r="R9" s="668"/>
      <c r="S9" s="668" t="s">
        <v>862</v>
      </c>
      <c r="T9" s="670"/>
      <c r="U9" s="668"/>
      <c r="V9" s="667" t="s">
        <v>863</v>
      </c>
      <c r="W9" s="667" t="s">
        <v>863</v>
      </c>
      <c r="X9" s="232"/>
      <c r="Y9" s="671"/>
      <c r="Z9" s="668" t="s">
        <v>919</v>
      </c>
      <c r="AA9" s="672" t="s">
        <v>920</v>
      </c>
      <c r="AB9" s="668"/>
      <c r="AC9" s="670">
        <v>1</v>
      </c>
      <c r="AD9" s="670"/>
    </row>
    <row r="10" spans="1:1017" s="224" customFormat="1" ht="13.5" customHeight="1">
      <c r="A10" s="225">
        <v>2</v>
      </c>
      <c r="B10" s="239" t="s">
        <v>921</v>
      </c>
      <c r="C10" s="221"/>
      <c r="D10" s="221"/>
      <c r="E10" s="221"/>
      <c r="F10" s="221"/>
      <c r="G10" s="221"/>
      <c r="H10" s="668" t="s">
        <v>922</v>
      </c>
      <c r="I10" s="666" t="s">
        <v>923</v>
      </c>
      <c r="J10" s="668"/>
      <c r="K10" s="666" t="s">
        <v>924</v>
      </c>
      <c r="L10" s="668" t="s">
        <v>925</v>
      </c>
      <c r="M10" s="668" t="s">
        <v>926</v>
      </c>
      <c r="N10" s="668"/>
      <c r="O10" s="668"/>
      <c r="P10" s="669"/>
      <c r="Q10" s="668" t="s">
        <v>816</v>
      </c>
      <c r="R10" s="668"/>
      <c r="S10" s="668" t="s">
        <v>862</v>
      </c>
      <c r="T10" s="670"/>
      <c r="U10" s="668"/>
      <c r="V10" s="667" t="s">
        <v>863</v>
      </c>
      <c r="W10" s="667" t="s">
        <v>863</v>
      </c>
      <c r="X10" s="232"/>
      <c r="Y10" s="671"/>
      <c r="Z10" s="668"/>
      <c r="AA10" s="672"/>
      <c r="AB10" s="668"/>
      <c r="AC10" s="670"/>
      <c r="AD10" s="670"/>
    </row>
    <row r="11" spans="1:1017" s="224" customFormat="1" ht="13.5" customHeight="1">
      <c r="A11" s="225">
        <v>3</v>
      </c>
      <c r="B11" s="239" t="s">
        <v>927</v>
      </c>
      <c r="C11" s="240"/>
      <c r="D11" s="241"/>
      <c r="E11" s="241"/>
      <c r="F11" s="241"/>
      <c r="G11" s="241"/>
      <c r="H11" s="668" t="s">
        <v>928</v>
      </c>
      <c r="I11" s="666" t="s">
        <v>929</v>
      </c>
      <c r="J11" s="668"/>
      <c r="K11" s="666" t="s">
        <v>930</v>
      </c>
      <c r="L11" s="668"/>
      <c r="M11" s="668"/>
      <c r="N11" s="668"/>
      <c r="O11" s="668"/>
      <c r="P11" s="669"/>
      <c r="Q11" s="668" t="s">
        <v>819</v>
      </c>
      <c r="R11" s="668"/>
      <c r="S11" s="668" t="s">
        <v>878</v>
      </c>
      <c r="T11" s="670"/>
      <c r="U11" s="668" t="s">
        <v>931</v>
      </c>
      <c r="V11" s="667" t="s">
        <v>863</v>
      </c>
      <c r="W11" s="667" t="s">
        <v>863</v>
      </c>
      <c r="X11" s="232"/>
      <c r="Y11" s="671"/>
      <c r="Z11" s="668"/>
      <c r="AA11" s="672"/>
      <c r="AB11" s="668"/>
      <c r="AC11" s="670">
        <v>1</v>
      </c>
      <c r="AD11" s="670"/>
    </row>
    <row r="12" spans="1:1017" s="224" customFormat="1" ht="13.5" customHeight="1">
      <c r="A12" s="225">
        <v>4</v>
      </c>
      <c r="B12" s="239" t="s">
        <v>932</v>
      </c>
      <c r="C12" s="240"/>
      <c r="D12" s="241"/>
      <c r="E12" s="241"/>
      <c r="F12" s="241"/>
      <c r="G12" s="241"/>
      <c r="H12" s="668" t="s">
        <v>933</v>
      </c>
      <c r="I12" s="666" t="s">
        <v>934</v>
      </c>
      <c r="J12" s="668"/>
      <c r="K12" s="666" t="s">
        <v>935</v>
      </c>
      <c r="L12" s="668"/>
      <c r="M12" s="668"/>
      <c r="N12" s="668"/>
      <c r="O12" s="668"/>
      <c r="P12" s="669"/>
      <c r="Q12" s="668" t="s">
        <v>819</v>
      </c>
      <c r="R12" s="668"/>
      <c r="S12" s="668" t="s">
        <v>862</v>
      </c>
      <c r="T12" s="670"/>
      <c r="U12" s="668"/>
      <c r="V12" s="667" t="s">
        <v>863</v>
      </c>
      <c r="W12" s="667" t="s">
        <v>863</v>
      </c>
      <c r="X12" s="232"/>
      <c r="Y12" s="671"/>
      <c r="Z12" s="668"/>
      <c r="AA12" s="672"/>
      <c r="AB12" s="668"/>
      <c r="AC12" s="670">
        <v>1</v>
      </c>
      <c r="AD12" s="670"/>
    </row>
    <row r="13" spans="1:1017" s="224" customFormat="1" ht="13.5" customHeight="1">
      <c r="A13" s="225">
        <v>5</v>
      </c>
      <c r="B13" s="239" t="s">
        <v>936</v>
      </c>
      <c r="C13" s="240"/>
      <c r="D13" s="241"/>
      <c r="E13" s="241"/>
      <c r="F13" s="241"/>
      <c r="G13" s="241"/>
      <c r="H13" s="668" t="s">
        <v>937</v>
      </c>
      <c r="I13" s="666"/>
      <c r="J13" s="668"/>
      <c r="K13" s="666" t="s">
        <v>938</v>
      </c>
      <c r="L13" s="668"/>
      <c r="M13" s="668"/>
      <c r="N13" s="668"/>
      <c r="O13" s="668"/>
      <c r="P13" s="669"/>
      <c r="Q13" s="668" t="s">
        <v>819</v>
      </c>
      <c r="R13" s="668"/>
      <c r="S13" s="668" t="s">
        <v>862</v>
      </c>
      <c r="T13" s="670"/>
      <c r="U13" s="668"/>
      <c r="V13" s="667" t="s">
        <v>863</v>
      </c>
      <c r="W13" s="667" t="s">
        <v>863</v>
      </c>
      <c r="X13" s="232"/>
      <c r="Y13" s="671"/>
      <c r="Z13" s="668"/>
      <c r="AA13" s="672"/>
      <c r="AB13" s="668"/>
      <c r="AC13" s="670">
        <v>1</v>
      </c>
      <c r="AD13" s="670"/>
    </row>
    <row r="14" spans="1:1017" s="224" customFormat="1" ht="13.5" customHeight="1">
      <c r="A14" s="225">
        <v>6</v>
      </c>
      <c r="B14" s="239" t="s">
        <v>939</v>
      </c>
      <c r="C14" s="677"/>
      <c r="D14" s="241"/>
      <c r="E14" s="241"/>
      <c r="F14" s="241"/>
      <c r="G14" s="241"/>
      <c r="H14" s="668" t="s">
        <v>940</v>
      </c>
      <c r="I14" s="666"/>
      <c r="J14" s="668"/>
      <c r="K14" s="666" t="s">
        <v>941</v>
      </c>
      <c r="L14" s="668"/>
      <c r="M14" s="668"/>
      <c r="N14" s="668"/>
      <c r="O14" s="668"/>
      <c r="P14" s="669"/>
      <c r="Q14" s="668" t="s">
        <v>816</v>
      </c>
      <c r="R14" s="668"/>
      <c r="S14" s="668" t="s">
        <v>874</v>
      </c>
      <c r="T14" s="670"/>
      <c r="U14" s="668"/>
      <c r="V14" s="667" t="s">
        <v>863</v>
      </c>
      <c r="W14" s="667" t="s">
        <v>863</v>
      </c>
      <c r="X14" s="232"/>
      <c r="Y14" s="671"/>
      <c r="Z14" s="668"/>
      <c r="AA14" s="672"/>
      <c r="AB14" s="668"/>
      <c r="AC14" s="670">
        <v>1</v>
      </c>
      <c r="AD14" s="670"/>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7"/>
      <c r="U17" s="96"/>
      <c r="V17" s="96"/>
      <c r="W17" s="96"/>
      <c r="X17"/>
      <c r="Y17" s="179"/>
      <c r="Z17" s="96"/>
      <c r="AA17" s="159"/>
      <c r="AB17" s="96"/>
      <c r="AD17" s="96"/>
      <c r="AMA17"/>
      <c r="AMB17"/>
      <c r="AMC17"/>
    </row>
    <row r="18" spans="1:1017" s="128" customFormat="1" ht="12" customHeight="1">
      <c r="I18" s="224"/>
      <c r="P18" s="174"/>
      <c r="R18" s="96"/>
      <c r="S18" s="96"/>
      <c r="T18" s="277"/>
      <c r="U18" s="96"/>
      <c r="V18" s="96"/>
      <c r="W18" s="96"/>
      <c r="X18"/>
      <c r="Y18" s="179"/>
      <c r="Z18" s="96"/>
      <c r="AA18" s="159"/>
      <c r="AB18" s="96"/>
      <c r="AD18" s="96"/>
      <c r="AMA18"/>
      <c r="AMB18"/>
      <c r="AMC18"/>
    </row>
    <row r="19" spans="1:1017" s="128" customFormat="1" ht="12" customHeight="1">
      <c r="I19" s="224"/>
      <c r="P19" s="174"/>
      <c r="R19" s="96"/>
      <c r="S19" s="96"/>
      <c r="T19" s="277"/>
      <c r="U19" s="96"/>
      <c r="V19" s="96"/>
      <c r="W19" s="96"/>
      <c r="X19"/>
      <c r="Y19" s="179"/>
      <c r="Z19" s="96"/>
      <c r="AA19" s="159"/>
      <c r="AB19" s="96"/>
      <c r="AD19" s="96"/>
      <c r="AMA19"/>
      <c r="AMB19"/>
      <c r="AMC19"/>
    </row>
    <row r="20" spans="1:1017" s="128" customFormat="1" ht="12" customHeight="1">
      <c r="I20" s="224"/>
      <c r="P20" s="174"/>
      <c r="R20" s="96"/>
      <c r="S20" s="96"/>
      <c r="T20" s="277"/>
      <c r="U20" s="96"/>
      <c r="V20" s="96"/>
      <c r="W20" s="96"/>
      <c r="X20"/>
      <c r="Y20" s="179"/>
      <c r="Z20" s="96"/>
      <c r="AA20" s="159"/>
      <c r="AB20" s="96"/>
      <c r="AD20" s="96"/>
      <c r="AMA20"/>
      <c r="AMB20"/>
      <c r="AMC20"/>
    </row>
    <row r="21" spans="1:1017" s="128" customFormat="1" ht="12" customHeight="1">
      <c r="I21" s="224"/>
      <c r="P21" s="174"/>
      <c r="R21" s="96"/>
      <c r="S21" s="96"/>
      <c r="T21" s="277"/>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7"/>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7"/>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7"/>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7"/>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7"/>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7"/>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7"/>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7"/>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7"/>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7"/>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7"/>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7"/>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7"/>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7"/>
      <c r="U53" s="96"/>
      <c r="V53" s="96"/>
      <c r="W53" s="96"/>
      <c r="X53"/>
      <c r="Y53" s="179"/>
      <c r="Z53" s="96"/>
      <c r="AA53" s="161"/>
      <c r="AB53" s="96"/>
      <c r="AD53" s="96"/>
      <c r="AMB53"/>
    </row>
    <row r="54" spans="1:1018" s="117" customFormat="1" ht="12" customHeight="1">
      <c r="A54" s="123"/>
      <c r="B54" s="123"/>
      <c r="C54" s="123"/>
      <c r="D54" s="123"/>
      <c r="E54" s="123"/>
      <c r="F54" s="123"/>
      <c r="G54" s="112"/>
      <c r="H54" s="112"/>
      <c r="I54" s="276"/>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6"/>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6"/>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6"/>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6"/>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6"/>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6"/>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7"/>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7"/>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773" priority="78">
      <formula>OR($AD16="X",$AB16="X")</formula>
    </cfRule>
    <cfRule type="expression" dxfId="1772" priority="79">
      <formula>AND($AD16=1,$AB16=1)</formula>
    </cfRule>
    <cfRule type="expression" dxfId="1771" priority="80">
      <formula>$AD16=1</formula>
    </cfRule>
    <cfRule type="expression" dxfId="1770" priority="81">
      <formula>$AB16=1</formula>
    </cfRule>
  </conditionalFormatting>
  <conditionalFormatting sqref="A9:G14">
    <cfRule type="expression" dxfId="1769" priority="23">
      <formula>OR($AD9="X",$AC9="X")</formula>
    </cfRule>
    <cfRule type="expression" dxfId="1768" priority="25">
      <formula>AND($AD9=1,$AC9=1)</formula>
    </cfRule>
    <cfRule type="expression" dxfId="1767" priority="26">
      <formula>$AD9=1</formula>
    </cfRule>
    <cfRule type="expression" dxfId="1766" priority="27">
      <formula>$AC9=1</formula>
    </cfRule>
    <cfRule type="expression" dxfId="1765" priority="28">
      <formula>AND(NOT(ISBLANK($W9)),ISBLANK($AC9),ISBLANK($AD9))</formula>
    </cfRule>
  </conditionalFormatting>
  <conditionalFormatting sqref="C9:C14">
    <cfRule type="expression" dxfId="1764" priority="22">
      <formula>AND($R9="X",$B9&lt;&gt;"")</formula>
    </cfRule>
  </conditionalFormatting>
  <conditionalFormatting sqref="D9:D14">
    <cfRule type="expression" dxfId="1763" priority="24">
      <formula>AND($R9="X",OR($B9&lt;&gt;"",$C9&lt;&gt;""))</formula>
    </cfRule>
  </conditionalFormatting>
  <conditionalFormatting sqref="E9:E14">
    <cfRule type="expression" dxfId="1762"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761" priority="20">
      <formula>AND($R9="X",OR($B9&lt;&gt;"",$C9&lt;&gt;"",$D9&lt;&gt;"",$E9&lt;&gt;""))</formula>
    </cfRule>
  </conditionalFormatting>
  <conditionalFormatting sqref="G9:G14">
    <cfRule type="expression" dxfId="1760" priority="21">
      <formula>AND($R9="X",OR($B9&lt;&gt;"",$C9&lt;&gt;"",$D9&lt;&gt;"",$E9&lt;&gt;"",$F9&lt;&gt;""))</formula>
    </cfRule>
  </conditionalFormatting>
  <conditionalFormatting sqref="H16:H17 H37:H877">
    <cfRule type="expression" dxfId="1759" priority="77">
      <formula>$Q16="X"</formula>
    </cfRule>
  </conditionalFormatting>
  <conditionalFormatting sqref="I9:I14">
    <cfRule type="expression" dxfId="1758" priority="18">
      <formula>$R9="X"</formula>
    </cfRule>
  </conditionalFormatting>
  <conditionalFormatting sqref="Q9:Q14">
    <cfRule type="cellIs" dxfId="1757" priority="2" operator="equal">
      <formula>"1..1"</formula>
    </cfRule>
    <cfRule type="cellIs" dxfId="1756" priority="3" operator="equal">
      <formula>"0..n"</formula>
    </cfRule>
    <cfRule type="cellIs" dxfId="1755"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7FE37-B527-4A6A-B635-C8964A880D03}">
  <sheetPr>
    <tabColor theme="8" tint="0.79998168889431442"/>
  </sheetPr>
  <dimension ref="A1:AMD242"/>
  <sheetViews>
    <sheetView zoomScaleNormal="100" workbookViewId="0">
      <pane xSplit="7" ySplit="11" topLeftCell="H25" activePane="bottomRight" state="frozen"/>
      <selection pane="topRight" activeCell="H1" sqref="H1"/>
      <selection pane="bottomLeft" activeCell="A9" sqref="A9"/>
      <selection pane="bottomRight" activeCell="D24" sqref="D24"/>
    </sheetView>
  </sheetViews>
  <sheetFormatPr baseColWidth="10" defaultColWidth="9.5" defaultRowHeight="12" customHeight="1"/>
  <cols>
    <col min="1" max="1" width="4.625" style="128" customWidth="1"/>
    <col min="2" max="2" width="27.125" style="128" customWidth="1"/>
    <col min="3" max="3" width="29.375" style="128" customWidth="1"/>
    <col min="4" max="4" width="27.62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hidden="1" customWidth="1"/>
    <col min="14" max="15" width="6.125" style="96" hidden="1" customWidth="1"/>
    <col min="16" max="16" width="6.625" style="173" hidden="1" customWidth="1"/>
    <col min="17" max="17" width="10.5" style="96" customWidth="1"/>
    <col min="18" max="18" width="6" style="96" customWidth="1"/>
    <col min="19" max="19" width="18.5" style="96" customWidth="1"/>
    <col min="20" max="20" width="12.625" style="277" hidden="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4" ht="13.5" customHeight="1">
      <c r="A1" s="228" t="s">
        <v>773</v>
      </c>
      <c r="C1" s="615" t="s">
        <v>942</v>
      </c>
      <c r="E1" s="150"/>
      <c r="F1" s="157">
        <f>createCase142[[#Totals],[Métier]] / createCase142[[#Totals],[ID]]</f>
        <v>0.96022727272727271</v>
      </c>
      <c r="G1" s="128"/>
      <c r="H1" s="812" t="s">
        <v>910</v>
      </c>
      <c r="I1" s="812"/>
      <c r="J1" s="812"/>
      <c r="O1" s="813" t="s">
        <v>815</v>
      </c>
      <c r="P1" s="813"/>
      <c r="AC1" s="96"/>
      <c r="AE1"/>
      <c r="AF1" s="128"/>
      <c r="ALZ1"/>
    </row>
    <row r="2" spans="1:1014" ht="13.5" customHeight="1">
      <c r="C2" s="561" t="s">
        <v>943</v>
      </c>
      <c r="D2" s="284"/>
      <c r="E2" s="152"/>
      <c r="F2" s="157">
        <f>createCase142[[#Totals],[NexSIS]] / createCase142[[#Totals],[ID]]</f>
        <v>0.47727272727272729</v>
      </c>
      <c r="G2" s="128"/>
      <c r="H2" s="812"/>
      <c r="I2" s="812"/>
      <c r="J2" s="812"/>
      <c r="AC2" s="96"/>
      <c r="AE2"/>
      <c r="AF2" s="128"/>
      <c r="ALZ2"/>
    </row>
    <row r="3" spans="1:1014" ht="13.5" customHeight="1">
      <c r="C3" s="598" t="s">
        <v>944</v>
      </c>
      <c r="E3" s="151"/>
      <c r="G3" s="128"/>
      <c r="AC3" s="96"/>
      <c r="AE3"/>
      <c r="AF3" s="128"/>
      <c r="ALZ3"/>
    </row>
    <row r="4" spans="1:1014" ht="13.5" customHeight="1">
      <c r="C4" s="143"/>
      <c r="E4" s="153"/>
      <c r="G4" s="137"/>
      <c r="AC4" s="96"/>
      <c r="AE4"/>
      <c r="AF4" s="128"/>
      <c r="ALZ4"/>
    </row>
    <row r="5" spans="1:1014" s="149" customFormat="1" ht="13.5" customHeight="1">
      <c r="A5" s="128"/>
      <c r="B5" s="128"/>
      <c r="C5" s="145"/>
      <c r="D5" s="146"/>
      <c r="E5" s="290"/>
      <c r="F5" s="146"/>
      <c r="G5" s="148"/>
      <c r="H5" s="148"/>
      <c r="I5" s="275"/>
      <c r="J5" s="148"/>
      <c r="K5" s="160"/>
      <c r="L5" s="148"/>
      <c r="M5" s="148"/>
      <c r="N5" s="148"/>
      <c r="O5" s="148"/>
      <c r="P5" s="186"/>
      <c r="Q5" s="148"/>
      <c r="R5" s="148"/>
      <c r="S5" s="148"/>
      <c r="T5" s="279"/>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c r="D6" s="138"/>
      <c r="F6" s="138"/>
      <c r="AC6" s="96"/>
      <c r="AE6"/>
      <c r="AF6" s="128"/>
      <c r="ALZ6"/>
    </row>
    <row r="7" spans="1:1014" ht="13.5" customHeight="1">
      <c r="A7"/>
      <c r="B7"/>
      <c r="C7" s="138"/>
      <c r="D7" s="377"/>
      <c r="E7" s="138"/>
      <c r="F7" s="138"/>
      <c r="L7" s="814" t="s">
        <v>827</v>
      </c>
      <c r="M7" s="814"/>
      <c r="N7" s="814"/>
      <c r="O7" s="814"/>
      <c r="AC7" s="814" t="s">
        <v>829</v>
      </c>
      <c r="AD7" s="814"/>
      <c r="AE7"/>
      <c r="AF7" s="128"/>
      <c r="ALZ7"/>
    </row>
    <row r="8" spans="1:1014" ht="13.5" customHeight="1">
      <c r="A8"/>
      <c r="B8" s="538" t="s">
        <v>945</v>
      </c>
      <c r="C8" s="272"/>
      <c r="D8" s="537"/>
      <c r="E8" s="272"/>
      <c r="F8" s="272"/>
      <c r="L8" s="525"/>
      <c r="M8" s="525"/>
      <c r="N8" s="525"/>
      <c r="O8" s="525"/>
      <c r="AC8" s="525"/>
      <c r="AD8" s="525"/>
      <c r="AE8"/>
      <c r="AF8" s="128"/>
      <c r="ALZ8"/>
    </row>
    <row r="9" spans="1:1014" s="539" customFormat="1" ht="13.5" customHeight="1">
      <c r="B9" s="540" t="s">
        <v>946</v>
      </c>
      <c r="C9" s="541"/>
      <c r="D9" s="542"/>
      <c r="E9" s="541"/>
      <c r="F9" s="541"/>
      <c r="G9" s="543"/>
      <c r="H9" s="543"/>
      <c r="I9" s="544"/>
      <c r="J9" s="543"/>
      <c r="K9" s="545"/>
      <c r="L9" s="546"/>
      <c r="M9" s="546"/>
      <c r="N9" s="546"/>
      <c r="O9" s="546"/>
      <c r="P9" s="547"/>
      <c r="Q9" s="543"/>
      <c r="R9" s="543"/>
      <c r="S9" s="543"/>
      <c r="T9" s="548"/>
      <c r="U9" s="543"/>
      <c r="V9" s="816" t="s">
        <v>828</v>
      </c>
      <c r="W9" s="816"/>
      <c r="Y9" s="549"/>
      <c r="Z9" s="543"/>
      <c r="AA9" s="545"/>
      <c r="AB9" s="543"/>
      <c r="AC9" s="546"/>
      <c r="AD9" s="546"/>
      <c r="AF9" s="542"/>
      <c r="AG9" s="542"/>
      <c r="AH9" s="542"/>
      <c r="AI9" s="542"/>
      <c r="AJ9" s="542"/>
      <c r="AK9" s="542"/>
      <c r="AL9" s="542"/>
      <c r="AM9" s="542"/>
      <c r="AN9" s="542"/>
      <c r="AO9" s="542"/>
      <c r="AP9" s="542"/>
      <c r="AQ9" s="542"/>
      <c r="AR9" s="542"/>
      <c r="AS9" s="542"/>
      <c r="AT9" s="542"/>
      <c r="AU9" s="542"/>
      <c r="AV9" s="542"/>
      <c r="AW9" s="542"/>
      <c r="AX9" s="542"/>
      <c r="AY9" s="542"/>
      <c r="AZ9" s="542"/>
      <c r="BA9" s="542"/>
      <c r="BB9" s="542"/>
      <c r="BC9" s="542"/>
      <c r="BD9" s="542"/>
      <c r="BE9" s="542"/>
      <c r="BF9" s="542"/>
      <c r="BG9" s="542"/>
      <c r="BH9" s="542"/>
      <c r="BI9" s="542"/>
      <c r="BJ9" s="542"/>
      <c r="BK9" s="542"/>
      <c r="BL9" s="542"/>
      <c r="BM9" s="542"/>
      <c r="BN9" s="542"/>
      <c r="BO9" s="542"/>
      <c r="BP9" s="542"/>
      <c r="BQ9" s="542"/>
      <c r="BR9" s="542"/>
      <c r="BS9" s="542"/>
      <c r="BT9" s="542"/>
      <c r="BU9" s="542"/>
      <c r="BV9" s="542"/>
      <c r="BW9" s="542"/>
      <c r="BX9" s="542"/>
      <c r="BY9" s="542"/>
      <c r="BZ9" s="542"/>
      <c r="CA9" s="542"/>
      <c r="CB9" s="542"/>
      <c r="CC9" s="542"/>
      <c r="CD9" s="542"/>
      <c r="CE9" s="542"/>
      <c r="CF9" s="542"/>
      <c r="CG9" s="542"/>
      <c r="CH9" s="542"/>
      <c r="CI9" s="542"/>
      <c r="CJ9" s="542"/>
      <c r="CK9" s="542"/>
      <c r="CL9" s="542"/>
      <c r="CM9" s="542"/>
      <c r="CN9" s="542"/>
      <c r="CO9" s="542"/>
      <c r="CP9" s="542"/>
      <c r="CQ9" s="542"/>
      <c r="CR9" s="542"/>
      <c r="CS9" s="542"/>
      <c r="CT9" s="542"/>
      <c r="CU9" s="542"/>
      <c r="CV9" s="542"/>
      <c r="CW9" s="542"/>
      <c r="CX9" s="542"/>
      <c r="CY9" s="542"/>
      <c r="CZ9" s="542"/>
      <c r="DA9" s="542"/>
      <c r="DB9" s="542"/>
      <c r="DC9" s="542"/>
      <c r="DD9" s="542"/>
      <c r="DE9" s="542"/>
      <c r="DF9" s="542"/>
      <c r="DG9" s="542"/>
      <c r="DH9" s="542"/>
      <c r="DI9" s="542"/>
      <c r="DJ9" s="542"/>
      <c r="DK9" s="542"/>
      <c r="DL9" s="542"/>
      <c r="DM9" s="542"/>
      <c r="DN9" s="542"/>
      <c r="DO9" s="542"/>
      <c r="DP9" s="542"/>
      <c r="DQ9" s="542"/>
      <c r="DR9" s="542"/>
      <c r="DS9" s="542"/>
      <c r="DT9" s="542"/>
      <c r="DU9" s="542"/>
      <c r="DV9" s="542"/>
      <c r="DW9" s="542"/>
      <c r="DX9" s="542"/>
      <c r="DY9" s="542"/>
      <c r="DZ9" s="542"/>
      <c r="EA9" s="542"/>
      <c r="EB9" s="542"/>
      <c r="EC9" s="542"/>
      <c r="ED9" s="542"/>
      <c r="EE9" s="542"/>
      <c r="EF9" s="542"/>
      <c r="EG9" s="542"/>
      <c r="EH9" s="542"/>
      <c r="EI9" s="542"/>
      <c r="EJ9" s="542"/>
      <c r="EK9" s="542"/>
      <c r="EL9" s="542"/>
      <c r="EM9" s="542"/>
      <c r="EN9" s="542"/>
      <c r="EO9" s="542"/>
      <c r="EP9" s="542"/>
      <c r="EQ9" s="542"/>
      <c r="ER9" s="542"/>
      <c r="ES9" s="542"/>
      <c r="ET9" s="542"/>
      <c r="EU9" s="542"/>
      <c r="EV9" s="542"/>
      <c r="EW9" s="542"/>
      <c r="EX9" s="542"/>
      <c r="EY9" s="542"/>
      <c r="EZ9" s="542"/>
      <c r="FA9" s="542"/>
      <c r="FB9" s="542"/>
      <c r="FC9" s="542"/>
      <c r="FD9" s="542"/>
      <c r="FE9" s="542"/>
      <c r="FF9" s="542"/>
      <c r="FG9" s="542"/>
      <c r="FH9" s="542"/>
      <c r="FI9" s="542"/>
      <c r="FJ9" s="542"/>
      <c r="FK9" s="542"/>
      <c r="FL9" s="542"/>
      <c r="FM9" s="542"/>
      <c r="FN9" s="542"/>
      <c r="FO9" s="542"/>
      <c r="FP9" s="542"/>
      <c r="FQ9" s="542"/>
      <c r="FR9" s="542"/>
      <c r="FS9" s="542"/>
      <c r="FT9" s="542"/>
      <c r="FU9" s="542"/>
      <c r="FV9" s="542"/>
      <c r="FW9" s="542"/>
      <c r="FX9" s="542"/>
      <c r="FY9" s="542"/>
      <c r="FZ9" s="542"/>
      <c r="GA9" s="542"/>
      <c r="GB9" s="542"/>
      <c r="GC9" s="542"/>
      <c r="GD9" s="542"/>
      <c r="GE9" s="542"/>
      <c r="GF9" s="542"/>
      <c r="GG9" s="542"/>
      <c r="GH9" s="542"/>
      <c r="GI9" s="542"/>
      <c r="GJ9" s="542"/>
      <c r="GK9" s="542"/>
      <c r="GL9" s="542"/>
      <c r="GM9" s="542"/>
      <c r="GN9" s="542"/>
      <c r="GO9" s="542"/>
      <c r="GP9" s="542"/>
      <c r="GQ9" s="542"/>
      <c r="GR9" s="542"/>
      <c r="GS9" s="542"/>
      <c r="GT9" s="542"/>
      <c r="GU9" s="542"/>
      <c r="GV9" s="542"/>
      <c r="GW9" s="542"/>
      <c r="GX9" s="542"/>
      <c r="GY9" s="542"/>
      <c r="GZ9" s="542"/>
      <c r="HA9" s="542"/>
      <c r="HB9" s="542"/>
      <c r="HC9" s="542"/>
      <c r="HD9" s="542"/>
      <c r="HE9" s="542"/>
      <c r="HF9" s="542"/>
      <c r="HG9" s="542"/>
      <c r="HH9" s="542"/>
      <c r="HI9" s="542"/>
      <c r="HJ9" s="542"/>
      <c r="HK9" s="542"/>
      <c r="HL9" s="542"/>
      <c r="HM9" s="542"/>
      <c r="HN9" s="542"/>
      <c r="HO9" s="542"/>
      <c r="HP9" s="542"/>
      <c r="HQ9" s="542"/>
      <c r="HR9" s="542"/>
      <c r="HS9" s="542"/>
      <c r="HT9" s="542"/>
      <c r="HU9" s="542"/>
      <c r="HV9" s="542"/>
      <c r="HW9" s="542"/>
      <c r="HX9" s="542"/>
      <c r="HY9" s="542"/>
      <c r="HZ9" s="542"/>
      <c r="IA9" s="542"/>
      <c r="IB9" s="542"/>
      <c r="IC9" s="542"/>
      <c r="ID9" s="542"/>
      <c r="IE9" s="542"/>
      <c r="IF9" s="542"/>
      <c r="IG9" s="542"/>
      <c r="IH9" s="542"/>
      <c r="II9" s="542"/>
      <c r="IJ9" s="542"/>
      <c r="IK9" s="542"/>
      <c r="IL9" s="542"/>
      <c r="IM9" s="542"/>
      <c r="IN9" s="542"/>
      <c r="IO9" s="542"/>
      <c r="IP9" s="542"/>
      <c r="IQ9" s="542"/>
      <c r="IR9" s="542"/>
      <c r="IS9" s="542"/>
      <c r="IT9" s="542"/>
      <c r="IU9" s="542"/>
      <c r="IV9" s="542"/>
      <c r="IW9" s="542"/>
      <c r="IX9" s="542"/>
      <c r="IY9" s="542"/>
      <c r="IZ9" s="542"/>
      <c r="JA9" s="542"/>
      <c r="JB9" s="542"/>
      <c r="JC9" s="542"/>
      <c r="JD9" s="542"/>
      <c r="JE9" s="542"/>
      <c r="JF9" s="542"/>
      <c r="JG9" s="542"/>
      <c r="JH9" s="542"/>
      <c r="JI9" s="542"/>
      <c r="JJ9" s="542"/>
      <c r="JK9" s="542"/>
      <c r="JL9" s="542"/>
      <c r="JM9" s="542"/>
      <c r="JN9" s="542"/>
      <c r="JO9" s="542"/>
      <c r="JP9" s="542"/>
      <c r="JQ9" s="542"/>
      <c r="JR9" s="542"/>
      <c r="JS9" s="542"/>
      <c r="JT9" s="542"/>
      <c r="JU9" s="542"/>
      <c r="JV9" s="542"/>
      <c r="JW9" s="542"/>
      <c r="JX9" s="542"/>
      <c r="JY9" s="542"/>
      <c r="JZ9" s="542"/>
      <c r="KA9" s="542"/>
      <c r="KB9" s="542"/>
      <c r="KC9" s="542"/>
      <c r="KD9" s="542"/>
      <c r="KE9" s="542"/>
      <c r="KF9" s="542"/>
      <c r="KG9" s="542"/>
      <c r="KH9" s="542"/>
      <c r="KI9" s="542"/>
      <c r="KJ9" s="542"/>
      <c r="KK9" s="542"/>
      <c r="KL9" s="542"/>
      <c r="KM9" s="542"/>
      <c r="KN9" s="542"/>
      <c r="KO9" s="542"/>
      <c r="KP9" s="542"/>
      <c r="KQ9" s="542"/>
      <c r="KR9" s="542"/>
      <c r="KS9" s="542"/>
      <c r="KT9" s="542"/>
      <c r="KU9" s="542"/>
      <c r="KV9" s="542"/>
      <c r="KW9" s="542"/>
      <c r="KX9" s="542"/>
      <c r="KY9" s="542"/>
      <c r="KZ9" s="542"/>
      <c r="LA9" s="542"/>
      <c r="LB9" s="542"/>
      <c r="LC9" s="542"/>
      <c r="LD9" s="542"/>
      <c r="LE9" s="542"/>
      <c r="LF9" s="542"/>
      <c r="LG9" s="542"/>
      <c r="LH9" s="542"/>
      <c r="LI9" s="542"/>
      <c r="LJ9" s="542"/>
      <c r="LK9" s="542"/>
      <c r="LL9" s="542"/>
      <c r="LM9" s="542"/>
      <c r="LN9" s="542"/>
      <c r="LO9" s="542"/>
      <c r="LP9" s="542"/>
      <c r="LQ9" s="542"/>
      <c r="LR9" s="542"/>
      <c r="LS9" s="542"/>
      <c r="LT9" s="542"/>
      <c r="LU9" s="542"/>
      <c r="LV9" s="542"/>
      <c r="LW9" s="542"/>
      <c r="LX9" s="542"/>
      <c r="LY9" s="542"/>
      <c r="LZ9" s="542"/>
      <c r="MA9" s="542"/>
      <c r="MB9" s="542"/>
      <c r="MC9" s="542"/>
      <c r="MD9" s="542"/>
      <c r="ME9" s="542"/>
      <c r="MF9" s="542"/>
      <c r="MG9" s="542"/>
      <c r="MH9" s="542"/>
      <c r="MI9" s="542"/>
      <c r="MJ9" s="542"/>
      <c r="MK9" s="542"/>
      <c r="ML9" s="542"/>
      <c r="MM9" s="542"/>
      <c r="MN9" s="542"/>
      <c r="MO9" s="542"/>
      <c r="MP9" s="542"/>
      <c r="MQ9" s="542"/>
      <c r="MR9" s="542"/>
      <c r="MS9" s="542"/>
      <c r="MT9" s="542"/>
      <c r="MU9" s="542"/>
      <c r="MV9" s="542"/>
      <c r="MW9" s="542"/>
      <c r="MX9" s="542"/>
      <c r="MY9" s="542"/>
      <c r="MZ9" s="542"/>
      <c r="NA9" s="542"/>
      <c r="NB9" s="542"/>
      <c r="NC9" s="542"/>
      <c r="ND9" s="542"/>
      <c r="NE9" s="542"/>
      <c r="NF9" s="542"/>
      <c r="NG9" s="542"/>
      <c r="NH9" s="542"/>
      <c r="NI9" s="542"/>
      <c r="NJ9" s="542"/>
      <c r="NK9" s="542"/>
      <c r="NL9" s="542"/>
      <c r="NM9" s="542"/>
      <c r="NN9" s="542"/>
      <c r="NO9" s="542"/>
      <c r="NP9" s="542"/>
      <c r="NQ9" s="542"/>
      <c r="NR9" s="542"/>
      <c r="NS9" s="542"/>
      <c r="NT9" s="542"/>
      <c r="NU9" s="542"/>
      <c r="NV9" s="542"/>
      <c r="NW9" s="542"/>
      <c r="NX9" s="542"/>
      <c r="NY9" s="542"/>
      <c r="NZ9" s="542"/>
      <c r="OA9" s="542"/>
      <c r="OB9" s="542"/>
      <c r="OC9" s="542"/>
      <c r="OD9" s="542"/>
      <c r="OE9" s="542"/>
      <c r="OF9" s="542"/>
      <c r="OG9" s="542"/>
      <c r="OH9" s="542"/>
      <c r="OI9" s="542"/>
      <c r="OJ9" s="542"/>
      <c r="OK9" s="542"/>
      <c r="OL9" s="542"/>
      <c r="OM9" s="542"/>
      <c r="ON9" s="542"/>
      <c r="OO9" s="542"/>
      <c r="OP9" s="542"/>
      <c r="OQ9" s="542"/>
      <c r="OR9" s="542"/>
      <c r="OS9" s="542"/>
      <c r="OT9" s="542"/>
      <c r="OU9" s="542"/>
      <c r="OV9" s="542"/>
      <c r="OW9" s="542"/>
      <c r="OX9" s="542"/>
      <c r="OY9" s="542"/>
      <c r="OZ9" s="542"/>
      <c r="PA9" s="542"/>
      <c r="PB9" s="542"/>
      <c r="PC9" s="542"/>
      <c r="PD9" s="542"/>
      <c r="PE9" s="542"/>
      <c r="PF9" s="542"/>
      <c r="PG9" s="542"/>
      <c r="PH9" s="542"/>
      <c r="PI9" s="542"/>
      <c r="PJ9" s="542"/>
      <c r="PK9" s="542"/>
      <c r="PL9" s="542"/>
      <c r="PM9" s="542"/>
      <c r="PN9" s="542"/>
      <c r="PO9" s="542"/>
      <c r="PP9" s="542"/>
      <c r="PQ9" s="542"/>
      <c r="PR9" s="542"/>
      <c r="PS9" s="542"/>
      <c r="PT9" s="542"/>
      <c r="PU9" s="542"/>
      <c r="PV9" s="542"/>
      <c r="PW9" s="542"/>
      <c r="PX9" s="542"/>
      <c r="PY9" s="542"/>
      <c r="PZ9" s="542"/>
      <c r="QA9" s="542"/>
      <c r="QB9" s="542"/>
      <c r="QC9" s="542"/>
      <c r="QD9" s="542"/>
      <c r="QE9" s="542"/>
      <c r="QF9" s="542"/>
      <c r="QG9" s="542"/>
      <c r="QH9" s="542"/>
      <c r="QI9" s="542"/>
      <c r="QJ9" s="542"/>
      <c r="QK9" s="542"/>
      <c r="QL9" s="542"/>
      <c r="QM9" s="542"/>
      <c r="QN9" s="542"/>
      <c r="QO9" s="542"/>
      <c r="QP9" s="542"/>
      <c r="QQ9" s="542"/>
      <c r="QR9" s="542"/>
      <c r="QS9" s="542"/>
      <c r="QT9" s="542"/>
      <c r="QU9" s="542"/>
      <c r="QV9" s="542"/>
      <c r="QW9" s="542"/>
      <c r="QX9" s="542"/>
      <c r="QY9" s="542"/>
      <c r="QZ9" s="542"/>
      <c r="RA9" s="542"/>
      <c r="RB9" s="542"/>
      <c r="RC9" s="542"/>
      <c r="RD9" s="542"/>
      <c r="RE9" s="542"/>
      <c r="RF9" s="542"/>
      <c r="RG9" s="542"/>
      <c r="RH9" s="542"/>
      <c r="RI9" s="542"/>
      <c r="RJ9" s="542"/>
      <c r="RK9" s="542"/>
      <c r="RL9" s="542"/>
      <c r="RM9" s="542"/>
      <c r="RN9" s="542"/>
      <c r="RO9" s="542"/>
      <c r="RP9" s="542"/>
      <c r="RQ9" s="542"/>
      <c r="RR9" s="542"/>
      <c r="RS9" s="542"/>
      <c r="RT9" s="542"/>
      <c r="RU9" s="542"/>
      <c r="RV9" s="542"/>
      <c r="RW9" s="542"/>
      <c r="RX9" s="542"/>
      <c r="RY9" s="542"/>
      <c r="RZ9" s="542"/>
      <c r="SA9" s="542"/>
      <c r="SB9" s="542"/>
      <c r="SC9" s="542"/>
      <c r="SD9" s="542"/>
      <c r="SE9" s="542"/>
      <c r="SF9" s="542"/>
      <c r="SG9" s="542"/>
      <c r="SH9" s="542"/>
      <c r="SI9" s="542"/>
      <c r="SJ9" s="542"/>
      <c r="SK9" s="542"/>
      <c r="SL9" s="542"/>
      <c r="SM9" s="542"/>
      <c r="SN9" s="542"/>
      <c r="SO9" s="542"/>
      <c r="SP9" s="542"/>
      <c r="SQ9" s="542"/>
      <c r="SR9" s="542"/>
      <c r="SS9" s="542"/>
      <c r="ST9" s="542"/>
      <c r="SU9" s="542"/>
      <c r="SV9" s="542"/>
      <c r="SW9" s="542"/>
      <c r="SX9" s="542"/>
      <c r="SY9" s="542"/>
      <c r="SZ9" s="542"/>
      <c r="TA9" s="542"/>
      <c r="TB9" s="542"/>
      <c r="TC9" s="542"/>
      <c r="TD9" s="542"/>
      <c r="TE9" s="542"/>
      <c r="TF9" s="542"/>
      <c r="TG9" s="542"/>
      <c r="TH9" s="542"/>
      <c r="TI9" s="542"/>
      <c r="TJ9" s="542"/>
      <c r="TK9" s="542"/>
      <c r="TL9" s="542"/>
      <c r="TM9" s="542"/>
      <c r="TN9" s="542"/>
      <c r="TO9" s="542"/>
      <c r="TP9" s="542"/>
      <c r="TQ9" s="542"/>
      <c r="TR9" s="542"/>
      <c r="TS9" s="542"/>
      <c r="TT9" s="542"/>
      <c r="TU9" s="542"/>
      <c r="TV9" s="542"/>
      <c r="TW9" s="542"/>
      <c r="TX9" s="542"/>
      <c r="TY9" s="542"/>
      <c r="TZ9" s="542"/>
      <c r="UA9" s="542"/>
      <c r="UB9" s="542"/>
      <c r="UC9" s="542"/>
      <c r="UD9" s="542"/>
      <c r="UE9" s="542"/>
      <c r="UF9" s="542"/>
      <c r="UG9" s="542"/>
      <c r="UH9" s="542"/>
      <c r="UI9" s="542"/>
      <c r="UJ9" s="542"/>
      <c r="UK9" s="542"/>
      <c r="UL9" s="542"/>
      <c r="UM9" s="542"/>
      <c r="UN9" s="542"/>
      <c r="UO9" s="542"/>
      <c r="UP9" s="542"/>
      <c r="UQ9" s="542"/>
      <c r="UR9" s="542"/>
      <c r="US9" s="542"/>
      <c r="UT9" s="542"/>
      <c r="UU9" s="542"/>
      <c r="UV9" s="542"/>
      <c r="UW9" s="542"/>
      <c r="UX9" s="542"/>
      <c r="UY9" s="542"/>
      <c r="UZ9" s="542"/>
      <c r="VA9" s="542"/>
      <c r="VB9" s="542"/>
      <c r="VC9" s="542"/>
      <c r="VD9" s="542"/>
      <c r="VE9" s="542"/>
      <c r="VF9" s="542"/>
      <c r="VG9" s="542"/>
      <c r="VH9" s="542"/>
      <c r="VI9" s="542"/>
      <c r="VJ9" s="542"/>
      <c r="VK9" s="542"/>
      <c r="VL9" s="542"/>
      <c r="VM9" s="542"/>
      <c r="VN9" s="542"/>
      <c r="VO9" s="542"/>
      <c r="VP9" s="542"/>
      <c r="VQ9" s="542"/>
      <c r="VR9" s="542"/>
      <c r="VS9" s="542"/>
      <c r="VT9" s="542"/>
      <c r="VU9" s="542"/>
      <c r="VV9" s="542"/>
      <c r="VW9" s="542"/>
      <c r="VX9" s="542"/>
      <c r="VY9" s="542"/>
      <c r="VZ9" s="542"/>
      <c r="WA9" s="542"/>
      <c r="WB9" s="542"/>
      <c r="WC9" s="542"/>
      <c r="WD9" s="542"/>
      <c r="WE9" s="542"/>
      <c r="WF9" s="542"/>
      <c r="WG9" s="542"/>
      <c r="WH9" s="542"/>
      <c r="WI9" s="542"/>
      <c r="WJ9" s="542"/>
      <c r="WK9" s="542"/>
      <c r="WL9" s="542"/>
      <c r="WM9" s="542"/>
      <c r="WN9" s="542"/>
      <c r="WO9" s="542"/>
      <c r="WP9" s="542"/>
      <c r="WQ9" s="542"/>
      <c r="WR9" s="542"/>
      <c r="WS9" s="542"/>
      <c r="WT9" s="542"/>
      <c r="WU9" s="542"/>
      <c r="WV9" s="542"/>
      <c r="WW9" s="542"/>
      <c r="WX9" s="542"/>
      <c r="WY9" s="542"/>
      <c r="WZ9" s="542"/>
      <c r="XA9" s="542"/>
      <c r="XB9" s="542"/>
      <c r="XC9" s="542"/>
      <c r="XD9" s="542"/>
      <c r="XE9" s="542"/>
      <c r="XF9" s="542"/>
      <c r="XG9" s="542"/>
      <c r="XH9" s="542"/>
      <c r="XI9" s="542"/>
      <c r="XJ9" s="542"/>
      <c r="XK9" s="542"/>
      <c r="XL9" s="542"/>
      <c r="XM9" s="542"/>
      <c r="XN9" s="542"/>
      <c r="XO9" s="542"/>
      <c r="XP9" s="542"/>
      <c r="XQ9" s="542"/>
      <c r="XR9" s="542"/>
      <c r="XS9" s="542"/>
      <c r="XT9" s="542"/>
      <c r="XU9" s="542"/>
      <c r="XV9" s="542"/>
      <c r="XW9" s="542"/>
      <c r="XX9" s="542"/>
      <c r="XY9" s="542"/>
      <c r="XZ9" s="542"/>
      <c r="YA9" s="542"/>
      <c r="YB9" s="542"/>
      <c r="YC9" s="542"/>
      <c r="YD9" s="542"/>
      <c r="YE9" s="542"/>
      <c r="YF9" s="542"/>
      <c r="YG9" s="542"/>
      <c r="YH9" s="542"/>
      <c r="YI9" s="542"/>
      <c r="YJ9" s="542"/>
      <c r="YK9" s="542"/>
      <c r="YL9" s="542"/>
      <c r="YM9" s="542"/>
      <c r="YN9" s="542"/>
      <c r="YO9" s="542"/>
      <c r="YP9" s="542"/>
      <c r="YQ9" s="542"/>
      <c r="YR9" s="542"/>
      <c r="YS9" s="542"/>
      <c r="YT9" s="542"/>
      <c r="YU9" s="542"/>
      <c r="YV9" s="542"/>
      <c r="YW9" s="542"/>
      <c r="YX9" s="542"/>
      <c r="YY9" s="542"/>
      <c r="YZ9" s="542"/>
      <c r="ZA9" s="542"/>
      <c r="ZB9" s="542"/>
      <c r="ZC9" s="542"/>
      <c r="ZD9" s="542"/>
      <c r="ZE9" s="542"/>
      <c r="ZF9" s="542"/>
      <c r="ZG9" s="542"/>
      <c r="ZH9" s="542"/>
      <c r="ZI9" s="542"/>
      <c r="ZJ9" s="542"/>
      <c r="ZK9" s="542"/>
      <c r="ZL9" s="542"/>
      <c r="ZM9" s="542"/>
      <c r="ZN9" s="542"/>
      <c r="ZO9" s="542"/>
      <c r="ZP9" s="542"/>
      <c r="ZQ9" s="542"/>
      <c r="ZR9" s="542"/>
      <c r="ZS9" s="542"/>
      <c r="ZT9" s="542"/>
      <c r="ZU9" s="542"/>
      <c r="ZV9" s="542"/>
      <c r="ZW9" s="542"/>
      <c r="ZX9" s="542"/>
      <c r="ZY9" s="542"/>
      <c r="ZZ9" s="542"/>
      <c r="AAA9" s="542"/>
      <c r="AAB9" s="542"/>
      <c r="AAC9" s="542"/>
      <c r="AAD9" s="542"/>
      <c r="AAE9" s="542"/>
      <c r="AAF9" s="542"/>
      <c r="AAG9" s="542"/>
      <c r="AAH9" s="542"/>
      <c r="AAI9" s="542"/>
      <c r="AAJ9" s="542"/>
      <c r="AAK9" s="542"/>
      <c r="AAL9" s="542"/>
      <c r="AAM9" s="542"/>
      <c r="AAN9" s="542"/>
      <c r="AAO9" s="542"/>
      <c r="AAP9" s="542"/>
      <c r="AAQ9" s="542"/>
      <c r="AAR9" s="542"/>
      <c r="AAS9" s="542"/>
      <c r="AAT9" s="542"/>
      <c r="AAU9" s="542"/>
      <c r="AAV9" s="542"/>
      <c r="AAW9" s="542"/>
      <c r="AAX9" s="542"/>
      <c r="AAY9" s="542"/>
      <c r="AAZ9" s="542"/>
      <c r="ABA9" s="542"/>
      <c r="ABB9" s="542"/>
      <c r="ABC9" s="542"/>
      <c r="ABD9" s="542"/>
      <c r="ABE9" s="542"/>
      <c r="ABF9" s="542"/>
      <c r="ABG9" s="542"/>
      <c r="ABH9" s="542"/>
      <c r="ABI9" s="542"/>
      <c r="ABJ9" s="542"/>
      <c r="ABK9" s="542"/>
      <c r="ABL9" s="542"/>
      <c r="ABM9" s="542"/>
      <c r="ABN9" s="542"/>
      <c r="ABO9" s="542"/>
      <c r="ABP9" s="542"/>
      <c r="ABQ9" s="542"/>
      <c r="ABR9" s="542"/>
      <c r="ABS9" s="542"/>
      <c r="ABT9" s="542"/>
      <c r="ABU9" s="542"/>
      <c r="ABV9" s="542"/>
      <c r="ABW9" s="542"/>
      <c r="ABX9" s="542"/>
      <c r="ABY9" s="542"/>
      <c r="ABZ9" s="542"/>
      <c r="ACA9" s="542"/>
      <c r="ACB9" s="542"/>
      <c r="ACC9" s="542"/>
      <c r="ACD9" s="542"/>
      <c r="ACE9" s="542"/>
      <c r="ACF9" s="542"/>
      <c r="ACG9" s="542"/>
      <c r="ACH9" s="542"/>
      <c r="ACI9" s="542"/>
      <c r="ACJ9" s="542"/>
      <c r="ACK9" s="542"/>
      <c r="ACL9" s="542"/>
      <c r="ACM9" s="542"/>
      <c r="ACN9" s="542"/>
      <c r="ACO9" s="542"/>
      <c r="ACP9" s="542"/>
      <c r="ACQ9" s="542"/>
      <c r="ACR9" s="542"/>
      <c r="ACS9" s="542"/>
      <c r="ACT9" s="542"/>
      <c r="ACU9" s="542"/>
      <c r="ACV9" s="542"/>
      <c r="ACW9" s="542"/>
      <c r="ACX9" s="542"/>
      <c r="ACY9" s="542"/>
      <c r="ACZ9" s="542"/>
      <c r="ADA9" s="542"/>
      <c r="ADB9" s="542"/>
      <c r="ADC9" s="542"/>
      <c r="ADD9" s="542"/>
      <c r="ADE9" s="542"/>
      <c r="ADF9" s="542"/>
      <c r="ADG9" s="542"/>
      <c r="ADH9" s="542"/>
      <c r="ADI9" s="542"/>
      <c r="ADJ9" s="542"/>
      <c r="ADK9" s="542"/>
      <c r="ADL9" s="542"/>
      <c r="ADM9" s="542"/>
      <c r="ADN9" s="542"/>
      <c r="ADO9" s="542"/>
      <c r="ADP9" s="542"/>
      <c r="ADQ9" s="542"/>
      <c r="ADR9" s="542"/>
      <c r="ADS9" s="542"/>
      <c r="ADT9" s="542"/>
      <c r="ADU9" s="542"/>
      <c r="ADV9" s="542"/>
      <c r="ADW9" s="542"/>
      <c r="ADX9" s="542"/>
      <c r="ADY9" s="542"/>
      <c r="ADZ9" s="542"/>
      <c r="AEA9" s="542"/>
      <c r="AEB9" s="542"/>
      <c r="AEC9" s="542"/>
      <c r="AED9" s="542"/>
      <c r="AEE9" s="542"/>
      <c r="AEF9" s="542"/>
      <c r="AEG9" s="542"/>
      <c r="AEH9" s="542"/>
      <c r="AEI9" s="542"/>
      <c r="AEJ9" s="542"/>
      <c r="AEK9" s="542"/>
      <c r="AEL9" s="542"/>
      <c r="AEM9" s="542"/>
      <c r="AEN9" s="542"/>
      <c r="AEO9" s="542"/>
      <c r="AEP9" s="542"/>
      <c r="AEQ9" s="542"/>
      <c r="AER9" s="542"/>
      <c r="AES9" s="542"/>
      <c r="AET9" s="542"/>
      <c r="AEU9" s="542"/>
      <c r="AEV9" s="542"/>
      <c r="AEW9" s="542"/>
      <c r="AEX9" s="542"/>
      <c r="AEY9" s="542"/>
      <c r="AEZ9" s="542"/>
      <c r="AFA9" s="542"/>
      <c r="AFB9" s="542"/>
      <c r="AFC9" s="542"/>
      <c r="AFD9" s="542"/>
      <c r="AFE9" s="542"/>
      <c r="AFF9" s="542"/>
      <c r="AFG9" s="542"/>
      <c r="AFH9" s="542"/>
      <c r="AFI9" s="542"/>
      <c r="AFJ9" s="542"/>
      <c r="AFK9" s="542"/>
      <c r="AFL9" s="542"/>
      <c r="AFM9" s="542"/>
      <c r="AFN9" s="542"/>
      <c r="AFO9" s="542"/>
      <c r="AFP9" s="542"/>
      <c r="AFQ9" s="542"/>
      <c r="AFR9" s="542"/>
      <c r="AFS9" s="542"/>
      <c r="AFT9" s="542"/>
      <c r="AFU9" s="542"/>
      <c r="AFV9" s="542"/>
      <c r="AFW9" s="542"/>
      <c r="AFX9" s="542"/>
      <c r="AFY9" s="542"/>
      <c r="AFZ9" s="542"/>
      <c r="AGA9" s="542"/>
      <c r="AGB9" s="542"/>
      <c r="AGC9" s="542"/>
      <c r="AGD9" s="542"/>
      <c r="AGE9" s="542"/>
      <c r="AGF9" s="542"/>
      <c r="AGG9" s="542"/>
      <c r="AGH9" s="542"/>
      <c r="AGI9" s="542"/>
      <c r="AGJ9" s="542"/>
      <c r="AGK9" s="542"/>
      <c r="AGL9" s="542"/>
      <c r="AGM9" s="542"/>
      <c r="AGN9" s="542"/>
      <c r="AGO9" s="542"/>
      <c r="AGP9" s="542"/>
      <c r="AGQ9" s="542"/>
      <c r="AGR9" s="542"/>
      <c r="AGS9" s="542"/>
      <c r="AGT9" s="542"/>
      <c r="AGU9" s="542"/>
      <c r="AGV9" s="542"/>
      <c r="AGW9" s="542"/>
      <c r="AGX9" s="542"/>
      <c r="AGY9" s="542"/>
      <c r="AGZ9" s="542"/>
      <c r="AHA9" s="542"/>
      <c r="AHB9" s="542"/>
      <c r="AHC9" s="542"/>
      <c r="AHD9" s="542"/>
      <c r="AHE9" s="542"/>
      <c r="AHF9" s="542"/>
      <c r="AHG9" s="542"/>
      <c r="AHH9" s="542"/>
      <c r="AHI9" s="542"/>
      <c r="AHJ9" s="542"/>
      <c r="AHK9" s="542"/>
      <c r="AHL9" s="542"/>
      <c r="AHM9" s="542"/>
      <c r="AHN9" s="542"/>
      <c r="AHO9" s="542"/>
      <c r="AHP9" s="542"/>
      <c r="AHQ9" s="542"/>
      <c r="AHR9" s="542"/>
      <c r="AHS9" s="542"/>
      <c r="AHT9" s="542"/>
      <c r="AHU9" s="542"/>
      <c r="AHV9" s="542"/>
      <c r="AHW9" s="542"/>
      <c r="AHX9" s="542"/>
      <c r="AHY9" s="542"/>
      <c r="AHZ9" s="542"/>
      <c r="AIA9" s="542"/>
      <c r="AIB9" s="542"/>
      <c r="AIC9" s="542"/>
      <c r="AID9" s="542"/>
      <c r="AIE9" s="542"/>
      <c r="AIF9" s="542"/>
      <c r="AIG9" s="542"/>
      <c r="AIH9" s="542"/>
      <c r="AII9" s="542"/>
      <c r="AIJ9" s="542"/>
      <c r="AIK9" s="542"/>
      <c r="AIL9" s="542"/>
      <c r="AIM9" s="542"/>
      <c r="AIN9" s="542"/>
      <c r="AIO9" s="542"/>
      <c r="AIP9" s="542"/>
      <c r="AIQ9" s="542"/>
      <c r="AIR9" s="542"/>
      <c r="AIS9" s="542"/>
      <c r="AIT9" s="542"/>
      <c r="AIU9" s="542"/>
      <c r="AIV9" s="542"/>
      <c r="AIW9" s="542"/>
      <c r="AIX9" s="542"/>
      <c r="AIY9" s="542"/>
      <c r="AIZ9" s="542"/>
      <c r="AJA9" s="542"/>
      <c r="AJB9" s="542"/>
      <c r="AJC9" s="542"/>
      <c r="AJD9" s="542"/>
      <c r="AJE9" s="542"/>
      <c r="AJF9" s="542"/>
      <c r="AJG9" s="542"/>
      <c r="AJH9" s="542"/>
      <c r="AJI9" s="542"/>
      <c r="AJJ9" s="542"/>
      <c r="AJK9" s="542"/>
      <c r="AJL9" s="542"/>
      <c r="AJM9" s="542"/>
      <c r="AJN9" s="542"/>
      <c r="AJO9" s="542"/>
      <c r="AJP9" s="542"/>
      <c r="AJQ9" s="542"/>
      <c r="AJR9" s="542"/>
      <c r="AJS9" s="542"/>
      <c r="AJT9" s="542"/>
      <c r="AJU9" s="542"/>
      <c r="AJV9" s="542"/>
      <c r="AJW9" s="542"/>
      <c r="AJX9" s="542"/>
      <c r="AJY9" s="542"/>
      <c r="AJZ9" s="542"/>
      <c r="AKA9" s="542"/>
      <c r="AKB9" s="542"/>
      <c r="AKC9" s="542"/>
      <c r="AKD9" s="542"/>
      <c r="AKE9" s="542"/>
      <c r="AKF9" s="542"/>
      <c r="AKG9" s="542"/>
      <c r="AKH9" s="542"/>
      <c r="AKI9" s="542"/>
      <c r="AKJ9" s="542"/>
      <c r="AKK9" s="542"/>
      <c r="AKL9" s="542"/>
      <c r="AKM9" s="542"/>
      <c r="AKN9" s="542"/>
      <c r="AKO9" s="542"/>
      <c r="AKP9" s="542"/>
      <c r="AKQ9" s="542"/>
      <c r="AKR9" s="542"/>
      <c r="AKS9" s="542"/>
      <c r="AKT9" s="542"/>
      <c r="AKU9" s="542"/>
      <c r="AKV9" s="542"/>
      <c r="AKW9" s="542"/>
      <c r="AKX9" s="542"/>
      <c r="AKY9" s="542"/>
      <c r="AKZ9" s="542"/>
      <c r="ALA9" s="542"/>
      <c r="ALB9" s="542"/>
      <c r="ALC9" s="542"/>
      <c r="ALD9" s="542"/>
      <c r="ALE9" s="542"/>
      <c r="ALF9" s="542"/>
      <c r="ALG9" s="542"/>
      <c r="ALH9" s="542"/>
      <c r="ALI9" s="542"/>
      <c r="ALJ9" s="542"/>
      <c r="ALK9" s="542"/>
      <c r="ALL9" s="542"/>
      <c r="ALM9" s="542"/>
      <c r="ALN9" s="542"/>
      <c r="ALO9" s="542"/>
      <c r="ALP9" s="542"/>
      <c r="ALQ9" s="542"/>
      <c r="ALR9" s="542"/>
      <c r="ALS9" s="542"/>
      <c r="ALT9" s="542"/>
      <c r="ALU9" s="542"/>
      <c r="ALV9" s="542"/>
      <c r="ALW9" s="542"/>
      <c r="ALX9" s="542"/>
      <c r="ALY9" s="542"/>
    </row>
    <row r="10" spans="1:1014" s="539" customFormat="1" ht="13.5" customHeight="1">
      <c r="B10" s="540" t="s">
        <v>947</v>
      </c>
      <c r="C10" s="541"/>
      <c r="D10" s="542"/>
      <c r="E10" s="541"/>
      <c r="F10" s="541"/>
      <c r="G10" s="543"/>
      <c r="H10" s="543"/>
      <c r="I10" s="544"/>
      <c r="J10" s="543"/>
      <c r="K10" s="545"/>
      <c r="L10" s="546"/>
      <c r="M10" s="546"/>
      <c r="N10" s="546"/>
      <c r="O10" s="546"/>
      <c r="P10" s="547"/>
      <c r="Q10" s="543"/>
      <c r="R10" s="543"/>
      <c r="S10" s="543"/>
      <c r="T10" s="548"/>
      <c r="U10" s="543"/>
      <c r="V10" s="816"/>
      <c r="W10" s="816"/>
      <c r="Y10" s="549"/>
      <c r="Z10" s="543"/>
      <c r="AA10" s="545"/>
      <c r="AB10" s="543"/>
      <c r="AC10" s="546"/>
      <c r="AD10" s="546"/>
      <c r="AF10" s="542"/>
      <c r="AG10" s="542"/>
      <c r="AH10" s="542"/>
      <c r="AI10" s="542"/>
      <c r="AJ10" s="542"/>
      <c r="AK10" s="542"/>
      <c r="AL10" s="542"/>
      <c r="AM10" s="542"/>
      <c r="AN10" s="542"/>
      <c r="AO10" s="542"/>
      <c r="AP10" s="542"/>
      <c r="AQ10" s="542"/>
      <c r="AR10" s="542"/>
      <c r="AS10" s="542"/>
      <c r="AT10" s="542"/>
      <c r="AU10" s="542"/>
      <c r="AV10" s="542"/>
      <c r="AW10" s="542"/>
      <c r="AX10" s="542"/>
      <c r="AY10" s="542"/>
      <c r="AZ10" s="542"/>
      <c r="BA10" s="542"/>
      <c r="BB10" s="542"/>
      <c r="BC10" s="542"/>
      <c r="BD10" s="542"/>
      <c r="BE10" s="542"/>
      <c r="BF10" s="542"/>
      <c r="BG10" s="542"/>
      <c r="BH10" s="542"/>
      <c r="BI10" s="542"/>
      <c r="BJ10" s="542"/>
      <c r="BK10" s="542"/>
      <c r="BL10" s="542"/>
      <c r="BM10" s="542"/>
      <c r="BN10" s="542"/>
      <c r="BO10" s="542"/>
      <c r="BP10" s="542"/>
      <c r="BQ10" s="542"/>
      <c r="BR10" s="542"/>
      <c r="BS10" s="542"/>
      <c r="BT10" s="542"/>
      <c r="BU10" s="542"/>
      <c r="BV10" s="542"/>
      <c r="BW10" s="542"/>
      <c r="BX10" s="542"/>
      <c r="BY10" s="542"/>
      <c r="BZ10" s="542"/>
      <c r="CA10" s="542"/>
      <c r="CB10" s="542"/>
      <c r="CC10" s="542"/>
      <c r="CD10" s="542"/>
      <c r="CE10" s="542"/>
      <c r="CF10" s="542"/>
      <c r="CG10" s="542"/>
      <c r="CH10" s="542"/>
      <c r="CI10" s="542"/>
      <c r="CJ10" s="542"/>
      <c r="CK10" s="542"/>
      <c r="CL10" s="542"/>
      <c r="CM10" s="542"/>
      <c r="CN10" s="542"/>
      <c r="CO10" s="542"/>
      <c r="CP10" s="542"/>
      <c r="CQ10" s="542"/>
      <c r="CR10" s="542"/>
      <c r="CS10" s="542"/>
      <c r="CT10" s="542"/>
      <c r="CU10" s="542"/>
      <c r="CV10" s="542"/>
      <c r="CW10" s="542"/>
      <c r="CX10" s="542"/>
      <c r="CY10" s="542"/>
      <c r="CZ10" s="542"/>
      <c r="DA10" s="542"/>
      <c r="DB10" s="542"/>
      <c r="DC10" s="542"/>
      <c r="DD10" s="542"/>
      <c r="DE10" s="542"/>
      <c r="DF10" s="542"/>
      <c r="DG10" s="542"/>
      <c r="DH10" s="542"/>
      <c r="DI10" s="542"/>
      <c r="DJ10" s="542"/>
      <c r="DK10" s="542"/>
      <c r="DL10" s="542"/>
      <c r="DM10" s="542"/>
      <c r="DN10" s="542"/>
      <c r="DO10" s="542"/>
      <c r="DP10" s="542"/>
      <c r="DQ10" s="542"/>
      <c r="DR10" s="542"/>
      <c r="DS10" s="542"/>
      <c r="DT10" s="542"/>
      <c r="DU10" s="542"/>
      <c r="DV10" s="542"/>
      <c r="DW10" s="542"/>
      <c r="DX10" s="542"/>
      <c r="DY10" s="542"/>
      <c r="DZ10" s="542"/>
      <c r="EA10" s="542"/>
      <c r="EB10" s="542"/>
      <c r="EC10" s="542"/>
      <c r="ED10" s="542"/>
      <c r="EE10" s="542"/>
      <c r="EF10" s="542"/>
      <c r="EG10" s="542"/>
      <c r="EH10" s="542"/>
      <c r="EI10" s="542"/>
      <c r="EJ10" s="542"/>
      <c r="EK10" s="542"/>
      <c r="EL10" s="542"/>
      <c r="EM10" s="542"/>
      <c r="EN10" s="542"/>
      <c r="EO10" s="542"/>
      <c r="EP10" s="542"/>
      <c r="EQ10" s="542"/>
      <c r="ER10" s="542"/>
      <c r="ES10" s="542"/>
      <c r="ET10" s="542"/>
      <c r="EU10" s="542"/>
      <c r="EV10" s="542"/>
      <c r="EW10" s="542"/>
      <c r="EX10" s="542"/>
      <c r="EY10" s="542"/>
      <c r="EZ10" s="542"/>
      <c r="FA10" s="542"/>
      <c r="FB10" s="542"/>
      <c r="FC10" s="542"/>
      <c r="FD10" s="542"/>
      <c r="FE10" s="542"/>
      <c r="FF10" s="542"/>
      <c r="FG10" s="542"/>
      <c r="FH10" s="542"/>
      <c r="FI10" s="542"/>
      <c r="FJ10" s="542"/>
      <c r="FK10" s="542"/>
      <c r="FL10" s="542"/>
      <c r="FM10" s="542"/>
      <c r="FN10" s="542"/>
      <c r="FO10" s="542"/>
      <c r="FP10" s="542"/>
      <c r="FQ10" s="542"/>
      <c r="FR10" s="542"/>
      <c r="FS10" s="542"/>
      <c r="FT10" s="542"/>
      <c r="FU10" s="542"/>
      <c r="FV10" s="542"/>
      <c r="FW10" s="542"/>
      <c r="FX10" s="542"/>
      <c r="FY10" s="542"/>
      <c r="FZ10" s="542"/>
      <c r="GA10" s="542"/>
      <c r="GB10" s="542"/>
      <c r="GC10" s="542"/>
      <c r="GD10" s="542"/>
      <c r="GE10" s="542"/>
      <c r="GF10" s="542"/>
      <c r="GG10" s="542"/>
      <c r="GH10" s="542"/>
      <c r="GI10" s="542"/>
      <c r="GJ10" s="542"/>
      <c r="GK10" s="542"/>
      <c r="GL10" s="542"/>
      <c r="GM10" s="542"/>
      <c r="GN10" s="542"/>
      <c r="GO10" s="542"/>
      <c r="GP10" s="542"/>
      <c r="GQ10" s="542"/>
      <c r="GR10" s="542"/>
      <c r="GS10" s="542"/>
      <c r="GT10" s="542"/>
      <c r="GU10" s="542"/>
      <c r="GV10" s="542"/>
      <c r="GW10" s="542"/>
      <c r="GX10" s="542"/>
      <c r="GY10" s="542"/>
      <c r="GZ10" s="542"/>
      <c r="HA10" s="542"/>
      <c r="HB10" s="542"/>
      <c r="HC10" s="542"/>
      <c r="HD10" s="542"/>
      <c r="HE10" s="542"/>
      <c r="HF10" s="542"/>
      <c r="HG10" s="542"/>
      <c r="HH10" s="542"/>
      <c r="HI10" s="542"/>
      <c r="HJ10" s="542"/>
      <c r="HK10" s="542"/>
      <c r="HL10" s="542"/>
      <c r="HM10" s="542"/>
      <c r="HN10" s="542"/>
      <c r="HO10" s="542"/>
      <c r="HP10" s="542"/>
      <c r="HQ10" s="542"/>
      <c r="HR10" s="542"/>
      <c r="HS10" s="542"/>
      <c r="HT10" s="542"/>
      <c r="HU10" s="542"/>
      <c r="HV10" s="542"/>
      <c r="HW10" s="542"/>
      <c r="HX10" s="542"/>
      <c r="HY10" s="542"/>
      <c r="HZ10" s="542"/>
      <c r="IA10" s="542"/>
      <c r="IB10" s="542"/>
      <c r="IC10" s="542"/>
      <c r="ID10" s="542"/>
      <c r="IE10" s="542"/>
      <c r="IF10" s="542"/>
      <c r="IG10" s="542"/>
      <c r="IH10" s="542"/>
      <c r="II10" s="542"/>
      <c r="IJ10" s="542"/>
      <c r="IK10" s="542"/>
      <c r="IL10" s="542"/>
      <c r="IM10" s="542"/>
      <c r="IN10" s="542"/>
      <c r="IO10" s="542"/>
      <c r="IP10" s="542"/>
      <c r="IQ10" s="542"/>
      <c r="IR10" s="542"/>
      <c r="IS10" s="542"/>
      <c r="IT10" s="542"/>
      <c r="IU10" s="542"/>
      <c r="IV10" s="542"/>
      <c r="IW10" s="542"/>
      <c r="IX10" s="542"/>
      <c r="IY10" s="542"/>
      <c r="IZ10" s="542"/>
      <c r="JA10" s="542"/>
      <c r="JB10" s="542"/>
      <c r="JC10" s="542"/>
      <c r="JD10" s="542"/>
      <c r="JE10" s="542"/>
      <c r="JF10" s="542"/>
      <c r="JG10" s="542"/>
      <c r="JH10" s="542"/>
      <c r="JI10" s="542"/>
      <c r="JJ10" s="542"/>
      <c r="JK10" s="542"/>
      <c r="JL10" s="542"/>
      <c r="JM10" s="542"/>
      <c r="JN10" s="542"/>
      <c r="JO10" s="542"/>
      <c r="JP10" s="542"/>
      <c r="JQ10" s="542"/>
      <c r="JR10" s="542"/>
      <c r="JS10" s="542"/>
      <c r="JT10" s="542"/>
      <c r="JU10" s="542"/>
      <c r="JV10" s="542"/>
      <c r="JW10" s="542"/>
      <c r="JX10" s="542"/>
      <c r="JY10" s="542"/>
      <c r="JZ10" s="542"/>
      <c r="KA10" s="542"/>
      <c r="KB10" s="542"/>
      <c r="KC10" s="542"/>
      <c r="KD10" s="542"/>
      <c r="KE10" s="542"/>
      <c r="KF10" s="542"/>
      <c r="KG10" s="542"/>
      <c r="KH10" s="542"/>
      <c r="KI10" s="542"/>
      <c r="KJ10" s="542"/>
      <c r="KK10" s="542"/>
      <c r="KL10" s="542"/>
      <c r="KM10" s="542"/>
      <c r="KN10" s="542"/>
      <c r="KO10" s="542"/>
      <c r="KP10" s="542"/>
      <c r="KQ10" s="542"/>
      <c r="KR10" s="542"/>
      <c r="KS10" s="542"/>
      <c r="KT10" s="542"/>
      <c r="KU10" s="542"/>
      <c r="KV10" s="542"/>
      <c r="KW10" s="542"/>
      <c r="KX10" s="542"/>
      <c r="KY10" s="542"/>
      <c r="KZ10" s="542"/>
      <c r="LA10" s="542"/>
      <c r="LB10" s="542"/>
      <c r="LC10" s="542"/>
      <c r="LD10" s="542"/>
      <c r="LE10" s="542"/>
      <c r="LF10" s="542"/>
      <c r="LG10" s="542"/>
      <c r="LH10" s="542"/>
      <c r="LI10" s="542"/>
      <c r="LJ10" s="542"/>
      <c r="LK10" s="542"/>
      <c r="LL10" s="542"/>
      <c r="LM10" s="542"/>
      <c r="LN10" s="542"/>
      <c r="LO10" s="542"/>
      <c r="LP10" s="542"/>
      <c r="LQ10" s="542"/>
      <c r="LR10" s="542"/>
      <c r="LS10" s="542"/>
      <c r="LT10" s="542"/>
      <c r="LU10" s="542"/>
      <c r="LV10" s="542"/>
      <c r="LW10" s="542"/>
      <c r="LX10" s="542"/>
      <c r="LY10" s="542"/>
      <c r="LZ10" s="542"/>
      <c r="MA10" s="542"/>
      <c r="MB10" s="542"/>
      <c r="MC10" s="542"/>
      <c r="MD10" s="542"/>
      <c r="ME10" s="542"/>
      <c r="MF10" s="542"/>
      <c r="MG10" s="542"/>
      <c r="MH10" s="542"/>
      <c r="MI10" s="542"/>
      <c r="MJ10" s="542"/>
      <c r="MK10" s="542"/>
      <c r="ML10" s="542"/>
      <c r="MM10" s="542"/>
      <c r="MN10" s="542"/>
      <c r="MO10" s="542"/>
      <c r="MP10" s="542"/>
      <c r="MQ10" s="542"/>
      <c r="MR10" s="542"/>
      <c r="MS10" s="542"/>
      <c r="MT10" s="542"/>
      <c r="MU10" s="542"/>
      <c r="MV10" s="542"/>
      <c r="MW10" s="542"/>
      <c r="MX10" s="542"/>
      <c r="MY10" s="542"/>
      <c r="MZ10" s="542"/>
      <c r="NA10" s="542"/>
      <c r="NB10" s="542"/>
      <c r="NC10" s="542"/>
      <c r="ND10" s="542"/>
      <c r="NE10" s="542"/>
      <c r="NF10" s="542"/>
      <c r="NG10" s="542"/>
      <c r="NH10" s="542"/>
      <c r="NI10" s="542"/>
      <c r="NJ10" s="542"/>
      <c r="NK10" s="542"/>
      <c r="NL10" s="542"/>
      <c r="NM10" s="542"/>
      <c r="NN10" s="542"/>
      <c r="NO10" s="542"/>
      <c r="NP10" s="542"/>
      <c r="NQ10" s="542"/>
      <c r="NR10" s="542"/>
      <c r="NS10" s="542"/>
      <c r="NT10" s="542"/>
      <c r="NU10" s="542"/>
      <c r="NV10" s="542"/>
      <c r="NW10" s="542"/>
      <c r="NX10" s="542"/>
      <c r="NY10" s="542"/>
      <c r="NZ10" s="542"/>
      <c r="OA10" s="542"/>
      <c r="OB10" s="542"/>
      <c r="OC10" s="542"/>
      <c r="OD10" s="542"/>
      <c r="OE10" s="542"/>
      <c r="OF10" s="542"/>
      <c r="OG10" s="542"/>
      <c r="OH10" s="542"/>
      <c r="OI10" s="542"/>
      <c r="OJ10" s="542"/>
      <c r="OK10" s="542"/>
      <c r="OL10" s="542"/>
      <c r="OM10" s="542"/>
      <c r="ON10" s="542"/>
      <c r="OO10" s="542"/>
      <c r="OP10" s="542"/>
      <c r="OQ10" s="542"/>
      <c r="OR10" s="542"/>
      <c r="OS10" s="542"/>
      <c r="OT10" s="542"/>
      <c r="OU10" s="542"/>
      <c r="OV10" s="542"/>
      <c r="OW10" s="542"/>
      <c r="OX10" s="542"/>
      <c r="OY10" s="542"/>
      <c r="OZ10" s="542"/>
      <c r="PA10" s="542"/>
      <c r="PB10" s="542"/>
      <c r="PC10" s="542"/>
      <c r="PD10" s="542"/>
      <c r="PE10" s="542"/>
      <c r="PF10" s="542"/>
      <c r="PG10" s="542"/>
      <c r="PH10" s="542"/>
      <c r="PI10" s="542"/>
      <c r="PJ10" s="542"/>
      <c r="PK10" s="542"/>
      <c r="PL10" s="542"/>
      <c r="PM10" s="542"/>
      <c r="PN10" s="542"/>
      <c r="PO10" s="542"/>
      <c r="PP10" s="542"/>
      <c r="PQ10" s="542"/>
      <c r="PR10" s="542"/>
      <c r="PS10" s="542"/>
      <c r="PT10" s="542"/>
      <c r="PU10" s="542"/>
      <c r="PV10" s="542"/>
      <c r="PW10" s="542"/>
      <c r="PX10" s="542"/>
      <c r="PY10" s="542"/>
      <c r="PZ10" s="542"/>
      <c r="QA10" s="542"/>
      <c r="QB10" s="542"/>
      <c r="QC10" s="542"/>
      <c r="QD10" s="542"/>
      <c r="QE10" s="542"/>
      <c r="QF10" s="542"/>
      <c r="QG10" s="542"/>
      <c r="QH10" s="542"/>
      <c r="QI10" s="542"/>
      <c r="QJ10" s="542"/>
      <c r="QK10" s="542"/>
      <c r="QL10" s="542"/>
      <c r="QM10" s="542"/>
      <c r="QN10" s="542"/>
      <c r="QO10" s="542"/>
      <c r="QP10" s="542"/>
      <c r="QQ10" s="542"/>
      <c r="QR10" s="542"/>
      <c r="QS10" s="542"/>
      <c r="QT10" s="542"/>
      <c r="QU10" s="542"/>
      <c r="QV10" s="542"/>
      <c r="QW10" s="542"/>
      <c r="QX10" s="542"/>
      <c r="QY10" s="542"/>
      <c r="QZ10" s="542"/>
      <c r="RA10" s="542"/>
      <c r="RB10" s="542"/>
      <c r="RC10" s="542"/>
      <c r="RD10" s="542"/>
      <c r="RE10" s="542"/>
      <c r="RF10" s="542"/>
      <c r="RG10" s="542"/>
      <c r="RH10" s="542"/>
      <c r="RI10" s="542"/>
      <c r="RJ10" s="542"/>
      <c r="RK10" s="542"/>
      <c r="RL10" s="542"/>
      <c r="RM10" s="542"/>
      <c r="RN10" s="542"/>
      <c r="RO10" s="542"/>
      <c r="RP10" s="542"/>
      <c r="RQ10" s="542"/>
      <c r="RR10" s="542"/>
      <c r="RS10" s="542"/>
      <c r="RT10" s="542"/>
      <c r="RU10" s="542"/>
      <c r="RV10" s="542"/>
      <c r="RW10" s="542"/>
      <c r="RX10" s="542"/>
      <c r="RY10" s="542"/>
      <c r="RZ10" s="542"/>
      <c r="SA10" s="542"/>
      <c r="SB10" s="542"/>
      <c r="SC10" s="542"/>
      <c r="SD10" s="542"/>
      <c r="SE10" s="542"/>
      <c r="SF10" s="542"/>
      <c r="SG10" s="542"/>
      <c r="SH10" s="542"/>
      <c r="SI10" s="542"/>
      <c r="SJ10" s="542"/>
      <c r="SK10" s="542"/>
      <c r="SL10" s="542"/>
      <c r="SM10" s="542"/>
      <c r="SN10" s="542"/>
      <c r="SO10" s="542"/>
      <c r="SP10" s="542"/>
      <c r="SQ10" s="542"/>
      <c r="SR10" s="542"/>
      <c r="SS10" s="542"/>
      <c r="ST10" s="542"/>
      <c r="SU10" s="542"/>
      <c r="SV10" s="542"/>
      <c r="SW10" s="542"/>
      <c r="SX10" s="542"/>
      <c r="SY10" s="542"/>
      <c r="SZ10" s="542"/>
      <c r="TA10" s="542"/>
      <c r="TB10" s="542"/>
      <c r="TC10" s="542"/>
      <c r="TD10" s="542"/>
      <c r="TE10" s="542"/>
      <c r="TF10" s="542"/>
      <c r="TG10" s="542"/>
      <c r="TH10" s="542"/>
      <c r="TI10" s="542"/>
      <c r="TJ10" s="542"/>
      <c r="TK10" s="542"/>
      <c r="TL10" s="542"/>
      <c r="TM10" s="542"/>
      <c r="TN10" s="542"/>
      <c r="TO10" s="542"/>
      <c r="TP10" s="542"/>
      <c r="TQ10" s="542"/>
      <c r="TR10" s="542"/>
      <c r="TS10" s="542"/>
      <c r="TT10" s="542"/>
      <c r="TU10" s="542"/>
      <c r="TV10" s="542"/>
      <c r="TW10" s="542"/>
      <c r="TX10" s="542"/>
      <c r="TY10" s="542"/>
      <c r="TZ10" s="542"/>
      <c r="UA10" s="542"/>
      <c r="UB10" s="542"/>
      <c r="UC10" s="542"/>
      <c r="UD10" s="542"/>
      <c r="UE10" s="542"/>
      <c r="UF10" s="542"/>
      <c r="UG10" s="542"/>
      <c r="UH10" s="542"/>
      <c r="UI10" s="542"/>
      <c r="UJ10" s="542"/>
      <c r="UK10" s="542"/>
      <c r="UL10" s="542"/>
      <c r="UM10" s="542"/>
      <c r="UN10" s="542"/>
      <c r="UO10" s="542"/>
      <c r="UP10" s="542"/>
      <c r="UQ10" s="542"/>
      <c r="UR10" s="542"/>
      <c r="US10" s="542"/>
      <c r="UT10" s="542"/>
      <c r="UU10" s="542"/>
      <c r="UV10" s="542"/>
      <c r="UW10" s="542"/>
      <c r="UX10" s="542"/>
      <c r="UY10" s="542"/>
      <c r="UZ10" s="542"/>
      <c r="VA10" s="542"/>
      <c r="VB10" s="542"/>
      <c r="VC10" s="542"/>
      <c r="VD10" s="542"/>
      <c r="VE10" s="542"/>
      <c r="VF10" s="542"/>
      <c r="VG10" s="542"/>
      <c r="VH10" s="542"/>
      <c r="VI10" s="542"/>
      <c r="VJ10" s="542"/>
      <c r="VK10" s="542"/>
      <c r="VL10" s="542"/>
      <c r="VM10" s="542"/>
      <c r="VN10" s="542"/>
      <c r="VO10" s="542"/>
      <c r="VP10" s="542"/>
      <c r="VQ10" s="542"/>
      <c r="VR10" s="542"/>
      <c r="VS10" s="542"/>
      <c r="VT10" s="542"/>
      <c r="VU10" s="542"/>
      <c r="VV10" s="542"/>
      <c r="VW10" s="542"/>
      <c r="VX10" s="542"/>
      <c r="VY10" s="542"/>
      <c r="VZ10" s="542"/>
      <c r="WA10" s="542"/>
      <c r="WB10" s="542"/>
      <c r="WC10" s="542"/>
      <c r="WD10" s="542"/>
      <c r="WE10" s="542"/>
      <c r="WF10" s="542"/>
      <c r="WG10" s="542"/>
      <c r="WH10" s="542"/>
      <c r="WI10" s="542"/>
      <c r="WJ10" s="542"/>
      <c r="WK10" s="542"/>
      <c r="WL10" s="542"/>
      <c r="WM10" s="542"/>
      <c r="WN10" s="542"/>
      <c r="WO10" s="542"/>
      <c r="WP10" s="542"/>
      <c r="WQ10" s="542"/>
      <c r="WR10" s="542"/>
      <c r="WS10" s="542"/>
      <c r="WT10" s="542"/>
      <c r="WU10" s="542"/>
      <c r="WV10" s="542"/>
      <c r="WW10" s="542"/>
      <c r="WX10" s="542"/>
      <c r="WY10" s="542"/>
      <c r="WZ10" s="542"/>
      <c r="XA10" s="542"/>
      <c r="XB10" s="542"/>
      <c r="XC10" s="542"/>
      <c r="XD10" s="542"/>
      <c r="XE10" s="542"/>
      <c r="XF10" s="542"/>
      <c r="XG10" s="542"/>
      <c r="XH10" s="542"/>
      <c r="XI10" s="542"/>
      <c r="XJ10" s="542"/>
      <c r="XK10" s="542"/>
      <c r="XL10" s="542"/>
      <c r="XM10" s="542"/>
      <c r="XN10" s="542"/>
      <c r="XO10" s="542"/>
      <c r="XP10" s="542"/>
      <c r="XQ10" s="542"/>
      <c r="XR10" s="542"/>
      <c r="XS10" s="542"/>
      <c r="XT10" s="542"/>
      <c r="XU10" s="542"/>
      <c r="XV10" s="542"/>
      <c r="XW10" s="542"/>
      <c r="XX10" s="542"/>
      <c r="XY10" s="542"/>
      <c r="XZ10" s="542"/>
      <c r="YA10" s="542"/>
      <c r="YB10" s="542"/>
      <c r="YC10" s="542"/>
      <c r="YD10" s="542"/>
      <c r="YE10" s="542"/>
      <c r="YF10" s="542"/>
      <c r="YG10" s="542"/>
      <c r="YH10" s="542"/>
      <c r="YI10" s="542"/>
      <c r="YJ10" s="542"/>
      <c r="YK10" s="542"/>
      <c r="YL10" s="542"/>
      <c r="YM10" s="542"/>
      <c r="YN10" s="542"/>
      <c r="YO10" s="542"/>
      <c r="YP10" s="542"/>
      <c r="YQ10" s="542"/>
      <c r="YR10" s="542"/>
      <c r="YS10" s="542"/>
      <c r="YT10" s="542"/>
      <c r="YU10" s="542"/>
      <c r="YV10" s="542"/>
      <c r="YW10" s="542"/>
      <c r="YX10" s="542"/>
      <c r="YY10" s="542"/>
      <c r="YZ10" s="542"/>
      <c r="ZA10" s="542"/>
      <c r="ZB10" s="542"/>
      <c r="ZC10" s="542"/>
      <c r="ZD10" s="542"/>
      <c r="ZE10" s="542"/>
      <c r="ZF10" s="542"/>
      <c r="ZG10" s="542"/>
      <c r="ZH10" s="542"/>
      <c r="ZI10" s="542"/>
      <c r="ZJ10" s="542"/>
      <c r="ZK10" s="542"/>
      <c r="ZL10" s="542"/>
      <c r="ZM10" s="542"/>
      <c r="ZN10" s="542"/>
      <c r="ZO10" s="542"/>
      <c r="ZP10" s="542"/>
      <c r="ZQ10" s="542"/>
      <c r="ZR10" s="542"/>
      <c r="ZS10" s="542"/>
      <c r="ZT10" s="542"/>
      <c r="ZU10" s="542"/>
      <c r="ZV10" s="542"/>
      <c r="ZW10" s="542"/>
      <c r="ZX10" s="542"/>
      <c r="ZY10" s="542"/>
      <c r="ZZ10" s="542"/>
      <c r="AAA10" s="542"/>
      <c r="AAB10" s="542"/>
      <c r="AAC10" s="542"/>
      <c r="AAD10" s="542"/>
      <c r="AAE10" s="542"/>
      <c r="AAF10" s="542"/>
      <c r="AAG10" s="542"/>
      <c r="AAH10" s="542"/>
      <c r="AAI10" s="542"/>
      <c r="AAJ10" s="542"/>
      <c r="AAK10" s="542"/>
      <c r="AAL10" s="542"/>
      <c r="AAM10" s="542"/>
      <c r="AAN10" s="542"/>
      <c r="AAO10" s="542"/>
      <c r="AAP10" s="542"/>
      <c r="AAQ10" s="542"/>
      <c r="AAR10" s="542"/>
      <c r="AAS10" s="542"/>
      <c r="AAT10" s="542"/>
      <c r="AAU10" s="542"/>
      <c r="AAV10" s="542"/>
      <c r="AAW10" s="542"/>
      <c r="AAX10" s="542"/>
      <c r="AAY10" s="542"/>
      <c r="AAZ10" s="542"/>
      <c r="ABA10" s="542"/>
      <c r="ABB10" s="542"/>
      <c r="ABC10" s="542"/>
      <c r="ABD10" s="542"/>
      <c r="ABE10" s="542"/>
      <c r="ABF10" s="542"/>
      <c r="ABG10" s="542"/>
      <c r="ABH10" s="542"/>
      <c r="ABI10" s="542"/>
      <c r="ABJ10" s="542"/>
      <c r="ABK10" s="542"/>
      <c r="ABL10" s="542"/>
      <c r="ABM10" s="542"/>
      <c r="ABN10" s="542"/>
      <c r="ABO10" s="542"/>
      <c r="ABP10" s="542"/>
      <c r="ABQ10" s="542"/>
      <c r="ABR10" s="542"/>
      <c r="ABS10" s="542"/>
      <c r="ABT10" s="542"/>
      <c r="ABU10" s="542"/>
      <c r="ABV10" s="542"/>
      <c r="ABW10" s="542"/>
      <c r="ABX10" s="542"/>
      <c r="ABY10" s="542"/>
      <c r="ABZ10" s="542"/>
      <c r="ACA10" s="542"/>
      <c r="ACB10" s="542"/>
      <c r="ACC10" s="542"/>
      <c r="ACD10" s="542"/>
      <c r="ACE10" s="542"/>
      <c r="ACF10" s="542"/>
      <c r="ACG10" s="542"/>
      <c r="ACH10" s="542"/>
      <c r="ACI10" s="542"/>
      <c r="ACJ10" s="542"/>
      <c r="ACK10" s="542"/>
      <c r="ACL10" s="542"/>
      <c r="ACM10" s="542"/>
      <c r="ACN10" s="542"/>
      <c r="ACO10" s="542"/>
      <c r="ACP10" s="542"/>
      <c r="ACQ10" s="542"/>
      <c r="ACR10" s="542"/>
      <c r="ACS10" s="542"/>
      <c r="ACT10" s="542"/>
      <c r="ACU10" s="542"/>
      <c r="ACV10" s="542"/>
      <c r="ACW10" s="542"/>
      <c r="ACX10" s="542"/>
      <c r="ACY10" s="542"/>
      <c r="ACZ10" s="542"/>
      <c r="ADA10" s="542"/>
      <c r="ADB10" s="542"/>
      <c r="ADC10" s="542"/>
      <c r="ADD10" s="542"/>
      <c r="ADE10" s="542"/>
      <c r="ADF10" s="542"/>
      <c r="ADG10" s="542"/>
      <c r="ADH10" s="542"/>
      <c r="ADI10" s="542"/>
      <c r="ADJ10" s="542"/>
      <c r="ADK10" s="542"/>
      <c r="ADL10" s="542"/>
      <c r="ADM10" s="542"/>
      <c r="ADN10" s="542"/>
      <c r="ADO10" s="542"/>
      <c r="ADP10" s="542"/>
      <c r="ADQ10" s="542"/>
      <c r="ADR10" s="542"/>
      <c r="ADS10" s="542"/>
      <c r="ADT10" s="542"/>
      <c r="ADU10" s="542"/>
      <c r="ADV10" s="542"/>
      <c r="ADW10" s="542"/>
      <c r="ADX10" s="542"/>
      <c r="ADY10" s="542"/>
      <c r="ADZ10" s="542"/>
      <c r="AEA10" s="542"/>
      <c r="AEB10" s="542"/>
      <c r="AEC10" s="542"/>
      <c r="AED10" s="542"/>
      <c r="AEE10" s="542"/>
      <c r="AEF10" s="542"/>
      <c r="AEG10" s="542"/>
      <c r="AEH10" s="542"/>
      <c r="AEI10" s="542"/>
      <c r="AEJ10" s="542"/>
      <c r="AEK10" s="542"/>
      <c r="AEL10" s="542"/>
      <c r="AEM10" s="542"/>
      <c r="AEN10" s="542"/>
      <c r="AEO10" s="542"/>
      <c r="AEP10" s="542"/>
      <c r="AEQ10" s="542"/>
      <c r="AER10" s="542"/>
      <c r="AES10" s="542"/>
      <c r="AET10" s="542"/>
      <c r="AEU10" s="542"/>
      <c r="AEV10" s="542"/>
      <c r="AEW10" s="542"/>
      <c r="AEX10" s="542"/>
      <c r="AEY10" s="542"/>
      <c r="AEZ10" s="542"/>
      <c r="AFA10" s="542"/>
      <c r="AFB10" s="542"/>
      <c r="AFC10" s="542"/>
      <c r="AFD10" s="542"/>
      <c r="AFE10" s="542"/>
      <c r="AFF10" s="542"/>
      <c r="AFG10" s="542"/>
      <c r="AFH10" s="542"/>
      <c r="AFI10" s="542"/>
      <c r="AFJ10" s="542"/>
      <c r="AFK10" s="542"/>
      <c r="AFL10" s="542"/>
      <c r="AFM10" s="542"/>
      <c r="AFN10" s="542"/>
      <c r="AFO10" s="542"/>
      <c r="AFP10" s="542"/>
      <c r="AFQ10" s="542"/>
      <c r="AFR10" s="542"/>
      <c r="AFS10" s="542"/>
      <c r="AFT10" s="542"/>
      <c r="AFU10" s="542"/>
      <c r="AFV10" s="542"/>
      <c r="AFW10" s="542"/>
      <c r="AFX10" s="542"/>
      <c r="AFY10" s="542"/>
      <c r="AFZ10" s="542"/>
      <c r="AGA10" s="542"/>
      <c r="AGB10" s="542"/>
      <c r="AGC10" s="542"/>
      <c r="AGD10" s="542"/>
      <c r="AGE10" s="542"/>
      <c r="AGF10" s="542"/>
      <c r="AGG10" s="542"/>
      <c r="AGH10" s="542"/>
      <c r="AGI10" s="542"/>
      <c r="AGJ10" s="542"/>
      <c r="AGK10" s="542"/>
      <c r="AGL10" s="542"/>
      <c r="AGM10" s="542"/>
      <c r="AGN10" s="542"/>
      <c r="AGO10" s="542"/>
      <c r="AGP10" s="542"/>
      <c r="AGQ10" s="542"/>
      <c r="AGR10" s="542"/>
      <c r="AGS10" s="542"/>
      <c r="AGT10" s="542"/>
      <c r="AGU10" s="542"/>
      <c r="AGV10" s="542"/>
      <c r="AGW10" s="542"/>
      <c r="AGX10" s="542"/>
      <c r="AGY10" s="542"/>
      <c r="AGZ10" s="542"/>
      <c r="AHA10" s="542"/>
      <c r="AHB10" s="542"/>
      <c r="AHC10" s="542"/>
      <c r="AHD10" s="542"/>
      <c r="AHE10" s="542"/>
      <c r="AHF10" s="542"/>
      <c r="AHG10" s="542"/>
      <c r="AHH10" s="542"/>
      <c r="AHI10" s="542"/>
      <c r="AHJ10" s="542"/>
      <c r="AHK10" s="542"/>
      <c r="AHL10" s="542"/>
      <c r="AHM10" s="542"/>
      <c r="AHN10" s="542"/>
      <c r="AHO10" s="542"/>
      <c r="AHP10" s="542"/>
      <c r="AHQ10" s="542"/>
      <c r="AHR10" s="542"/>
      <c r="AHS10" s="542"/>
      <c r="AHT10" s="542"/>
      <c r="AHU10" s="542"/>
      <c r="AHV10" s="542"/>
      <c r="AHW10" s="542"/>
      <c r="AHX10" s="542"/>
      <c r="AHY10" s="542"/>
      <c r="AHZ10" s="542"/>
      <c r="AIA10" s="542"/>
      <c r="AIB10" s="542"/>
      <c r="AIC10" s="542"/>
      <c r="AID10" s="542"/>
      <c r="AIE10" s="542"/>
      <c r="AIF10" s="542"/>
      <c r="AIG10" s="542"/>
      <c r="AIH10" s="542"/>
      <c r="AII10" s="542"/>
      <c r="AIJ10" s="542"/>
      <c r="AIK10" s="542"/>
      <c r="AIL10" s="542"/>
      <c r="AIM10" s="542"/>
      <c r="AIN10" s="542"/>
      <c r="AIO10" s="542"/>
      <c r="AIP10" s="542"/>
      <c r="AIQ10" s="542"/>
      <c r="AIR10" s="542"/>
      <c r="AIS10" s="542"/>
      <c r="AIT10" s="542"/>
      <c r="AIU10" s="542"/>
      <c r="AIV10" s="542"/>
      <c r="AIW10" s="542"/>
      <c r="AIX10" s="542"/>
      <c r="AIY10" s="542"/>
      <c r="AIZ10" s="542"/>
      <c r="AJA10" s="542"/>
      <c r="AJB10" s="542"/>
      <c r="AJC10" s="542"/>
      <c r="AJD10" s="542"/>
      <c r="AJE10" s="542"/>
      <c r="AJF10" s="542"/>
      <c r="AJG10" s="542"/>
      <c r="AJH10" s="542"/>
      <c r="AJI10" s="542"/>
      <c r="AJJ10" s="542"/>
      <c r="AJK10" s="542"/>
      <c r="AJL10" s="542"/>
      <c r="AJM10" s="542"/>
      <c r="AJN10" s="542"/>
      <c r="AJO10" s="542"/>
      <c r="AJP10" s="542"/>
      <c r="AJQ10" s="542"/>
      <c r="AJR10" s="542"/>
      <c r="AJS10" s="542"/>
      <c r="AJT10" s="542"/>
      <c r="AJU10" s="542"/>
      <c r="AJV10" s="542"/>
      <c r="AJW10" s="542"/>
      <c r="AJX10" s="542"/>
      <c r="AJY10" s="542"/>
      <c r="AJZ10" s="542"/>
      <c r="AKA10" s="542"/>
      <c r="AKB10" s="542"/>
      <c r="AKC10" s="542"/>
      <c r="AKD10" s="542"/>
      <c r="AKE10" s="542"/>
      <c r="AKF10" s="542"/>
      <c r="AKG10" s="542"/>
      <c r="AKH10" s="542"/>
      <c r="AKI10" s="542"/>
      <c r="AKJ10" s="542"/>
      <c r="AKK10" s="542"/>
      <c r="AKL10" s="542"/>
      <c r="AKM10" s="542"/>
      <c r="AKN10" s="542"/>
      <c r="AKO10" s="542"/>
      <c r="AKP10" s="542"/>
      <c r="AKQ10" s="542"/>
      <c r="AKR10" s="542"/>
      <c r="AKS10" s="542"/>
      <c r="AKT10" s="542"/>
      <c r="AKU10" s="542"/>
      <c r="AKV10" s="542"/>
      <c r="AKW10" s="542"/>
      <c r="AKX10" s="542"/>
      <c r="AKY10" s="542"/>
      <c r="AKZ10" s="542"/>
      <c r="ALA10" s="542"/>
      <c r="ALB10" s="542"/>
      <c r="ALC10" s="542"/>
      <c r="ALD10" s="542"/>
      <c r="ALE10" s="542"/>
      <c r="ALF10" s="542"/>
      <c r="ALG10" s="542"/>
      <c r="ALH10" s="542"/>
      <c r="ALI10" s="542"/>
      <c r="ALJ10" s="542"/>
      <c r="ALK10" s="542"/>
      <c r="ALL10" s="542"/>
      <c r="ALM10" s="542"/>
      <c r="ALN10" s="542"/>
      <c r="ALO10" s="542"/>
      <c r="ALP10" s="542"/>
      <c r="ALQ10" s="542"/>
      <c r="ALR10" s="542"/>
      <c r="ALS10" s="542"/>
      <c r="ALT10" s="542"/>
      <c r="ALU10" s="542"/>
      <c r="ALV10" s="542"/>
      <c r="ALW10" s="542"/>
      <c r="ALX10" s="542"/>
      <c r="ALY10" s="542"/>
    </row>
    <row r="11" spans="1:1014" s="238" customFormat="1" ht="55.5" customHeight="1">
      <c r="A11" s="233" t="s">
        <v>830</v>
      </c>
      <c r="B11" s="381" t="s">
        <v>831</v>
      </c>
      <c r="C11" s="278" t="s">
        <v>832</v>
      </c>
      <c r="D11" s="278" t="s">
        <v>833</v>
      </c>
      <c r="E11" s="278" t="s">
        <v>834</v>
      </c>
      <c r="F11" s="278" t="s">
        <v>835</v>
      </c>
      <c r="G11" s="278" t="s">
        <v>836</v>
      </c>
      <c r="H11" s="234" t="s">
        <v>9</v>
      </c>
      <c r="I11" s="234" t="s">
        <v>837</v>
      </c>
      <c r="J11" s="234" t="s">
        <v>840</v>
      </c>
      <c r="K11" s="234" t="s">
        <v>841</v>
      </c>
      <c r="L11" s="235" t="s">
        <v>842</v>
      </c>
      <c r="M11" s="235" t="s">
        <v>843</v>
      </c>
      <c r="N11" s="235" t="s">
        <v>844</v>
      </c>
      <c r="O11" s="235" t="s">
        <v>845</v>
      </c>
      <c r="P11" s="235" t="s">
        <v>846</v>
      </c>
      <c r="Q11" s="234" t="s">
        <v>677</v>
      </c>
      <c r="R11" s="234" t="s">
        <v>3</v>
      </c>
      <c r="S11" s="234" t="s">
        <v>912</v>
      </c>
      <c r="T11" s="283" t="s">
        <v>913</v>
      </c>
      <c r="U11" s="234" t="s">
        <v>848</v>
      </c>
      <c r="V11" s="229" t="s">
        <v>948</v>
      </c>
      <c r="W11" s="229" t="s">
        <v>850</v>
      </c>
      <c r="X11" s="230" t="s">
        <v>851</v>
      </c>
      <c r="Y11" s="235" t="s">
        <v>852</v>
      </c>
      <c r="Z11" s="235" t="s">
        <v>853</v>
      </c>
      <c r="AA11" s="236" t="s">
        <v>854</v>
      </c>
      <c r="AB11" s="235" t="s">
        <v>855</v>
      </c>
      <c r="AC11" s="235" t="s">
        <v>856</v>
      </c>
      <c r="AD11" s="237" t="s">
        <v>914</v>
      </c>
    </row>
    <row r="12" spans="1:1014" s="584" customFormat="1" ht="13.5" customHeight="1">
      <c r="A12" s="573">
        <v>1</v>
      </c>
      <c r="B12" s="574" t="s">
        <v>915</v>
      </c>
      <c r="C12" s="575"/>
      <c r="D12" s="574"/>
      <c r="E12" s="574"/>
      <c r="F12" s="574"/>
      <c r="G12" s="574"/>
      <c r="H12" s="573" t="s">
        <v>949</v>
      </c>
      <c r="I12" s="576" t="s">
        <v>950</v>
      </c>
      <c r="J12" s="573" t="s">
        <v>951</v>
      </c>
      <c r="K12" s="577" t="s">
        <v>918</v>
      </c>
      <c r="L12" s="573" t="s">
        <v>952</v>
      </c>
      <c r="M12" s="573" t="s">
        <v>953</v>
      </c>
      <c r="N12" s="573"/>
      <c r="O12" s="573"/>
      <c r="P12" s="578">
        <v>1</v>
      </c>
      <c r="Q12" s="573" t="s">
        <v>819</v>
      </c>
      <c r="R12" s="573"/>
      <c r="S12" s="573" t="s">
        <v>862</v>
      </c>
      <c r="T12" s="579"/>
      <c r="U12" s="573"/>
      <c r="V12" s="580"/>
      <c r="W12" s="580" t="s">
        <v>863</v>
      </c>
      <c r="X12" s="581"/>
      <c r="Y12" s="582"/>
      <c r="Z12" s="573" t="s">
        <v>919</v>
      </c>
      <c r="AA12" s="583" t="s">
        <v>920</v>
      </c>
      <c r="AB12" s="573"/>
      <c r="AC12" s="579">
        <v>1</v>
      </c>
      <c r="AD12" s="579">
        <v>1</v>
      </c>
      <c r="AE12" s="580" t="s">
        <v>863</v>
      </c>
    </row>
    <row r="13" spans="1:1014" s="224" customFormat="1" ht="13.5" customHeight="1">
      <c r="A13" s="225">
        <v>2</v>
      </c>
      <c r="B13" s="253" t="s">
        <v>954</v>
      </c>
      <c r="C13" s="221"/>
      <c r="D13" s="221"/>
      <c r="E13" s="221"/>
      <c r="F13" s="221"/>
      <c r="G13" s="221"/>
      <c r="H13" s="668" t="s">
        <v>955</v>
      </c>
      <c r="I13" s="131" t="s">
        <v>956</v>
      </c>
      <c r="J13" s="668"/>
      <c r="K13" s="666" t="s">
        <v>924</v>
      </c>
      <c r="L13" s="668" t="s">
        <v>925</v>
      </c>
      <c r="M13" s="668" t="s">
        <v>926</v>
      </c>
      <c r="N13" s="668"/>
      <c r="O13" s="668"/>
      <c r="P13" s="669"/>
      <c r="Q13" s="668" t="s">
        <v>816</v>
      </c>
      <c r="R13" s="668"/>
      <c r="S13" s="668" t="s">
        <v>862</v>
      </c>
      <c r="T13" s="670"/>
      <c r="U13" s="668"/>
      <c r="V13" s="667" t="s">
        <v>863</v>
      </c>
      <c r="W13" s="667" t="s">
        <v>863</v>
      </c>
      <c r="X13" s="232"/>
      <c r="Y13" s="671"/>
      <c r="Z13" s="668"/>
      <c r="AA13" s="672"/>
      <c r="AB13" s="668"/>
      <c r="AC13" s="670">
        <v>1</v>
      </c>
      <c r="AD13" s="670">
        <v>1</v>
      </c>
    </row>
    <row r="14" spans="1:1014" s="536" customFormat="1" ht="13.5" customHeight="1">
      <c r="A14" s="526">
        <v>3</v>
      </c>
      <c r="B14" s="527" t="s">
        <v>957</v>
      </c>
      <c r="C14" s="528"/>
      <c r="D14" s="527"/>
      <c r="E14" s="527"/>
      <c r="F14" s="527"/>
      <c r="G14" s="527"/>
      <c r="H14" s="526" t="s">
        <v>958</v>
      </c>
      <c r="I14" s="529" t="s">
        <v>929</v>
      </c>
      <c r="J14" s="526" t="s">
        <v>959</v>
      </c>
      <c r="K14" s="529" t="s">
        <v>930</v>
      </c>
      <c r="L14" s="526"/>
      <c r="M14" s="526"/>
      <c r="N14" s="526"/>
      <c r="O14" s="526"/>
      <c r="P14" s="530">
        <v>1</v>
      </c>
      <c r="Q14" s="526" t="s">
        <v>816</v>
      </c>
      <c r="R14" s="526"/>
      <c r="S14" s="526" t="s">
        <v>878</v>
      </c>
      <c r="T14" s="531"/>
      <c r="U14" s="526"/>
      <c r="V14" s="532"/>
      <c r="W14" s="532" t="s">
        <v>863</v>
      </c>
      <c r="X14" s="533"/>
      <c r="Y14" s="534"/>
      <c r="Z14" s="526"/>
      <c r="AA14" s="535"/>
      <c r="AB14" s="526"/>
      <c r="AC14" s="531">
        <v>1</v>
      </c>
      <c r="AD14" s="531">
        <v>1</v>
      </c>
    </row>
    <row r="15" spans="1:1014" s="559" customFormat="1" ht="13.5" customHeight="1">
      <c r="A15" s="551">
        <v>4</v>
      </c>
      <c r="B15" s="550" t="s">
        <v>960</v>
      </c>
      <c r="C15" s="550"/>
      <c r="D15" s="550"/>
      <c r="E15" s="550"/>
      <c r="F15" s="550"/>
      <c r="G15" s="550"/>
      <c r="H15" s="551" t="s">
        <v>961</v>
      </c>
      <c r="I15" s="552" t="s">
        <v>962</v>
      </c>
      <c r="J15" s="551"/>
      <c r="K15" s="552" t="s">
        <v>963</v>
      </c>
      <c r="L15" s="551"/>
      <c r="M15" s="551"/>
      <c r="N15" s="551"/>
      <c r="O15" s="551"/>
      <c r="P15" s="553"/>
      <c r="Q15" s="551" t="s">
        <v>816</v>
      </c>
      <c r="R15" s="551"/>
      <c r="S15" s="551" t="s">
        <v>862</v>
      </c>
      <c r="T15" s="554"/>
      <c r="U15" s="551" t="s">
        <v>964</v>
      </c>
      <c r="V15" s="555" t="s">
        <v>863</v>
      </c>
      <c r="W15" s="555"/>
      <c r="X15" s="556"/>
      <c r="Y15" s="560" t="s">
        <v>965</v>
      </c>
      <c r="Z15" s="551"/>
      <c r="AA15" s="558"/>
      <c r="AB15" s="551"/>
      <c r="AC15" s="554">
        <v>1</v>
      </c>
      <c r="AD15" s="554">
        <v>1</v>
      </c>
    </row>
    <row r="16" spans="1:1014" s="559" customFormat="1" ht="13.5" customHeight="1">
      <c r="A16" s="551"/>
      <c r="B16" s="550" t="s">
        <v>966</v>
      </c>
      <c r="C16" s="550"/>
      <c r="D16" s="550"/>
      <c r="E16" s="550"/>
      <c r="F16" s="550"/>
      <c r="G16" s="550"/>
      <c r="H16" s="551" t="s">
        <v>967</v>
      </c>
      <c r="I16" s="552" t="s">
        <v>968</v>
      </c>
      <c r="J16" s="551"/>
      <c r="K16" s="552" t="s">
        <v>969</v>
      </c>
      <c r="L16" s="551"/>
      <c r="M16" s="551"/>
      <c r="N16" s="551"/>
      <c r="O16" s="551"/>
      <c r="P16" s="553"/>
      <c r="Q16" s="551" t="s">
        <v>816</v>
      </c>
      <c r="R16" s="551"/>
      <c r="S16" s="551" t="s">
        <v>862</v>
      </c>
      <c r="T16" s="554"/>
      <c r="U16" s="551" t="s">
        <v>970</v>
      </c>
      <c r="V16" s="555" t="s">
        <v>863</v>
      </c>
      <c r="W16" s="555"/>
      <c r="X16" s="556"/>
      <c r="Y16" s="557"/>
      <c r="Z16" s="551"/>
      <c r="AA16" s="558"/>
      <c r="AB16" s="551"/>
      <c r="AC16" s="554"/>
      <c r="AD16" s="554"/>
    </row>
    <row r="17" spans="1:30" s="224" customFormat="1" ht="13.5" customHeight="1">
      <c r="A17" s="225">
        <v>5</v>
      </c>
      <c r="B17" s="597" t="s">
        <v>971</v>
      </c>
      <c r="C17" s="677"/>
      <c r="D17" s="241"/>
      <c r="E17" s="241"/>
      <c r="F17" s="241"/>
      <c r="G17" s="241"/>
      <c r="H17" s="668" t="s">
        <v>972</v>
      </c>
      <c r="I17" s="666"/>
      <c r="J17" s="668" t="s">
        <v>973</v>
      </c>
      <c r="K17" s="666" t="s">
        <v>974</v>
      </c>
      <c r="L17" s="668"/>
      <c r="M17" s="668"/>
      <c r="N17" s="668"/>
      <c r="O17" s="668"/>
      <c r="P17" s="669"/>
      <c r="Q17" s="668" t="s">
        <v>819</v>
      </c>
      <c r="R17" s="668"/>
      <c r="S17" s="243" t="s">
        <v>974</v>
      </c>
      <c r="T17" s="670"/>
      <c r="U17" s="668"/>
      <c r="V17" s="667" t="s">
        <v>863</v>
      </c>
      <c r="W17" s="667" t="s">
        <v>863</v>
      </c>
      <c r="X17" s="232"/>
      <c r="Y17" s="671"/>
      <c r="Z17" s="668"/>
      <c r="AA17" s="672"/>
      <c r="AB17" s="668"/>
      <c r="AC17" s="670">
        <v>1</v>
      </c>
      <c r="AD17" s="670">
        <v>1</v>
      </c>
    </row>
    <row r="18" spans="1:30" s="559" customFormat="1" ht="13.5" customHeight="1">
      <c r="A18" s="551"/>
      <c r="B18" s="550"/>
      <c r="C18" s="550" t="s">
        <v>975</v>
      </c>
      <c r="D18" s="550"/>
      <c r="E18" s="550"/>
      <c r="F18" s="550"/>
      <c r="G18" s="550"/>
      <c r="H18" s="551" t="s">
        <v>976</v>
      </c>
      <c r="I18" s="552"/>
      <c r="J18" s="551"/>
      <c r="K18" s="552" t="s">
        <v>938</v>
      </c>
      <c r="L18" s="551"/>
      <c r="M18" s="551"/>
      <c r="N18" s="551"/>
      <c r="O18" s="551"/>
      <c r="P18" s="553"/>
      <c r="Q18" s="551" t="s">
        <v>822</v>
      </c>
      <c r="R18" s="551"/>
      <c r="S18" s="551" t="s">
        <v>862</v>
      </c>
      <c r="T18" s="554"/>
      <c r="U18" s="551"/>
      <c r="V18" s="555" t="s">
        <v>863</v>
      </c>
      <c r="W18" s="555"/>
      <c r="X18" s="556"/>
      <c r="Y18" s="557" t="s">
        <v>977</v>
      </c>
      <c r="Z18" s="551"/>
      <c r="AA18" s="558"/>
      <c r="AB18" s="551"/>
      <c r="AC18" s="554"/>
      <c r="AD18" s="554"/>
    </row>
    <row r="19" spans="1:30" s="572" customFormat="1" ht="13.5" customHeight="1">
      <c r="A19" s="562">
        <v>17</v>
      </c>
      <c r="B19" s="563"/>
      <c r="C19" s="564" t="s">
        <v>978</v>
      </c>
      <c r="D19" s="563"/>
      <c r="E19" s="563"/>
      <c r="F19" s="563"/>
      <c r="G19" s="563"/>
      <c r="H19" s="562" t="s">
        <v>979</v>
      </c>
      <c r="I19" s="565" t="s">
        <v>980</v>
      </c>
      <c r="J19" s="562"/>
      <c r="K19" s="565" t="s">
        <v>981</v>
      </c>
      <c r="L19" s="562"/>
      <c r="M19" s="562"/>
      <c r="N19" s="562"/>
      <c r="O19" s="562"/>
      <c r="P19" s="566"/>
      <c r="Q19" s="562" t="s">
        <v>816</v>
      </c>
      <c r="R19" s="562"/>
      <c r="S19" s="562" t="s">
        <v>862</v>
      </c>
      <c r="T19" s="567"/>
      <c r="U19" s="562"/>
      <c r="V19" s="568" t="s">
        <v>863</v>
      </c>
      <c r="W19" s="568"/>
      <c r="X19" s="569"/>
      <c r="Y19" s="570" t="s">
        <v>982</v>
      </c>
      <c r="Z19" s="562" t="s">
        <v>983</v>
      </c>
      <c r="AA19" s="571"/>
      <c r="AB19" s="562"/>
      <c r="AC19" s="567"/>
      <c r="AD19" s="567">
        <v>1</v>
      </c>
    </row>
    <row r="20" spans="1:30" s="536" customFormat="1" ht="13.5" customHeight="1">
      <c r="A20" s="526">
        <v>10</v>
      </c>
      <c r="B20" s="527"/>
      <c r="C20" s="527" t="s">
        <v>984</v>
      </c>
      <c r="D20" s="527" t="s">
        <v>985</v>
      </c>
      <c r="E20" s="527"/>
      <c r="F20" s="527"/>
      <c r="G20" s="527"/>
      <c r="H20" s="526" t="s">
        <v>986</v>
      </c>
      <c r="I20" s="529"/>
      <c r="J20" s="526" t="s">
        <v>987</v>
      </c>
      <c r="K20" s="529"/>
      <c r="L20" s="526" t="s">
        <v>988</v>
      </c>
      <c r="M20" s="526" t="s">
        <v>989</v>
      </c>
      <c r="N20" s="526"/>
      <c r="O20" s="526"/>
      <c r="P20" s="530">
        <v>1</v>
      </c>
      <c r="Q20" s="526" t="s">
        <v>816</v>
      </c>
      <c r="R20" s="526" t="s">
        <v>863</v>
      </c>
      <c r="S20" s="526" t="s">
        <v>990</v>
      </c>
      <c r="T20" s="531"/>
      <c r="U20" s="526"/>
      <c r="V20" s="532"/>
      <c r="W20" s="532" t="s">
        <v>863</v>
      </c>
      <c r="X20" s="533"/>
      <c r="Y20" s="534"/>
      <c r="Z20" s="526" t="s">
        <v>991</v>
      </c>
      <c r="AA20" s="535"/>
      <c r="AB20" s="526"/>
      <c r="AC20" s="531">
        <v>1</v>
      </c>
      <c r="AD20" s="531">
        <v>1</v>
      </c>
    </row>
    <row r="21" spans="1:30" s="224" customFormat="1" ht="13.5" customHeight="1">
      <c r="A21" s="225">
        <v>6</v>
      </c>
      <c r="B21" s="217"/>
      <c r="C21" s="677" t="s">
        <v>992</v>
      </c>
      <c r="D21" s="241"/>
      <c r="E21" s="241"/>
      <c r="F21" s="241"/>
      <c r="G21" s="241"/>
      <c r="H21" s="668" t="s">
        <v>993</v>
      </c>
      <c r="I21" s="666"/>
      <c r="J21" s="668" t="s">
        <v>994</v>
      </c>
      <c r="K21" s="666"/>
      <c r="L21" s="668" t="s">
        <v>995</v>
      </c>
      <c r="M21" s="668" t="s">
        <v>996</v>
      </c>
      <c r="N21" s="668"/>
      <c r="O21" s="668"/>
      <c r="P21" s="669">
        <v>1</v>
      </c>
      <c r="Q21" s="668" t="s">
        <v>819</v>
      </c>
      <c r="R21" s="668" t="s">
        <v>863</v>
      </c>
      <c r="S21" s="668" t="s">
        <v>990</v>
      </c>
      <c r="T21" s="670"/>
      <c r="U21" s="668"/>
      <c r="V21" s="667" t="s">
        <v>863</v>
      </c>
      <c r="W21" s="667" t="s">
        <v>863</v>
      </c>
      <c r="X21" s="232"/>
      <c r="Y21" s="671"/>
      <c r="Z21" s="668" t="s">
        <v>991</v>
      </c>
      <c r="AA21" s="672"/>
      <c r="AB21" s="668"/>
      <c r="AC21" s="670">
        <v>1</v>
      </c>
      <c r="AD21" s="670">
        <v>1</v>
      </c>
    </row>
    <row r="22" spans="1:30" s="224" customFormat="1" ht="13.5" customHeight="1">
      <c r="A22" s="225">
        <v>7</v>
      </c>
      <c r="B22" s="217"/>
      <c r="C22" s="677"/>
      <c r="D22" s="241" t="s">
        <v>667</v>
      </c>
      <c r="E22" s="241"/>
      <c r="F22" s="241"/>
      <c r="G22" s="241"/>
      <c r="H22" s="668" t="s">
        <v>997</v>
      </c>
      <c r="I22" s="666" t="s">
        <v>998</v>
      </c>
      <c r="J22" s="668" t="s">
        <v>999</v>
      </c>
      <c r="K22" s="666"/>
      <c r="L22" s="668"/>
      <c r="M22" s="668"/>
      <c r="N22" s="668"/>
      <c r="O22" s="668"/>
      <c r="P22" s="669">
        <v>1</v>
      </c>
      <c r="Q22" s="668" t="s">
        <v>819</v>
      </c>
      <c r="R22" s="668"/>
      <c r="S22" s="668" t="s">
        <v>862</v>
      </c>
      <c r="T22" s="670"/>
      <c r="U22" s="668"/>
      <c r="V22" s="667" t="s">
        <v>863</v>
      </c>
      <c r="W22" s="667" t="s">
        <v>863</v>
      </c>
      <c r="X22" s="232"/>
      <c r="Y22" s="671"/>
      <c r="Z22" s="668" t="s">
        <v>991</v>
      </c>
      <c r="AA22" s="672"/>
      <c r="AB22" s="668"/>
      <c r="AC22" s="670">
        <v>1</v>
      </c>
      <c r="AD22" s="670">
        <v>1</v>
      </c>
    </row>
    <row r="23" spans="1:30" s="224" customFormat="1" ht="13.5" customHeight="1">
      <c r="A23" s="225">
        <v>8</v>
      </c>
      <c r="B23" s="217"/>
      <c r="C23" s="677"/>
      <c r="D23" s="241" t="s">
        <v>1000</v>
      </c>
      <c r="E23" s="241"/>
      <c r="F23" s="241"/>
      <c r="G23" s="241"/>
      <c r="H23" s="668" t="s">
        <v>1001</v>
      </c>
      <c r="I23" s="666" t="s">
        <v>1002</v>
      </c>
      <c r="J23" s="668" t="s">
        <v>1003</v>
      </c>
      <c r="K23" s="666"/>
      <c r="L23" s="668"/>
      <c r="M23" s="668"/>
      <c r="N23" s="668"/>
      <c r="O23" s="668"/>
      <c r="P23" s="669">
        <v>1</v>
      </c>
      <c r="Q23" s="668" t="s">
        <v>819</v>
      </c>
      <c r="R23" s="668"/>
      <c r="S23" s="668" t="s">
        <v>862</v>
      </c>
      <c r="T23" s="670"/>
      <c r="U23" s="668"/>
      <c r="V23" s="667" t="s">
        <v>863</v>
      </c>
      <c r="W23" s="667" t="s">
        <v>863</v>
      </c>
      <c r="X23" s="232"/>
      <c r="Y23" s="671"/>
      <c r="Z23" s="668" t="s">
        <v>991</v>
      </c>
      <c r="AA23" s="672"/>
      <c r="AB23" s="668"/>
      <c r="AC23" s="670">
        <v>1</v>
      </c>
      <c r="AD23" s="670">
        <v>1</v>
      </c>
    </row>
    <row r="24" spans="1:30" s="224" customFormat="1" ht="13.5" customHeight="1">
      <c r="A24" s="225">
        <v>9</v>
      </c>
      <c r="B24" s="217"/>
      <c r="C24" s="677"/>
      <c r="D24" s="241" t="s">
        <v>767</v>
      </c>
      <c r="E24" s="241"/>
      <c r="F24" s="241"/>
      <c r="G24" s="241"/>
      <c r="H24" s="668" t="s">
        <v>1004</v>
      </c>
      <c r="I24" s="666"/>
      <c r="J24" s="668" t="s">
        <v>938</v>
      </c>
      <c r="K24" s="666"/>
      <c r="L24" s="668"/>
      <c r="M24" s="668"/>
      <c r="N24" s="668"/>
      <c r="O24" s="668"/>
      <c r="P24" s="669"/>
      <c r="Q24" s="668" t="s">
        <v>816</v>
      </c>
      <c r="R24" s="668"/>
      <c r="S24" s="668" t="s">
        <v>862</v>
      </c>
      <c r="T24" s="670"/>
      <c r="U24" s="668"/>
      <c r="V24" s="667" t="s">
        <v>863</v>
      </c>
      <c r="W24" s="667" t="s">
        <v>863</v>
      </c>
      <c r="X24" s="232"/>
      <c r="Y24" s="671"/>
      <c r="Z24" s="668" t="s">
        <v>991</v>
      </c>
      <c r="AA24" s="672"/>
      <c r="AB24" s="668"/>
      <c r="AC24" s="670">
        <v>1</v>
      </c>
      <c r="AD24" s="670">
        <v>1</v>
      </c>
    </row>
    <row r="25" spans="1:30" s="536" customFormat="1" ht="13.5" customHeight="1">
      <c r="A25" s="526">
        <v>11</v>
      </c>
      <c r="B25" s="527"/>
      <c r="C25" s="527" t="s">
        <v>1005</v>
      </c>
      <c r="D25" s="527" t="s">
        <v>985</v>
      </c>
      <c r="E25" s="527"/>
      <c r="F25" s="527"/>
      <c r="G25" s="527"/>
      <c r="H25" s="526" t="s">
        <v>1006</v>
      </c>
      <c r="I25" s="529"/>
      <c r="J25" s="526" t="s">
        <v>1007</v>
      </c>
      <c r="K25" s="529"/>
      <c r="L25" s="526"/>
      <c r="M25" s="526"/>
      <c r="N25" s="526"/>
      <c r="O25" s="526"/>
      <c r="P25" s="530">
        <v>1</v>
      </c>
      <c r="Q25" s="526" t="s">
        <v>822</v>
      </c>
      <c r="R25" s="526" t="s">
        <v>863</v>
      </c>
      <c r="S25" s="526" t="s">
        <v>990</v>
      </c>
      <c r="T25" s="531"/>
      <c r="U25" s="526"/>
      <c r="V25" s="532"/>
      <c r="W25" s="532" t="s">
        <v>863</v>
      </c>
      <c r="X25" s="533"/>
      <c r="Y25" s="534"/>
      <c r="Z25" s="526" t="s">
        <v>991</v>
      </c>
      <c r="AA25" s="535"/>
      <c r="AB25" s="526"/>
      <c r="AC25" s="531">
        <v>1</v>
      </c>
      <c r="AD25" s="531">
        <v>1</v>
      </c>
    </row>
    <row r="26" spans="1:30" s="536" customFormat="1" ht="13.5" customHeight="1">
      <c r="A26" s="526">
        <v>12</v>
      </c>
      <c r="B26" s="527"/>
      <c r="C26" s="527" t="s">
        <v>1008</v>
      </c>
      <c r="D26" s="527" t="s">
        <v>985</v>
      </c>
      <c r="E26" s="527"/>
      <c r="F26" s="527"/>
      <c r="G26" s="527"/>
      <c r="H26" s="526" t="s">
        <v>1009</v>
      </c>
      <c r="I26" s="529"/>
      <c r="J26" s="526" t="s">
        <v>1010</v>
      </c>
      <c r="K26" s="529"/>
      <c r="L26" s="526"/>
      <c r="M26" s="526"/>
      <c r="N26" s="526"/>
      <c r="O26" s="526"/>
      <c r="P26" s="530">
        <v>1</v>
      </c>
      <c r="Q26" s="526" t="s">
        <v>816</v>
      </c>
      <c r="R26" s="526" t="s">
        <v>863</v>
      </c>
      <c r="S26" s="526" t="s">
        <v>990</v>
      </c>
      <c r="T26" s="531"/>
      <c r="U26" s="526"/>
      <c r="V26" s="532"/>
      <c r="W26" s="532" t="s">
        <v>863</v>
      </c>
      <c r="X26" s="533"/>
      <c r="Y26" s="534"/>
      <c r="Z26" s="526" t="s">
        <v>991</v>
      </c>
      <c r="AA26" s="535"/>
      <c r="AB26" s="526"/>
      <c r="AC26" s="531">
        <v>1</v>
      </c>
      <c r="AD26" s="531"/>
    </row>
    <row r="27" spans="1:30" s="584" customFormat="1" ht="13.5" customHeight="1">
      <c r="A27" s="573">
        <v>13</v>
      </c>
      <c r="B27" s="574"/>
      <c r="C27" s="574" t="s">
        <v>1011</v>
      </c>
      <c r="D27" s="574"/>
      <c r="E27" s="574"/>
      <c r="F27" s="574"/>
      <c r="G27" s="574"/>
      <c r="H27" s="573"/>
      <c r="I27" s="577"/>
      <c r="J27" s="573"/>
      <c r="K27" s="573" t="s">
        <v>1012</v>
      </c>
      <c r="L27" s="573"/>
      <c r="M27" s="573"/>
      <c r="N27" s="573"/>
      <c r="O27" s="573"/>
      <c r="P27" s="578"/>
      <c r="Q27" s="573" t="s">
        <v>816</v>
      </c>
      <c r="R27" s="573" t="s">
        <v>863</v>
      </c>
      <c r="S27" s="585" t="s">
        <v>1013</v>
      </c>
      <c r="T27" s="579"/>
      <c r="U27" s="573"/>
      <c r="V27" s="580"/>
      <c r="W27" s="580" t="s">
        <v>863</v>
      </c>
      <c r="X27" s="581"/>
      <c r="Y27" s="582"/>
      <c r="Z27" s="573" t="s">
        <v>1014</v>
      </c>
      <c r="AA27" s="583"/>
      <c r="AB27" s="573"/>
      <c r="AC27" s="579"/>
      <c r="AD27" s="579">
        <v>1</v>
      </c>
    </row>
    <row r="28" spans="1:30" s="584" customFormat="1" ht="13.5" customHeight="1">
      <c r="A28" s="573">
        <v>14</v>
      </c>
      <c r="B28" s="574"/>
      <c r="C28" s="574"/>
      <c r="D28" s="574" t="s">
        <v>495</v>
      </c>
      <c r="E28" s="574"/>
      <c r="F28" s="574"/>
      <c r="G28" s="574"/>
      <c r="H28" s="573" t="s">
        <v>1015</v>
      </c>
      <c r="I28" s="577"/>
      <c r="J28" s="573"/>
      <c r="K28" s="573" t="s">
        <v>887</v>
      </c>
      <c r="L28" s="573"/>
      <c r="M28" s="573"/>
      <c r="N28" s="573"/>
      <c r="O28" s="573"/>
      <c r="P28" s="578"/>
      <c r="Q28" s="573" t="s">
        <v>816</v>
      </c>
      <c r="R28" s="573"/>
      <c r="S28" s="573" t="s">
        <v>862</v>
      </c>
      <c r="T28" s="579"/>
      <c r="U28" s="573" t="s">
        <v>1016</v>
      </c>
      <c r="V28" s="580"/>
      <c r="W28" s="580" t="s">
        <v>863</v>
      </c>
      <c r="X28" s="581"/>
      <c r="Y28" s="582"/>
      <c r="Z28" s="582" t="s">
        <v>1017</v>
      </c>
      <c r="AA28" s="583"/>
      <c r="AB28" s="573"/>
      <c r="AC28" s="579"/>
      <c r="AD28" s="579">
        <v>1</v>
      </c>
    </row>
    <row r="29" spans="1:30" s="584" customFormat="1" ht="13.5" customHeight="1">
      <c r="A29" s="573">
        <v>15</v>
      </c>
      <c r="B29" s="574"/>
      <c r="C29" s="574"/>
      <c r="D29" s="574" t="s">
        <v>966</v>
      </c>
      <c r="E29" s="574"/>
      <c r="F29" s="574"/>
      <c r="G29" s="574"/>
      <c r="H29" s="573" t="s">
        <v>1018</v>
      </c>
      <c r="I29" s="577" t="s">
        <v>1019</v>
      </c>
      <c r="J29" s="573"/>
      <c r="K29" s="573" t="s">
        <v>969</v>
      </c>
      <c r="L29" s="573"/>
      <c r="M29" s="573"/>
      <c r="N29" s="573"/>
      <c r="O29" s="573"/>
      <c r="P29" s="578"/>
      <c r="Q29" s="573" t="s">
        <v>816</v>
      </c>
      <c r="R29" s="573"/>
      <c r="S29" s="573" t="s">
        <v>862</v>
      </c>
      <c r="T29" s="579"/>
      <c r="U29" s="573" t="s">
        <v>1020</v>
      </c>
      <c r="V29" s="580"/>
      <c r="W29" s="580" t="s">
        <v>863</v>
      </c>
      <c r="X29" s="581"/>
      <c r="Y29" s="582"/>
      <c r="Z29" s="582" t="s">
        <v>1021</v>
      </c>
      <c r="AA29" s="583"/>
      <c r="AB29" s="573"/>
      <c r="AC29" s="579"/>
      <c r="AD29" s="579">
        <v>1</v>
      </c>
    </row>
    <row r="30" spans="1:30" s="588" customFormat="1" ht="13.5" customHeight="1">
      <c r="A30" s="586">
        <v>16</v>
      </c>
      <c r="B30" s="587"/>
      <c r="C30" s="587"/>
      <c r="D30" s="587" t="s">
        <v>1022</v>
      </c>
      <c r="E30" s="587"/>
      <c r="F30" s="587"/>
      <c r="G30" s="587"/>
      <c r="H30" s="586" t="s">
        <v>1023</v>
      </c>
      <c r="I30" s="588" t="s">
        <v>1024</v>
      </c>
      <c r="J30" s="586"/>
      <c r="K30" s="589" t="s">
        <v>1025</v>
      </c>
      <c r="L30" s="586"/>
      <c r="M30" s="586"/>
      <c r="N30" s="586"/>
      <c r="O30" s="586"/>
      <c r="P30" s="590"/>
      <c r="Q30" s="586" t="s">
        <v>816</v>
      </c>
      <c r="R30" s="586"/>
      <c r="S30" s="586" t="s">
        <v>862</v>
      </c>
      <c r="T30" s="591"/>
      <c r="U30" s="591"/>
      <c r="V30" s="592"/>
      <c r="W30" s="592" t="s">
        <v>863</v>
      </c>
      <c r="X30" s="593"/>
      <c r="Y30" s="594" t="s">
        <v>1026</v>
      </c>
      <c r="Z30" s="586" t="s">
        <v>1027</v>
      </c>
      <c r="AA30" s="595"/>
      <c r="AB30" s="586"/>
      <c r="AC30" s="591"/>
      <c r="AD30" s="591">
        <v>1</v>
      </c>
    </row>
    <row r="31" spans="1:30" s="584" customFormat="1" ht="13.5" customHeight="1">
      <c r="A31" s="573">
        <v>17</v>
      </c>
      <c r="B31" s="574"/>
      <c r="C31" s="574"/>
      <c r="D31" s="574" t="s">
        <v>1028</v>
      </c>
      <c r="E31" s="574"/>
      <c r="F31" s="574"/>
      <c r="G31" s="574"/>
      <c r="H31" s="573" t="s">
        <v>979</v>
      </c>
      <c r="I31" s="577" t="s">
        <v>980</v>
      </c>
      <c r="J31" s="573"/>
      <c r="K31" s="577" t="s">
        <v>981</v>
      </c>
      <c r="L31" s="573"/>
      <c r="M31" s="573"/>
      <c r="N31" s="573"/>
      <c r="O31" s="573"/>
      <c r="P31" s="578"/>
      <c r="Q31" s="573" t="s">
        <v>816</v>
      </c>
      <c r="R31" s="573"/>
      <c r="S31" s="573" t="s">
        <v>862</v>
      </c>
      <c r="T31" s="579"/>
      <c r="U31" s="573"/>
      <c r="V31" s="580"/>
      <c r="W31" s="580" t="s">
        <v>863</v>
      </c>
      <c r="X31" s="581"/>
      <c r="Y31" s="596" t="s">
        <v>982</v>
      </c>
      <c r="Z31" s="573" t="s">
        <v>983</v>
      </c>
      <c r="AA31" s="583"/>
      <c r="AB31" s="573"/>
      <c r="AC31" s="579"/>
      <c r="AD31" s="579">
        <v>1</v>
      </c>
    </row>
    <row r="32" spans="1:30" s="584" customFormat="1" ht="13.5" customHeight="1">
      <c r="A32" s="573">
        <v>18</v>
      </c>
      <c r="B32" s="574"/>
      <c r="C32" s="574" t="s">
        <v>1029</v>
      </c>
      <c r="D32" s="574"/>
      <c r="E32" s="574"/>
      <c r="F32" s="574"/>
      <c r="G32" s="574"/>
      <c r="H32" s="573"/>
      <c r="I32" s="577"/>
      <c r="J32" s="573" t="s">
        <v>1030</v>
      </c>
      <c r="K32" s="577"/>
      <c r="L32" s="573"/>
      <c r="M32" s="573"/>
      <c r="N32" s="573"/>
      <c r="O32" s="573"/>
      <c r="P32" s="578"/>
      <c r="Q32" s="573" t="s">
        <v>816</v>
      </c>
      <c r="R32" s="573" t="s">
        <v>863</v>
      </c>
      <c r="S32" s="585" t="s">
        <v>1030</v>
      </c>
      <c r="T32" s="579"/>
      <c r="U32" s="573"/>
      <c r="V32" s="580"/>
      <c r="W32" s="580" t="s">
        <v>863</v>
      </c>
      <c r="X32" s="581"/>
      <c r="Y32" s="582"/>
      <c r="Z32" s="573"/>
      <c r="AA32" s="583"/>
      <c r="AB32" s="573"/>
      <c r="AC32" s="579">
        <v>1</v>
      </c>
      <c r="AD32" s="579">
        <v>1</v>
      </c>
    </row>
    <row r="33" spans="1:30" s="584" customFormat="1" ht="13.5" customHeight="1">
      <c r="A33" s="573">
        <v>19</v>
      </c>
      <c r="B33" s="574"/>
      <c r="C33" s="574"/>
      <c r="D33" s="574" t="s">
        <v>1031</v>
      </c>
      <c r="E33" s="574"/>
      <c r="F33" s="574"/>
      <c r="G33" s="574"/>
      <c r="H33" s="573" t="s">
        <v>1032</v>
      </c>
      <c r="I33" s="577" t="s">
        <v>1033</v>
      </c>
      <c r="J33" s="573" t="s">
        <v>1034</v>
      </c>
      <c r="K33" s="577"/>
      <c r="L33" s="573" t="s">
        <v>1035</v>
      </c>
      <c r="M33" s="573" t="s">
        <v>1036</v>
      </c>
      <c r="N33" s="573"/>
      <c r="O33" s="573"/>
      <c r="P33" s="578"/>
      <c r="Q33" s="573" t="s">
        <v>816</v>
      </c>
      <c r="R33" s="573"/>
      <c r="S33" s="573" t="s">
        <v>862</v>
      </c>
      <c r="T33" s="579"/>
      <c r="U33" s="573" t="s">
        <v>1037</v>
      </c>
      <c r="V33" s="580"/>
      <c r="W33" s="580" t="s">
        <v>863</v>
      </c>
      <c r="X33" s="581"/>
      <c r="Y33" s="582"/>
      <c r="Z33" s="573"/>
      <c r="AA33" s="583"/>
      <c r="AB33" s="573"/>
      <c r="AC33" s="579">
        <v>1</v>
      </c>
      <c r="AD33" s="579">
        <v>1</v>
      </c>
    </row>
    <row r="34" spans="1:30" s="584" customFormat="1" ht="13.5" customHeight="1">
      <c r="A34" s="573">
        <v>20</v>
      </c>
      <c r="B34" s="574"/>
      <c r="C34" s="574"/>
      <c r="D34" s="574" t="s">
        <v>1038</v>
      </c>
      <c r="E34" s="574"/>
      <c r="F34" s="574"/>
      <c r="G34" s="574"/>
      <c r="H34" s="573" t="s">
        <v>1039</v>
      </c>
      <c r="I34" s="577" t="s">
        <v>1040</v>
      </c>
      <c r="J34" s="573" t="s">
        <v>1041</v>
      </c>
      <c r="K34" s="577"/>
      <c r="L34" s="573"/>
      <c r="M34" s="573"/>
      <c r="N34" s="573"/>
      <c r="O34" s="573"/>
      <c r="P34" s="578"/>
      <c r="Q34" s="573" t="s">
        <v>816</v>
      </c>
      <c r="R34" s="573"/>
      <c r="S34" s="573" t="s">
        <v>862</v>
      </c>
      <c r="T34" s="579"/>
      <c r="U34" s="573" t="s">
        <v>1042</v>
      </c>
      <c r="V34" s="580"/>
      <c r="W34" s="580" t="s">
        <v>863</v>
      </c>
      <c r="X34" s="581"/>
      <c r="Y34" s="582"/>
      <c r="Z34" s="573"/>
      <c r="AA34" s="583" t="s">
        <v>1043</v>
      </c>
      <c r="AB34" s="573"/>
      <c r="AC34" s="579">
        <v>1</v>
      </c>
      <c r="AD34" s="579">
        <v>1</v>
      </c>
    </row>
    <row r="35" spans="1:30" s="584" customFormat="1" ht="13.5" customHeight="1">
      <c r="A35" s="573">
        <v>21</v>
      </c>
      <c r="B35" s="574"/>
      <c r="C35" s="574"/>
      <c r="D35" s="574" t="s">
        <v>1044</v>
      </c>
      <c r="E35" s="574"/>
      <c r="F35" s="574"/>
      <c r="G35" s="574"/>
      <c r="H35" s="573" t="s">
        <v>1045</v>
      </c>
      <c r="I35" s="577" t="s">
        <v>1046</v>
      </c>
      <c r="J35" s="573" t="s">
        <v>938</v>
      </c>
      <c r="K35" s="577"/>
      <c r="L35" s="573"/>
      <c r="M35" s="573"/>
      <c r="N35" s="573"/>
      <c r="O35" s="573"/>
      <c r="P35" s="578"/>
      <c r="Q35" s="573" t="s">
        <v>816</v>
      </c>
      <c r="R35" s="573"/>
      <c r="S35" s="573" t="s">
        <v>862</v>
      </c>
      <c r="T35" s="579"/>
      <c r="U35" s="573"/>
      <c r="V35" s="580"/>
      <c r="W35" s="580" t="s">
        <v>863</v>
      </c>
      <c r="X35" s="581"/>
      <c r="Y35" s="582"/>
      <c r="Z35" s="573"/>
      <c r="AA35" s="583"/>
      <c r="AB35" s="573"/>
      <c r="AC35" s="579">
        <v>1</v>
      </c>
      <c r="AD35" s="579">
        <v>1</v>
      </c>
    </row>
    <row r="36" spans="1:30" s="559" customFormat="1" ht="13.5" customHeight="1">
      <c r="A36" s="551"/>
      <c r="B36" s="550"/>
      <c r="C36" s="550" t="s">
        <v>1047</v>
      </c>
      <c r="D36" s="550"/>
      <c r="E36" s="550"/>
      <c r="F36" s="550"/>
      <c r="G36" s="550"/>
      <c r="H36" s="389" t="s">
        <v>1048</v>
      </c>
      <c r="I36" s="552"/>
      <c r="J36" s="551"/>
      <c r="K36" s="552" t="s">
        <v>907</v>
      </c>
      <c r="L36" s="551"/>
      <c r="M36" s="551"/>
      <c r="N36" s="551"/>
      <c r="O36" s="551"/>
      <c r="P36" s="553"/>
      <c r="Q36" s="551" t="s">
        <v>816</v>
      </c>
      <c r="R36" s="551"/>
      <c r="S36" s="551" t="s">
        <v>862</v>
      </c>
      <c r="T36" s="554"/>
      <c r="U36" s="551" t="s">
        <v>1049</v>
      </c>
      <c r="V36" s="555" t="s">
        <v>863</v>
      </c>
      <c r="W36" s="555"/>
      <c r="X36" s="556"/>
      <c r="Y36" s="557"/>
      <c r="Z36" s="551"/>
      <c r="AA36" s="558"/>
      <c r="AB36" s="551"/>
      <c r="AC36" s="554"/>
      <c r="AD36" s="554"/>
    </row>
    <row r="37" spans="1:30" s="224" customFormat="1" ht="13.5" customHeight="1">
      <c r="A37" s="225">
        <v>22</v>
      </c>
      <c r="B37" s="597" t="s">
        <v>1050</v>
      </c>
      <c r="C37" s="216"/>
      <c r="D37" s="217"/>
      <c r="E37" s="217"/>
      <c r="F37" s="217"/>
      <c r="G37" s="217"/>
      <c r="H37" s="668" t="s">
        <v>1051</v>
      </c>
      <c r="I37" s="666"/>
      <c r="J37" s="668" t="s">
        <v>1052</v>
      </c>
      <c r="K37" s="666" t="s">
        <v>1053</v>
      </c>
      <c r="L37" s="668"/>
      <c r="M37" s="668"/>
      <c r="N37" s="668"/>
      <c r="O37" s="668"/>
      <c r="P37" s="669"/>
      <c r="Q37" s="668" t="s">
        <v>819</v>
      </c>
      <c r="R37" s="668" t="s">
        <v>863</v>
      </c>
      <c r="S37" s="243" t="s">
        <v>1053</v>
      </c>
      <c r="T37" s="280"/>
      <c r="U37" s="668"/>
      <c r="V37" s="667"/>
      <c r="W37" s="667" t="s">
        <v>863</v>
      </c>
      <c r="X37" s="232"/>
      <c r="Y37" s="671"/>
      <c r="Z37" s="668"/>
      <c r="AA37" s="672"/>
      <c r="AB37" s="668"/>
      <c r="AC37" s="670">
        <v>1</v>
      </c>
      <c r="AD37" s="670">
        <v>1</v>
      </c>
    </row>
    <row r="38" spans="1:30" s="584" customFormat="1" ht="13.5" customHeight="1">
      <c r="A38" s="573">
        <v>23</v>
      </c>
      <c r="B38" s="574"/>
      <c r="C38" s="574" t="s">
        <v>1054</v>
      </c>
      <c r="D38" s="574"/>
      <c r="E38" s="574"/>
      <c r="F38" s="574"/>
      <c r="G38" s="574"/>
      <c r="H38" s="573" t="s">
        <v>1055</v>
      </c>
      <c r="I38" s="577" t="s">
        <v>1056</v>
      </c>
      <c r="J38" s="573" t="s">
        <v>1057</v>
      </c>
      <c r="K38" s="577"/>
      <c r="L38" s="573"/>
      <c r="M38" s="573"/>
      <c r="N38" s="573"/>
      <c r="O38" s="573"/>
      <c r="P38" s="578"/>
      <c r="Q38" s="573" t="s">
        <v>819</v>
      </c>
      <c r="R38" s="573"/>
      <c r="S38" s="573" t="s">
        <v>862</v>
      </c>
      <c r="T38" s="579"/>
      <c r="U38" s="573"/>
      <c r="V38" s="580"/>
      <c r="W38" s="580" t="s">
        <v>863</v>
      </c>
      <c r="X38" s="581"/>
      <c r="Y38" s="582"/>
      <c r="Z38" s="573"/>
      <c r="AA38" s="583"/>
      <c r="AB38" s="573"/>
      <c r="AC38" s="579">
        <v>1</v>
      </c>
      <c r="AD38" s="579">
        <v>1</v>
      </c>
    </row>
    <row r="39" spans="1:30" s="584" customFormat="1" ht="13.5" customHeight="1">
      <c r="A39" s="573">
        <v>24</v>
      </c>
      <c r="B39" s="574"/>
      <c r="C39" s="574" t="s">
        <v>1058</v>
      </c>
      <c r="D39" s="574"/>
      <c r="E39" s="575"/>
      <c r="F39" s="575"/>
      <c r="G39" s="575"/>
      <c r="H39" s="573" t="s">
        <v>1059</v>
      </c>
      <c r="I39" s="577" t="s">
        <v>1060</v>
      </c>
      <c r="J39" s="573" t="s">
        <v>1061</v>
      </c>
      <c r="K39" s="577"/>
      <c r="L39" s="573"/>
      <c r="M39" s="573"/>
      <c r="N39" s="573"/>
      <c r="O39" s="573"/>
      <c r="P39" s="599"/>
      <c r="Q39" s="573" t="s">
        <v>816</v>
      </c>
      <c r="R39" s="573"/>
      <c r="S39" s="573" t="s">
        <v>862</v>
      </c>
      <c r="T39" s="579"/>
      <c r="U39" s="573"/>
      <c r="V39" s="580"/>
      <c r="W39" s="580" t="s">
        <v>863</v>
      </c>
      <c r="X39" s="581"/>
      <c r="Y39" s="582"/>
      <c r="Z39" s="573"/>
      <c r="AA39" s="583"/>
      <c r="AB39" s="573"/>
      <c r="AC39" s="579">
        <v>1</v>
      </c>
      <c r="AD39" s="579"/>
    </row>
    <row r="40" spans="1:30" s="224" customFormat="1" ht="13.5" customHeight="1">
      <c r="A40" s="225">
        <v>25</v>
      </c>
      <c r="B40" s="217"/>
      <c r="C40" s="217" t="s">
        <v>1062</v>
      </c>
      <c r="D40" s="217"/>
      <c r="E40" s="217"/>
      <c r="F40" s="217"/>
      <c r="G40" s="217"/>
      <c r="H40" s="263" t="s">
        <v>1063</v>
      </c>
      <c r="I40" s="666" t="s">
        <v>1064</v>
      </c>
      <c r="J40" s="668" t="s">
        <v>870</v>
      </c>
      <c r="K40" s="666"/>
      <c r="L40" s="668" t="s">
        <v>1065</v>
      </c>
      <c r="M40" s="668" t="s">
        <v>1066</v>
      </c>
      <c r="N40" s="668"/>
      <c r="O40" s="668"/>
      <c r="P40" s="252"/>
      <c r="Q40" s="668" t="s">
        <v>816</v>
      </c>
      <c r="R40" s="668"/>
      <c r="S40" s="668" t="s">
        <v>862</v>
      </c>
      <c r="T40" s="670"/>
      <c r="U40" s="668"/>
      <c r="V40" s="667" t="s">
        <v>863</v>
      </c>
      <c r="W40" s="667" t="s">
        <v>863</v>
      </c>
      <c r="X40" s="232"/>
      <c r="Y40" s="671"/>
      <c r="Z40" s="668"/>
      <c r="AA40" s="672"/>
      <c r="AB40" s="668"/>
      <c r="AC40" s="670">
        <v>1</v>
      </c>
      <c r="AD40" s="670">
        <v>1</v>
      </c>
    </row>
    <row r="41" spans="1:30" s="584" customFormat="1" ht="13.5" customHeight="1">
      <c r="A41" s="573">
        <v>110</v>
      </c>
      <c r="B41" s="574"/>
      <c r="C41" s="574" t="s">
        <v>1067</v>
      </c>
      <c r="D41" s="575"/>
      <c r="E41" s="575"/>
      <c r="F41" s="575"/>
      <c r="G41" s="575"/>
      <c r="H41" s="573" t="s">
        <v>1068</v>
      </c>
      <c r="I41" s="600"/>
      <c r="J41" s="573"/>
      <c r="K41" s="577" t="s">
        <v>1069</v>
      </c>
      <c r="L41" s="573"/>
      <c r="M41" s="573"/>
      <c r="N41" s="573"/>
      <c r="O41" s="573"/>
      <c r="P41" s="578"/>
      <c r="Q41" s="573" t="s">
        <v>822</v>
      </c>
      <c r="R41" s="573" t="s">
        <v>863</v>
      </c>
      <c r="S41" s="601" t="s">
        <v>1069</v>
      </c>
      <c r="T41" s="579"/>
      <c r="U41" s="579"/>
      <c r="V41" s="580"/>
      <c r="W41" s="580" t="s">
        <v>863</v>
      </c>
      <c r="X41" s="581"/>
      <c r="Y41" s="582"/>
      <c r="Z41" s="573"/>
      <c r="AA41" s="583"/>
      <c r="AB41" s="573"/>
      <c r="AC41" s="579"/>
      <c r="AD41" s="579">
        <v>1</v>
      </c>
    </row>
    <row r="42" spans="1:30" s="584" customFormat="1" ht="13.5" customHeight="1">
      <c r="A42" s="573">
        <v>111</v>
      </c>
      <c r="B42" s="574"/>
      <c r="C42" s="574"/>
      <c r="D42" s="574" t="s">
        <v>1070</v>
      </c>
      <c r="E42" s="574"/>
      <c r="F42" s="574"/>
      <c r="G42" s="574"/>
      <c r="H42" s="573" t="s">
        <v>1071</v>
      </c>
      <c r="I42" s="600" t="s">
        <v>1072</v>
      </c>
      <c r="J42" s="573"/>
      <c r="K42" s="577" t="s">
        <v>907</v>
      </c>
      <c r="L42" s="573"/>
      <c r="M42" s="573"/>
      <c r="N42" s="573"/>
      <c r="O42" s="573"/>
      <c r="P42" s="578"/>
      <c r="Q42" s="573" t="s">
        <v>819</v>
      </c>
      <c r="R42" s="573"/>
      <c r="S42" s="573" t="s">
        <v>862</v>
      </c>
      <c r="T42" s="579"/>
      <c r="U42" s="577" t="s">
        <v>1073</v>
      </c>
      <c r="V42" s="580"/>
      <c r="W42" s="580" t="s">
        <v>863</v>
      </c>
      <c r="X42" s="581"/>
      <c r="Y42" s="582" t="s">
        <v>1074</v>
      </c>
      <c r="Z42" s="573" t="s">
        <v>1075</v>
      </c>
      <c r="AA42" s="583"/>
      <c r="AB42" s="573"/>
      <c r="AC42" s="579"/>
      <c r="AD42" s="579">
        <v>1</v>
      </c>
    </row>
    <row r="43" spans="1:30" s="584" customFormat="1" ht="13.5" customHeight="1">
      <c r="A43" s="573">
        <v>112</v>
      </c>
      <c r="B43" s="574"/>
      <c r="C43" s="574"/>
      <c r="D43" s="574" t="s">
        <v>1076</v>
      </c>
      <c r="E43" s="574"/>
      <c r="F43" s="574"/>
      <c r="G43" s="574"/>
      <c r="H43" s="573" t="s">
        <v>1077</v>
      </c>
      <c r="I43" s="600" t="s">
        <v>1078</v>
      </c>
      <c r="J43" s="573"/>
      <c r="K43" s="577" t="s">
        <v>1079</v>
      </c>
      <c r="L43" s="573"/>
      <c r="M43" s="573"/>
      <c r="N43" s="573"/>
      <c r="O43" s="573"/>
      <c r="P43" s="578"/>
      <c r="Q43" s="573" t="s">
        <v>819</v>
      </c>
      <c r="R43" s="573"/>
      <c r="S43" s="573" t="s">
        <v>862</v>
      </c>
      <c r="T43" s="579"/>
      <c r="U43" s="579"/>
      <c r="V43" s="580"/>
      <c r="W43" s="580" t="s">
        <v>863</v>
      </c>
      <c r="X43" s="581"/>
      <c r="Y43" s="582"/>
      <c r="Z43" s="573"/>
      <c r="AA43" s="583"/>
      <c r="AB43" s="573"/>
      <c r="AC43" s="579"/>
      <c r="AD43" s="579">
        <v>1</v>
      </c>
    </row>
    <row r="44" spans="1:30" s="584" customFormat="1" ht="13.5" customHeight="1">
      <c r="A44" s="573">
        <v>26</v>
      </c>
      <c r="B44" s="574"/>
      <c r="C44" s="574" t="s">
        <v>1080</v>
      </c>
      <c r="D44" s="575"/>
      <c r="E44" s="575"/>
      <c r="F44" s="575"/>
      <c r="G44" s="575"/>
      <c r="H44" s="573"/>
      <c r="I44" s="577"/>
      <c r="J44" s="573"/>
      <c r="K44" s="577" t="s">
        <v>1081</v>
      </c>
      <c r="L44" s="573"/>
      <c r="M44" s="573"/>
      <c r="N44" s="573"/>
      <c r="O44" s="573"/>
      <c r="P44" s="578"/>
      <c r="Q44" s="573" t="s">
        <v>816</v>
      </c>
      <c r="R44" s="573" t="s">
        <v>863</v>
      </c>
      <c r="S44" s="585" t="s">
        <v>1081</v>
      </c>
      <c r="T44" s="579"/>
      <c r="U44" s="573"/>
      <c r="V44" s="580"/>
      <c r="W44" s="580" t="s">
        <v>863</v>
      </c>
      <c r="X44" s="581"/>
      <c r="Y44" s="582"/>
      <c r="Z44" s="573"/>
      <c r="AA44" s="583"/>
      <c r="AB44" s="573"/>
      <c r="AC44" s="579">
        <v>1</v>
      </c>
      <c r="AD44" s="579">
        <v>1</v>
      </c>
    </row>
    <row r="45" spans="1:30" s="572" customFormat="1" ht="13.5" customHeight="1">
      <c r="A45" s="562">
        <v>27</v>
      </c>
      <c r="B45" s="563"/>
      <c r="C45" s="564" t="s">
        <v>1082</v>
      </c>
      <c r="D45" s="563"/>
      <c r="E45" s="602"/>
      <c r="F45" s="565"/>
      <c r="G45" s="565"/>
      <c r="H45" s="562" t="s">
        <v>1083</v>
      </c>
      <c r="I45" s="565" t="s">
        <v>1084</v>
      </c>
      <c r="J45" s="562" t="s">
        <v>1085</v>
      </c>
      <c r="K45" s="565" t="s">
        <v>1086</v>
      </c>
      <c r="L45" s="562"/>
      <c r="M45" s="562"/>
      <c r="N45" s="562"/>
      <c r="O45" s="562"/>
      <c r="P45" s="566"/>
      <c r="Q45" s="562" t="s">
        <v>819</v>
      </c>
      <c r="R45" s="562"/>
      <c r="S45" s="562" t="s">
        <v>862</v>
      </c>
      <c r="T45" s="567"/>
      <c r="U45" s="562" t="s">
        <v>1087</v>
      </c>
      <c r="V45" s="568" t="s">
        <v>863</v>
      </c>
      <c r="W45" s="568" t="s">
        <v>863</v>
      </c>
      <c r="X45" s="569"/>
      <c r="Y45" s="603"/>
      <c r="Z45" s="562"/>
      <c r="AA45" s="571"/>
      <c r="AB45" s="562"/>
      <c r="AC45" s="567">
        <v>1</v>
      </c>
      <c r="AD45" s="567">
        <v>1</v>
      </c>
    </row>
    <row r="46" spans="1:30" s="584" customFormat="1" ht="13.5" customHeight="1">
      <c r="A46" s="573">
        <v>28</v>
      </c>
      <c r="B46" s="574"/>
      <c r="C46" s="574"/>
      <c r="D46" s="574" t="s">
        <v>1088</v>
      </c>
      <c r="E46" s="575"/>
      <c r="F46" s="575"/>
      <c r="G46" s="575"/>
      <c r="H46" s="573" t="s">
        <v>1089</v>
      </c>
      <c r="I46" s="577" t="s">
        <v>1090</v>
      </c>
      <c r="J46" s="573"/>
      <c r="K46" s="577" t="s">
        <v>1091</v>
      </c>
      <c r="L46" s="573" t="s">
        <v>1092</v>
      </c>
      <c r="M46" s="573" t="s">
        <v>254</v>
      </c>
      <c r="N46" s="573"/>
      <c r="O46" s="573"/>
      <c r="P46" s="578"/>
      <c r="Q46" s="573" t="s">
        <v>816</v>
      </c>
      <c r="R46" s="573"/>
      <c r="S46" s="573" t="s">
        <v>862</v>
      </c>
      <c r="T46" s="579"/>
      <c r="U46" s="573"/>
      <c r="V46" s="580"/>
      <c r="W46" s="580" t="s">
        <v>863</v>
      </c>
      <c r="X46" s="581"/>
      <c r="Y46" s="582"/>
      <c r="Z46" s="573"/>
      <c r="AA46" s="583"/>
      <c r="AB46" s="573"/>
      <c r="AC46" s="579">
        <v>1</v>
      </c>
      <c r="AD46" s="579">
        <v>1</v>
      </c>
    </row>
    <row r="47" spans="1:30" s="584" customFormat="1" ht="13.5" customHeight="1">
      <c r="A47" s="573">
        <v>29</v>
      </c>
      <c r="B47" s="574"/>
      <c r="C47" s="574"/>
      <c r="D47" s="574" t="s">
        <v>1093</v>
      </c>
      <c r="E47" s="575"/>
      <c r="F47" s="575"/>
      <c r="G47" s="575"/>
      <c r="H47" s="573"/>
      <c r="I47" s="577"/>
      <c r="J47" s="573"/>
      <c r="K47" s="577" t="s">
        <v>1094</v>
      </c>
      <c r="L47" s="573" t="s">
        <v>1095</v>
      </c>
      <c r="M47" s="573" t="s">
        <v>1096</v>
      </c>
      <c r="N47" s="573"/>
      <c r="O47" s="573"/>
      <c r="P47" s="578"/>
      <c r="Q47" s="573" t="s">
        <v>816</v>
      </c>
      <c r="R47" s="573" t="s">
        <v>863</v>
      </c>
      <c r="S47" s="585" t="s">
        <v>1094</v>
      </c>
      <c r="T47" s="579"/>
      <c r="U47" s="573"/>
      <c r="V47" s="580"/>
      <c r="W47" s="580" t="s">
        <v>863</v>
      </c>
      <c r="X47" s="581"/>
      <c r="Y47" s="582"/>
      <c r="Z47" s="573"/>
      <c r="AA47" s="583"/>
      <c r="AB47" s="573"/>
      <c r="AC47" s="579">
        <v>1</v>
      </c>
      <c r="AD47" s="579">
        <v>1</v>
      </c>
    </row>
    <row r="48" spans="1:30" s="584" customFormat="1" ht="13.5" customHeight="1">
      <c r="A48" s="573">
        <v>30</v>
      </c>
      <c r="B48" s="574"/>
      <c r="C48" s="574"/>
      <c r="D48" s="574"/>
      <c r="E48" s="574" t="s">
        <v>1097</v>
      </c>
      <c r="F48" s="574"/>
      <c r="G48" s="574"/>
      <c r="H48" s="573" t="s">
        <v>1098</v>
      </c>
      <c r="I48" s="577" t="s">
        <v>1099</v>
      </c>
      <c r="J48" s="573"/>
      <c r="K48" s="577" t="s">
        <v>1086</v>
      </c>
      <c r="L48" s="573"/>
      <c r="M48" s="573"/>
      <c r="N48" s="573"/>
      <c r="O48" s="573"/>
      <c r="P48" s="578"/>
      <c r="Q48" s="573" t="s">
        <v>819</v>
      </c>
      <c r="R48" s="573"/>
      <c r="S48" s="573" t="s">
        <v>862</v>
      </c>
      <c r="T48" s="579"/>
      <c r="U48" s="573" t="s">
        <v>1100</v>
      </c>
      <c r="V48" s="580"/>
      <c r="W48" s="580" t="s">
        <v>863</v>
      </c>
      <c r="X48" s="581"/>
      <c r="Y48" s="582"/>
      <c r="Z48" s="573"/>
      <c r="AA48" s="583"/>
      <c r="AB48" s="573"/>
      <c r="AC48" s="579">
        <v>1</v>
      </c>
      <c r="AD48" s="579">
        <v>1</v>
      </c>
    </row>
    <row r="49" spans="1:30" s="584" customFormat="1" ht="13.5" customHeight="1">
      <c r="A49" s="573">
        <v>31</v>
      </c>
      <c r="B49" s="574"/>
      <c r="C49" s="574"/>
      <c r="D49" s="574"/>
      <c r="E49" s="574" t="s">
        <v>1101</v>
      </c>
      <c r="F49" s="574"/>
      <c r="G49" s="574"/>
      <c r="H49" s="573"/>
      <c r="I49" s="577" t="s">
        <v>1102</v>
      </c>
      <c r="J49" s="573"/>
      <c r="K49" s="577" t="s">
        <v>969</v>
      </c>
      <c r="L49" s="573"/>
      <c r="M49" s="573"/>
      <c r="N49" s="573"/>
      <c r="O49" s="573"/>
      <c r="P49" s="578"/>
      <c r="Q49" s="573" t="s">
        <v>816</v>
      </c>
      <c r="R49" s="573"/>
      <c r="S49" s="573" t="s">
        <v>862</v>
      </c>
      <c r="T49" s="579"/>
      <c r="U49" s="573"/>
      <c r="V49" s="580"/>
      <c r="W49" s="580" t="s">
        <v>863</v>
      </c>
      <c r="X49" s="581"/>
      <c r="Y49" s="582"/>
      <c r="Z49" s="573"/>
      <c r="AA49" s="583"/>
      <c r="AB49" s="573"/>
      <c r="AC49" s="579">
        <v>1</v>
      </c>
      <c r="AD49" s="579">
        <v>1</v>
      </c>
    </row>
    <row r="50" spans="1:30" s="584" customFormat="1" ht="13.5" customHeight="1">
      <c r="A50" s="573">
        <v>32</v>
      </c>
      <c r="B50" s="574"/>
      <c r="C50" s="574"/>
      <c r="D50" s="574"/>
      <c r="E50" s="574" t="s">
        <v>1103</v>
      </c>
      <c r="F50" s="574"/>
      <c r="G50" s="574"/>
      <c r="H50" s="573"/>
      <c r="I50" s="577" t="s">
        <v>1104</v>
      </c>
      <c r="J50" s="573"/>
      <c r="K50" s="577" t="s">
        <v>870</v>
      </c>
      <c r="L50" s="573"/>
      <c r="M50" s="573"/>
      <c r="N50" s="573"/>
      <c r="O50" s="573"/>
      <c r="P50" s="578"/>
      <c r="Q50" s="573" t="s">
        <v>816</v>
      </c>
      <c r="R50" s="573"/>
      <c r="S50" s="573" t="s">
        <v>862</v>
      </c>
      <c r="T50" s="579"/>
      <c r="U50" s="573"/>
      <c r="V50" s="580"/>
      <c r="W50" s="580" t="s">
        <v>863</v>
      </c>
      <c r="X50" s="581"/>
      <c r="Y50" s="582"/>
      <c r="Z50" s="573"/>
      <c r="AA50" s="583"/>
      <c r="AB50" s="573"/>
      <c r="AC50" s="579">
        <v>1</v>
      </c>
      <c r="AD50" s="579">
        <v>1</v>
      </c>
    </row>
    <row r="51" spans="1:30" s="584" customFormat="1" ht="13.5" customHeight="1">
      <c r="A51" s="573">
        <v>33</v>
      </c>
      <c r="B51" s="574"/>
      <c r="C51" s="574" t="s">
        <v>1105</v>
      </c>
      <c r="D51" s="575"/>
      <c r="E51" s="575"/>
      <c r="F51" s="575"/>
      <c r="G51" s="575"/>
      <c r="H51" s="573"/>
      <c r="I51" s="577"/>
      <c r="J51" s="573"/>
      <c r="K51" s="577" t="s">
        <v>1106</v>
      </c>
      <c r="L51" s="573"/>
      <c r="M51" s="573"/>
      <c r="N51" s="573"/>
      <c r="O51" s="573"/>
      <c r="P51" s="578"/>
      <c r="Q51" s="573" t="s">
        <v>816</v>
      </c>
      <c r="R51" s="573" t="s">
        <v>863</v>
      </c>
      <c r="S51" s="585" t="s">
        <v>1106</v>
      </c>
      <c r="T51" s="579"/>
      <c r="U51" s="573"/>
      <c r="V51" s="580"/>
      <c r="W51" s="580" t="s">
        <v>863</v>
      </c>
      <c r="X51" s="581"/>
      <c r="Y51" s="582"/>
      <c r="Z51" s="573"/>
      <c r="AA51" s="583"/>
      <c r="AB51" s="573"/>
      <c r="AC51" s="579"/>
      <c r="AD51" s="579">
        <v>1</v>
      </c>
    </row>
    <row r="52" spans="1:30" s="613" customFormat="1" ht="13.5" customHeight="1">
      <c r="A52" s="605">
        <v>34</v>
      </c>
      <c r="B52" s="564"/>
      <c r="C52" s="564" t="s">
        <v>388</v>
      </c>
      <c r="D52" s="564"/>
      <c r="E52" s="564"/>
      <c r="F52" s="564"/>
      <c r="G52" s="564"/>
      <c r="H52" s="605" t="s">
        <v>1107</v>
      </c>
      <c r="I52" s="606" t="s">
        <v>1108</v>
      </c>
      <c r="J52" s="605" t="s">
        <v>1106</v>
      </c>
      <c r="K52" s="606" t="s">
        <v>870</v>
      </c>
      <c r="L52" s="605" t="s">
        <v>1109</v>
      </c>
      <c r="M52" s="605" t="s">
        <v>388</v>
      </c>
      <c r="N52" s="605"/>
      <c r="O52" s="605"/>
      <c r="P52" s="607"/>
      <c r="Q52" s="605" t="s">
        <v>816</v>
      </c>
      <c r="R52" s="605"/>
      <c r="S52" s="605" t="s">
        <v>862</v>
      </c>
      <c r="T52" s="608"/>
      <c r="U52" s="605"/>
      <c r="V52" s="609" t="s">
        <v>863</v>
      </c>
      <c r="W52" s="609" t="s">
        <v>863</v>
      </c>
      <c r="X52" s="610"/>
      <c r="Y52" s="611"/>
      <c r="Z52" s="605"/>
      <c r="AA52" s="612" t="s">
        <v>1110</v>
      </c>
      <c r="AB52" s="605"/>
      <c r="AC52" s="608">
        <v>1</v>
      </c>
      <c r="AD52" s="608">
        <v>1</v>
      </c>
    </row>
    <row r="53" spans="1:30" s="613" customFormat="1" ht="13.5" customHeight="1">
      <c r="A53" s="605">
        <v>35</v>
      </c>
      <c r="B53" s="564"/>
      <c r="C53" s="564" t="s">
        <v>392</v>
      </c>
      <c r="D53" s="564"/>
      <c r="E53" s="564"/>
      <c r="F53" s="564"/>
      <c r="G53" s="564"/>
      <c r="H53" s="605" t="s">
        <v>1111</v>
      </c>
      <c r="I53" s="606">
        <v>59350</v>
      </c>
      <c r="J53" s="605" t="s">
        <v>1112</v>
      </c>
      <c r="K53" s="606" t="s">
        <v>1113</v>
      </c>
      <c r="L53" s="605" t="s">
        <v>1114</v>
      </c>
      <c r="M53" s="605" t="s">
        <v>392</v>
      </c>
      <c r="N53" s="605"/>
      <c r="O53" s="605"/>
      <c r="P53" s="607"/>
      <c r="Q53" s="605" t="s">
        <v>816</v>
      </c>
      <c r="R53" s="605"/>
      <c r="S53" s="605" t="s">
        <v>862</v>
      </c>
      <c r="T53" s="608"/>
      <c r="U53" s="605" t="s">
        <v>1115</v>
      </c>
      <c r="V53" s="609" t="s">
        <v>863</v>
      </c>
      <c r="W53" s="609" t="s">
        <v>863</v>
      </c>
      <c r="X53" s="610"/>
      <c r="Y53" s="611"/>
      <c r="Z53" s="605"/>
      <c r="AA53" s="612"/>
      <c r="AB53" s="605"/>
      <c r="AC53" s="608">
        <v>1</v>
      </c>
      <c r="AD53" s="608">
        <v>1</v>
      </c>
    </row>
    <row r="54" spans="1:30" s="584" customFormat="1" ht="13.5" customHeight="1">
      <c r="A54" s="573">
        <v>36</v>
      </c>
      <c r="B54" s="574"/>
      <c r="C54" s="574"/>
      <c r="D54" s="574" t="s">
        <v>1116</v>
      </c>
      <c r="E54" s="574"/>
      <c r="F54" s="574"/>
      <c r="G54" s="574"/>
      <c r="H54" s="573" t="s">
        <v>1117</v>
      </c>
      <c r="I54" s="577" t="s">
        <v>1118</v>
      </c>
      <c r="J54" s="573"/>
      <c r="K54" s="577" t="s">
        <v>1119</v>
      </c>
      <c r="L54" s="573"/>
      <c r="M54" s="573"/>
      <c r="N54" s="573"/>
      <c r="O54" s="573"/>
      <c r="P54" s="578"/>
      <c r="Q54" s="573" t="s">
        <v>816</v>
      </c>
      <c r="R54" s="573"/>
      <c r="S54" s="604" t="s">
        <v>862</v>
      </c>
      <c r="T54" s="579"/>
      <c r="U54" s="573"/>
      <c r="V54" s="580"/>
      <c r="W54" s="580" t="s">
        <v>863</v>
      </c>
      <c r="X54" s="581"/>
      <c r="Y54" s="582"/>
      <c r="Z54" s="573"/>
      <c r="AA54" s="583"/>
      <c r="AB54" s="573"/>
      <c r="AC54" s="579"/>
      <c r="AD54" s="579">
        <v>1</v>
      </c>
    </row>
    <row r="55" spans="1:30" s="256" customFormat="1" ht="12.75" customHeight="1">
      <c r="A55" s="225">
        <v>37</v>
      </c>
      <c r="B55" s="217"/>
      <c r="C55" s="217" t="s">
        <v>1120</v>
      </c>
      <c r="D55" s="221"/>
      <c r="E55" s="221"/>
      <c r="F55" s="221"/>
      <c r="G55" s="221"/>
      <c r="H55" s="668" t="s">
        <v>1121</v>
      </c>
      <c r="I55" s="666"/>
      <c r="J55" s="668"/>
      <c r="K55" s="666" t="s">
        <v>1122</v>
      </c>
      <c r="L55" s="668"/>
      <c r="M55" s="668"/>
      <c r="N55" s="668"/>
      <c r="O55" s="668"/>
      <c r="P55" s="669"/>
      <c r="Q55" s="668" t="s">
        <v>816</v>
      </c>
      <c r="R55" s="668" t="s">
        <v>863</v>
      </c>
      <c r="S55" s="243" t="s">
        <v>1122</v>
      </c>
      <c r="T55" s="670"/>
      <c r="U55" s="668"/>
      <c r="V55" s="667" t="s">
        <v>863</v>
      </c>
      <c r="W55" s="667" t="s">
        <v>863</v>
      </c>
      <c r="X55" s="232"/>
      <c r="Y55" s="671"/>
      <c r="Z55" s="668"/>
      <c r="AA55" s="672"/>
      <c r="AB55" s="668"/>
      <c r="AC55" s="670">
        <v>1</v>
      </c>
      <c r="AD55" s="670">
        <v>1</v>
      </c>
    </row>
    <row r="56" spans="1:30" s="256" customFormat="1" ht="12.75" customHeight="1">
      <c r="A56" s="225">
        <v>38</v>
      </c>
      <c r="B56" s="217"/>
      <c r="C56" s="217"/>
      <c r="D56" s="677" t="s">
        <v>415</v>
      </c>
      <c r="E56" s="221"/>
      <c r="F56" s="221"/>
      <c r="G56" s="221"/>
      <c r="H56" s="668" t="s">
        <v>1123</v>
      </c>
      <c r="I56" s="666" t="s">
        <v>1124</v>
      </c>
      <c r="J56" s="668"/>
      <c r="K56" s="666" t="s">
        <v>1125</v>
      </c>
      <c r="L56" s="668" t="s">
        <v>1126</v>
      </c>
      <c r="M56" s="668" t="s">
        <v>415</v>
      </c>
      <c r="N56" s="668"/>
      <c r="O56" s="668"/>
      <c r="P56" s="669"/>
      <c r="Q56" s="668" t="s">
        <v>816</v>
      </c>
      <c r="R56" s="668"/>
      <c r="S56" s="678" t="s">
        <v>862</v>
      </c>
      <c r="T56" s="281"/>
      <c r="U56" s="668"/>
      <c r="V56" s="667" t="s">
        <v>863</v>
      </c>
      <c r="W56" s="667" t="s">
        <v>863</v>
      </c>
      <c r="X56" s="232"/>
      <c r="Y56" s="671"/>
      <c r="Z56" s="668"/>
      <c r="AA56" s="672"/>
      <c r="AB56" s="668"/>
      <c r="AC56" s="670">
        <v>1</v>
      </c>
      <c r="AD56" s="670">
        <v>1</v>
      </c>
    </row>
    <row r="57" spans="1:30" s="256" customFormat="1" ht="12.75" customHeight="1">
      <c r="A57" s="225">
        <v>39</v>
      </c>
      <c r="B57" s="217"/>
      <c r="C57" s="217"/>
      <c r="D57" s="677" t="s">
        <v>1127</v>
      </c>
      <c r="E57" s="221"/>
      <c r="F57" s="221"/>
      <c r="G57" s="221"/>
      <c r="H57" s="668" t="s">
        <v>1128</v>
      </c>
      <c r="I57" s="666" t="s">
        <v>1129</v>
      </c>
      <c r="J57" s="668"/>
      <c r="K57" s="666" t="s">
        <v>1130</v>
      </c>
      <c r="L57" s="668" t="s">
        <v>1131</v>
      </c>
      <c r="M57" s="668" t="s">
        <v>424</v>
      </c>
      <c r="N57" s="668"/>
      <c r="O57" s="668"/>
      <c r="P57" s="669"/>
      <c r="Q57" s="668" t="s">
        <v>816</v>
      </c>
      <c r="R57" s="668"/>
      <c r="S57" s="678" t="s">
        <v>862</v>
      </c>
      <c r="T57" s="281"/>
      <c r="U57" s="668"/>
      <c r="V57" s="667" t="s">
        <v>863</v>
      </c>
      <c r="W57" s="667" t="s">
        <v>863</v>
      </c>
      <c r="X57" s="232"/>
      <c r="Y57" s="671"/>
      <c r="Z57" s="668"/>
      <c r="AA57" s="672"/>
      <c r="AB57" s="668"/>
      <c r="AC57" s="670">
        <v>1</v>
      </c>
      <c r="AD57" s="670">
        <v>1</v>
      </c>
    </row>
    <row r="58" spans="1:30" s="244" customFormat="1" ht="12.75" customHeight="1">
      <c r="A58" s="225">
        <v>40</v>
      </c>
      <c r="B58" s="217"/>
      <c r="C58" s="222"/>
      <c r="D58" s="677" t="s">
        <v>429</v>
      </c>
      <c r="E58" s="221"/>
      <c r="F58" s="221"/>
      <c r="G58" s="221"/>
      <c r="H58" s="668" t="s">
        <v>1132</v>
      </c>
      <c r="I58" s="666" t="s">
        <v>1133</v>
      </c>
      <c r="J58" s="668"/>
      <c r="K58" s="666" t="s">
        <v>1134</v>
      </c>
      <c r="L58" s="668"/>
      <c r="M58" s="668"/>
      <c r="N58" s="668"/>
      <c r="O58" s="668"/>
      <c r="P58" s="669"/>
      <c r="Q58" s="668" t="s">
        <v>816</v>
      </c>
      <c r="R58" s="668"/>
      <c r="S58" s="678" t="s">
        <v>862</v>
      </c>
      <c r="T58" s="281"/>
      <c r="U58" s="668"/>
      <c r="V58" s="667" t="s">
        <v>863</v>
      </c>
      <c r="W58" s="667" t="s">
        <v>863</v>
      </c>
      <c r="X58" s="232"/>
      <c r="Y58" s="671"/>
      <c r="Z58" s="668"/>
      <c r="AA58" s="672"/>
      <c r="AB58" s="668"/>
      <c r="AC58" s="670">
        <v>1</v>
      </c>
      <c r="AD58" s="670">
        <v>1</v>
      </c>
    </row>
    <row r="59" spans="1:30" s="244" customFormat="1" ht="12.75" customHeight="1">
      <c r="A59" s="225">
        <v>41</v>
      </c>
      <c r="B59" s="217"/>
      <c r="C59" s="222"/>
      <c r="D59" s="677" t="s">
        <v>426</v>
      </c>
      <c r="E59" s="221"/>
      <c r="F59" s="221"/>
      <c r="G59" s="221"/>
      <c r="H59" s="668" t="s">
        <v>1135</v>
      </c>
      <c r="I59" s="666" t="s">
        <v>1136</v>
      </c>
      <c r="J59" s="668"/>
      <c r="K59" s="666" t="s">
        <v>1137</v>
      </c>
      <c r="L59" s="668" t="s">
        <v>1138</v>
      </c>
      <c r="M59" s="668" t="s">
        <v>426</v>
      </c>
      <c r="N59" s="668"/>
      <c r="O59" s="668"/>
      <c r="P59" s="669"/>
      <c r="Q59" s="668" t="s">
        <v>822</v>
      </c>
      <c r="R59" s="668"/>
      <c r="S59" s="678" t="s">
        <v>862</v>
      </c>
      <c r="T59" s="281"/>
      <c r="U59" s="668"/>
      <c r="V59" s="667" t="s">
        <v>863</v>
      </c>
      <c r="W59" s="667" t="s">
        <v>863</v>
      </c>
      <c r="X59" s="232"/>
      <c r="Y59" s="671"/>
      <c r="Z59" s="668"/>
      <c r="AA59" s="672"/>
      <c r="AB59" s="668"/>
      <c r="AC59" s="670">
        <v>1</v>
      </c>
      <c r="AD59" s="670">
        <v>1</v>
      </c>
    </row>
    <row r="60" spans="1:30" s="244" customFormat="1" ht="12.75" customHeight="1">
      <c r="A60" s="225">
        <v>42</v>
      </c>
      <c r="B60" s="217"/>
      <c r="C60" s="222"/>
      <c r="D60" s="677" t="s">
        <v>1139</v>
      </c>
      <c r="E60" s="221"/>
      <c r="F60" s="221"/>
      <c r="G60" s="221"/>
      <c r="H60" s="668" t="s">
        <v>1140</v>
      </c>
      <c r="I60" s="666" t="s">
        <v>1141</v>
      </c>
      <c r="J60" s="668"/>
      <c r="K60" s="666" t="s">
        <v>1142</v>
      </c>
      <c r="L60" s="668"/>
      <c r="M60" s="668"/>
      <c r="N60" s="668"/>
      <c r="O60" s="668"/>
      <c r="P60" s="669"/>
      <c r="Q60" s="668" t="s">
        <v>816</v>
      </c>
      <c r="R60" s="668"/>
      <c r="S60" s="678" t="s">
        <v>862</v>
      </c>
      <c r="T60" s="281"/>
      <c r="U60" s="668"/>
      <c r="V60" s="667" t="s">
        <v>863</v>
      </c>
      <c r="W60" s="667" t="s">
        <v>863</v>
      </c>
      <c r="X60" s="232"/>
      <c r="Y60" s="671"/>
      <c r="Z60" s="668"/>
      <c r="AA60" s="672"/>
      <c r="AB60" s="668"/>
      <c r="AC60" s="670">
        <v>1</v>
      </c>
      <c r="AD60" s="670">
        <v>1</v>
      </c>
    </row>
    <row r="61" spans="1:30" s="257" customFormat="1" ht="12.75" customHeight="1">
      <c r="A61" s="225">
        <v>43</v>
      </c>
      <c r="B61" s="217"/>
      <c r="C61" s="222"/>
      <c r="D61" s="677" t="s">
        <v>1143</v>
      </c>
      <c r="E61" s="221"/>
      <c r="F61" s="221"/>
      <c r="G61" s="221"/>
      <c r="H61" s="668" t="s">
        <v>410</v>
      </c>
      <c r="I61" s="666" t="s">
        <v>1144</v>
      </c>
      <c r="J61" s="668"/>
      <c r="K61" s="666" t="s">
        <v>1145</v>
      </c>
      <c r="L61" s="668"/>
      <c r="M61" s="668"/>
      <c r="N61" s="668"/>
      <c r="O61" s="668"/>
      <c r="P61" s="669"/>
      <c r="Q61" s="668" t="s">
        <v>816</v>
      </c>
      <c r="R61" s="668"/>
      <c r="S61" s="678" t="s">
        <v>862</v>
      </c>
      <c r="T61" s="281"/>
      <c r="U61" s="668"/>
      <c r="V61" s="667" t="s">
        <v>863</v>
      </c>
      <c r="W61" s="667" t="s">
        <v>863</v>
      </c>
      <c r="X61" s="232"/>
      <c r="Y61" s="671"/>
      <c r="Z61" s="668"/>
      <c r="AA61" s="672"/>
      <c r="AB61" s="668"/>
      <c r="AC61" s="670">
        <v>1</v>
      </c>
      <c r="AD61" s="670">
        <v>1</v>
      </c>
    </row>
    <row r="62" spans="1:30" s="258" customFormat="1" ht="12.75" customHeight="1">
      <c r="A62" s="225">
        <v>44</v>
      </c>
      <c r="B62" s="217"/>
      <c r="C62" s="218"/>
      <c r="D62" s="677" t="s">
        <v>1146</v>
      </c>
      <c r="E62" s="221"/>
      <c r="F62" s="221"/>
      <c r="G62" s="221"/>
      <c r="H62" s="668"/>
      <c r="I62" s="666" t="s">
        <v>1147</v>
      </c>
      <c r="J62" s="668"/>
      <c r="K62" s="666" t="s">
        <v>1148</v>
      </c>
      <c r="L62" s="668"/>
      <c r="M62" s="668"/>
      <c r="N62" s="668"/>
      <c r="O62" s="668"/>
      <c r="P62" s="669"/>
      <c r="Q62" s="668" t="s">
        <v>816</v>
      </c>
      <c r="R62" s="668"/>
      <c r="S62" s="678" t="s">
        <v>862</v>
      </c>
      <c r="T62" s="281"/>
      <c r="U62" s="668"/>
      <c r="V62" s="667" t="s">
        <v>863</v>
      </c>
      <c r="W62" s="667" t="s">
        <v>863</v>
      </c>
      <c r="X62" s="232"/>
      <c r="Y62" s="671"/>
      <c r="Z62" s="668"/>
      <c r="AA62" s="672"/>
      <c r="AB62" s="668"/>
      <c r="AC62" s="670">
        <v>1</v>
      </c>
      <c r="AD62" s="670">
        <v>1</v>
      </c>
    </row>
    <row r="63" spans="1:30" s="256" customFormat="1" ht="12.95" customHeight="1">
      <c r="A63" s="225">
        <v>45</v>
      </c>
      <c r="B63" s="217"/>
      <c r="C63" s="218"/>
      <c r="D63" s="677" t="s">
        <v>178</v>
      </c>
      <c r="E63" s="221"/>
      <c r="F63" s="221"/>
      <c r="G63" s="221"/>
      <c r="H63" s="668" t="s">
        <v>1149</v>
      </c>
      <c r="I63" s="666" t="s">
        <v>1150</v>
      </c>
      <c r="J63" s="668"/>
      <c r="K63" s="666" t="s">
        <v>1151</v>
      </c>
      <c r="L63" s="668"/>
      <c r="M63" s="668"/>
      <c r="N63" s="668"/>
      <c r="O63" s="668"/>
      <c r="P63" s="669"/>
      <c r="Q63" s="668" t="s">
        <v>816</v>
      </c>
      <c r="R63" s="668"/>
      <c r="S63" s="678" t="s">
        <v>862</v>
      </c>
      <c r="T63" s="281"/>
      <c r="U63" s="668"/>
      <c r="V63" s="667" t="s">
        <v>863</v>
      </c>
      <c r="W63" s="667" t="s">
        <v>863</v>
      </c>
      <c r="X63" s="232"/>
      <c r="Y63" s="671"/>
      <c r="Z63" s="668"/>
      <c r="AA63" s="672"/>
      <c r="AB63" s="668"/>
      <c r="AC63" s="670">
        <v>1</v>
      </c>
      <c r="AD63" s="670">
        <v>1</v>
      </c>
    </row>
    <row r="64" spans="1:30" s="256" customFormat="1" ht="12.95" customHeight="1">
      <c r="A64" s="225">
        <v>46</v>
      </c>
      <c r="B64" s="217"/>
      <c r="C64" s="218"/>
      <c r="D64" s="241" t="s">
        <v>1152</v>
      </c>
      <c r="E64" s="241"/>
      <c r="F64" s="241"/>
      <c r="G64" s="241"/>
      <c r="H64" s="668" t="s">
        <v>1153</v>
      </c>
      <c r="I64" s="666">
        <v>33123452323</v>
      </c>
      <c r="J64" s="668"/>
      <c r="K64" s="666" t="s">
        <v>1154</v>
      </c>
      <c r="L64" s="668"/>
      <c r="M64" s="668"/>
      <c r="N64" s="668"/>
      <c r="O64" s="668"/>
      <c r="P64" s="669"/>
      <c r="Q64" s="668" t="s">
        <v>816</v>
      </c>
      <c r="R64" s="668"/>
      <c r="S64" s="668" t="s">
        <v>1091</v>
      </c>
      <c r="T64" s="670"/>
      <c r="U64" s="668"/>
      <c r="V64" s="667" t="s">
        <v>863</v>
      </c>
      <c r="W64" s="667" t="s">
        <v>863</v>
      </c>
      <c r="X64" s="232"/>
      <c r="Y64" s="671"/>
      <c r="Z64" s="668" t="s">
        <v>1155</v>
      </c>
      <c r="AA64" s="672"/>
      <c r="AB64" s="668"/>
      <c r="AC64" s="670"/>
      <c r="AD64" s="670">
        <v>1</v>
      </c>
    </row>
    <row r="65" spans="1:30" s="584" customFormat="1" ht="13.5" customHeight="1">
      <c r="A65" s="573">
        <v>47</v>
      </c>
      <c r="B65" s="574"/>
      <c r="C65" s="574" t="s">
        <v>1156</v>
      </c>
      <c r="D65" s="574"/>
      <c r="E65" s="574"/>
      <c r="F65" s="574"/>
      <c r="G65" s="574"/>
      <c r="H65" s="573"/>
      <c r="I65" s="577"/>
      <c r="J65" s="573" t="s">
        <v>1157</v>
      </c>
      <c r="K65" s="577" t="s">
        <v>1158</v>
      </c>
      <c r="L65" s="573"/>
      <c r="M65" s="573"/>
      <c r="N65" s="573"/>
      <c r="O65" s="573"/>
      <c r="P65" s="599"/>
      <c r="Q65" s="573" t="s">
        <v>816</v>
      </c>
      <c r="R65" s="573" t="s">
        <v>863</v>
      </c>
      <c r="S65" s="585" t="s">
        <v>1158</v>
      </c>
      <c r="T65" s="579"/>
      <c r="U65" s="573"/>
      <c r="V65" s="580"/>
      <c r="W65" s="580" t="s">
        <v>863</v>
      </c>
      <c r="X65" s="581"/>
      <c r="Y65" s="582"/>
      <c r="Z65" s="573"/>
      <c r="AA65" s="583"/>
      <c r="AB65" s="573"/>
      <c r="AC65" s="579">
        <v>1</v>
      </c>
      <c r="AD65" s="579"/>
    </row>
    <row r="66" spans="1:30" s="584" customFormat="1" ht="13.5" customHeight="1">
      <c r="A66" s="573">
        <v>48</v>
      </c>
      <c r="B66" s="574"/>
      <c r="C66" s="574"/>
      <c r="D66" s="574" t="s">
        <v>1159</v>
      </c>
      <c r="E66" s="574"/>
      <c r="F66" s="574"/>
      <c r="G66" s="574"/>
      <c r="H66" s="573" t="s">
        <v>1160</v>
      </c>
      <c r="I66" s="577" t="s">
        <v>929</v>
      </c>
      <c r="J66" s="573"/>
      <c r="K66" s="577" t="s">
        <v>1161</v>
      </c>
      <c r="L66" s="573"/>
      <c r="M66" s="573"/>
      <c r="N66" s="573"/>
      <c r="O66" s="573"/>
      <c r="P66" s="578"/>
      <c r="Q66" s="573" t="s">
        <v>819</v>
      </c>
      <c r="R66" s="573"/>
      <c r="S66" s="573" t="s">
        <v>878</v>
      </c>
      <c r="T66" s="579"/>
      <c r="U66" s="573"/>
      <c r="V66" s="580"/>
      <c r="W66" s="580" t="s">
        <v>863</v>
      </c>
      <c r="X66" s="581"/>
      <c r="Y66" s="582"/>
      <c r="Z66" s="573" t="s">
        <v>1162</v>
      </c>
      <c r="AA66" s="583"/>
      <c r="AB66" s="573"/>
      <c r="AC66" s="579"/>
      <c r="AD66" s="579">
        <v>1</v>
      </c>
    </row>
    <row r="67" spans="1:30" s="584" customFormat="1" ht="13.5" customHeight="1">
      <c r="A67" s="573">
        <v>49</v>
      </c>
      <c r="B67" s="574"/>
      <c r="C67" s="574"/>
      <c r="D67" s="574" t="s">
        <v>1163</v>
      </c>
      <c r="E67" s="574"/>
      <c r="F67" s="574"/>
      <c r="G67" s="574"/>
      <c r="H67" s="573" t="s">
        <v>1164</v>
      </c>
      <c r="I67" s="577"/>
      <c r="J67" s="573" t="s">
        <v>1165</v>
      </c>
      <c r="K67" s="577" t="s">
        <v>1165</v>
      </c>
      <c r="L67" s="573"/>
      <c r="M67" s="573"/>
      <c r="N67" s="573"/>
      <c r="O67" s="573"/>
      <c r="P67" s="599"/>
      <c r="Q67" s="573" t="s">
        <v>816</v>
      </c>
      <c r="R67" s="573" t="s">
        <v>863</v>
      </c>
      <c r="S67" s="585" t="s">
        <v>1165</v>
      </c>
      <c r="T67" s="579"/>
      <c r="U67" s="573"/>
      <c r="V67" s="580"/>
      <c r="W67" s="580" t="s">
        <v>863</v>
      </c>
      <c r="X67" s="581"/>
      <c r="Y67" s="582"/>
      <c r="Z67" s="573"/>
      <c r="AA67" s="583"/>
      <c r="AB67" s="573"/>
      <c r="AC67" s="579">
        <v>1</v>
      </c>
      <c r="AD67" s="579">
        <v>1</v>
      </c>
    </row>
    <row r="68" spans="1:30" s="613" customFormat="1" ht="13.5" customHeight="1">
      <c r="A68" s="605">
        <v>50</v>
      </c>
      <c r="B68" s="564"/>
      <c r="C68" s="217" t="s">
        <v>1166</v>
      </c>
      <c r="D68" s="564"/>
      <c r="E68" s="564"/>
      <c r="F68" s="564"/>
      <c r="G68" s="564"/>
      <c r="H68" s="605" t="s">
        <v>1167</v>
      </c>
      <c r="I68" s="606"/>
      <c r="J68" s="605" t="s">
        <v>1168</v>
      </c>
      <c r="K68" s="606" t="s">
        <v>1168</v>
      </c>
      <c r="L68" s="605"/>
      <c r="M68" s="605"/>
      <c r="N68" s="605"/>
      <c r="O68" s="605"/>
      <c r="P68" s="607"/>
      <c r="Q68" s="605" t="s">
        <v>819</v>
      </c>
      <c r="R68" s="605" t="s">
        <v>863</v>
      </c>
      <c r="S68" s="616" t="s">
        <v>1168</v>
      </c>
      <c r="T68" s="608"/>
      <c r="U68" s="605"/>
      <c r="V68" s="609" t="s">
        <v>863</v>
      </c>
      <c r="W68" s="609" t="s">
        <v>863</v>
      </c>
      <c r="X68" s="610"/>
      <c r="Y68" s="611"/>
      <c r="Z68" s="605"/>
      <c r="AA68" s="612"/>
      <c r="AB68" s="605"/>
      <c r="AC68" s="608">
        <v>1</v>
      </c>
      <c r="AD68" s="608">
        <v>1</v>
      </c>
    </row>
    <row r="69" spans="1:30" s="613" customFormat="1" ht="13.5" customHeight="1">
      <c r="A69" s="605">
        <v>51</v>
      </c>
      <c r="B69" s="564"/>
      <c r="C69" s="564"/>
      <c r="D69" s="564" t="s">
        <v>1169</v>
      </c>
      <c r="E69" s="564"/>
      <c r="F69" s="564"/>
      <c r="G69" s="564"/>
      <c r="H69" s="605" t="s">
        <v>1170</v>
      </c>
      <c r="I69" s="606" t="s">
        <v>1171</v>
      </c>
      <c r="J69" s="605" t="s">
        <v>1172</v>
      </c>
      <c r="K69" s="606" t="s">
        <v>1172</v>
      </c>
      <c r="L69" s="605"/>
      <c r="M69" s="605"/>
      <c r="N69" s="605"/>
      <c r="O69" s="605"/>
      <c r="P69" s="607"/>
      <c r="Q69" s="605" t="s">
        <v>819</v>
      </c>
      <c r="R69" s="605"/>
      <c r="S69" s="605" t="s">
        <v>1091</v>
      </c>
      <c r="T69" s="608"/>
      <c r="U69" s="605"/>
      <c r="V69" s="609" t="s">
        <v>863</v>
      </c>
      <c r="W69" s="609" t="s">
        <v>863</v>
      </c>
      <c r="X69" s="610"/>
      <c r="Y69" s="605" t="s">
        <v>1173</v>
      </c>
      <c r="Z69" s="605"/>
      <c r="AA69" s="612" t="s">
        <v>1174</v>
      </c>
      <c r="AB69" s="605"/>
      <c r="AC69" s="608">
        <v>1</v>
      </c>
      <c r="AD69" s="608">
        <v>1</v>
      </c>
    </row>
    <row r="70" spans="1:30" s="613" customFormat="1" ht="13.5" customHeight="1">
      <c r="A70" s="605">
        <v>52</v>
      </c>
      <c r="B70" s="564"/>
      <c r="C70" s="564"/>
      <c r="D70" s="564" t="s">
        <v>1175</v>
      </c>
      <c r="E70" s="564"/>
      <c r="F70" s="564"/>
      <c r="G70" s="564"/>
      <c r="H70" s="605" t="s">
        <v>1176</v>
      </c>
      <c r="I70" s="606" t="s">
        <v>1177</v>
      </c>
      <c r="J70" s="605" t="s">
        <v>1178</v>
      </c>
      <c r="K70" s="606" t="s">
        <v>1178</v>
      </c>
      <c r="L70" s="605"/>
      <c r="M70" s="605"/>
      <c r="N70" s="605"/>
      <c r="O70" s="605"/>
      <c r="P70" s="607"/>
      <c r="Q70" s="605" t="s">
        <v>819</v>
      </c>
      <c r="R70" s="605"/>
      <c r="S70" s="605" t="s">
        <v>1091</v>
      </c>
      <c r="T70" s="608"/>
      <c r="U70" s="605"/>
      <c r="V70" s="609" t="s">
        <v>863</v>
      </c>
      <c r="W70" s="609" t="s">
        <v>863</v>
      </c>
      <c r="X70" s="610"/>
      <c r="Y70" s="605" t="s">
        <v>1173</v>
      </c>
      <c r="Z70" s="605"/>
      <c r="AA70" s="612" t="s">
        <v>1174</v>
      </c>
      <c r="AB70" s="605"/>
      <c r="AC70" s="608">
        <v>1</v>
      </c>
      <c r="AD70" s="608">
        <v>1</v>
      </c>
    </row>
    <row r="71" spans="1:30" s="614" customFormat="1" ht="13.5" customHeight="1">
      <c r="A71" s="573">
        <v>53</v>
      </c>
      <c r="B71" s="574"/>
      <c r="C71" s="574"/>
      <c r="D71" s="574"/>
      <c r="E71" s="574"/>
      <c r="F71" s="574" t="s">
        <v>1179</v>
      </c>
      <c r="G71" s="575"/>
      <c r="H71" s="573" t="s">
        <v>1180</v>
      </c>
      <c r="I71" s="577">
        <v>120</v>
      </c>
      <c r="J71" s="573"/>
      <c r="K71" s="573" t="s">
        <v>1181</v>
      </c>
      <c r="L71" s="573"/>
      <c r="M71" s="573"/>
      <c r="N71" s="573"/>
      <c r="O71" s="573"/>
      <c r="P71" s="578"/>
      <c r="Q71" s="573" t="s">
        <v>816</v>
      </c>
      <c r="R71" s="573"/>
      <c r="S71" s="573" t="s">
        <v>1091</v>
      </c>
      <c r="T71" s="579"/>
      <c r="U71" s="573"/>
      <c r="V71" s="580"/>
      <c r="W71" s="580" t="s">
        <v>863</v>
      </c>
      <c r="X71" s="581"/>
      <c r="Y71" s="573" t="s">
        <v>1182</v>
      </c>
      <c r="Z71" s="573"/>
      <c r="AA71" s="583"/>
      <c r="AB71" s="573"/>
      <c r="AC71" s="579">
        <v>1</v>
      </c>
      <c r="AD71" s="579">
        <v>1</v>
      </c>
    </row>
    <row r="72" spans="1:30" s="614" customFormat="1" ht="13.5" customHeight="1">
      <c r="A72" s="573">
        <v>54</v>
      </c>
      <c r="B72" s="574"/>
      <c r="C72" s="574"/>
      <c r="D72" s="574"/>
      <c r="E72" s="574"/>
      <c r="F72" s="574" t="s">
        <v>1183</v>
      </c>
      <c r="G72" s="575"/>
      <c r="H72" s="573" t="s">
        <v>1184</v>
      </c>
      <c r="I72" s="577">
        <v>96</v>
      </c>
      <c r="J72" s="573"/>
      <c r="K72" s="573" t="s">
        <v>1185</v>
      </c>
      <c r="L72" s="573"/>
      <c r="M72" s="573"/>
      <c r="N72" s="573"/>
      <c r="O72" s="573"/>
      <c r="P72" s="578"/>
      <c r="Q72" s="573" t="s">
        <v>816</v>
      </c>
      <c r="R72" s="573"/>
      <c r="S72" s="573" t="s">
        <v>1091</v>
      </c>
      <c r="T72" s="579"/>
      <c r="U72" s="573"/>
      <c r="V72" s="580"/>
      <c r="W72" s="580" t="s">
        <v>863</v>
      </c>
      <c r="X72" s="581"/>
      <c r="Y72" s="573" t="s">
        <v>1186</v>
      </c>
      <c r="Z72" s="573"/>
      <c r="AA72" s="583"/>
      <c r="AB72" s="573"/>
      <c r="AC72" s="579">
        <v>1</v>
      </c>
      <c r="AD72" s="579">
        <v>1</v>
      </c>
    </row>
    <row r="73" spans="1:30" s="614" customFormat="1" ht="13.5" customHeight="1">
      <c r="A73" s="573">
        <v>55</v>
      </c>
      <c r="B73" s="574"/>
      <c r="C73" s="574"/>
      <c r="D73" s="574"/>
      <c r="E73" s="574"/>
      <c r="F73" s="574" t="s">
        <v>1187</v>
      </c>
      <c r="G73" s="575"/>
      <c r="H73" s="573" t="s">
        <v>1188</v>
      </c>
      <c r="I73" s="577">
        <v>34</v>
      </c>
      <c r="J73" s="573"/>
      <c r="K73" s="573" t="s">
        <v>1189</v>
      </c>
      <c r="L73" s="573"/>
      <c r="M73" s="573"/>
      <c r="N73" s="573"/>
      <c r="O73" s="573"/>
      <c r="P73" s="578"/>
      <c r="Q73" s="573" t="s">
        <v>816</v>
      </c>
      <c r="R73" s="573"/>
      <c r="S73" s="573" t="s">
        <v>1091</v>
      </c>
      <c r="T73" s="579"/>
      <c r="U73" s="573"/>
      <c r="V73" s="580"/>
      <c r="W73" s="580" t="s">
        <v>863</v>
      </c>
      <c r="X73" s="581"/>
      <c r="Y73" s="573" t="s">
        <v>1190</v>
      </c>
      <c r="Z73" s="573"/>
      <c r="AA73" s="583"/>
      <c r="AB73" s="573"/>
      <c r="AC73" s="579">
        <v>1</v>
      </c>
      <c r="AD73" s="579">
        <v>1</v>
      </c>
    </row>
    <row r="74" spans="1:30" s="614" customFormat="1" ht="13.5" customHeight="1">
      <c r="A74" s="573">
        <v>56</v>
      </c>
      <c r="B74" s="574"/>
      <c r="C74" s="574"/>
      <c r="D74" s="574"/>
      <c r="E74" s="574"/>
      <c r="F74" s="574" t="s">
        <v>1191</v>
      </c>
      <c r="G74" s="574"/>
      <c r="H74" s="573" t="s">
        <v>1192</v>
      </c>
      <c r="I74" s="577" t="s">
        <v>1193</v>
      </c>
      <c r="J74" s="573"/>
      <c r="K74" s="577" t="s">
        <v>1194</v>
      </c>
      <c r="L74" s="573"/>
      <c r="M74" s="573"/>
      <c r="N74" s="573"/>
      <c r="O74" s="573"/>
      <c r="P74" s="578"/>
      <c r="Q74" s="573" t="s">
        <v>819</v>
      </c>
      <c r="R74" s="573"/>
      <c r="S74" s="573" t="s">
        <v>862</v>
      </c>
      <c r="T74" s="579"/>
      <c r="U74" s="573" t="s">
        <v>1195</v>
      </c>
      <c r="V74" s="580"/>
      <c r="W74" s="580" t="s">
        <v>863</v>
      </c>
      <c r="X74" s="581"/>
      <c r="Y74" s="582"/>
      <c r="Z74" s="573"/>
      <c r="AA74" s="583"/>
      <c r="AB74" s="573"/>
      <c r="AC74" s="579"/>
      <c r="AD74" s="579">
        <v>1</v>
      </c>
    </row>
    <row r="75" spans="1:30" s="614" customFormat="1" ht="13.5" customHeight="1">
      <c r="A75" s="573">
        <v>57</v>
      </c>
      <c r="B75" s="574"/>
      <c r="C75" s="574"/>
      <c r="D75" s="574"/>
      <c r="E75" s="574" t="s">
        <v>1196</v>
      </c>
      <c r="F75" s="574"/>
      <c r="G75" s="574"/>
      <c r="H75" s="573" t="s">
        <v>1197</v>
      </c>
      <c r="I75" s="577" t="s">
        <v>1198</v>
      </c>
      <c r="J75" s="573" t="s">
        <v>1199</v>
      </c>
      <c r="K75" s="577" t="s">
        <v>1200</v>
      </c>
      <c r="L75" s="573"/>
      <c r="M75" s="573"/>
      <c r="N75" s="573"/>
      <c r="O75" s="573"/>
      <c r="P75" s="578">
        <v>1</v>
      </c>
      <c r="Q75" s="573" t="s">
        <v>816</v>
      </c>
      <c r="R75" s="573"/>
      <c r="S75" s="573" t="s">
        <v>862</v>
      </c>
      <c r="T75" s="579"/>
      <c r="U75" s="573"/>
      <c r="V75" s="580"/>
      <c r="W75" s="580" t="s">
        <v>863</v>
      </c>
      <c r="X75" s="581"/>
      <c r="Y75" s="582"/>
      <c r="Z75" s="573"/>
      <c r="AA75" s="583"/>
      <c r="AB75" s="573"/>
      <c r="AC75" s="579">
        <v>1</v>
      </c>
      <c r="AD75" s="579">
        <v>1</v>
      </c>
    </row>
    <row r="76" spans="1:30" s="614" customFormat="1" ht="12.95" customHeight="1">
      <c r="A76" s="573">
        <v>58</v>
      </c>
      <c r="B76" s="574"/>
      <c r="C76" s="574"/>
      <c r="D76" s="574" t="s">
        <v>1201</v>
      </c>
      <c r="E76" s="574"/>
      <c r="F76" s="574"/>
      <c r="G76" s="574"/>
      <c r="H76" s="573" t="s">
        <v>1202</v>
      </c>
      <c r="I76" s="577"/>
      <c r="J76" s="573" t="s">
        <v>1203</v>
      </c>
      <c r="K76" s="577" t="s">
        <v>1203</v>
      </c>
      <c r="L76" s="573"/>
      <c r="M76" s="573"/>
      <c r="N76" s="573"/>
      <c r="O76" s="573"/>
      <c r="P76" s="599"/>
      <c r="Q76" s="573" t="s">
        <v>816</v>
      </c>
      <c r="R76" s="573"/>
      <c r="S76" s="573" t="s">
        <v>862</v>
      </c>
      <c r="T76" s="579"/>
      <c r="U76" s="573"/>
      <c r="V76" s="580"/>
      <c r="W76" s="580" t="s">
        <v>863</v>
      </c>
      <c r="X76" s="581"/>
      <c r="Y76" s="582"/>
      <c r="Z76" s="573"/>
      <c r="AA76" s="583"/>
      <c r="AB76" s="573"/>
      <c r="AC76" s="579">
        <v>1</v>
      </c>
      <c r="AD76" s="579"/>
    </row>
    <row r="77" spans="1:30" s="584" customFormat="1" ht="13.5" customHeight="1">
      <c r="A77" s="573">
        <v>59</v>
      </c>
      <c r="B77" s="574"/>
      <c r="C77" s="574" t="s">
        <v>1204</v>
      </c>
      <c r="D77" s="574"/>
      <c r="E77" s="574"/>
      <c r="F77" s="574"/>
      <c r="G77" s="574"/>
      <c r="H77" s="573" t="s">
        <v>1205</v>
      </c>
      <c r="I77" s="577"/>
      <c r="J77" s="573" t="s">
        <v>941</v>
      </c>
      <c r="K77" s="577" t="s">
        <v>1206</v>
      </c>
      <c r="L77" s="573"/>
      <c r="M77" s="573"/>
      <c r="N77" s="573"/>
      <c r="O77" s="573"/>
      <c r="P77" s="599"/>
      <c r="Q77" s="573" t="s">
        <v>822</v>
      </c>
      <c r="R77" s="573" t="s">
        <v>863</v>
      </c>
      <c r="S77" s="585" t="s">
        <v>1206</v>
      </c>
      <c r="T77" s="579"/>
      <c r="U77" s="573"/>
      <c r="V77" s="580"/>
      <c r="W77" s="580" t="s">
        <v>863</v>
      </c>
      <c r="X77" s="581"/>
      <c r="Y77" s="582"/>
      <c r="Z77" s="573"/>
      <c r="AA77" s="583"/>
      <c r="AB77" s="573"/>
      <c r="AC77" s="579">
        <v>1</v>
      </c>
      <c r="AD77" s="579">
        <v>1</v>
      </c>
    </row>
    <row r="78" spans="1:30" s="584" customFormat="1" ht="13.5" customHeight="1">
      <c r="A78" s="573">
        <v>60</v>
      </c>
      <c r="B78" s="574"/>
      <c r="C78" s="574"/>
      <c r="D78" s="574" t="s">
        <v>1207</v>
      </c>
      <c r="E78" s="574"/>
      <c r="F78" s="574"/>
      <c r="G78" s="574"/>
      <c r="H78" s="573" t="s">
        <v>1208</v>
      </c>
      <c r="I78" s="577" t="s">
        <v>1209</v>
      </c>
      <c r="J78" s="573" t="s">
        <v>907</v>
      </c>
      <c r="K78" s="577" t="s">
        <v>938</v>
      </c>
      <c r="L78" s="573"/>
      <c r="M78" s="573"/>
      <c r="N78" s="573"/>
      <c r="O78" s="573"/>
      <c r="P78" s="599"/>
      <c r="Q78" s="573" t="s">
        <v>819</v>
      </c>
      <c r="R78" s="573"/>
      <c r="S78" s="573" t="s">
        <v>862</v>
      </c>
      <c r="T78" s="579"/>
      <c r="U78" s="573" t="s">
        <v>1210</v>
      </c>
      <c r="V78" s="580"/>
      <c r="W78" s="580" t="s">
        <v>863</v>
      </c>
      <c r="X78" s="581"/>
      <c r="Y78" s="582"/>
      <c r="Z78" s="573"/>
      <c r="AA78" s="583"/>
      <c r="AB78" s="573"/>
      <c r="AC78" s="579">
        <v>1</v>
      </c>
      <c r="AD78" s="579">
        <v>1</v>
      </c>
    </row>
    <row r="79" spans="1:30" s="584" customFormat="1" ht="13.5" customHeight="1">
      <c r="A79" s="573">
        <v>61</v>
      </c>
      <c r="B79" s="574"/>
      <c r="C79" s="574"/>
      <c r="D79" s="574" t="s">
        <v>1211</v>
      </c>
      <c r="E79" s="574"/>
      <c r="F79" s="574"/>
      <c r="G79" s="574"/>
      <c r="H79" s="573" t="s">
        <v>1212</v>
      </c>
      <c r="I79" s="577" t="s">
        <v>1213</v>
      </c>
      <c r="J79" s="573" t="s">
        <v>969</v>
      </c>
      <c r="K79" s="577" t="s">
        <v>969</v>
      </c>
      <c r="L79" s="573"/>
      <c r="M79" s="573"/>
      <c r="N79" s="573"/>
      <c r="O79" s="573"/>
      <c r="P79" s="599"/>
      <c r="Q79" s="573" t="s">
        <v>819</v>
      </c>
      <c r="R79" s="573"/>
      <c r="S79" s="573" t="s">
        <v>862</v>
      </c>
      <c r="T79" s="579"/>
      <c r="U79" s="573" t="s">
        <v>1214</v>
      </c>
      <c r="V79" s="580"/>
      <c r="W79" s="580" t="s">
        <v>863</v>
      </c>
      <c r="X79" s="581"/>
      <c r="Y79" s="582"/>
      <c r="Z79" s="573"/>
      <c r="AA79" s="583"/>
      <c r="AB79" s="573"/>
      <c r="AC79" s="579">
        <v>1</v>
      </c>
      <c r="AD79" s="579">
        <v>1</v>
      </c>
    </row>
    <row r="80" spans="1:30" s="584" customFormat="1" ht="12.95" customHeight="1">
      <c r="A80" s="573">
        <v>62</v>
      </c>
      <c r="B80" s="574"/>
      <c r="C80" s="574"/>
      <c r="D80" s="574" t="s">
        <v>1076</v>
      </c>
      <c r="E80" s="574"/>
      <c r="F80" s="574"/>
      <c r="G80" s="574"/>
      <c r="H80" s="573" t="s">
        <v>1215</v>
      </c>
      <c r="I80" s="577" t="s">
        <v>1216</v>
      </c>
      <c r="J80" s="573" t="s">
        <v>1217</v>
      </c>
      <c r="K80" s="577" t="s">
        <v>1218</v>
      </c>
      <c r="L80" s="573"/>
      <c r="M80" s="573"/>
      <c r="N80" s="573"/>
      <c r="O80" s="573"/>
      <c r="P80" s="599"/>
      <c r="Q80" s="573" t="s">
        <v>819</v>
      </c>
      <c r="R80" s="573"/>
      <c r="S80" s="604" t="s">
        <v>862</v>
      </c>
      <c r="T80" s="579"/>
      <c r="U80" s="573"/>
      <c r="V80" s="580"/>
      <c r="W80" s="580" t="s">
        <v>863</v>
      </c>
      <c r="X80" s="581"/>
      <c r="Y80" s="582"/>
      <c r="Z80" s="573"/>
      <c r="AA80" s="583"/>
      <c r="AB80" s="573"/>
      <c r="AC80" s="579">
        <v>1</v>
      </c>
      <c r="AD80" s="579">
        <v>1</v>
      </c>
    </row>
    <row r="81" spans="1:1018" s="224" customFormat="1" ht="13.5" customHeight="1">
      <c r="A81" s="225">
        <v>63</v>
      </c>
      <c r="B81" s="217"/>
      <c r="C81" s="217" t="s">
        <v>264</v>
      </c>
      <c r="D81" s="217"/>
      <c r="E81" s="217"/>
      <c r="F81" s="217"/>
      <c r="G81" s="217"/>
      <c r="H81" s="668"/>
      <c r="I81" s="666" t="s">
        <v>1219</v>
      </c>
      <c r="J81" s="668" t="s">
        <v>1220</v>
      </c>
      <c r="K81" s="666"/>
      <c r="L81" s="668"/>
      <c r="M81" s="668"/>
      <c r="N81" s="668"/>
      <c r="O81" s="668"/>
      <c r="P81" s="252"/>
      <c r="Q81" s="668" t="s">
        <v>819</v>
      </c>
      <c r="R81" s="668"/>
      <c r="S81" s="678" t="s">
        <v>862</v>
      </c>
      <c r="T81" s="281"/>
      <c r="U81" s="668" t="s">
        <v>1221</v>
      </c>
      <c r="V81" s="667" t="s">
        <v>863</v>
      </c>
      <c r="W81" s="667" t="s">
        <v>863</v>
      </c>
      <c r="X81" s="232"/>
      <c r="Y81" s="671"/>
      <c r="Z81" s="668" t="s">
        <v>1222</v>
      </c>
      <c r="AA81" s="245" t="s">
        <v>1223</v>
      </c>
      <c r="AB81" s="668"/>
      <c r="AC81" s="670"/>
      <c r="AD81" s="670">
        <v>1</v>
      </c>
    </row>
    <row r="82" spans="1:1018" s="224" customFormat="1" ht="13.5" customHeight="1">
      <c r="A82" s="225">
        <v>64</v>
      </c>
      <c r="B82" s="217"/>
      <c r="C82" s="217" t="s">
        <v>767</v>
      </c>
      <c r="D82" s="217"/>
      <c r="E82" s="217"/>
      <c r="F82" s="217"/>
      <c r="G82" s="217"/>
      <c r="H82" s="668" t="s">
        <v>1224</v>
      </c>
      <c r="I82" s="666" t="s">
        <v>1225</v>
      </c>
      <c r="J82" s="668" t="s">
        <v>1226</v>
      </c>
      <c r="K82" s="666" t="s">
        <v>938</v>
      </c>
      <c r="L82" s="668" t="s">
        <v>1227</v>
      </c>
      <c r="M82" s="668" t="s">
        <v>1228</v>
      </c>
      <c r="N82" s="668"/>
      <c r="O82" s="668"/>
      <c r="P82" s="252"/>
      <c r="Q82" s="668" t="s">
        <v>816</v>
      </c>
      <c r="R82" s="668"/>
      <c r="S82" s="668" t="s">
        <v>862</v>
      </c>
      <c r="T82" s="670"/>
      <c r="U82" s="668"/>
      <c r="V82" s="667" t="s">
        <v>863</v>
      </c>
      <c r="W82" s="667" t="s">
        <v>863</v>
      </c>
      <c r="X82" s="232"/>
      <c r="Y82" s="671"/>
      <c r="Z82" s="668"/>
      <c r="AA82" s="672"/>
      <c r="AB82" s="668"/>
      <c r="AC82" s="670">
        <v>1</v>
      </c>
      <c r="AD82" s="670">
        <v>1</v>
      </c>
    </row>
    <row r="83" spans="1:1018" s="224" customFormat="1" ht="13.5" customHeight="1">
      <c r="A83" s="225">
        <v>65</v>
      </c>
      <c r="B83" s="217" t="s">
        <v>1229</v>
      </c>
      <c r="C83" s="242"/>
      <c r="D83" s="241"/>
      <c r="E83" s="241"/>
      <c r="F83" s="241"/>
      <c r="G83" s="241"/>
      <c r="H83" s="668" t="s">
        <v>1230</v>
      </c>
      <c r="I83" s="666"/>
      <c r="J83" s="668" t="s">
        <v>1231</v>
      </c>
      <c r="K83" s="666" t="s">
        <v>1232</v>
      </c>
      <c r="L83" s="668"/>
      <c r="M83" s="668"/>
      <c r="N83" s="668"/>
      <c r="O83" s="668"/>
      <c r="P83" s="669"/>
      <c r="Q83" s="668" t="s">
        <v>816</v>
      </c>
      <c r="R83" s="668" t="s">
        <v>863</v>
      </c>
      <c r="S83" s="243" t="s">
        <v>1233</v>
      </c>
      <c r="T83" s="282"/>
      <c r="U83" s="668"/>
      <c r="V83" s="667"/>
      <c r="W83" s="667" t="s">
        <v>863</v>
      </c>
      <c r="X83" s="232"/>
      <c r="Y83" s="671"/>
      <c r="Z83" s="668"/>
      <c r="AA83" s="672"/>
      <c r="AB83" s="668"/>
      <c r="AC83" s="670">
        <v>1</v>
      </c>
      <c r="AD83" s="670">
        <v>1</v>
      </c>
    </row>
    <row r="84" spans="1:1018" s="584" customFormat="1" ht="13.5" customHeight="1">
      <c r="A84" s="573">
        <v>66</v>
      </c>
      <c r="B84" s="574"/>
      <c r="C84" s="574" t="s">
        <v>1234</v>
      </c>
      <c r="D84" s="574"/>
      <c r="E84" s="574"/>
      <c r="F84" s="574"/>
      <c r="G84" s="574"/>
      <c r="H84" s="573" t="s">
        <v>1235</v>
      </c>
      <c r="I84" s="577" t="s">
        <v>1236</v>
      </c>
      <c r="J84" s="573" t="s">
        <v>1237</v>
      </c>
      <c r="K84" s="577" t="s">
        <v>1217</v>
      </c>
      <c r="L84" s="573"/>
      <c r="M84" s="573"/>
      <c r="N84" s="573"/>
      <c r="O84" s="573"/>
      <c r="P84" s="578">
        <v>1</v>
      </c>
      <c r="Q84" s="573" t="s">
        <v>819</v>
      </c>
      <c r="R84" s="573"/>
      <c r="S84" s="573" t="s">
        <v>862</v>
      </c>
      <c r="T84" s="579"/>
      <c r="U84" s="573"/>
      <c r="V84" s="580"/>
      <c r="W84" s="580" t="s">
        <v>863</v>
      </c>
      <c r="X84" s="581"/>
      <c r="Y84" s="582"/>
      <c r="Z84" s="573"/>
      <c r="AA84" s="583"/>
      <c r="AB84" s="573"/>
      <c r="AC84" s="579">
        <v>1</v>
      </c>
      <c r="AD84" s="579">
        <v>1</v>
      </c>
    </row>
    <row r="85" spans="1:1018" s="584" customFormat="1" ht="13.5" customHeight="1">
      <c r="A85" s="573">
        <v>67</v>
      </c>
      <c r="B85" s="574"/>
      <c r="C85" s="574" t="s">
        <v>1238</v>
      </c>
      <c r="D85" s="574"/>
      <c r="E85" s="574"/>
      <c r="F85" s="574"/>
      <c r="G85" s="574"/>
      <c r="H85" s="573" t="s">
        <v>1239</v>
      </c>
      <c r="I85" s="577" t="s">
        <v>1240</v>
      </c>
      <c r="J85" s="573" t="s">
        <v>1241</v>
      </c>
      <c r="K85" s="577" t="s">
        <v>1242</v>
      </c>
      <c r="L85" s="573" t="s">
        <v>1243</v>
      </c>
      <c r="M85" s="617" t="s">
        <v>1244</v>
      </c>
      <c r="N85" s="617"/>
      <c r="O85" s="573"/>
      <c r="P85" s="578"/>
      <c r="Q85" s="573" t="s">
        <v>819</v>
      </c>
      <c r="R85" s="573"/>
      <c r="S85" s="573" t="s">
        <v>878</v>
      </c>
      <c r="T85" s="579"/>
      <c r="U85" s="573" t="s">
        <v>931</v>
      </c>
      <c r="V85" s="580"/>
      <c r="W85" s="580" t="s">
        <v>863</v>
      </c>
      <c r="X85" s="581"/>
      <c r="Y85" s="582"/>
      <c r="Z85" s="573" t="s">
        <v>1162</v>
      </c>
      <c r="AA85" s="583"/>
      <c r="AB85" s="573"/>
      <c r="AC85" s="579">
        <v>1</v>
      </c>
      <c r="AD85" s="579">
        <v>1</v>
      </c>
    </row>
    <row r="86" spans="1:1018" s="614" customFormat="1" ht="13.5" customHeight="1">
      <c r="A86" s="573">
        <v>68</v>
      </c>
      <c r="B86" s="574"/>
      <c r="C86" s="574" t="s">
        <v>1245</v>
      </c>
      <c r="D86" s="574"/>
      <c r="E86" s="575"/>
      <c r="F86" s="574"/>
      <c r="G86" s="574"/>
      <c r="H86" s="573" t="s">
        <v>1246</v>
      </c>
      <c r="I86" s="577" t="s">
        <v>1247</v>
      </c>
      <c r="J86" s="573"/>
      <c r="K86" s="577" t="s">
        <v>1248</v>
      </c>
      <c r="L86" s="573"/>
      <c r="M86" s="573"/>
      <c r="N86" s="573"/>
      <c r="O86" s="573"/>
      <c r="P86" s="578">
        <v>1</v>
      </c>
      <c r="Q86" s="573" t="s">
        <v>819</v>
      </c>
      <c r="R86" s="573"/>
      <c r="S86" s="573" t="s">
        <v>862</v>
      </c>
      <c r="T86" s="579"/>
      <c r="U86" s="573" t="s">
        <v>1249</v>
      </c>
      <c r="V86" s="580"/>
      <c r="W86" s="580" t="s">
        <v>863</v>
      </c>
      <c r="X86" s="581"/>
      <c r="Y86" s="582"/>
      <c r="Z86" s="573" t="s">
        <v>991</v>
      </c>
      <c r="AA86" s="583"/>
      <c r="AB86" s="573"/>
      <c r="AC86" s="579">
        <v>1</v>
      </c>
      <c r="AD86" s="579">
        <v>1</v>
      </c>
    </row>
    <row r="87" spans="1:1018" s="584" customFormat="1" ht="13.5" customHeight="1">
      <c r="A87" s="573">
        <v>69</v>
      </c>
      <c r="B87" s="574"/>
      <c r="C87" s="574" t="s">
        <v>1250</v>
      </c>
      <c r="D87" s="574"/>
      <c r="E87" s="574"/>
      <c r="F87" s="574"/>
      <c r="G87" s="574"/>
      <c r="H87" s="573" t="s">
        <v>1251</v>
      </c>
      <c r="I87" s="577" t="s">
        <v>1252</v>
      </c>
      <c r="J87" s="573" t="s">
        <v>1226</v>
      </c>
      <c r="K87" s="577" t="s">
        <v>938</v>
      </c>
      <c r="L87" s="573" t="s">
        <v>1253</v>
      </c>
      <c r="M87" s="573" t="s">
        <v>1254</v>
      </c>
      <c r="N87" s="573"/>
      <c r="O87" s="573"/>
      <c r="P87" s="578">
        <v>1</v>
      </c>
      <c r="Q87" s="573" t="s">
        <v>816</v>
      </c>
      <c r="R87" s="573"/>
      <c r="S87" s="573" t="s">
        <v>862</v>
      </c>
      <c r="T87" s="579"/>
      <c r="U87" s="573"/>
      <c r="V87" s="580"/>
      <c r="W87" s="580" t="s">
        <v>863</v>
      </c>
      <c r="X87" s="581"/>
      <c r="Y87" s="582"/>
      <c r="Z87" s="573"/>
      <c r="AA87" s="583"/>
      <c r="AB87" s="573"/>
      <c r="AC87" s="579">
        <v>1</v>
      </c>
      <c r="AD87" s="579">
        <v>1</v>
      </c>
    </row>
    <row r="88" spans="1:1018" s="224" customFormat="1" ht="13.5" customHeight="1">
      <c r="A88" s="225">
        <v>70</v>
      </c>
      <c r="B88" s="217"/>
      <c r="C88" s="597" t="s">
        <v>1255</v>
      </c>
      <c r="D88" s="217"/>
      <c r="E88" s="217"/>
      <c r="F88" s="217"/>
      <c r="G88" s="217"/>
      <c r="H88" s="668" t="s">
        <v>1256</v>
      </c>
      <c r="I88" s="666"/>
      <c r="J88" s="668" t="s">
        <v>1257</v>
      </c>
      <c r="K88" s="666"/>
      <c r="L88" s="668"/>
      <c r="M88" s="668"/>
      <c r="N88" s="668"/>
      <c r="O88" s="668"/>
      <c r="P88" s="669"/>
      <c r="Q88" s="668" t="s">
        <v>819</v>
      </c>
      <c r="R88" s="668" t="s">
        <v>863</v>
      </c>
      <c r="S88" s="243" t="s">
        <v>1257</v>
      </c>
      <c r="T88" s="670"/>
      <c r="U88" s="668"/>
      <c r="V88" s="667" t="s">
        <v>863</v>
      </c>
      <c r="W88" s="667" t="s">
        <v>863</v>
      </c>
      <c r="X88" s="232"/>
      <c r="Y88" s="671"/>
      <c r="Z88" s="668"/>
      <c r="AA88" s="672"/>
      <c r="AB88" s="668"/>
      <c r="AC88" s="670"/>
      <c r="AD88" s="670">
        <v>1</v>
      </c>
    </row>
    <row r="89" spans="1:1018" s="584" customFormat="1" ht="13.5" customHeight="1">
      <c r="A89" s="573">
        <v>71</v>
      </c>
      <c r="B89" s="574"/>
      <c r="C89" s="574"/>
      <c r="D89" s="574" t="s">
        <v>1258</v>
      </c>
      <c r="E89" s="574"/>
      <c r="F89" s="574"/>
      <c r="G89" s="574"/>
      <c r="H89" s="573" t="s">
        <v>1259</v>
      </c>
      <c r="I89" s="577"/>
      <c r="J89" s="573" t="s">
        <v>1260</v>
      </c>
      <c r="K89" s="577" t="s">
        <v>1261</v>
      </c>
      <c r="L89" s="573" t="s">
        <v>1262</v>
      </c>
      <c r="M89" s="573" t="s">
        <v>262</v>
      </c>
      <c r="N89" s="573"/>
      <c r="O89" s="573"/>
      <c r="P89" s="578">
        <v>1</v>
      </c>
      <c r="Q89" s="573" t="s">
        <v>816</v>
      </c>
      <c r="R89" s="573" t="s">
        <v>863</v>
      </c>
      <c r="S89" s="585" t="s">
        <v>1263</v>
      </c>
      <c r="T89" s="579"/>
      <c r="U89" s="573"/>
      <c r="V89" s="580"/>
      <c r="W89" s="580" t="s">
        <v>863</v>
      </c>
      <c r="X89" s="581"/>
      <c r="Y89" s="582"/>
      <c r="Z89" s="573"/>
      <c r="AA89" s="583" t="s">
        <v>1264</v>
      </c>
      <c r="AB89" s="573"/>
      <c r="AC89" s="579"/>
      <c r="AD89" s="579">
        <v>1</v>
      </c>
    </row>
    <row r="90" spans="1:1018" s="584" customFormat="1" ht="13.5" customHeight="1">
      <c r="A90" s="573">
        <v>72</v>
      </c>
      <c r="B90" s="574"/>
      <c r="C90" s="574"/>
      <c r="D90" s="574"/>
      <c r="E90" s="574" t="s">
        <v>1265</v>
      </c>
      <c r="F90" s="574"/>
      <c r="G90" s="574"/>
      <c r="H90" s="573" t="s">
        <v>1266</v>
      </c>
      <c r="I90" s="577" t="s">
        <v>1267</v>
      </c>
      <c r="J90" s="573"/>
      <c r="K90" s="577" t="s">
        <v>969</v>
      </c>
      <c r="L90" s="573"/>
      <c r="M90" s="573"/>
      <c r="N90" s="573"/>
      <c r="O90" s="573"/>
      <c r="P90" s="578"/>
      <c r="Q90" s="573" t="s">
        <v>819</v>
      </c>
      <c r="R90" s="573"/>
      <c r="S90" s="573" t="s">
        <v>862</v>
      </c>
      <c r="T90" s="579"/>
      <c r="U90" s="573" t="s">
        <v>1268</v>
      </c>
      <c r="V90" s="580"/>
      <c r="W90" s="580" t="s">
        <v>863</v>
      </c>
      <c r="X90" s="581"/>
      <c r="Y90" s="582"/>
      <c r="Z90" s="629" t="s">
        <v>1269</v>
      </c>
      <c r="AA90" s="583"/>
      <c r="AB90" s="573"/>
      <c r="AC90" s="579"/>
      <c r="AD90" s="579">
        <v>1</v>
      </c>
    </row>
    <row r="91" spans="1:1018" s="630" customFormat="1" ht="12" customHeight="1">
      <c r="A91" s="573">
        <v>73</v>
      </c>
      <c r="C91" s="584"/>
      <c r="D91" s="584"/>
      <c r="E91" s="584" t="s">
        <v>1270</v>
      </c>
      <c r="F91" s="584"/>
      <c r="G91" s="573"/>
      <c r="H91" s="573" t="s">
        <v>1271</v>
      </c>
      <c r="I91" s="631" t="s">
        <v>1272</v>
      </c>
      <c r="J91" s="573"/>
      <c r="K91" s="577" t="s">
        <v>1119</v>
      </c>
      <c r="L91" s="573"/>
      <c r="M91" s="573"/>
      <c r="N91" s="573"/>
      <c r="O91" s="573"/>
      <c r="P91" s="578"/>
      <c r="Q91" s="573" t="s">
        <v>819</v>
      </c>
      <c r="R91" s="573"/>
      <c r="S91" s="573" t="s">
        <v>862</v>
      </c>
      <c r="T91" s="632"/>
      <c r="U91" s="573"/>
      <c r="V91" s="579"/>
      <c r="W91" s="579" t="s">
        <v>863</v>
      </c>
      <c r="X91" s="581"/>
      <c r="Y91" s="633"/>
      <c r="Z91" s="634"/>
      <c r="AA91" s="635"/>
      <c r="AB91" s="634"/>
      <c r="AC91" s="636"/>
      <c r="AD91" s="579">
        <v>1</v>
      </c>
      <c r="AF91" s="636"/>
      <c r="AMA91" s="636"/>
      <c r="AMB91" s="636"/>
      <c r="AMC91" s="636"/>
      <c r="AMD91" s="636"/>
    </row>
    <row r="92" spans="1:1018" s="224" customFormat="1" ht="13.5" customHeight="1">
      <c r="A92" s="225">
        <v>74</v>
      </c>
      <c r="B92" s="217"/>
      <c r="C92" s="677"/>
      <c r="D92" s="677" t="s">
        <v>1273</v>
      </c>
      <c r="E92" s="219" t="s">
        <v>1274</v>
      </c>
      <c r="F92" s="677"/>
      <c r="G92" s="677"/>
      <c r="H92" s="668" t="s">
        <v>1275</v>
      </c>
      <c r="I92" s="666"/>
      <c r="J92" s="668"/>
      <c r="K92" s="666" t="s">
        <v>1276</v>
      </c>
      <c r="L92" s="668" t="s">
        <v>1277</v>
      </c>
      <c r="M92" s="668" t="s">
        <v>1278</v>
      </c>
      <c r="N92" s="668"/>
      <c r="O92" s="668"/>
      <c r="P92" s="669">
        <v>1</v>
      </c>
      <c r="Q92" s="668" t="s">
        <v>816</v>
      </c>
      <c r="R92" s="668" t="s">
        <v>863</v>
      </c>
      <c r="S92" s="243" t="s">
        <v>1263</v>
      </c>
      <c r="T92" s="670"/>
      <c r="U92" s="668"/>
      <c r="V92" s="667" t="s">
        <v>863</v>
      </c>
      <c r="W92" s="667" t="s">
        <v>863</v>
      </c>
      <c r="X92" s="232"/>
      <c r="Y92" s="671"/>
      <c r="Z92" s="668"/>
      <c r="AA92" s="245" t="s">
        <v>1264</v>
      </c>
      <c r="AB92" s="668"/>
      <c r="AC92" s="670"/>
      <c r="AD92" s="670">
        <v>1</v>
      </c>
    </row>
    <row r="93" spans="1:1018" s="584" customFormat="1" ht="13.5" customHeight="1">
      <c r="A93" s="573">
        <v>75</v>
      </c>
      <c r="B93" s="574"/>
      <c r="C93" s="574"/>
      <c r="D93" s="574" t="s">
        <v>1279</v>
      </c>
      <c r="E93" s="574"/>
      <c r="F93" s="574"/>
      <c r="G93" s="574"/>
      <c r="H93" s="573" t="s">
        <v>1280</v>
      </c>
      <c r="I93" s="577" t="s">
        <v>1281</v>
      </c>
      <c r="J93" s="573" t="s">
        <v>1282</v>
      </c>
      <c r="K93" s="577" t="s">
        <v>1283</v>
      </c>
      <c r="L93" s="573"/>
      <c r="M93" s="573"/>
      <c r="N93" s="573"/>
      <c r="O93" s="573"/>
      <c r="P93" s="578"/>
      <c r="Q93" s="573" t="s">
        <v>816</v>
      </c>
      <c r="R93" s="573"/>
      <c r="S93" s="573" t="s">
        <v>862</v>
      </c>
      <c r="T93" s="579"/>
      <c r="U93" s="573" t="s">
        <v>1221</v>
      </c>
      <c r="V93" s="580"/>
      <c r="W93" s="580" t="s">
        <v>863</v>
      </c>
      <c r="X93" s="581"/>
      <c r="Y93" s="582"/>
      <c r="Z93" s="573"/>
      <c r="AA93" s="583" t="s">
        <v>1284</v>
      </c>
      <c r="AB93" s="573"/>
      <c r="AC93" s="579"/>
      <c r="AD93" s="579">
        <v>1</v>
      </c>
      <c r="AF93" s="628"/>
    </row>
    <row r="94" spans="1:1018" s="626" customFormat="1" ht="13.5" customHeight="1">
      <c r="A94" s="618">
        <v>76</v>
      </c>
      <c r="B94" s="597"/>
      <c r="C94" s="597"/>
      <c r="D94" s="597" t="s">
        <v>1285</v>
      </c>
      <c r="E94" s="597"/>
      <c r="F94" s="597"/>
      <c r="G94" s="597"/>
      <c r="H94" s="618" t="s">
        <v>1286</v>
      </c>
      <c r="I94" s="619" t="s">
        <v>1287</v>
      </c>
      <c r="J94" s="618"/>
      <c r="K94" s="619" t="s">
        <v>969</v>
      </c>
      <c r="L94" s="618"/>
      <c r="M94" s="618"/>
      <c r="N94" s="618"/>
      <c r="O94" s="618"/>
      <c r="P94" s="620"/>
      <c r="Q94" s="618" t="s">
        <v>816</v>
      </c>
      <c r="R94" s="618"/>
      <c r="S94" s="618" t="s">
        <v>862</v>
      </c>
      <c r="T94" s="621"/>
      <c r="U94" s="618"/>
      <c r="V94" s="622" t="s">
        <v>863</v>
      </c>
      <c r="W94" s="622" t="s">
        <v>863</v>
      </c>
      <c r="X94" s="623"/>
      <c r="Y94" s="624" t="s">
        <v>1288</v>
      </c>
      <c r="Z94" s="618" t="s">
        <v>1289</v>
      </c>
      <c r="AA94" s="625" t="s">
        <v>1290</v>
      </c>
      <c r="AB94" s="618"/>
      <c r="AC94" s="621"/>
      <c r="AD94" s="621">
        <v>1</v>
      </c>
      <c r="AF94" s="627"/>
    </row>
    <row r="95" spans="1:1018" s="584" customFormat="1" ht="13.5" customHeight="1">
      <c r="A95" s="573">
        <v>77</v>
      </c>
      <c r="B95" s="574"/>
      <c r="C95" s="574"/>
      <c r="D95" s="574" t="s">
        <v>1291</v>
      </c>
      <c r="E95" s="574"/>
      <c r="F95" s="574"/>
      <c r="G95" s="574"/>
      <c r="H95" s="573" t="s">
        <v>1292</v>
      </c>
      <c r="I95" s="577" t="s">
        <v>1293</v>
      </c>
      <c r="J95" s="573"/>
      <c r="K95" s="577" t="s">
        <v>909</v>
      </c>
      <c r="L95" s="573"/>
      <c r="M95" s="573"/>
      <c r="N95" s="573"/>
      <c r="O95" s="573"/>
      <c r="P95" s="578"/>
      <c r="Q95" s="573" t="s">
        <v>816</v>
      </c>
      <c r="R95" s="573"/>
      <c r="S95" s="573" t="s">
        <v>862</v>
      </c>
      <c r="T95" s="579"/>
      <c r="U95" s="573"/>
      <c r="V95" s="580"/>
      <c r="W95" s="580" t="s">
        <v>863</v>
      </c>
      <c r="X95" s="581"/>
      <c r="Y95" s="582" t="s">
        <v>1294</v>
      </c>
      <c r="Z95" s="573" t="s">
        <v>1289</v>
      </c>
      <c r="AA95" s="583"/>
      <c r="AB95" s="573"/>
      <c r="AC95" s="579"/>
      <c r="AD95" s="579">
        <v>1</v>
      </c>
      <c r="AF95" s="628"/>
    </row>
    <row r="96" spans="1:1018" s="584" customFormat="1" ht="13.5" customHeight="1">
      <c r="A96" s="573">
        <v>78</v>
      </c>
      <c r="B96" s="574"/>
      <c r="C96" s="574"/>
      <c r="D96" s="574" t="s">
        <v>1295</v>
      </c>
      <c r="E96" s="574"/>
      <c r="F96" s="574"/>
      <c r="G96" s="574"/>
      <c r="H96" s="573" t="s">
        <v>1296</v>
      </c>
      <c r="I96" s="577" t="s">
        <v>1297</v>
      </c>
      <c r="J96" s="573" t="s">
        <v>938</v>
      </c>
      <c r="K96" s="577" t="s">
        <v>938</v>
      </c>
      <c r="L96" s="573" t="s">
        <v>1298</v>
      </c>
      <c r="M96" s="573" t="s">
        <v>1299</v>
      </c>
      <c r="N96" s="573"/>
      <c r="O96" s="573"/>
      <c r="P96" s="578">
        <v>1</v>
      </c>
      <c r="Q96" s="573" t="s">
        <v>816</v>
      </c>
      <c r="R96" s="573"/>
      <c r="S96" s="573" t="s">
        <v>862</v>
      </c>
      <c r="T96" s="579"/>
      <c r="U96" s="573"/>
      <c r="V96" s="580"/>
      <c r="W96" s="580" t="s">
        <v>863</v>
      </c>
      <c r="X96" s="581"/>
      <c r="Y96" s="582"/>
      <c r="Z96" s="573"/>
      <c r="AA96" s="583"/>
      <c r="AB96" s="573"/>
      <c r="AC96" s="579"/>
      <c r="AD96" s="579">
        <v>1</v>
      </c>
    </row>
    <row r="97" spans="1:1014" s="224" customFormat="1" ht="13.5" customHeight="1">
      <c r="A97" s="225">
        <v>79</v>
      </c>
      <c r="B97" s="217"/>
      <c r="C97" s="677"/>
      <c r="D97" s="241" t="s">
        <v>1300</v>
      </c>
      <c r="E97" s="677"/>
      <c r="F97" s="241"/>
      <c r="G97" s="241"/>
      <c r="H97" s="668"/>
      <c r="I97" s="666"/>
      <c r="J97" s="668" t="s">
        <v>1301</v>
      </c>
      <c r="K97" s="666" t="s">
        <v>1302</v>
      </c>
      <c r="L97" s="668"/>
      <c r="M97" s="668"/>
      <c r="N97" s="668"/>
      <c r="O97" s="668"/>
      <c r="P97" s="669"/>
      <c r="Q97" s="668" t="s">
        <v>816</v>
      </c>
      <c r="R97" s="668" t="s">
        <v>863</v>
      </c>
      <c r="S97" s="668" t="s">
        <v>1302</v>
      </c>
      <c r="T97" s="670"/>
      <c r="U97" s="668"/>
      <c r="V97" s="667" t="s">
        <v>863</v>
      </c>
      <c r="W97" s="667" t="s">
        <v>863</v>
      </c>
      <c r="X97" s="232"/>
      <c r="Y97" s="671"/>
      <c r="Z97" s="668"/>
      <c r="AA97" s="672"/>
      <c r="AB97" s="668"/>
      <c r="AC97" s="670">
        <v>1</v>
      </c>
      <c r="AD97" s="670">
        <v>1</v>
      </c>
    </row>
    <row r="98" spans="1:1014" s="224" customFormat="1" ht="13.5" customHeight="1">
      <c r="A98" s="225">
        <v>80</v>
      </c>
      <c r="B98" s="217"/>
      <c r="C98" s="677"/>
      <c r="D98" s="677"/>
      <c r="E98" s="677" t="s">
        <v>1303</v>
      </c>
      <c r="F98" s="677"/>
      <c r="G98" s="677"/>
      <c r="H98" s="668" t="s">
        <v>1304</v>
      </c>
      <c r="I98" s="666" t="s">
        <v>1305</v>
      </c>
      <c r="J98" s="668"/>
      <c r="K98" s="666" t="s">
        <v>1086</v>
      </c>
      <c r="L98" s="668" t="s">
        <v>1306</v>
      </c>
      <c r="M98" s="668" t="s">
        <v>1307</v>
      </c>
      <c r="N98" s="668"/>
      <c r="O98" s="668"/>
      <c r="P98" s="669"/>
      <c r="Q98" s="668" t="s">
        <v>819</v>
      </c>
      <c r="R98" s="668"/>
      <c r="S98" s="668" t="s">
        <v>862</v>
      </c>
      <c r="T98" s="670"/>
      <c r="U98" s="668" t="s">
        <v>1308</v>
      </c>
      <c r="V98" s="667" t="s">
        <v>863</v>
      </c>
      <c r="W98" s="667" t="s">
        <v>863</v>
      </c>
      <c r="X98" s="232"/>
      <c r="Y98" s="671"/>
      <c r="Z98" s="668"/>
      <c r="AA98" s="672"/>
      <c r="AB98" s="668"/>
      <c r="AC98" s="670">
        <v>1</v>
      </c>
      <c r="AD98" s="670">
        <v>1</v>
      </c>
    </row>
    <row r="99" spans="1:1014" s="224" customFormat="1" ht="13.5" customHeight="1">
      <c r="A99" s="225">
        <v>81</v>
      </c>
      <c r="B99" s="217"/>
      <c r="C99" s="677"/>
      <c r="D99" s="241"/>
      <c r="E99" s="677" t="s">
        <v>1103</v>
      </c>
      <c r="F99" s="221"/>
      <c r="G99" s="221"/>
      <c r="H99" s="668" t="s">
        <v>1309</v>
      </c>
      <c r="I99" s="668" t="s">
        <v>1133</v>
      </c>
      <c r="J99" s="668"/>
      <c r="K99" s="666" t="s">
        <v>1310</v>
      </c>
      <c r="L99" s="668"/>
      <c r="M99" s="668"/>
      <c r="N99" s="668"/>
      <c r="O99" s="668"/>
      <c r="P99" s="669"/>
      <c r="Q99" s="668" t="s">
        <v>816</v>
      </c>
      <c r="R99" s="668"/>
      <c r="S99" s="668" t="s">
        <v>862</v>
      </c>
      <c r="T99" s="670"/>
      <c r="U99" s="668"/>
      <c r="V99" s="667" t="s">
        <v>863</v>
      </c>
      <c r="W99" s="667" t="s">
        <v>863</v>
      </c>
      <c r="X99" s="232"/>
      <c r="Y99" s="671"/>
      <c r="Z99" s="668"/>
      <c r="AA99" s="672"/>
      <c r="AB99" s="668"/>
      <c r="AC99" s="670">
        <v>1</v>
      </c>
      <c r="AD99" s="670">
        <v>1</v>
      </c>
    </row>
    <row r="100" spans="1:1014" s="244" customFormat="1" ht="14.25" customHeight="1">
      <c r="A100" s="225">
        <v>82</v>
      </c>
      <c r="B100" s="217"/>
      <c r="C100" s="221"/>
      <c r="D100" s="221"/>
      <c r="E100" s="677" t="s">
        <v>1311</v>
      </c>
      <c r="F100" s="221"/>
      <c r="G100" s="221"/>
      <c r="H100" s="668" t="s">
        <v>1312</v>
      </c>
      <c r="I100" s="666" t="s">
        <v>1313</v>
      </c>
      <c r="J100" s="668"/>
      <c r="K100" s="666" t="s">
        <v>1314</v>
      </c>
      <c r="L100" s="668"/>
      <c r="M100" s="668"/>
      <c r="N100" s="668"/>
      <c r="O100" s="668"/>
      <c r="P100" s="669"/>
      <c r="Q100" s="668" t="s">
        <v>816</v>
      </c>
      <c r="R100" s="668"/>
      <c r="S100" s="668" t="s">
        <v>862</v>
      </c>
      <c r="T100" s="670"/>
      <c r="U100" s="668"/>
      <c r="V100" s="667" t="s">
        <v>863</v>
      </c>
      <c r="W100" s="667" t="s">
        <v>863</v>
      </c>
      <c r="X100" s="232"/>
      <c r="Y100" s="671"/>
      <c r="Z100" s="668"/>
      <c r="AA100" s="672"/>
      <c r="AB100" s="668"/>
      <c r="AC100" s="670">
        <v>1</v>
      </c>
      <c r="AD100" s="670">
        <v>1</v>
      </c>
    </row>
    <row r="101" spans="1:1014" s="584" customFormat="1" ht="13.5" customHeight="1">
      <c r="A101" s="573">
        <v>83</v>
      </c>
      <c r="B101" s="574"/>
      <c r="C101" s="574" t="s">
        <v>1315</v>
      </c>
      <c r="D101" s="574"/>
      <c r="E101" s="574"/>
      <c r="F101" s="574"/>
      <c r="G101" s="574"/>
      <c r="H101" s="573" t="s">
        <v>1316</v>
      </c>
      <c r="I101" s="577"/>
      <c r="J101" s="573" t="s">
        <v>907</v>
      </c>
      <c r="K101" s="577" t="s">
        <v>1317</v>
      </c>
      <c r="L101" s="573"/>
      <c r="M101" s="573"/>
      <c r="N101" s="573"/>
      <c r="O101" s="573"/>
      <c r="P101" s="578"/>
      <c r="Q101" s="573" t="s">
        <v>819</v>
      </c>
      <c r="R101" s="573" t="s">
        <v>863</v>
      </c>
      <c r="S101" s="585" t="s">
        <v>1318</v>
      </c>
      <c r="T101" s="579"/>
      <c r="U101" s="573"/>
      <c r="V101" s="580"/>
      <c r="W101" s="580" t="s">
        <v>863</v>
      </c>
      <c r="X101" s="581"/>
      <c r="Y101" s="582"/>
      <c r="Z101" s="573"/>
      <c r="AA101" s="583"/>
      <c r="AB101" s="573"/>
      <c r="AC101" s="579">
        <v>1</v>
      </c>
      <c r="AD101" s="579"/>
    </row>
    <row r="102" spans="1:1014" s="584" customFormat="1" ht="13.5" customHeight="1">
      <c r="A102" s="573">
        <v>84</v>
      </c>
      <c r="B102" s="574"/>
      <c r="C102" s="574"/>
      <c r="D102" s="574" t="s">
        <v>1319</v>
      </c>
      <c r="E102" s="574"/>
      <c r="F102" s="574"/>
      <c r="G102" s="574"/>
      <c r="H102" s="573" t="s">
        <v>1320</v>
      </c>
      <c r="I102" s="577" t="s">
        <v>1321</v>
      </c>
      <c r="J102" s="573"/>
      <c r="K102" s="577" t="s">
        <v>1322</v>
      </c>
      <c r="L102" s="573"/>
      <c r="M102" s="573"/>
      <c r="N102" s="573"/>
      <c r="O102" s="573"/>
      <c r="P102" s="578"/>
      <c r="Q102" s="573" t="s">
        <v>819</v>
      </c>
      <c r="R102" s="573"/>
      <c r="S102" s="573" t="s">
        <v>862</v>
      </c>
      <c r="T102" s="579"/>
      <c r="U102" s="573"/>
      <c r="V102" s="580"/>
      <c r="W102" s="580" t="s">
        <v>863</v>
      </c>
      <c r="X102" s="581"/>
      <c r="Y102" s="582"/>
      <c r="Z102" s="573" t="s">
        <v>1075</v>
      </c>
      <c r="AA102" s="583"/>
      <c r="AB102" s="573"/>
      <c r="AC102" s="579">
        <v>1</v>
      </c>
      <c r="AD102" s="579"/>
    </row>
    <row r="103" spans="1:1014" s="584" customFormat="1" ht="13.5" customHeight="1">
      <c r="A103" s="573">
        <v>85</v>
      </c>
      <c r="B103" s="574"/>
      <c r="C103" s="574"/>
      <c r="D103" s="574" t="s">
        <v>1323</v>
      </c>
      <c r="E103" s="574"/>
      <c r="F103" s="574"/>
      <c r="G103" s="574"/>
      <c r="H103" s="573" t="s">
        <v>1324</v>
      </c>
      <c r="I103" s="577" t="s">
        <v>1267</v>
      </c>
      <c r="J103" s="573"/>
      <c r="K103" s="577" t="s">
        <v>969</v>
      </c>
      <c r="L103" s="573"/>
      <c r="M103" s="573"/>
      <c r="N103" s="573"/>
      <c r="O103" s="573"/>
      <c r="P103" s="578"/>
      <c r="Q103" s="573" t="s">
        <v>819</v>
      </c>
      <c r="R103" s="573"/>
      <c r="S103" s="573" t="s">
        <v>862</v>
      </c>
      <c r="T103" s="579"/>
      <c r="U103" s="573" t="s">
        <v>1268</v>
      </c>
      <c r="V103" s="580"/>
      <c r="W103" s="580" t="s">
        <v>863</v>
      </c>
      <c r="X103" s="581"/>
      <c r="Y103" s="582"/>
      <c r="Z103" s="573"/>
      <c r="AA103" s="583"/>
      <c r="AB103" s="573"/>
      <c r="AC103" s="579">
        <v>1</v>
      </c>
      <c r="AD103" s="579"/>
    </row>
    <row r="104" spans="1:1014" s="636" customFormat="1" ht="17.25" customHeight="1">
      <c r="A104" s="573">
        <v>86</v>
      </c>
      <c r="B104" s="630"/>
      <c r="C104" s="584"/>
      <c r="D104" s="584" t="s">
        <v>1325</v>
      </c>
      <c r="E104" s="584"/>
      <c r="F104" s="584"/>
      <c r="G104" s="573"/>
      <c r="H104" s="573" t="s">
        <v>1326</v>
      </c>
      <c r="I104" s="631" t="s">
        <v>1272</v>
      </c>
      <c r="J104" s="573"/>
      <c r="K104" s="577" t="s">
        <v>1119</v>
      </c>
      <c r="L104" s="573"/>
      <c r="M104" s="573"/>
      <c r="N104" s="573"/>
      <c r="O104" s="573"/>
      <c r="P104" s="578"/>
      <c r="Q104" s="573" t="s">
        <v>819</v>
      </c>
      <c r="R104" s="573"/>
      <c r="S104" s="573" t="s">
        <v>862</v>
      </c>
      <c r="T104" s="632"/>
      <c r="U104" s="634"/>
      <c r="V104" s="579"/>
      <c r="W104" s="579" t="s">
        <v>863</v>
      </c>
      <c r="X104" s="581"/>
      <c r="Y104" s="633"/>
      <c r="Z104" s="634"/>
      <c r="AA104" s="635"/>
      <c r="AB104" s="634"/>
      <c r="AC104" s="637">
        <v>1</v>
      </c>
      <c r="AD104" s="579">
        <v>1</v>
      </c>
      <c r="AE104" s="630"/>
      <c r="AG104" s="630"/>
      <c r="AH104" s="630"/>
      <c r="AI104" s="630"/>
      <c r="AJ104" s="630"/>
      <c r="AK104" s="630"/>
      <c r="AL104" s="630"/>
      <c r="AM104" s="630"/>
      <c r="AN104" s="630"/>
      <c r="AO104" s="630"/>
      <c r="AP104" s="630"/>
      <c r="AQ104" s="630"/>
      <c r="AR104" s="630"/>
      <c r="AS104" s="630"/>
      <c r="AT104" s="630"/>
      <c r="AU104" s="630"/>
      <c r="AV104" s="630"/>
      <c r="AW104" s="630"/>
      <c r="AX104" s="630"/>
      <c r="AY104" s="630"/>
      <c r="AZ104" s="630"/>
      <c r="BA104" s="630"/>
      <c r="BB104" s="630"/>
      <c r="BC104" s="630"/>
      <c r="BD104" s="630"/>
      <c r="BE104" s="630"/>
      <c r="BF104" s="630"/>
      <c r="BG104" s="630"/>
      <c r="BH104" s="630"/>
      <c r="BI104" s="630"/>
      <c r="BJ104" s="630"/>
      <c r="BK104" s="630"/>
      <c r="BL104" s="630"/>
      <c r="BM104" s="630"/>
      <c r="BN104" s="630"/>
      <c r="BO104" s="630"/>
      <c r="BP104" s="630"/>
      <c r="BQ104" s="630"/>
      <c r="BR104" s="630"/>
      <c r="BS104" s="630"/>
      <c r="BT104" s="630"/>
      <c r="BU104" s="630"/>
      <c r="BV104" s="630"/>
      <c r="BW104" s="630"/>
      <c r="BX104" s="630"/>
      <c r="BY104" s="630"/>
      <c r="BZ104" s="630"/>
      <c r="CA104" s="630"/>
      <c r="CB104" s="630"/>
      <c r="CC104" s="630"/>
      <c r="CD104" s="630"/>
      <c r="CE104" s="630"/>
      <c r="CF104" s="630"/>
      <c r="CG104" s="630"/>
      <c r="CH104" s="630"/>
      <c r="CI104" s="630"/>
      <c r="CJ104" s="630"/>
      <c r="CK104" s="630"/>
      <c r="CL104" s="630"/>
      <c r="CM104" s="630"/>
      <c r="CN104" s="630"/>
      <c r="CO104" s="630"/>
      <c r="CP104" s="630"/>
      <c r="CQ104" s="630"/>
      <c r="CR104" s="630"/>
      <c r="CS104" s="630"/>
      <c r="CT104" s="630"/>
      <c r="CU104" s="630"/>
      <c r="CV104" s="630"/>
      <c r="CW104" s="630"/>
      <c r="CX104" s="630"/>
      <c r="CY104" s="630"/>
      <c r="CZ104" s="630"/>
      <c r="DA104" s="630"/>
      <c r="DB104" s="630"/>
      <c r="DC104" s="630"/>
      <c r="DD104" s="630"/>
      <c r="DE104" s="630"/>
      <c r="DF104" s="630"/>
      <c r="DG104" s="630"/>
      <c r="DH104" s="630"/>
      <c r="DI104" s="630"/>
      <c r="DJ104" s="630"/>
      <c r="DK104" s="630"/>
      <c r="DL104" s="630"/>
      <c r="DM104" s="630"/>
      <c r="DN104" s="630"/>
      <c r="DO104" s="630"/>
      <c r="DP104" s="630"/>
      <c r="DQ104" s="630"/>
      <c r="DR104" s="630"/>
      <c r="DS104" s="630"/>
      <c r="DT104" s="630"/>
      <c r="DU104" s="630"/>
      <c r="DV104" s="630"/>
      <c r="DW104" s="630"/>
      <c r="DX104" s="630"/>
      <c r="DY104" s="630"/>
      <c r="DZ104" s="630"/>
      <c r="EA104" s="630"/>
      <c r="EB104" s="630"/>
      <c r="EC104" s="630"/>
      <c r="ED104" s="630"/>
      <c r="EE104" s="630"/>
      <c r="EF104" s="630"/>
      <c r="EG104" s="630"/>
      <c r="EH104" s="630"/>
      <c r="EI104" s="630"/>
      <c r="EJ104" s="630"/>
      <c r="EK104" s="630"/>
      <c r="EL104" s="630"/>
      <c r="EM104" s="630"/>
      <c r="EN104" s="630"/>
      <c r="EO104" s="630"/>
      <c r="EP104" s="630"/>
      <c r="EQ104" s="630"/>
      <c r="ER104" s="630"/>
      <c r="ES104" s="630"/>
      <c r="ET104" s="630"/>
      <c r="EU104" s="630"/>
      <c r="EV104" s="630"/>
      <c r="EW104" s="630"/>
      <c r="EX104" s="630"/>
      <c r="EY104" s="630"/>
      <c r="EZ104" s="630"/>
      <c r="FA104" s="630"/>
      <c r="FB104" s="630"/>
      <c r="FC104" s="630"/>
      <c r="FD104" s="630"/>
      <c r="FE104" s="630"/>
      <c r="FF104" s="630"/>
      <c r="FG104" s="630"/>
      <c r="FH104" s="630"/>
      <c r="FI104" s="630"/>
      <c r="FJ104" s="630"/>
      <c r="FK104" s="630"/>
      <c r="FL104" s="630"/>
      <c r="FM104" s="630"/>
      <c r="FN104" s="630"/>
      <c r="FO104" s="630"/>
      <c r="FP104" s="630"/>
      <c r="FQ104" s="630"/>
      <c r="FR104" s="630"/>
      <c r="FS104" s="630"/>
      <c r="FT104" s="630"/>
      <c r="FU104" s="630"/>
      <c r="FV104" s="630"/>
      <c r="FW104" s="630"/>
      <c r="FX104" s="630"/>
      <c r="FY104" s="630"/>
      <c r="FZ104" s="630"/>
      <c r="GA104" s="630"/>
      <c r="GB104" s="630"/>
      <c r="GC104" s="630"/>
      <c r="GD104" s="630"/>
      <c r="GE104" s="630"/>
      <c r="GF104" s="630"/>
      <c r="GG104" s="630"/>
      <c r="GH104" s="630"/>
      <c r="GI104" s="630"/>
      <c r="GJ104" s="630"/>
      <c r="GK104" s="630"/>
      <c r="GL104" s="630"/>
      <c r="GM104" s="630"/>
      <c r="GN104" s="630"/>
      <c r="GO104" s="630"/>
      <c r="GP104" s="630"/>
      <c r="GQ104" s="630"/>
      <c r="GR104" s="630"/>
      <c r="GS104" s="630"/>
      <c r="GT104" s="630"/>
      <c r="GU104" s="630"/>
      <c r="GV104" s="630"/>
      <c r="GW104" s="630"/>
      <c r="GX104" s="630"/>
      <c r="GY104" s="630"/>
      <c r="GZ104" s="630"/>
      <c r="HA104" s="630"/>
      <c r="HB104" s="630"/>
      <c r="HC104" s="630"/>
      <c r="HD104" s="630"/>
      <c r="HE104" s="630"/>
      <c r="HF104" s="630"/>
      <c r="HG104" s="630"/>
      <c r="HH104" s="630"/>
      <c r="HI104" s="630"/>
      <c r="HJ104" s="630"/>
      <c r="HK104" s="630"/>
      <c r="HL104" s="630"/>
      <c r="HM104" s="630"/>
      <c r="HN104" s="630"/>
      <c r="HO104" s="630"/>
      <c r="HP104" s="630"/>
      <c r="HQ104" s="630"/>
      <c r="HR104" s="630"/>
      <c r="HS104" s="630"/>
      <c r="HT104" s="630"/>
      <c r="HU104" s="630"/>
      <c r="HV104" s="630"/>
      <c r="HW104" s="630"/>
      <c r="HX104" s="630"/>
      <c r="HY104" s="630"/>
      <c r="HZ104" s="630"/>
      <c r="IA104" s="630"/>
      <c r="IB104" s="630"/>
      <c r="IC104" s="630"/>
      <c r="ID104" s="630"/>
      <c r="IE104" s="630"/>
      <c r="IF104" s="630"/>
      <c r="IG104" s="630"/>
      <c r="IH104" s="630"/>
      <c r="II104" s="630"/>
      <c r="IJ104" s="630"/>
      <c r="IK104" s="630"/>
      <c r="IL104" s="630"/>
      <c r="IM104" s="630"/>
      <c r="IN104" s="630"/>
      <c r="IO104" s="630"/>
      <c r="IP104" s="630"/>
      <c r="IQ104" s="630"/>
      <c r="IR104" s="630"/>
      <c r="IS104" s="630"/>
      <c r="IT104" s="630"/>
      <c r="IU104" s="630"/>
      <c r="IV104" s="630"/>
      <c r="IW104" s="630"/>
      <c r="IX104" s="630"/>
      <c r="IY104" s="630"/>
      <c r="IZ104" s="630"/>
      <c r="JA104" s="630"/>
      <c r="JB104" s="630"/>
      <c r="JC104" s="630"/>
      <c r="JD104" s="630"/>
      <c r="JE104" s="630"/>
      <c r="JF104" s="630"/>
      <c r="JG104" s="630"/>
      <c r="JH104" s="630"/>
      <c r="JI104" s="630"/>
      <c r="JJ104" s="630"/>
      <c r="JK104" s="630"/>
      <c r="JL104" s="630"/>
      <c r="JM104" s="630"/>
      <c r="JN104" s="630"/>
      <c r="JO104" s="630"/>
      <c r="JP104" s="630"/>
      <c r="JQ104" s="630"/>
      <c r="JR104" s="630"/>
      <c r="JS104" s="630"/>
      <c r="JT104" s="630"/>
      <c r="JU104" s="630"/>
      <c r="JV104" s="630"/>
      <c r="JW104" s="630"/>
      <c r="JX104" s="630"/>
      <c r="JY104" s="630"/>
      <c r="JZ104" s="630"/>
      <c r="KA104" s="630"/>
      <c r="KB104" s="630"/>
      <c r="KC104" s="630"/>
      <c r="KD104" s="630"/>
      <c r="KE104" s="630"/>
      <c r="KF104" s="630"/>
      <c r="KG104" s="630"/>
      <c r="KH104" s="630"/>
      <c r="KI104" s="630"/>
      <c r="KJ104" s="630"/>
      <c r="KK104" s="630"/>
      <c r="KL104" s="630"/>
      <c r="KM104" s="630"/>
      <c r="KN104" s="630"/>
      <c r="KO104" s="630"/>
      <c r="KP104" s="630"/>
      <c r="KQ104" s="630"/>
      <c r="KR104" s="630"/>
      <c r="KS104" s="630"/>
      <c r="KT104" s="630"/>
      <c r="KU104" s="630"/>
      <c r="KV104" s="630"/>
      <c r="KW104" s="630"/>
      <c r="KX104" s="630"/>
      <c r="KY104" s="630"/>
      <c r="KZ104" s="630"/>
      <c r="LA104" s="630"/>
      <c r="LB104" s="630"/>
      <c r="LC104" s="630"/>
      <c r="LD104" s="630"/>
      <c r="LE104" s="630"/>
      <c r="LF104" s="630"/>
      <c r="LG104" s="630"/>
      <c r="LH104" s="630"/>
      <c r="LI104" s="630"/>
      <c r="LJ104" s="630"/>
      <c r="LK104" s="630"/>
      <c r="LL104" s="630"/>
      <c r="LM104" s="630"/>
      <c r="LN104" s="630"/>
      <c r="LO104" s="630"/>
      <c r="LP104" s="630"/>
      <c r="LQ104" s="630"/>
      <c r="LR104" s="630"/>
      <c r="LS104" s="630"/>
      <c r="LT104" s="630"/>
      <c r="LU104" s="630"/>
      <c r="LV104" s="630"/>
      <c r="LW104" s="630"/>
      <c r="LX104" s="630"/>
      <c r="LY104" s="630"/>
      <c r="LZ104" s="630"/>
      <c r="MA104" s="630"/>
      <c r="MB104" s="630"/>
      <c r="MC104" s="630"/>
      <c r="MD104" s="630"/>
      <c r="ME104" s="630"/>
      <c r="MF104" s="630"/>
      <c r="MG104" s="630"/>
      <c r="MH104" s="630"/>
      <c r="MI104" s="630"/>
      <c r="MJ104" s="630"/>
      <c r="MK104" s="630"/>
      <c r="ML104" s="630"/>
      <c r="MM104" s="630"/>
      <c r="MN104" s="630"/>
      <c r="MO104" s="630"/>
      <c r="MP104" s="630"/>
      <c r="MQ104" s="630"/>
      <c r="MR104" s="630"/>
      <c r="MS104" s="630"/>
      <c r="MT104" s="630"/>
      <c r="MU104" s="630"/>
      <c r="MV104" s="630"/>
      <c r="MW104" s="630"/>
      <c r="MX104" s="630"/>
      <c r="MY104" s="630"/>
      <c r="MZ104" s="630"/>
      <c r="NA104" s="630"/>
      <c r="NB104" s="630"/>
      <c r="NC104" s="630"/>
      <c r="ND104" s="630"/>
      <c r="NE104" s="630"/>
      <c r="NF104" s="630"/>
      <c r="NG104" s="630"/>
      <c r="NH104" s="630"/>
      <c r="NI104" s="630"/>
      <c r="NJ104" s="630"/>
      <c r="NK104" s="630"/>
      <c r="NL104" s="630"/>
      <c r="NM104" s="630"/>
      <c r="NN104" s="630"/>
      <c r="NO104" s="630"/>
      <c r="NP104" s="630"/>
      <c r="NQ104" s="630"/>
      <c r="NR104" s="630"/>
      <c r="NS104" s="630"/>
      <c r="NT104" s="630"/>
      <c r="NU104" s="630"/>
      <c r="NV104" s="630"/>
      <c r="NW104" s="630"/>
      <c r="NX104" s="630"/>
      <c r="NY104" s="630"/>
      <c r="NZ104" s="630"/>
      <c r="OA104" s="630"/>
      <c r="OB104" s="630"/>
      <c r="OC104" s="630"/>
      <c r="OD104" s="630"/>
      <c r="OE104" s="630"/>
      <c r="OF104" s="630"/>
      <c r="OG104" s="630"/>
      <c r="OH104" s="630"/>
      <c r="OI104" s="630"/>
      <c r="OJ104" s="630"/>
      <c r="OK104" s="630"/>
      <c r="OL104" s="630"/>
      <c r="OM104" s="630"/>
      <c r="ON104" s="630"/>
      <c r="OO104" s="630"/>
      <c r="OP104" s="630"/>
      <c r="OQ104" s="630"/>
      <c r="OR104" s="630"/>
      <c r="OS104" s="630"/>
      <c r="OT104" s="630"/>
      <c r="OU104" s="630"/>
      <c r="OV104" s="630"/>
      <c r="OW104" s="630"/>
      <c r="OX104" s="630"/>
      <c r="OY104" s="630"/>
      <c r="OZ104" s="630"/>
      <c r="PA104" s="630"/>
      <c r="PB104" s="630"/>
      <c r="PC104" s="630"/>
      <c r="PD104" s="630"/>
      <c r="PE104" s="630"/>
      <c r="PF104" s="630"/>
      <c r="PG104" s="630"/>
      <c r="PH104" s="630"/>
      <c r="PI104" s="630"/>
      <c r="PJ104" s="630"/>
      <c r="PK104" s="630"/>
      <c r="PL104" s="630"/>
      <c r="PM104" s="630"/>
      <c r="PN104" s="630"/>
      <c r="PO104" s="630"/>
      <c r="PP104" s="630"/>
      <c r="PQ104" s="630"/>
      <c r="PR104" s="630"/>
      <c r="PS104" s="630"/>
      <c r="PT104" s="630"/>
      <c r="PU104" s="630"/>
      <c r="PV104" s="630"/>
      <c r="PW104" s="630"/>
      <c r="PX104" s="630"/>
      <c r="PY104" s="630"/>
      <c r="PZ104" s="630"/>
      <c r="QA104" s="630"/>
      <c r="QB104" s="630"/>
      <c r="QC104" s="630"/>
      <c r="QD104" s="630"/>
      <c r="QE104" s="630"/>
      <c r="QF104" s="630"/>
      <c r="QG104" s="630"/>
      <c r="QH104" s="630"/>
      <c r="QI104" s="630"/>
      <c r="QJ104" s="630"/>
      <c r="QK104" s="630"/>
      <c r="QL104" s="630"/>
      <c r="QM104" s="630"/>
      <c r="QN104" s="630"/>
      <c r="QO104" s="630"/>
      <c r="QP104" s="630"/>
      <c r="QQ104" s="630"/>
      <c r="QR104" s="630"/>
      <c r="QS104" s="630"/>
      <c r="QT104" s="630"/>
      <c r="QU104" s="630"/>
      <c r="QV104" s="630"/>
      <c r="QW104" s="630"/>
      <c r="QX104" s="630"/>
      <c r="QY104" s="630"/>
      <c r="QZ104" s="630"/>
      <c r="RA104" s="630"/>
      <c r="RB104" s="630"/>
      <c r="RC104" s="630"/>
      <c r="RD104" s="630"/>
      <c r="RE104" s="630"/>
      <c r="RF104" s="630"/>
      <c r="RG104" s="630"/>
      <c r="RH104" s="630"/>
      <c r="RI104" s="630"/>
      <c r="RJ104" s="630"/>
      <c r="RK104" s="630"/>
      <c r="RL104" s="630"/>
      <c r="RM104" s="630"/>
      <c r="RN104" s="630"/>
      <c r="RO104" s="630"/>
      <c r="RP104" s="630"/>
      <c r="RQ104" s="630"/>
      <c r="RR104" s="630"/>
      <c r="RS104" s="630"/>
      <c r="RT104" s="630"/>
      <c r="RU104" s="630"/>
      <c r="RV104" s="630"/>
      <c r="RW104" s="630"/>
      <c r="RX104" s="630"/>
      <c r="RY104" s="630"/>
      <c r="RZ104" s="630"/>
      <c r="SA104" s="630"/>
      <c r="SB104" s="630"/>
      <c r="SC104" s="630"/>
      <c r="SD104" s="630"/>
      <c r="SE104" s="630"/>
      <c r="SF104" s="630"/>
      <c r="SG104" s="630"/>
      <c r="SH104" s="630"/>
      <c r="SI104" s="630"/>
      <c r="SJ104" s="630"/>
      <c r="SK104" s="630"/>
      <c r="SL104" s="630"/>
      <c r="SM104" s="630"/>
      <c r="SN104" s="630"/>
      <c r="SO104" s="630"/>
      <c r="SP104" s="630"/>
      <c r="SQ104" s="630"/>
      <c r="SR104" s="630"/>
      <c r="SS104" s="630"/>
      <c r="ST104" s="630"/>
      <c r="SU104" s="630"/>
      <c r="SV104" s="630"/>
      <c r="SW104" s="630"/>
      <c r="SX104" s="630"/>
      <c r="SY104" s="630"/>
      <c r="SZ104" s="630"/>
      <c r="TA104" s="630"/>
      <c r="TB104" s="630"/>
      <c r="TC104" s="630"/>
      <c r="TD104" s="630"/>
      <c r="TE104" s="630"/>
      <c r="TF104" s="630"/>
      <c r="TG104" s="630"/>
      <c r="TH104" s="630"/>
      <c r="TI104" s="630"/>
      <c r="TJ104" s="630"/>
      <c r="TK104" s="630"/>
      <c r="TL104" s="630"/>
      <c r="TM104" s="630"/>
      <c r="TN104" s="630"/>
      <c r="TO104" s="630"/>
      <c r="TP104" s="630"/>
      <c r="TQ104" s="630"/>
      <c r="TR104" s="630"/>
      <c r="TS104" s="630"/>
      <c r="TT104" s="630"/>
      <c r="TU104" s="630"/>
      <c r="TV104" s="630"/>
      <c r="TW104" s="630"/>
      <c r="TX104" s="630"/>
      <c r="TY104" s="630"/>
      <c r="TZ104" s="630"/>
      <c r="UA104" s="630"/>
      <c r="UB104" s="630"/>
      <c r="UC104" s="630"/>
      <c r="UD104" s="630"/>
      <c r="UE104" s="630"/>
      <c r="UF104" s="630"/>
      <c r="UG104" s="630"/>
      <c r="UH104" s="630"/>
      <c r="UI104" s="630"/>
      <c r="UJ104" s="630"/>
      <c r="UK104" s="630"/>
      <c r="UL104" s="630"/>
      <c r="UM104" s="630"/>
      <c r="UN104" s="630"/>
      <c r="UO104" s="630"/>
      <c r="UP104" s="630"/>
      <c r="UQ104" s="630"/>
      <c r="UR104" s="630"/>
      <c r="US104" s="630"/>
      <c r="UT104" s="630"/>
      <c r="UU104" s="630"/>
      <c r="UV104" s="630"/>
      <c r="UW104" s="630"/>
      <c r="UX104" s="630"/>
      <c r="UY104" s="630"/>
      <c r="UZ104" s="630"/>
      <c r="VA104" s="630"/>
      <c r="VB104" s="630"/>
      <c r="VC104" s="630"/>
      <c r="VD104" s="630"/>
      <c r="VE104" s="630"/>
      <c r="VF104" s="630"/>
      <c r="VG104" s="630"/>
      <c r="VH104" s="630"/>
      <c r="VI104" s="630"/>
      <c r="VJ104" s="630"/>
      <c r="VK104" s="630"/>
      <c r="VL104" s="630"/>
      <c r="VM104" s="630"/>
      <c r="VN104" s="630"/>
      <c r="VO104" s="630"/>
      <c r="VP104" s="630"/>
      <c r="VQ104" s="630"/>
      <c r="VR104" s="630"/>
      <c r="VS104" s="630"/>
      <c r="VT104" s="630"/>
      <c r="VU104" s="630"/>
      <c r="VV104" s="630"/>
      <c r="VW104" s="630"/>
      <c r="VX104" s="630"/>
      <c r="VY104" s="630"/>
      <c r="VZ104" s="630"/>
      <c r="WA104" s="630"/>
      <c r="WB104" s="630"/>
      <c r="WC104" s="630"/>
      <c r="WD104" s="630"/>
      <c r="WE104" s="630"/>
      <c r="WF104" s="630"/>
      <c r="WG104" s="630"/>
      <c r="WH104" s="630"/>
      <c r="WI104" s="630"/>
      <c r="WJ104" s="630"/>
      <c r="WK104" s="630"/>
      <c r="WL104" s="630"/>
      <c r="WM104" s="630"/>
      <c r="WN104" s="630"/>
      <c r="WO104" s="630"/>
      <c r="WP104" s="630"/>
      <c r="WQ104" s="630"/>
      <c r="WR104" s="630"/>
      <c r="WS104" s="630"/>
      <c r="WT104" s="630"/>
      <c r="WU104" s="630"/>
      <c r="WV104" s="630"/>
      <c r="WW104" s="630"/>
      <c r="WX104" s="630"/>
      <c r="WY104" s="630"/>
      <c r="WZ104" s="630"/>
      <c r="XA104" s="630"/>
      <c r="XB104" s="630"/>
      <c r="XC104" s="630"/>
      <c r="XD104" s="630"/>
      <c r="XE104" s="630"/>
      <c r="XF104" s="630"/>
      <c r="XG104" s="630"/>
      <c r="XH104" s="630"/>
      <c r="XI104" s="630"/>
      <c r="XJ104" s="630"/>
      <c r="XK104" s="630"/>
      <c r="XL104" s="630"/>
      <c r="XM104" s="630"/>
      <c r="XN104" s="630"/>
      <c r="XO104" s="630"/>
      <c r="XP104" s="630"/>
      <c r="XQ104" s="630"/>
      <c r="XR104" s="630"/>
      <c r="XS104" s="630"/>
      <c r="XT104" s="630"/>
      <c r="XU104" s="630"/>
      <c r="XV104" s="630"/>
      <c r="XW104" s="630"/>
      <c r="XX104" s="630"/>
      <c r="XY104" s="630"/>
      <c r="XZ104" s="630"/>
      <c r="YA104" s="630"/>
      <c r="YB104" s="630"/>
      <c r="YC104" s="630"/>
      <c r="YD104" s="630"/>
      <c r="YE104" s="630"/>
      <c r="YF104" s="630"/>
      <c r="YG104" s="630"/>
      <c r="YH104" s="630"/>
      <c r="YI104" s="630"/>
      <c r="YJ104" s="630"/>
      <c r="YK104" s="630"/>
      <c r="YL104" s="630"/>
      <c r="YM104" s="630"/>
      <c r="YN104" s="630"/>
      <c r="YO104" s="630"/>
      <c r="YP104" s="630"/>
      <c r="YQ104" s="630"/>
      <c r="YR104" s="630"/>
      <c r="YS104" s="630"/>
      <c r="YT104" s="630"/>
      <c r="YU104" s="630"/>
      <c r="YV104" s="630"/>
      <c r="YW104" s="630"/>
      <c r="YX104" s="630"/>
      <c r="YY104" s="630"/>
      <c r="YZ104" s="630"/>
      <c r="ZA104" s="630"/>
      <c r="ZB104" s="630"/>
      <c r="ZC104" s="630"/>
      <c r="ZD104" s="630"/>
      <c r="ZE104" s="630"/>
      <c r="ZF104" s="630"/>
      <c r="ZG104" s="630"/>
      <c r="ZH104" s="630"/>
      <c r="ZI104" s="630"/>
      <c r="ZJ104" s="630"/>
      <c r="ZK104" s="630"/>
      <c r="ZL104" s="630"/>
      <c r="ZM104" s="630"/>
      <c r="ZN104" s="630"/>
      <c r="ZO104" s="630"/>
      <c r="ZP104" s="630"/>
      <c r="ZQ104" s="630"/>
      <c r="ZR104" s="630"/>
      <c r="ZS104" s="630"/>
      <c r="ZT104" s="630"/>
      <c r="ZU104" s="630"/>
      <c r="ZV104" s="630"/>
      <c r="ZW104" s="630"/>
      <c r="ZX104" s="630"/>
      <c r="ZY104" s="630"/>
      <c r="ZZ104" s="630"/>
      <c r="AAA104" s="630"/>
      <c r="AAB104" s="630"/>
      <c r="AAC104" s="630"/>
      <c r="AAD104" s="630"/>
      <c r="AAE104" s="630"/>
      <c r="AAF104" s="630"/>
      <c r="AAG104" s="630"/>
      <c r="AAH104" s="630"/>
      <c r="AAI104" s="630"/>
      <c r="AAJ104" s="630"/>
      <c r="AAK104" s="630"/>
      <c r="AAL104" s="630"/>
      <c r="AAM104" s="630"/>
      <c r="AAN104" s="630"/>
      <c r="AAO104" s="630"/>
      <c r="AAP104" s="630"/>
      <c r="AAQ104" s="630"/>
      <c r="AAR104" s="630"/>
      <c r="AAS104" s="630"/>
      <c r="AAT104" s="630"/>
      <c r="AAU104" s="630"/>
      <c r="AAV104" s="630"/>
      <c r="AAW104" s="630"/>
      <c r="AAX104" s="630"/>
      <c r="AAY104" s="630"/>
      <c r="AAZ104" s="630"/>
      <c r="ABA104" s="630"/>
      <c r="ABB104" s="630"/>
      <c r="ABC104" s="630"/>
      <c r="ABD104" s="630"/>
      <c r="ABE104" s="630"/>
      <c r="ABF104" s="630"/>
      <c r="ABG104" s="630"/>
      <c r="ABH104" s="630"/>
      <c r="ABI104" s="630"/>
      <c r="ABJ104" s="630"/>
      <c r="ABK104" s="630"/>
      <c r="ABL104" s="630"/>
      <c r="ABM104" s="630"/>
      <c r="ABN104" s="630"/>
      <c r="ABO104" s="630"/>
      <c r="ABP104" s="630"/>
      <c r="ABQ104" s="630"/>
      <c r="ABR104" s="630"/>
      <c r="ABS104" s="630"/>
      <c r="ABT104" s="630"/>
      <c r="ABU104" s="630"/>
      <c r="ABV104" s="630"/>
      <c r="ABW104" s="630"/>
      <c r="ABX104" s="630"/>
      <c r="ABY104" s="630"/>
      <c r="ABZ104" s="630"/>
      <c r="ACA104" s="630"/>
      <c r="ACB104" s="630"/>
      <c r="ACC104" s="630"/>
      <c r="ACD104" s="630"/>
      <c r="ACE104" s="630"/>
      <c r="ACF104" s="630"/>
      <c r="ACG104" s="630"/>
      <c r="ACH104" s="630"/>
      <c r="ACI104" s="630"/>
      <c r="ACJ104" s="630"/>
      <c r="ACK104" s="630"/>
      <c r="ACL104" s="630"/>
      <c r="ACM104" s="630"/>
      <c r="ACN104" s="630"/>
      <c r="ACO104" s="630"/>
      <c r="ACP104" s="630"/>
      <c r="ACQ104" s="630"/>
      <c r="ACR104" s="630"/>
      <c r="ACS104" s="630"/>
      <c r="ACT104" s="630"/>
      <c r="ACU104" s="630"/>
      <c r="ACV104" s="630"/>
      <c r="ACW104" s="630"/>
      <c r="ACX104" s="630"/>
      <c r="ACY104" s="630"/>
      <c r="ACZ104" s="630"/>
      <c r="ADA104" s="630"/>
      <c r="ADB104" s="630"/>
      <c r="ADC104" s="630"/>
      <c r="ADD104" s="630"/>
      <c r="ADE104" s="630"/>
      <c r="ADF104" s="630"/>
      <c r="ADG104" s="630"/>
      <c r="ADH104" s="630"/>
      <c r="ADI104" s="630"/>
      <c r="ADJ104" s="630"/>
      <c r="ADK104" s="630"/>
      <c r="ADL104" s="630"/>
      <c r="ADM104" s="630"/>
      <c r="ADN104" s="630"/>
      <c r="ADO104" s="630"/>
      <c r="ADP104" s="630"/>
      <c r="ADQ104" s="630"/>
      <c r="ADR104" s="630"/>
      <c r="ADS104" s="630"/>
      <c r="ADT104" s="630"/>
      <c r="ADU104" s="630"/>
      <c r="ADV104" s="630"/>
      <c r="ADW104" s="630"/>
      <c r="ADX104" s="630"/>
      <c r="ADY104" s="630"/>
      <c r="ADZ104" s="630"/>
      <c r="AEA104" s="630"/>
      <c r="AEB104" s="630"/>
      <c r="AEC104" s="630"/>
      <c r="AED104" s="630"/>
      <c r="AEE104" s="630"/>
      <c r="AEF104" s="630"/>
      <c r="AEG104" s="630"/>
      <c r="AEH104" s="630"/>
      <c r="AEI104" s="630"/>
      <c r="AEJ104" s="630"/>
      <c r="AEK104" s="630"/>
      <c r="AEL104" s="630"/>
      <c r="AEM104" s="630"/>
      <c r="AEN104" s="630"/>
      <c r="AEO104" s="630"/>
      <c r="AEP104" s="630"/>
      <c r="AEQ104" s="630"/>
      <c r="AER104" s="630"/>
      <c r="AES104" s="630"/>
      <c r="AET104" s="630"/>
      <c r="AEU104" s="630"/>
      <c r="AEV104" s="630"/>
      <c r="AEW104" s="630"/>
      <c r="AEX104" s="630"/>
      <c r="AEY104" s="630"/>
      <c r="AEZ104" s="630"/>
      <c r="AFA104" s="630"/>
      <c r="AFB104" s="630"/>
      <c r="AFC104" s="630"/>
      <c r="AFD104" s="630"/>
      <c r="AFE104" s="630"/>
      <c r="AFF104" s="630"/>
      <c r="AFG104" s="630"/>
      <c r="AFH104" s="630"/>
      <c r="AFI104" s="630"/>
      <c r="AFJ104" s="630"/>
      <c r="AFK104" s="630"/>
      <c r="AFL104" s="630"/>
      <c r="AFM104" s="630"/>
      <c r="AFN104" s="630"/>
      <c r="AFO104" s="630"/>
      <c r="AFP104" s="630"/>
      <c r="AFQ104" s="630"/>
      <c r="AFR104" s="630"/>
      <c r="AFS104" s="630"/>
      <c r="AFT104" s="630"/>
      <c r="AFU104" s="630"/>
      <c r="AFV104" s="630"/>
      <c r="AFW104" s="630"/>
      <c r="AFX104" s="630"/>
      <c r="AFY104" s="630"/>
      <c r="AFZ104" s="630"/>
      <c r="AGA104" s="630"/>
      <c r="AGB104" s="630"/>
      <c r="AGC104" s="630"/>
      <c r="AGD104" s="630"/>
      <c r="AGE104" s="630"/>
      <c r="AGF104" s="630"/>
      <c r="AGG104" s="630"/>
      <c r="AGH104" s="630"/>
      <c r="AGI104" s="630"/>
      <c r="AGJ104" s="630"/>
      <c r="AGK104" s="630"/>
      <c r="AGL104" s="630"/>
      <c r="AGM104" s="630"/>
      <c r="AGN104" s="630"/>
      <c r="AGO104" s="630"/>
      <c r="AGP104" s="630"/>
      <c r="AGQ104" s="630"/>
      <c r="AGR104" s="630"/>
      <c r="AGS104" s="630"/>
      <c r="AGT104" s="630"/>
      <c r="AGU104" s="630"/>
      <c r="AGV104" s="630"/>
      <c r="AGW104" s="630"/>
      <c r="AGX104" s="630"/>
      <c r="AGY104" s="630"/>
      <c r="AGZ104" s="630"/>
      <c r="AHA104" s="630"/>
      <c r="AHB104" s="630"/>
      <c r="AHC104" s="630"/>
      <c r="AHD104" s="630"/>
      <c r="AHE104" s="630"/>
      <c r="AHF104" s="630"/>
      <c r="AHG104" s="630"/>
      <c r="AHH104" s="630"/>
      <c r="AHI104" s="630"/>
      <c r="AHJ104" s="630"/>
      <c r="AHK104" s="630"/>
      <c r="AHL104" s="630"/>
      <c r="AHM104" s="630"/>
      <c r="AHN104" s="630"/>
      <c r="AHO104" s="630"/>
      <c r="AHP104" s="630"/>
      <c r="AHQ104" s="630"/>
      <c r="AHR104" s="630"/>
      <c r="AHS104" s="630"/>
      <c r="AHT104" s="630"/>
      <c r="AHU104" s="630"/>
      <c r="AHV104" s="630"/>
      <c r="AHW104" s="630"/>
      <c r="AHX104" s="630"/>
      <c r="AHY104" s="630"/>
      <c r="AHZ104" s="630"/>
      <c r="AIA104" s="630"/>
      <c r="AIB104" s="630"/>
      <c r="AIC104" s="630"/>
      <c r="AID104" s="630"/>
      <c r="AIE104" s="630"/>
      <c r="AIF104" s="630"/>
      <c r="AIG104" s="630"/>
      <c r="AIH104" s="630"/>
      <c r="AII104" s="630"/>
      <c r="AIJ104" s="630"/>
      <c r="AIK104" s="630"/>
      <c r="AIL104" s="630"/>
      <c r="AIM104" s="630"/>
      <c r="AIN104" s="630"/>
      <c r="AIO104" s="630"/>
      <c r="AIP104" s="630"/>
      <c r="AIQ104" s="630"/>
      <c r="AIR104" s="630"/>
      <c r="AIS104" s="630"/>
      <c r="AIT104" s="630"/>
      <c r="AIU104" s="630"/>
      <c r="AIV104" s="630"/>
      <c r="AIW104" s="630"/>
      <c r="AIX104" s="630"/>
      <c r="AIY104" s="630"/>
      <c r="AIZ104" s="630"/>
      <c r="AJA104" s="630"/>
      <c r="AJB104" s="630"/>
      <c r="AJC104" s="630"/>
      <c r="AJD104" s="630"/>
      <c r="AJE104" s="630"/>
      <c r="AJF104" s="630"/>
      <c r="AJG104" s="630"/>
      <c r="AJH104" s="630"/>
      <c r="AJI104" s="630"/>
      <c r="AJJ104" s="630"/>
      <c r="AJK104" s="630"/>
      <c r="AJL104" s="630"/>
      <c r="AJM104" s="630"/>
      <c r="AJN104" s="630"/>
      <c r="AJO104" s="630"/>
      <c r="AJP104" s="630"/>
      <c r="AJQ104" s="630"/>
      <c r="AJR104" s="630"/>
      <c r="AJS104" s="630"/>
      <c r="AJT104" s="630"/>
      <c r="AJU104" s="630"/>
      <c r="AJV104" s="630"/>
      <c r="AJW104" s="630"/>
      <c r="AJX104" s="630"/>
      <c r="AJY104" s="630"/>
      <c r="AJZ104" s="630"/>
      <c r="AKA104" s="630"/>
      <c r="AKB104" s="630"/>
      <c r="AKC104" s="630"/>
      <c r="AKD104" s="630"/>
      <c r="AKE104" s="630"/>
      <c r="AKF104" s="630"/>
      <c r="AKG104" s="630"/>
      <c r="AKH104" s="630"/>
      <c r="AKI104" s="630"/>
      <c r="AKJ104" s="630"/>
      <c r="AKK104" s="630"/>
      <c r="AKL104" s="630"/>
      <c r="AKM104" s="630"/>
      <c r="AKN104" s="630"/>
      <c r="AKO104" s="630"/>
      <c r="AKP104" s="630"/>
      <c r="AKQ104" s="630"/>
      <c r="AKR104" s="630"/>
      <c r="AKS104" s="630"/>
      <c r="AKT104" s="630"/>
      <c r="AKU104" s="630"/>
      <c r="AKV104" s="630"/>
      <c r="AKW104" s="630"/>
      <c r="AKX104" s="630"/>
      <c r="AKY104" s="630"/>
      <c r="AKZ104" s="630"/>
      <c r="ALA104" s="630"/>
      <c r="ALB104" s="630"/>
      <c r="ALC104" s="630"/>
      <c r="ALD104" s="630"/>
      <c r="ALE104" s="630"/>
      <c r="ALF104" s="630"/>
      <c r="ALG104" s="630"/>
      <c r="ALH104" s="630"/>
      <c r="ALI104" s="630"/>
      <c r="ALJ104" s="630"/>
      <c r="ALK104" s="630"/>
      <c r="ALL104" s="630"/>
      <c r="ALM104" s="630"/>
      <c r="ALN104" s="630"/>
      <c r="ALO104" s="630"/>
      <c r="ALP104" s="630"/>
      <c r="ALQ104" s="630"/>
      <c r="ALR104" s="630"/>
      <c r="ALS104" s="630"/>
      <c r="ALT104" s="630"/>
      <c r="ALU104" s="630"/>
      <c r="ALV104" s="630"/>
      <c r="ALW104" s="630"/>
      <c r="ALX104" s="630"/>
      <c r="ALY104" s="630"/>
      <c r="ALZ104" s="630"/>
    </row>
    <row r="105" spans="1:1014" s="584" customFormat="1" ht="13.5" customHeight="1">
      <c r="A105" s="573">
        <v>87</v>
      </c>
      <c r="B105" s="574"/>
      <c r="C105" s="574" t="s">
        <v>1327</v>
      </c>
      <c r="D105" s="574" t="s">
        <v>1328</v>
      </c>
      <c r="E105" s="638"/>
      <c r="F105" s="574"/>
      <c r="G105" s="574"/>
      <c r="H105" s="573" t="s">
        <v>1329</v>
      </c>
      <c r="I105" s="577"/>
      <c r="J105" s="573" t="s">
        <v>1330</v>
      </c>
      <c r="K105" s="577" t="s">
        <v>1053</v>
      </c>
      <c r="L105" s="573" t="s">
        <v>1331</v>
      </c>
      <c r="M105" s="573" t="s">
        <v>1332</v>
      </c>
      <c r="N105" s="573"/>
      <c r="O105" s="573"/>
      <c r="P105" s="578"/>
      <c r="Q105" s="573" t="s">
        <v>819</v>
      </c>
      <c r="R105" s="573" t="s">
        <v>863</v>
      </c>
      <c r="S105" s="585" t="s">
        <v>1053</v>
      </c>
      <c r="T105" s="639"/>
      <c r="U105" s="573"/>
      <c r="V105" s="580"/>
      <c r="W105" s="580" t="s">
        <v>863</v>
      </c>
      <c r="X105" s="581"/>
      <c r="Y105" s="640"/>
      <c r="Z105" s="573"/>
      <c r="AA105" s="583"/>
      <c r="AB105" s="573"/>
      <c r="AC105" s="579">
        <v>1</v>
      </c>
      <c r="AD105" s="579">
        <v>1</v>
      </c>
    </row>
    <row r="106" spans="1:1014" s="584" customFormat="1" ht="13.5" customHeight="1">
      <c r="A106" s="573">
        <v>88</v>
      </c>
      <c r="B106" s="574"/>
      <c r="C106" s="574" t="s">
        <v>971</v>
      </c>
      <c r="D106" s="574" t="s">
        <v>1333</v>
      </c>
      <c r="E106" s="574"/>
      <c r="F106" s="574"/>
      <c r="G106" s="574"/>
      <c r="H106" s="573" t="s">
        <v>1334</v>
      </c>
      <c r="I106" s="577"/>
      <c r="J106" s="573" t="s">
        <v>973</v>
      </c>
      <c r="K106" s="577" t="s">
        <v>974</v>
      </c>
      <c r="L106" s="573"/>
      <c r="M106" s="573"/>
      <c r="N106" s="573"/>
      <c r="O106" s="573"/>
      <c r="P106" s="578"/>
      <c r="Q106" s="573" t="s">
        <v>819</v>
      </c>
      <c r="R106" s="573" t="s">
        <v>863</v>
      </c>
      <c r="S106" s="585" t="s">
        <v>974</v>
      </c>
      <c r="T106" s="579"/>
      <c r="U106" s="573"/>
      <c r="V106" s="580"/>
      <c r="W106" s="580" t="s">
        <v>863</v>
      </c>
      <c r="X106" s="581"/>
      <c r="Y106" s="582"/>
      <c r="Z106" s="573"/>
      <c r="AA106" s="583"/>
      <c r="AB106" s="573"/>
      <c r="AC106" s="579">
        <v>1</v>
      </c>
      <c r="AD106" s="579">
        <v>1</v>
      </c>
    </row>
    <row r="107" spans="1:1014" s="584" customFormat="1" ht="13.5" customHeight="1">
      <c r="A107" s="573">
        <v>89</v>
      </c>
      <c r="B107" s="574"/>
      <c r="C107" s="574" t="s">
        <v>1335</v>
      </c>
      <c r="D107" s="574"/>
      <c r="E107" s="574"/>
      <c r="F107" s="574"/>
      <c r="G107" s="574"/>
      <c r="H107" s="573" t="s">
        <v>1336</v>
      </c>
      <c r="I107" s="577"/>
      <c r="J107" s="573" t="s">
        <v>1337</v>
      </c>
      <c r="K107" s="577" t="s">
        <v>1337</v>
      </c>
      <c r="L107" s="573"/>
      <c r="M107" s="573"/>
      <c r="N107" s="573"/>
      <c r="O107" s="573"/>
      <c r="P107" s="578"/>
      <c r="Q107" s="573" t="s">
        <v>819</v>
      </c>
      <c r="R107" s="573" t="s">
        <v>863</v>
      </c>
      <c r="S107" s="585" t="s">
        <v>1337</v>
      </c>
      <c r="T107" s="579"/>
      <c r="U107" s="573"/>
      <c r="V107" s="580"/>
      <c r="W107" s="580" t="s">
        <v>863</v>
      </c>
      <c r="X107" s="581"/>
      <c r="Y107" s="582"/>
      <c r="Z107" s="573"/>
      <c r="AA107" s="583"/>
      <c r="AB107" s="573"/>
      <c r="AC107" s="579">
        <v>1</v>
      </c>
      <c r="AD107" s="579">
        <v>1</v>
      </c>
    </row>
    <row r="108" spans="1:1014" s="584" customFormat="1" ht="13.5" customHeight="1">
      <c r="A108" s="573">
        <v>90</v>
      </c>
      <c r="B108" s="574"/>
      <c r="C108" s="574"/>
      <c r="D108" s="574" t="s">
        <v>1338</v>
      </c>
      <c r="E108" s="574"/>
      <c r="F108" s="574"/>
      <c r="G108" s="574"/>
      <c r="H108" s="573" t="s">
        <v>1339</v>
      </c>
      <c r="I108" s="577" t="s">
        <v>1340</v>
      </c>
      <c r="J108" s="573" t="s">
        <v>1341</v>
      </c>
      <c r="K108" s="577"/>
      <c r="L108" s="573"/>
      <c r="M108" s="573"/>
      <c r="N108" s="573"/>
      <c r="O108" s="573"/>
      <c r="P108" s="578"/>
      <c r="Q108" s="573" t="s">
        <v>819</v>
      </c>
      <c r="R108" s="573"/>
      <c r="S108" s="573" t="s">
        <v>862</v>
      </c>
      <c r="T108" s="579"/>
      <c r="U108" s="573"/>
      <c r="V108" s="580"/>
      <c r="W108" s="580" t="s">
        <v>863</v>
      </c>
      <c r="X108" s="581"/>
      <c r="Y108" s="582"/>
      <c r="Z108" s="573" t="s">
        <v>1075</v>
      </c>
      <c r="AA108" s="583"/>
      <c r="AB108" s="573"/>
      <c r="AC108" s="579"/>
      <c r="AD108" s="579">
        <v>1</v>
      </c>
    </row>
    <row r="109" spans="1:1014" s="584" customFormat="1" ht="13.5" customHeight="1">
      <c r="A109" s="573">
        <v>91</v>
      </c>
      <c r="B109" s="574"/>
      <c r="C109" s="574"/>
      <c r="D109" s="574" t="s">
        <v>1342</v>
      </c>
      <c r="E109" s="574"/>
      <c r="F109" s="574"/>
      <c r="G109" s="574"/>
      <c r="H109" s="573" t="s">
        <v>1343</v>
      </c>
      <c r="I109" s="577" t="s">
        <v>1344</v>
      </c>
      <c r="J109" s="573" t="s">
        <v>1345</v>
      </c>
      <c r="K109" s="577"/>
      <c r="L109" s="573"/>
      <c r="M109" s="573"/>
      <c r="N109" s="573"/>
      <c r="O109" s="573"/>
      <c r="P109" s="578"/>
      <c r="Q109" s="573" t="s">
        <v>819</v>
      </c>
      <c r="R109" s="573"/>
      <c r="S109" s="573" t="s">
        <v>862</v>
      </c>
      <c r="T109" s="579"/>
      <c r="U109" s="573"/>
      <c r="V109" s="580"/>
      <c r="W109" s="580" t="s">
        <v>863</v>
      </c>
      <c r="X109" s="581"/>
      <c r="Y109" s="582"/>
      <c r="Z109" s="573" t="s">
        <v>1346</v>
      </c>
      <c r="AA109" s="583"/>
      <c r="AB109" s="573"/>
      <c r="AC109" s="579"/>
      <c r="AD109" s="579">
        <v>1</v>
      </c>
    </row>
    <row r="110" spans="1:1014" s="584" customFormat="1" ht="13.5" customHeight="1">
      <c r="A110" s="573">
        <v>92</v>
      </c>
      <c r="B110" s="574"/>
      <c r="C110" s="574"/>
      <c r="D110" s="574" t="s">
        <v>1347</v>
      </c>
      <c r="E110" s="574"/>
      <c r="F110" s="574"/>
      <c r="G110" s="574"/>
      <c r="H110" s="573" t="s">
        <v>1348</v>
      </c>
      <c r="I110" s="577" t="s">
        <v>1349</v>
      </c>
      <c r="J110" s="573" t="s">
        <v>1350</v>
      </c>
      <c r="K110" s="577" t="s">
        <v>1351</v>
      </c>
      <c r="L110" s="573"/>
      <c r="M110" s="573"/>
      <c r="N110" s="573"/>
      <c r="O110" s="573"/>
      <c r="P110" s="578"/>
      <c r="Q110" s="573" t="s">
        <v>816</v>
      </c>
      <c r="R110" s="573"/>
      <c r="S110" s="573" t="s">
        <v>862</v>
      </c>
      <c r="T110" s="579"/>
      <c r="U110" s="573"/>
      <c r="V110" s="580"/>
      <c r="W110" s="580" t="s">
        <v>863</v>
      </c>
      <c r="X110" s="581"/>
      <c r="Y110" s="582"/>
      <c r="Z110" s="573"/>
      <c r="AA110" s="583"/>
      <c r="AB110" s="573"/>
      <c r="AC110" s="579"/>
      <c r="AD110" s="579">
        <v>1</v>
      </c>
    </row>
    <row r="111" spans="1:1014" s="584" customFormat="1" ht="13.5" customHeight="1">
      <c r="A111" s="573">
        <v>93</v>
      </c>
      <c r="B111" s="574"/>
      <c r="C111" s="574"/>
      <c r="D111" s="574" t="s">
        <v>1352</v>
      </c>
      <c r="E111" s="574" t="s">
        <v>1274</v>
      </c>
      <c r="F111" s="574"/>
      <c r="G111" s="574"/>
      <c r="H111" s="573" t="s">
        <v>1353</v>
      </c>
      <c r="I111" s="600"/>
      <c r="J111" s="573" t="s">
        <v>1354</v>
      </c>
      <c r="K111" s="577" t="s">
        <v>1355</v>
      </c>
      <c r="L111" s="573"/>
      <c r="M111" s="573"/>
      <c r="N111" s="573"/>
      <c r="O111" s="573"/>
      <c r="P111" s="578"/>
      <c r="Q111" s="573" t="s">
        <v>816</v>
      </c>
      <c r="R111" s="573" t="s">
        <v>863</v>
      </c>
      <c r="S111" s="585" t="s">
        <v>1263</v>
      </c>
      <c r="T111" s="579"/>
      <c r="U111" s="573"/>
      <c r="V111" s="580"/>
      <c r="W111" s="580" t="s">
        <v>863</v>
      </c>
      <c r="X111" s="581"/>
      <c r="Y111" s="582"/>
      <c r="Z111" s="573"/>
      <c r="AA111" s="583"/>
      <c r="AB111" s="573"/>
      <c r="AC111" s="579">
        <v>1</v>
      </c>
      <c r="AD111" s="579">
        <v>1</v>
      </c>
    </row>
    <row r="112" spans="1:1014" s="584" customFormat="1" ht="13.5" customHeight="1">
      <c r="A112" s="573">
        <v>94</v>
      </c>
      <c r="B112" s="574"/>
      <c r="C112" s="574"/>
      <c r="D112" s="574" t="s">
        <v>1356</v>
      </c>
      <c r="E112" s="574"/>
      <c r="F112" s="574"/>
      <c r="G112" s="574"/>
      <c r="H112" s="573" t="s">
        <v>1357</v>
      </c>
      <c r="I112" s="577" t="s">
        <v>1358</v>
      </c>
      <c r="J112" s="573" t="s">
        <v>1359</v>
      </c>
      <c r="K112" s="577"/>
      <c r="L112" s="573" t="s">
        <v>1360</v>
      </c>
      <c r="M112" s="573" t="s">
        <v>1361</v>
      </c>
      <c r="N112" s="573"/>
      <c r="O112" s="573"/>
      <c r="P112" s="578"/>
      <c r="Q112" s="573" t="s">
        <v>816</v>
      </c>
      <c r="R112" s="573"/>
      <c r="S112" s="573" t="s">
        <v>862</v>
      </c>
      <c r="T112" s="579"/>
      <c r="U112" s="573"/>
      <c r="V112" s="580"/>
      <c r="W112" s="580" t="s">
        <v>863</v>
      </c>
      <c r="X112" s="581"/>
      <c r="Y112" s="582"/>
      <c r="Z112" s="573"/>
      <c r="AA112" s="583"/>
      <c r="AB112" s="573"/>
      <c r="AC112" s="579">
        <v>1</v>
      </c>
      <c r="AD112" s="579">
        <v>1</v>
      </c>
    </row>
    <row r="113" spans="1:30" s="584" customFormat="1" ht="13.5" customHeight="1">
      <c r="A113" s="573">
        <v>95</v>
      </c>
      <c r="B113" s="574"/>
      <c r="C113" s="574" t="s">
        <v>1362</v>
      </c>
      <c r="D113" s="574"/>
      <c r="E113" s="574"/>
      <c r="F113" s="574"/>
      <c r="G113" s="574"/>
      <c r="H113" s="573" t="s">
        <v>1363</v>
      </c>
      <c r="I113" s="577"/>
      <c r="J113" s="573" t="s">
        <v>1364</v>
      </c>
      <c r="K113" s="577" t="s">
        <v>1365</v>
      </c>
      <c r="L113" s="573"/>
      <c r="M113" s="573"/>
      <c r="N113" s="573"/>
      <c r="O113" s="573"/>
      <c r="P113" s="578"/>
      <c r="Q113" s="573" t="s">
        <v>822</v>
      </c>
      <c r="R113" s="573" t="s">
        <v>863</v>
      </c>
      <c r="S113" s="585" t="s">
        <v>1365</v>
      </c>
      <c r="T113" s="639"/>
      <c r="U113" s="573"/>
      <c r="V113" s="580"/>
      <c r="W113" s="580" t="s">
        <v>863</v>
      </c>
      <c r="X113" s="581"/>
      <c r="Y113" s="640"/>
      <c r="Z113" s="573"/>
      <c r="AA113" s="583"/>
      <c r="AB113" s="573"/>
      <c r="AC113" s="579">
        <v>1</v>
      </c>
      <c r="AD113" s="579">
        <v>1</v>
      </c>
    </row>
    <row r="114" spans="1:30" s="584" customFormat="1" ht="13.5" customHeight="1">
      <c r="A114" s="573">
        <v>96</v>
      </c>
      <c r="B114" s="574"/>
      <c r="C114" s="574"/>
      <c r="D114" s="574" t="s">
        <v>1366</v>
      </c>
      <c r="E114" s="574"/>
      <c r="F114" s="574"/>
      <c r="G114" s="574"/>
      <c r="H114" s="573" t="s">
        <v>1367</v>
      </c>
      <c r="I114" s="577" t="s">
        <v>1368</v>
      </c>
      <c r="J114" s="573" t="s">
        <v>1369</v>
      </c>
      <c r="K114" s="577" t="s">
        <v>1370</v>
      </c>
      <c r="L114" s="573"/>
      <c r="M114" s="573"/>
      <c r="N114" s="573"/>
      <c r="O114" s="573"/>
      <c r="P114" s="578"/>
      <c r="Q114" s="573" t="s">
        <v>816</v>
      </c>
      <c r="R114" s="573"/>
      <c r="S114" s="573" t="s">
        <v>862</v>
      </c>
      <c r="T114" s="579"/>
      <c r="U114" s="573"/>
      <c r="V114" s="580"/>
      <c r="W114" s="580" t="s">
        <v>863</v>
      </c>
      <c r="X114" s="581"/>
      <c r="Y114" s="582"/>
      <c r="Z114" s="573" t="s">
        <v>1014</v>
      </c>
      <c r="AA114" s="583"/>
      <c r="AB114" s="573"/>
      <c r="AC114" s="579">
        <v>1</v>
      </c>
      <c r="AD114" s="579">
        <v>1</v>
      </c>
    </row>
    <row r="115" spans="1:30" s="584" customFormat="1" ht="13.5" customHeight="1">
      <c r="A115" s="573">
        <v>97</v>
      </c>
      <c r="B115" s="574"/>
      <c r="C115" s="574"/>
      <c r="D115" s="574" t="s">
        <v>1371</v>
      </c>
      <c r="E115" s="574"/>
      <c r="F115" s="574"/>
      <c r="G115" s="574"/>
      <c r="H115" s="573" t="s">
        <v>1372</v>
      </c>
      <c r="I115" s="577" t="s">
        <v>1373</v>
      </c>
      <c r="J115" s="573" t="s">
        <v>1374</v>
      </c>
      <c r="K115" s="577"/>
      <c r="L115" s="573"/>
      <c r="M115" s="573"/>
      <c r="N115" s="573"/>
      <c r="O115" s="573"/>
      <c r="P115" s="578"/>
      <c r="Q115" s="573" t="s">
        <v>816</v>
      </c>
      <c r="R115" s="573"/>
      <c r="S115" s="573" t="s">
        <v>862</v>
      </c>
      <c r="T115" s="579"/>
      <c r="U115" s="573"/>
      <c r="V115" s="580"/>
      <c r="W115" s="580" t="s">
        <v>863</v>
      </c>
      <c r="X115" s="581"/>
      <c r="Y115" s="582"/>
      <c r="Z115" s="573"/>
      <c r="AA115" s="583"/>
      <c r="AB115" s="573"/>
      <c r="AC115" s="579">
        <v>1</v>
      </c>
      <c r="AD115" s="579">
        <v>1</v>
      </c>
    </row>
    <row r="116" spans="1:30" s="584" customFormat="1" ht="13.5" customHeight="1">
      <c r="A116" s="573">
        <v>98</v>
      </c>
      <c r="B116" s="574"/>
      <c r="C116" s="574"/>
      <c r="D116" s="574" t="s">
        <v>1375</v>
      </c>
      <c r="E116" s="574"/>
      <c r="F116" s="574"/>
      <c r="G116" s="574"/>
      <c r="H116" s="573" t="s">
        <v>1376</v>
      </c>
      <c r="I116" s="577" t="s">
        <v>1377</v>
      </c>
      <c r="J116" s="573" t="s">
        <v>1378</v>
      </c>
      <c r="K116" s="577"/>
      <c r="L116" s="573"/>
      <c r="M116" s="573"/>
      <c r="N116" s="573"/>
      <c r="O116" s="573"/>
      <c r="P116" s="578"/>
      <c r="Q116" s="573" t="s">
        <v>816</v>
      </c>
      <c r="R116" s="573"/>
      <c r="S116" s="573" t="s">
        <v>1379</v>
      </c>
      <c r="T116" s="579"/>
      <c r="U116" s="573"/>
      <c r="V116" s="580"/>
      <c r="W116" s="580" t="s">
        <v>863</v>
      </c>
      <c r="X116" s="581"/>
      <c r="Y116" s="582"/>
      <c r="Z116" s="573"/>
      <c r="AA116" s="583"/>
      <c r="AB116" s="573"/>
      <c r="AC116" s="579">
        <v>1</v>
      </c>
      <c r="AD116" s="579">
        <v>1</v>
      </c>
    </row>
    <row r="117" spans="1:30" s="584" customFormat="1" ht="13.5" customHeight="1">
      <c r="A117" s="573">
        <v>99</v>
      </c>
      <c r="B117" s="574"/>
      <c r="C117" s="574"/>
      <c r="D117" s="574" t="s">
        <v>874</v>
      </c>
      <c r="E117" s="574"/>
      <c r="F117" s="574"/>
      <c r="G117" s="574"/>
      <c r="H117" s="573" t="s">
        <v>1380</v>
      </c>
      <c r="I117" s="628" t="s">
        <v>1381</v>
      </c>
      <c r="J117" s="573" t="s">
        <v>874</v>
      </c>
      <c r="K117" s="577"/>
      <c r="L117" s="573"/>
      <c r="M117" s="573"/>
      <c r="N117" s="573"/>
      <c r="O117" s="573"/>
      <c r="P117" s="578"/>
      <c r="Q117" s="573" t="s">
        <v>819</v>
      </c>
      <c r="R117" s="573"/>
      <c r="S117" s="573" t="s">
        <v>862</v>
      </c>
      <c r="T117" s="579"/>
      <c r="U117" s="573"/>
      <c r="V117" s="580"/>
      <c r="W117" s="580" t="s">
        <v>863</v>
      </c>
      <c r="X117" s="581"/>
      <c r="Y117" s="582"/>
      <c r="Z117" s="573"/>
      <c r="AA117" s="583"/>
      <c r="AB117" s="573"/>
      <c r="AC117" s="579">
        <v>1</v>
      </c>
      <c r="AD117" s="579">
        <v>1</v>
      </c>
    </row>
    <row r="118" spans="1:30" s="584" customFormat="1" ht="13.5" customHeight="1">
      <c r="A118" s="573">
        <v>100</v>
      </c>
      <c r="B118" s="574"/>
      <c r="C118" s="574"/>
      <c r="D118" s="574" t="s">
        <v>1382</v>
      </c>
      <c r="E118" s="574"/>
      <c r="F118" s="574"/>
      <c r="G118" s="574"/>
      <c r="H118" s="573" t="s">
        <v>1383</v>
      </c>
      <c r="I118" s="577"/>
      <c r="J118" s="573" t="s">
        <v>1384</v>
      </c>
      <c r="K118" s="577"/>
      <c r="L118" s="573"/>
      <c r="M118" s="573"/>
      <c r="N118" s="573"/>
      <c r="O118" s="573"/>
      <c r="P118" s="578"/>
      <c r="Q118" s="573" t="s">
        <v>816</v>
      </c>
      <c r="R118" s="573"/>
      <c r="S118" s="573" t="s">
        <v>862</v>
      </c>
      <c r="T118" s="579"/>
      <c r="U118" s="573"/>
      <c r="V118" s="580"/>
      <c r="W118" s="580" t="s">
        <v>863</v>
      </c>
      <c r="X118" s="581"/>
      <c r="Y118" s="582"/>
      <c r="Z118" s="573"/>
      <c r="AA118" s="583"/>
      <c r="AB118" s="573"/>
      <c r="AC118" s="579">
        <v>1</v>
      </c>
      <c r="AD118" s="579">
        <v>1</v>
      </c>
    </row>
    <row r="119" spans="1:30" s="584" customFormat="1" ht="12.95" customHeight="1">
      <c r="A119" s="573">
        <v>101</v>
      </c>
      <c r="B119" s="574"/>
      <c r="C119" s="574"/>
      <c r="D119" s="574" t="s">
        <v>1385</v>
      </c>
      <c r="E119" s="574"/>
      <c r="F119" s="574"/>
      <c r="G119" s="574"/>
      <c r="H119" s="573" t="s">
        <v>1386</v>
      </c>
      <c r="I119" s="577"/>
      <c r="J119" s="573" t="s">
        <v>1387</v>
      </c>
      <c r="K119" s="577"/>
      <c r="L119" s="573"/>
      <c r="M119" s="573"/>
      <c r="N119" s="573"/>
      <c r="O119" s="573"/>
      <c r="P119" s="578"/>
      <c r="Q119" s="573" t="s">
        <v>816</v>
      </c>
      <c r="R119" s="573"/>
      <c r="S119" s="573" t="s">
        <v>862</v>
      </c>
      <c r="T119" s="579"/>
      <c r="U119" s="573"/>
      <c r="V119" s="580"/>
      <c r="W119" s="580" t="s">
        <v>863</v>
      </c>
      <c r="X119" s="581"/>
      <c r="Y119" s="582"/>
      <c r="Z119" s="573"/>
      <c r="AA119" s="583"/>
      <c r="AB119" s="573"/>
      <c r="AC119" s="579">
        <v>1</v>
      </c>
      <c r="AD119" s="579">
        <v>1</v>
      </c>
    </row>
    <row r="120" spans="1:30" s="224" customFormat="1" ht="13.5" customHeight="1">
      <c r="A120" s="225">
        <v>102</v>
      </c>
      <c r="B120" s="217" t="s">
        <v>1388</v>
      </c>
      <c r="C120" s="216"/>
      <c r="D120" s="241"/>
      <c r="E120" s="241"/>
      <c r="F120" s="241"/>
      <c r="G120" s="241"/>
      <c r="H120" s="668" t="s">
        <v>1389</v>
      </c>
      <c r="I120" s="666" t="s">
        <v>1340</v>
      </c>
      <c r="J120" s="668"/>
      <c r="K120" s="666" t="s">
        <v>1390</v>
      </c>
      <c r="L120" s="668"/>
      <c r="M120" s="668"/>
      <c r="N120" s="668"/>
      <c r="O120" s="668"/>
      <c r="P120" s="669"/>
      <c r="Q120" s="668" t="s">
        <v>819</v>
      </c>
      <c r="R120" s="668"/>
      <c r="S120" s="668" t="s">
        <v>862</v>
      </c>
      <c r="T120" s="670"/>
      <c r="U120" s="678"/>
      <c r="V120" s="667"/>
      <c r="W120" s="667" t="s">
        <v>863</v>
      </c>
      <c r="X120" s="232"/>
      <c r="Y120" s="379" t="s">
        <v>1391</v>
      </c>
      <c r="Z120" s="385" t="s">
        <v>1346</v>
      </c>
      <c r="AA120" s="672"/>
      <c r="AB120" s="668"/>
      <c r="AC120" s="670"/>
      <c r="AD120" s="670">
        <v>1</v>
      </c>
    </row>
    <row r="121" spans="1:30" s="584" customFormat="1" ht="13.5" customHeight="1">
      <c r="A121" s="573">
        <v>103</v>
      </c>
      <c r="B121" s="574" t="s">
        <v>1392</v>
      </c>
      <c r="C121" s="575"/>
      <c r="D121" s="575"/>
      <c r="E121" s="575"/>
      <c r="F121" s="575"/>
      <c r="G121" s="575"/>
      <c r="H121" s="573" t="s">
        <v>1393</v>
      </c>
      <c r="I121" s="600"/>
      <c r="J121" s="573"/>
      <c r="K121" s="577" t="s">
        <v>1394</v>
      </c>
      <c r="L121" s="573"/>
      <c r="M121" s="573"/>
      <c r="N121" s="573"/>
      <c r="O121" s="573"/>
      <c r="P121" s="578"/>
      <c r="Q121" s="573" t="s">
        <v>822</v>
      </c>
      <c r="R121" s="573" t="s">
        <v>863</v>
      </c>
      <c r="S121" s="601" t="s">
        <v>1394</v>
      </c>
      <c r="T121" s="579"/>
      <c r="U121" s="641"/>
      <c r="V121" s="580"/>
      <c r="W121" s="580" t="s">
        <v>863</v>
      </c>
      <c r="X121" s="581"/>
      <c r="Y121" s="582"/>
      <c r="Z121" s="573"/>
      <c r="AA121" s="583"/>
      <c r="AB121" s="573"/>
      <c r="AC121" s="579"/>
      <c r="AD121" s="579">
        <v>1</v>
      </c>
    </row>
    <row r="122" spans="1:30" s="584" customFormat="1" ht="13.5" customHeight="1">
      <c r="A122" s="573">
        <v>104</v>
      </c>
      <c r="B122" s="575"/>
      <c r="C122" s="574" t="s">
        <v>1303</v>
      </c>
      <c r="D122" s="574"/>
      <c r="E122" s="574"/>
      <c r="F122" s="574"/>
      <c r="G122" s="574"/>
      <c r="H122" s="573" t="s">
        <v>1395</v>
      </c>
      <c r="I122" s="600"/>
      <c r="J122" s="573"/>
      <c r="K122" s="577" t="s">
        <v>1302</v>
      </c>
      <c r="L122" s="573"/>
      <c r="M122" s="573"/>
      <c r="N122" s="573"/>
      <c r="O122" s="573"/>
      <c r="P122" s="578"/>
      <c r="Q122" s="642" t="s">
        <v>816</v>
      </c>
      <c r="R122" s="573" t="s">
        <v>863</v>
      </c>
      <c r="S122" s="601" t="s">
        <v>1302</v>
      </c>
      <c r="T122" s="579"/>
      <c r="U122" s="579"/>
      <c r="V122" s="580"/>
      <c r="W122" s="580" t="s">
        <v>863</v>
      </c>
      <c r="X122" s="581"/>
      <c r="Y122" s="643" t="s">
        <v>1396</v>
      </c>
      <c r="Z122" s="573"/>
      <c r="AA122" s="583"/>
      <c r="AB122" s="573"/>
      <c r="AC122" s="579"/>
      <c r="AD122" s="579">
        <v>1</v>
      </c>
    </row>
    <row r="123" spans="1:30" s="584" customFormat="1" ht="13.5" customHeight="1">
      <c r="A123" s="573">
        <v>105</v>
      </c>
      <c r="B123" s="575"/>
      <c r="C123" s="574" t="s">
        <v>830</v>
      </c>
      <c r="D123" s="574"/>
      <c r="E123" s="574"/>
      <c r="F123" s="574"/>
      <c r="G123" s="574"/>
      <c r="H123" s="573" t="s">
        <v>1397</v>
      </c>
      <c r="I123" s="600"/>
      <c r="J123" s="573"/>
      <c r="K123" s="577" t="s">
        <v>1217</v>
      </c>
      <c r="L123" s="573"/>
      <c r="M123" s="573"/>
      <c r="N123" s="573"/>
      <c r="O123" s="573"/>
      <c r="P123" s="578"/>
      <c r="Q123" s="573" t="s">
        <v>816</v>
      </c>
      <c r="R123" s="573"/>
      <c r="S123" s="573" t="s">
        <v>862</v>
      </c>
      <c r="T123" s="579"/>
      <c r="U123" s="641"/>
      <c r="V123" s="580"/>
      <c r="W123" s="580" t="s">
        <v>863</v>
      </c>
      <c r="X123" s="581"/>
      <c r="Y123" s="582"/>
      <c r="Z123" s="573"/>
      <c r="AA123" s="583"/>
      <c r="AB123" s="573"/>
      <c r="AC123" s="579"/>
      <c r="AD123" s="579">
        <v>1</v>
      </c>
    </row>
    <row r="124" spans="1:30" s="584" customFormat="1" ht="13.5" customHeight="1">
      <c r="A124" s="573">
        <v>106</v>
      </c>
      <c r="B124" s="574"/>
      <c r="C124" s="574" t="s">
        <v>1398</v>
      </c>
      <c r="D124" s="574"/>
      <c r="E124" s="574"/>
      <c r="F124" s="574"/>
      <c r="G124" s="574"/>
      <c r="H124" s="573" t="s">
        <v>1399</v>
      </c>
      <c r="I124" s="600" t="s">
        <v>1400</v>
      </c>
      <c r="J124" s="573"/>
      <c r="K124" s="577" t="s">
        <v>1351</v>
      </c>
      <c r="L124" s="573"/>
      <c r="M124" s="573"/>
      <c r="N124" s="573"/>
      <c r="O124" s="573"/>
      <c r="P124" s="578"/>
      <c r="Q124" s="573" t="s">
        <v>819</v>
      </c>
      <c r="R124" s="573"/>
      <c r="S124" s="573" t="s">
        <v>862</v>
      </c>
      <c r="T124" s="579"/>
      <c r="U124" s="579"/>
      <c r="V124" s="580"/>
      <c r="W124" s="580" t="s">
        <v>863</v>
      </c>
      <c r="X124" s="581"/>
      <c r="Y124" s="582"/>
      <c r="Z124" s="573"/>
      <c r="AA124" s="583"/>
      <c r="AB124" s="573"/>
      <c r="AC124" s="579"/>
      <c r="AD124" s="579">
        <v>1</v>
      </c>
    </row>
    <row r="125" spans="1:30" s="224" customFormat="1" ht="14.25" customHeight="1">
      <c r="A125" s="225">
        <v>107</v>
      </c>
      <c r="B125" s="597" t="s">
        <v>561</v>
      </c>
      <c r="C125" s="217"/>
      <c r="D125" s="217"/>
      <c r="E125" s="217"/>
      <c r="F125" s="217"/>
      <c r="G125" s="217"/>
      <c r="H125" s="668" t="s">
        <v>1401</v>
      </c>
      <c r="I125" s="679"/>
      <c r="J125" s="668"/>
      <c r="K125" s="666" t="s">
        <v>1402</v>
      </c>
      <c r="L125" s="668"/>
      <c r="M125" s="668"/>
      <c r="N125" s="668"/>
      <c r="O125" s="668"/>
      <c r="P125" s="669"/>
      <c r="Q125" s="668" t="s">
        <v>822</v>
      </c>
      <c r="R125" s="668" t="s">
        <v>863</v>
      </c>
      <c r="S125" s="378" t="s">
        <v>1402</v>
      </c>
      <c r="T125" s="670"/>
      <c r="U125" s="259"/>
      <c r="V125" s="260" t="s">
        <v>863</v>
      </c>
      <c r="W125" s="260" t="s">
        <v>863</v>
      </c>
      <c r="X125" s="232"/>
      <c r="Y125" s="671"/>
      <c r="Z125" s="668"/>
      <c r="AA125" s="245"/>
      <c r="AB125" s="668"/>
      <c r="AC125" s="670"/>
      <c r="AD125" s="670">
        <v>1</v>
      </c>
    </row>
    <row r="126" spans="1:30" s="224" customFormat="1" ht="13.5" customHeight="1">
      <c r="A126" s="225">
        <v>108</v>
      </c>
      <c r="B126" s="217"/>
      <c r="C126" s="217" t="s">
        <v>1403</v>
      </c>
      <c r="D126" s="241"/>
      <c r="E126" s="219"/>
      <c r="F126" s="241"/>
      <c r="G126" s="241"/>
      <c r="H126" s="668" t="s">
        <v>1404</v>
      </c>
      <c r="I126" s="679"/>
      <c r="J126" s="668"/>
      <c r="K126" s="666" t="s">
        <v>1217</v>
      </c>
      <c r="L126" s="668"/>
      <c r="M126" s="668"/>
      <c r="N126" s="668"/>
      <c r="O126" s="668"/>
      <c r="P126" s="669"/>
      <c r="Q126" s="668" t="s">
        <v>819</v>
      </c>
      <c r="R126" s="668"/>
      <c r="S126" s="666" t="s">
        <v>862</v>
      </c>
      <c r="T126" s="670"/>
      <c r="U126" s="670"/>
      <c r="V126" s="667"/>
      <c r="W126" s="260" t="s">
        <v>863</v>
      </c>
      <c r="X126" s="232"/>
      <c r="Y126" s="266" t="s">
        <v>1405</v>
      </c>
      <c r="Z126" s="668" t="s">
        <v>1406</v>
      </c>
      <c r="AA126" s="672"/>
      <c r="AB126" s="668"/>
      <c r="AC126" s="670"/>
      <c r="AD126" s="670">
        <v>1</v>
      </c>
    </row>
    <row r="127" spans="1:30" s="584" customFormat="1" ht="13.5" customHeight="1">
      <c r="A127" s="573">
        <v>109</v>
      </c>
      <c r="B127" s="574"/>
      <c r="C127" s="574" t="s">
        <v>1407</v>
      </c>
      <c r="D127" s="574"/>
      <c r="E127" s="574"/>
      <c r="F127" s="574"/>
      <c r="G127" s="574"/>
      <c r="H127" s="573"/>
      <c r="I127" s="600"/>
      <c r="J127" s="573"/>
      <c r="K127" s="577" t="s">
        <v>1408</v>
      </c>
      <c r="L127" s="573"/>
      <c r="M127" s="573"/>
      <c r="N127" s="573"/>
      <c r="O127" s="573"/>
      <c r="P127" s="578"/>
      <c r="Q127" s="573" t="s">
        <v>816</v>
      </c>
      <c r="R127" s="573" t="s">
        <v>863</v>
      </c>
      <c r="S127" s="585" t="s">
        <v>1408</v>
      </c>
      <c r="T127" s="579"/>
      <c r="U127" s="579"/>
      <c r="V127" s="580"/>
      <c r="W127" s="580" t="s">
        <v>863</v>
      </c>
      <c r="X127" s="581"/>
      <c r="Y127" s="582"/>
      <c r="Z127" s="573"/>
      <c r="AA127" s="583"/>
      <c r="AB127" s="573"/>
      <c r="AC127" s="579"/>
      <c r="AD127" s="579">
        <v>1</v>
      </c>
    </row>
    <row r="128" spans="1:30" s="584" customFormat="1" ht="13.5" customHeight="1">
      <c r="A128" s="573">
        <v>110</v>
      </c>
      <c r="B128" s="574"/>
      <c r="C128" s="574"/>
      <c r="D128" s="574" t="s">
        <v>1409</v>
      </c>
      <c r="E128" s="574"/>
      <c r="F128" s="574"/>
      <c r="G128" s="574"/>
      <c r="H128" s="573" t="s">
        <v>1410</v>
      </c>
      <c r="I128" s="600"/>
      <c r="J128" s="573"/>
      <c r="K128" s="577" t="s">
        <v>1411</v>
      </c>
      <c r="L128" s="573"/>
      <c r="M128" s="573"/>
      <c r="N128" s="573"/>
      <c r="O128" s="573"/>
      <c r="P128" s="578"/>
      <c r="Q128" s="573" t="s">
        <v>822</v>
      </c>
      <c r="R128" s="573" t="s">
        <v>863</v>
      </c>
      <c r="S128" s="601" t="s">
        <v>1411</v>
      </c>
      <c r="T128" s="579"/>
      <c r="U128" s="579"/>
      <c r="V128" s="580"/>
      <c r="W128" s="580" t="s">
        <v>863</v>
      </c>
      <c r="X128" s="581"/>
      <c r="Y128" s="582"/>
      <c r="Z128" s="573"/>
      <c r="AA128" s="583"/>
      <c r="AB128" s="573"/>
      <c r="AC128" s="579"/>
      <c r="AD128" s="579">
        <v>1</v>
      </c>
    </row>
    <row r="129" spans="1:30" s="584" customFormat="1" ht="13.5" customHeight="1">
      <c r="A129" s="573">
        <v>111</v>
      </c>
      <c r="B129" s="574"/>
      <c r="C129" s="574"/>
      <c r="D129" s="574"/>
      <c r="E129" s="574" t="s">
        <v>1070</v>
      </c>
      <c r="F129" s="574"/>
      <c r="G129" s="574"/>
      <c r="H129" s="573" t="s">
        <v>1071</v>
      </c>
      <c r="I129" s="600" t="s">
        <v>1412</v>
      </c>
      <c r="J129" s="573"/>
      <c r="K129" s="577" t="s">
        <v>907</v>
      </c>
      <c r="L129" s="573"/>
      <c r="M129" s="573"/>
      <c r="N129" s="573"/>
      <c r="O129" s="573"/>
      <c r="P129" s="578"/>
      <c r="Q129" s="573" t="s">
        <v>819</v>
      </c>
      <c r="R129" s="573"/>
      <c r="S129" s="573" t="s">
        <v>862</v>
      </c>
      <c r="T129" s="579"/>
      <c r="U129" s="579" t="s">
        <v>1413</v>
      </c>
      <c r="V129" s="580"/>
      <c r="W129" s="580" t="s">
        <v>863</v>
      </c>
      <c r="X129" s="581"/>
      <c r="Y129" s="582" t="s">
        <v>1074</v>
      </c>
      <c r="Z129" s="573" t="s">
        <v>1075</v>
      </c>
      <c r="AA129" s="583"/>
      <c r="AB129" s="573"/>
      <c r="AC129" s="579"/>
      <c r="AD129" s="579">
        <v>1</v>
      </c>
    </row>
    <row r="130" spans="1:30" s="584" customFormat="1" ht="13.5" customHeight="1">
      <c r="A130" s="573">
        <v>112</v>
      </c>
      <c r="B130" s="574"/>
      <c r="C130" s="574"/>
      <c r="D130" s="574"/>
      <c r="E130" s="574" t="s">
        <v>1076</v>
      </c>
      <c r="F130" s="574"/>
      <c r="G130" s="574"/>
      <c r="H130" s="573" t="s">
        <v>1077</v>
      </c>
      <c r="I130" s="600" t="s">
        <v>1358</v>
      </c>
      <c r="J130" s="573"/>
      <c r="K130" s="577" t="s">
        <v>1079</v>
      </c>
      <c r="L130" s="573"/>
      <c r="M130" s="573"/>
      <c r="N130" s="573"/>
      <c r="O130" s="573"/>
      <c r="P130" s="578"/>
      <c r="Q130" s="573" t="s">
        <v>819</v>
      </c>
      <c r="R130" s="573"/>
      <c r="S130" s="573" t="s">
        <v>862</v>
      </c>
      <c r="T130" s="579"/>
      <c r="U130" s="579"/>
      <c r="V130" s="580"/>
      <c r="W130" s="580" t="s">
        <v>863</v>
      </c>
      <c r="X130" s="581"/>
      <c r="Y130" s="582"/>
      <c r="Z130" s="573"/>
      <c r="AA130" s="583"/>
      <c r="AB130" s="573"/>
      <c r="AC130" s="579"/>
      <c r="AD130" s="579">
        <v>1</v>
      </c>
    </row>
    <row r="131" spans="1:30" s="584" customFormat="1" ht="13.5" customHeight="1">
      <c r="A131" s="573">
        <v>113</v>
      </c>
      <c r="B131" s="574"/>
      <c r="C131" s="574"/>
      <c r="D131" s="574" t="s">
        <v>1258</v>
      </c>
      <c r="E131" s="574" t="s">
        <v>1274</v>
      </c>
      <c r="F131" s="574"/>
      <c r="G131" s="574"/>
      <c r="H131" s="573" t="s">
        <v>1414</v>
      </c>
      <c r="I131" s="600"/>
      <c r="J131" s="573"/>
      <c r="K131" s="577" t="s">
        <v>1263</v>
      </c>
      <c r="L131" s="573"/>
      <c r="M131" s="573"/>
      <c r="N131" s="573"/>
      <c r="O131" s="573"/>
      <c r="P131" s="578"/>
      <c r="Q131" s="573" t="s">
        <v>822</v>
      </c>
      <c r="R131" s="573" t="s">
        <v>863</v>
      </c>
      <c r="S131" s="585" t="s">
        <v>1263</v>
      </c>
      <c r="T131" s="579"/>
      <c r="U131" s="579"/>
      <c r="V131" s="580"/>
      <c r="W131" s="580" t="s">
        <v>863</v>
      </c>
      <c r="X131" s="581"/>
      <c r="Y131" s="644" t="s">
        <v>1415</v>
      </c>
      <c r="Z131" s="642" t="s">
        <v>1416</v>
      </c>
      <c r="AA131" s="583" t="s">
        <v>1264</v>
      </c>
      <c r="AB131" s="573"/>
      <c r="AC131" s="579"/>
      <c r="AD131" s="579">
        <v>1</v>
      </c>
    </row>
    <row r="132" spans="1:30" s="584" customFormat="1" ht="13.5" customHeight="1">
      <c r="A132" s="573">
        <v>114</v>
      </c>
      <c r="B132" s="574"/>
      <c r="C132" s="574"/>
      <c r="D132" s="574" t="s">
        <v>1050</v>
      </c>
      <c r="E132" s="574"/>
      <c r="F132" s="574"/>
      <c r="G132" s="574"/>
      <c r="H132" s="573" t="s">
        <v>1417</v>
      </c>
      <c r="I132" s="600"/>
      <c r="J132" s="573"/>
      <c r="K132" s="577" t="s">
        <v>1418</v>
      </c>
      <c r="L132" s="573"/>
      <c r="M132" s="573"/>
      <c r="N132" s="573"/>
      <c r="O132" s="573"/>
      <c r="P132" s="578"/>
      <c r="Q132" s="573" t="s">
        <v>816</v>
      </c>
      <c r="R132" s="573" t="s">
        <v>863</v>
      </c>
      <c r="S132" s="601" t="s">
        <v>1418</v>
      </c>
      <c r="T132" s="579"/>
      <c r="U132" s="579"/>
      <c r="V132" s="580"/>
      <c r="W132" s="580" t="s">
        <v>863</v>
      </c>
      <c r="X132" s="581"/>
      <c r="Y132" s="582"/>
      <c r="Z132" s="573"/>
      <c r="AA132" s="583"/>
      <c r="AB132" s="573"/>
      <c r="AC132" s="579"/>
      <c r="AD132" s="579">
        <v>1</v>
      </c>
    </row>
    <row r="133" spans="1:30" s="584" customFormat="1" ht="13.5" customHeight="1">
      <c r="A133" s="573">
        <v>115</v>
      </c>
      <c r="B133" s="574"/>
      <c r="C133" s="574"/>
      <c r="D133" s="574"/>
      <c r="E133" s="574" t="s">
        <v>1080</v>
      </c>
      <c r="F133" s="574" t="s">
        <v>1419</v>
      </c>
      <c r="G133" s="574"/>
      <c r="H133" s="573"/>
      <c r="I133" s="600"/>
      <c r="J133" s="573"/>
      <c r="K133" s="577" t="s">
        <v>1081</v>
      </c>
      <c r="L133" s="573"/>
      <c r="M133" s="573"/>
      <c r="N133" s="573"/>
      <c r="O133" s="573"/>
      <c r="P133" s="578"/>
      <c r="Q133" s="573" t="s">
        <v>816</v>
      </c>
      <c r="R133" s="573" t="s">
        <v>863</v>
      </c>
      <c r="S133" s="585" t="s">
        <v>1081</v>
      </c>
      <c r="T133" s="579"/>
      <c r="U133" s="579"/>
      <c r="V133" s="580"/>
      <c r="W133" s="580" t="s">
        <v>863</v>
      </c>
      <c r="X133" s="581"/>
      <c r="Y133" s="582"/>
      <c r="Z133" s="573"/>
      <c r="AA133" s="583"/>
      <c r="AB133" s="573"/>
      <c r="AC133" s="579"/>
      <c r="AD133" s="579">
        <v>1</v>
      </c>
    </row>
    <row r="134" spans="1:30" s="584" customFormat="1" ht="13.5" customHeight="1">
      <c r="A134" s="573">
        <v>116</v>
      </c>
      <c r="B134" s="574"/>
      <c r="C134" s="574"/>
      <c r="D134" s="574"/>
      <c r="E134" s="574" t="s">
        <v>1105</v>
      </c>
      <c r="F134" s="574" t="s">
        <v>1420</v>
      </c>
      <c r="G134" s="574"/>
      <c r="H134" s="573"/>
      <c r="I134" s="600"/>
      <c r="J134" s="573"/>
      <c r="K134" s="577" t="s">
        <v>1106</v>
      </c>
      <c r="L134" s="573"/>
      <c r="M134" s="573"/>
      <c r="N134" s="573"/>
      <c r="O134" s="573"/>
      <c r="P134" s="578"/>
      <c r="Q134" s="573" t="s">
        <v>816</v>
      </c>
      <c r="R134" s="573" t="s">
        <v>863</v>
      </c>
      <c r="S134" s="585" t="s">
        <v>1106</v>
      </c>
      <c r="T134" s="579"/>
      <c r="U134" s="579"/>
      <c r="V134" s="580"/>
      <c r="W134" s="580" t="s">
        <v>863</v>
      </c>
      <c r="X134" s="581"/>
      <c r="Y134" s="582"/>
      <c r="Z134" s="573"/>
      <c r="AA134" s="583"/>
      <c r="AB134" s="573"/>
      <c r="AC134" s="579"/>
      <c r="AD134" s="579">
        <v>1</v>
      </c>
    </row>
    <row r="135" spans="1:30" s="584" customFormat="1" ht="13.5" customHeight="1">
      <c r="A135" s="573">
        <v>117</v>
      </c>
      <c r="B135" s="574"/>
      <c r="C135" s="574"/>
      <c r="D135" s="574" t="s">
        <v>1421</v>
      </c>
      <c r="E135" s="574"/>
      <c r="F135" s="574"/>
      <c r="G135" s="574"/>
      <c r="H135" s="573"/>
      <c r="I135" s="600"/>
      <c r="J135" s="573"/>
      <c r="K135" s="577" t="s">
        <v>1422</v>
      </c>
      <c r="L135" s="573"/>
      <c r="M135" s="573"/>
      <c r="N135" s="573"/>
      <c r="O135" s="573"/>
      <c r="P135" s="578"/>
      <c r="Q135" s="573" t="s">
        <v>816</v>
      </c>
      <c r="R135" s="573" t="s">
        <v>863</v>
      </c>
      <c r="S135" s="601" t="s">
        <v>1422</v>
      </c>
      <c r="T135" s="579"/>
      <c r="U135" s="579"/>
      <c r="V135" s="580"/>
      <c r="W135" s="580" t="s">
        <v>863</v>
      </c>
      <c r="X135" s="581"/>
      <c r="Y135" s="582"/>
      <c r="Z135" s="582" t="s">
        <v>1423</v>
      </c>
      <c r="AA135" s="583"/>
      <c r="AB135" s="573"/>
      <c r="AC135" s="579"/>
      <c r="AD135" s="579">
        <v>1</v>
      </c>
    </row>
    <row r="136" spans="1:30" s="584" customFormat="1" ht="13.5" customHeight="1">
      <c r="A136" s="573">
        <v>118</v>
      </c>
      <c r="B136" s="574"/>
      <c r="C136" s="574"/>
      <c r="D136" s="574"/>
      <c r="E136" s="574" t="s">
        <v>1303</v>
      </c>
      <c r="F136" s="574"/>
      <c r="G136" s="574"/>
      <c r="H136" s="573" t="s">
        <v>1424</v>
      </c>
      <c r="I136" s="600"/>
      <c r="J136" s="573"/>
      <c r="K136" s="577" t="s">
        <v>1302</v>
      </c>
      <c r="L136" s="573"/>
      <c r="M136" s="573"/>
      <c r="N136" s="573"/>
      <c r="O136" s="573"/>
      <c r="P136" s="578"/>
      <c r="Q136" s="573" t="s">
        <v>819</v>
      </c>
      <c r="R136" s="573" t="s">
        <v>863</v>
      </c>
      <c r="S136" s="585" t="s">
        <v>1302</v>
      </c>
      <c r="T136" s="579"/>
      <c r="U136" s="579"/>
      <c r="V136" s="580"/>
      <c r="W136" s="580" t="s">
        <v>863</v>
      </c>
      <c r="X136" s="581"/>
      <c r="Y136" s="582"/>
      <c r="Z136" s="573"/>
      <c r="AA136" s="583"/>
      <c r="AB136" s="573"/>
      <c r="AC136" s="579"/>
      <c r="AD136" s="579">
        <v>1</v>
      </c>
    </row>
    <row r="137" spans="1:30" s="584" customFormat="1" ht="13.5" customHeight="1">
      <c r="A137" s="573">
        <v>119</v>
      </c>
      <c r="B137" s="574"/>
      <c r="C137" s="574"/>
      <c r="D137" s="574"/>
      <c r="E137" s="574" t="s">
        <v>1425</v>
      </c>
      <c r="F137" s="574"/>
      <c r="G137" s="574"/>
      <c r="H137" s="573" t="s">
        <v>1426</v>
      </c>
      <c r="I137" s="600">
        <v>10000668540</v>
      </c>
      <c r="J137" s="573"/>
      <c r="K137" s="577" t="s">
        <v>1217</v>
      </c>
      <c r="L137" s="573"/>
      <c r="M137" s="573"/>
      <c r="N137" s="573"/>
      <c r="O137" s="573"/>
      <c r="P137" s="578"/>
      <c r="Q137" s="573" t="s">
        <v>816</v>
      </c>
      <c r="R137" s="573"/>
      <c r="S137" s="573" t="s">
        <v>862</v>
      </c>
      <c r="T137" s="579"/>
      <c r="U137" s="579"/>
      <c r="V137" s="580"/>
      <c r="W137" s="580" t="s">
        <v>863</v>
      </c>
      <c r="X137" s="581"/>
      <c r="Y137" s="582" t="s">
        <v>1427</v>
      </c>
      <c r="Z137" s="573" t="s">
        <v>1428</v>
      </c>
      <c r="AA137" s="583"/>
      <c r="AB137" s="573"/>
      <c r="AC137" s="579"/>
      <c r="AD137" s="579">
        <v>1</v>
      </c>
    </row>
    <row r="138" spans="1:30" s="584" customFormat="1" ht="13.5" customHeight="1">
      <c r="A138" s="573">
        <v>120</v>
      </c>
      <c r="B138" s="574"/>
      <c r="C138" s="574"/>
      <c r="D138" s="574"/>
      <c r="E138" s="574" t="s">
        <v>1429</v>
      </c>
      <c r="F138" s="574" t="s">
        <v>1430</v>
      </c>
      <c r="G138" s="574"/>
      <c r="H138" s="573"/>
      <c r="I138" s="600"/>
      <c r="J138" s="573"/>
      <c r="K138" s="577" t="s">
        <v>1418</v>
      </c>
      <c r="L138" s="573"/>
      <c r="M138" s="573"/>
      <c r="N138" s="573"/>
      <c r="O138" s="573"/>
      <c r="P138" s="578"/>
      <c r="Q138" s="573" t="s">
        <v>816</v>
      </c>
      <c r="R138" s="573" t="s">
        <v>863</v>
      </c>
      <c r="S138" s="601" t="s">
        <v>1418</v>
      </c>
      <c r="T138" s="579"/>
      <c r="U138" s="579"/>
      <c r="V138" s="580"/>
      <c r="W138" s="580" t="s">
        <v>863</v>
      </c>
      <c r="X138" s="581"/>
      <c r="Y138" s="582"/>
      <c r="Z138" s="573"/>
      <c r="AA138" s="583"/>
      <c r="AB138" s="573"/>
      <c r="AC138" s="579"/>
      <c r="AD138" s="579">
        <v>1</v>
      </c>
    </row>
    <row r="139" spans="1:30" s="584" customFormat="1" ht="13.5" customHeight="1">
      <c r="A139" s="573">
        <v>121</v>
      </c>
      <c r="B139" s="574"/>
      <c r="C139" s="574"/>
      <c r="D139" s="574"/>
      <c r="E139" s="574" t="s">
        <v>1431</v>
      </c>
      <c r="F139" s="574" t="s">
        <v>1274</v>
      </c>
      <c r="G139" s="574"/>
      <c r="H139" s="573" t="s">
        <v>1414</v>
      </c>
      <c r="I139" s="600"/>
      <c r="J139" s="573"/>
      <c r="K139" s="577" t="s">
        <v>1263</v>
      </c>
      <c r="L139" s="573"/>
      <c r="M139" s="573"/>
      <c r="N139" s="573"/>
      <c r="O139" s="573"/>
      <c r="P139" s="578"/>
      <c r="Q139" s="573" t="s">
        <v>822</v>
      </c>
      <c r="R139" s="573" t="s">
        <v>863</v>
      </c>
      <c r="S139" s="585" t="s">
        <v>1263</v>
      </c>
      <c r="T139" s="579"/>
      <c r="U139" s="641"/>
      <c r="V139" s="580"/>
      <c r="W139" s="580" t="s">
        <v>863</v>
      </c>
      <c r="X139" s="581"/>
      <c r="Y139" s="582"/>
      <c r="Z139" s="573"/>
      <c r="AA139" s="583" t="s">
        <v>1264</v>
      </c>
      <c r="AB139" s="573"/>
      <c r="AC139" s="579"/>
      <c r="AD139" s="579">
        <v>1</v>
      </c>
    </row>
    <row r="140" spans="1:30" s="584" customFormat="1" ht="13.5" customHeight="1">
      <c r="A140" s="573">
        <v>122</v>
      </c>
      <c r="B140" s="574"/>
      <c r="C140" s="574" t="s">
        <v>1432</v>
      </c>
      <c r="D140" s="574"/>
      <c r="E140" s="574"/>
      <c r="F140" s="574"/>
      <c r="G140" s="574"/>
      <c r="H140" s="573" t="s">
        <v>1433</v>
      </c>
      <c r="I140" s="600"/>
      <c r="J140" s="573"/>
      <c r="K140" s="577" t="s">
        <v>1434</v>
      </c>
      <c r="L140" s="573"/>
      <c r="M140" s="573"/>
      <c r="N140" s="573"/>
      <c r="O140" s="573"/>
      <c r="P140" s="578"/>
      <c r="Q140" s="573" t="s">
        <v>816</v>
      </c>
      <c r="R140" s="573" t="s">
        <v>863</v>
      </c>
      <c r="S140" s="585" t="s">
        <v>1435</v>
      </c>
      <c r="T140" s="579"/>
      <c r="U140" s="579"/>
      <c r="V140" s="580"/>
      <c r="W140" s="580" t="s">
        <v>863</v>
      </c>
      <c r="X140" s="581"/>
      <c r="Y140" s="582"/>
      <c r="Z140" s="573"/>
      <c r="AA140" s="583"/>
      <c r="AB140" s="573"/>
      <c r="AC140" s="579"/>
      <c r="AD140" s="579">
        <v>1</v>
      </c>
    </row>
    <row r="141" spans="1:30" s="584" customFormat="1" ht="13.5" customHeight="1">
      <c r="A141" s="573">
        <v>123</v>
      </c>
      <c r="B141" s="574"/>
      <c r="C141" s="574"/>
      <c r="D141" s="574" t="s">
        <v>1436</v>
      </c>
      <c r="E141" s="574"/>
      <c r="F141" s="574"/>
      <c r="G141" s="574"/>
      <c r="H141" s="573" t="s">
        <v>1437</v>
      </c>
      <c r="I141" s="600"/>
      <c r="J141" s="573"/>
      <c r="K141" s="577" t="s">
        <v>1438</v>
      </c>
      <c r="L141" s="573"/>
      <c r="M141" s="573"/>
      <c r="N141" s="573"/>
      <c r="O141" s="573"/>
      <c r="P141" s="578"/>
      <c r="Q141" s="573" t="s">
        <v>816</v>
      </c>
      <c r="R141" s="573" t="s">
        <v>863</v>
      </c>
      <c r="S141" s="585" t="s">
        <v>1439</v>
      </c>
      <c r="T141" s="579"/>
      <c r="U141" s="641"/>
      <c r="V141" s="580"/>
      <c r="W141" s="580" t="s">
        <v>863</v>
      </c>
      <c r="X141" s="581"/>
      <c r="Y141" s="582"/>
      <c r="Z141" s="573"/>
      <c r="AA141" s="583"/>
      <c r="AB141" s="573"/>
      <c r="AC141" s="579"/>
      <c r="AD141" s="579">
        <v>1</v>
      </c>
    </row>
    <row r="142" spans="1:30" s="584" customFormat="1" ht="13.5" customHeight="1">
      <c r="A142" s="573">
        <v>124</v>
      </c>
      <c r="B142" s="574"/>
      <c r="C142" s="574"/>
      <c r="D142" s="574"/>
      <c r="E142" s="574" t="s">
        <v>1440</v>
      </c>
      <c r="F142" s="574"/>
      <c r="G142" s="574"/>
      <c r="H142" s="573" t="s">
        <v>1437</v>
      </c>
      <c r="I142" s="600"/>
      <c r="J142" s="573"/>
      <c r="K142" s="577" t="s">
        <v>887</v>
      </c>
      <c r="L142" s="573"/>
      <c r="M142" s="573"/>
      <c r="N142" s="573"/>
      <c r="O142" s="573"/>
      <c r="P142" s="578"/>
      <c r="Q142" s="573" t="s">
        <v>816</v>
      </c>
      <c r="R142" s="573"/>
      <c r="S142" s="573" t="s">
        <v>862</v>
      </c>
      <c r="T142" s="579"/>
      <c r="U142" s="583" t="s">
        <v>1441</v>
      </c>
      <c r="V142" s="580"/>
      <c r="W142" s="580" t="s">
        <v>863</v>
      </c>
      <c r="X142" s="581"/>
      <c r="Y142" s="582" t="s">
        <v>1442</v>
      </c>
      <c r="Z142" s="573" t="s">
        <v>1443</v>
      </c>
      <c r="AA142" s="583"/>
      <c r="AB142" s="573"/>
      <c r="AC142" s="579"/>
      <c r="AD142" s="579">
        <v>1</v>
      </c>
    </row>
    <row r="143" spans="1:30" s="584" customFormat="1" ht="13.5" customHeight="1">
      <c r="A143" s="573">
        <v>125</v>
      </c>
      <c r="B143" s="574"/>
      <c r="C143" s="574"/>
      <c r="D143" s="574"/>
      <c r="E143" s="574" t="s">
        <v>1444</v>
      </c>
      <c r="F143" s="574"/>
      <c r="G143" s="574"/>
      <c r="H143" s="573" t="s">
        <v>1445</v>
      </c>
      <c r="I143" s="600"/>
      <c r="J143" s="573"/>
      <c r="K143" s="577" t="s">
        <v>1446</v>
      </c>
      <c r="L143" s="573"/>
      <c r="M143" s="573"/>
      <c r="N143" s="573"/>
      <c r="O143" s="573"/>
      <c r="P143" s="578"/>
      <c r="Q143" s="573" t="s">
        <v>816</v>
      </c>
      <c r="R143" s="573"/>
      <c r="S143" s="573" t="s">
        <v>862</v>
      </c>
      <c r="T143" s="579"/>
      <c r="U143" s="583" t="s">
        <v>1447</v>
      </c>
      <c r="V143" s="580"/>
      <c r="W143" s="580" t="s">
        <v>863</v>
      </c>
      <c r="X143" s="581"/>
      <c r="Y143" s="582" t="s">
        <v>1448</v>
      </c>
      <c r="Z143" s="573"/>
      <c r="AA143" s="583"/>
      <c r="AB143" s="573"/>
      <c r="AC143" s="579"/>
      <c r="AD143" s="579">
        <v>1</v>
      </c>
    </row>
    <row r="144" spans="1:30" s="584" customFormat="1" ht="13.5" customHeight="1">
      <c r="A144" s="573">
        <v>126</v>
      </c>
      <c r="B144" s="574"/>
      <c r="C144" s="574"/>
      <c r="D144" s="574" t="s">
        <v>1449</v>
      </c>
      <c r="E144" s="574"/>
      <c r="F144" s="574"/>
      <c r="G144" s="574"/>
      <c r="H144" s="573" t="s">
        <v>1450</v>
      </c>
      <c r="I144" s="600"/>
      <c r="J144" s="573"/>
      <c r="K144" s="577" t="s">
        <v>1091</v>
      </c>
      <c r="L144" s="573"/>
      <c r="M144" s="573"/>
      <c r="N144" s="573"/>
      <c r="O144" s="573"/>
      <c r="P144" s="578"/>
      <c r="Q144" s="573" t="s">
        <v>816</v>
      </c>
      <c r="R144" s="573" t="s">
        <v>863</v>
      </c>
      <c r="S144" s="601" t="s">
        <v>1451</v>
      </c>
      <c r="T144" s="579"/>
      <c r="U144" s="579"/>
      <c r="V144" s="580"/>
      <c r="W144" s="580" t="s">
        <v>863</v>
      </c>
      <c r="X144" s="581"/>
      <c r="Y144" s="582"/>
      <c r="Z144" s="573"/>
      <c r="AA144" s="583"/>
      <c r="AB144" s="573"/>
      <c r="AC144" s="579"/>
      <c r="AD144" s="579">
        <v>1</v>
      </c>
    </row>
    <row r="145" spans="1:30" s="584" customFormat="1" ht="13.5" customHeight="1">
      <c r="A145" s="573">
        <v>127</v>
      </c>
      <c r="B145" s="574"/>
      <c r="C145" s="574"/>
      <c r="D145" s="574"/>
      <c r="E145" s="574" t="s">
        <v>1452</v>
      </c>
      <c r="F145" s="574"/>
      <c r="G145" s="574"/>
      <c r="H145" s="573" t="s">
        <v>1450</v>
      </c>
      <c r="I145" s="600" t="s">
        <v>1453</v>
      </c>
      <c r="J145" s="573"/>
      <c r="K145" s="577" t="s">
        <v>1079</v>
      </c>
      <c r="L145" s="573"/>
      <c r="M145" s="573"/>
      <c r="N145" s="573"/>
      <c r="O145" s="573"/>
      <c r="P145" s="578"/>
      <c r="Q145" s="573" t="s">
        <v>816</v>
      </c>
      <c r="R145" s="573"/>
      <c r="S145" s="573" t="s">
        <v>862</v>
      </c>
      <c r="T145" s="579"/>
      <c r="U145" s="579"/>
      <c r="V145" s="580"/>
      <c r="W145" s="580" t="s">
        <v>863</v>
      </c>
      <c r="X145" s="581"/>
      <c r="Y145" s="582" t="s">
        <v>1454</v>
      </c>
      <c r="Z145" s="573"/>
      <c r="AA145" s="583"/>
      <c r="AB145" s="573"/>
      <c r="AC145" s="579"/>
      <c r="AD145" s="579">
        <v>1</v>
      </c>
    </row>
    <row r="146" spans="1:30" s="584" customFormat="1" ht="13.5" customHeight="1">
      <c r="A146" s="573">
        <v>128</v>
      </c>
      <c r="B146" s="574"/>
      <c r="C146" s="574"/>
      <c r="D146" s="574"/>
      <c r="E146" s="574" t="s">
        <v>1455</v>
      </c>
      <c r="F146" s="574"/>
      <c r="G146" s="574"/>
      <c r="H146" s="573" t="s">
        <v>1456</v>
      </c>
      <c r="I146" s="600" t="s">
        <v>1457</v>
      </c>
      <c r="J146" s="573"/>
      <c r="K146" s="577" t="s">
        <v>1458</v>
      </c>
      <c r="L146" s="573"/>
      <c r="M146" s="573"/>
      <c r="N146" s="573"/>
      <c r="O146" s="573"/>
      <c r="P146" s="578"/>
      <c r="Q146" s="573" t="s">
        <v>816</v>
      </c>
      <c r="R146" s="573"/>
      <c r="S146" s="573" t="s">
        <v>862</v>
      </c>
      <c r="T146" s="579"/>
      <c r="U146" s="579"/>
      <c r="V146" s="580"/>
      <c r="W146" s="580" t="s">
        <v>863</v>
      </c>
      <c r="X146" s="581"/>
      <c r="Y146" s="582" t="s">
        <v>1459</v>
      </c>
      <c r="Z146" s="573"/>
      <c r="AA146" s="583"/>
      <c r="AB146" s="573"/>
      <c r="AC146" s="579"/>
      <c r="AD146" s="579">
        <v>1</v>
      </c>
    </row>
    <row r="147" spans="1:30" s="584" customFormat="1" ht="13.5" customHeight="1">
      <c r="A147" s="573">
        <v>129</v>
      </c>
      <c r="B147" s="574"/>
      <c r="C147" s="574"/>
      <c r="D147" s="574" t="s">
        <v>1460</v>
      </c>
      <c r="E147" s="574"/>
      <c r="F147" s="574"/>
      <c r="G147" s="574"/>
      <c r="H147" s="573" t="s">
        <v>1461</v>
      </c>
      <c r="I147" s="600"/>
      <c r="J147" s="573"/>
      <c r="K147" s="577" t="s">
        <v>1462</v>
      </c>
      <c r="L147" s="573"/>
      <c r="M147" s="573"/>
      <c r="N147" s="573"/>
      <c r="O147" s="573"/>
      <c r="P147" s="578"/>
      <c r="Q147" s="573" t="s">
        <v>816</v>
      </c>
      <c r="R147" s="573" t="s">
        <v>863</v>
      </c>
      <c r="S147" s="585" t="s">
        <v>1463</v>
      </c>
      <c r="T147" s="579"/>
      <c r="U147" s="641"/>
      <c r="V147" s="580"/>
      <c r="W147" s="580" t="s">
        <v>863</v>
      </c>
      <c r="X147" s="581"/>
      <c r="Y147" s="582"/>
      <c r="Z147" s="573"/>
      <c r="AA147" s="583"/>
      <c r="AB147" s="573"/>
      <c r="AC147" s="579"/>
      <c r="AD147" s="579">
        <v>1</v>
      </c>
    </row>
    <row r="148" spans="1:30" s="584" customFormat="1" ht="13.5" customHeight="1">
      <c r="A148" s="573">
        <v>130</v>
      </c>
      <c r="B148" s="574"/>
      <c r="C148" s="574"/>
      <c r="D148" s="574"/>
      <c r="E148" s="574" t="s">
        <v>1464</v>
      </c>
      <c r="F148" s="574"/>
      <c r="G148" s="574"/>
      <c r="H148" s="573" t="s">
        <v>1465</v>
      </c>
      <c r="I148" s="600" t="s">
        <v>1133</v>
      </c>
      <c r="J148" s="573"/>
      <c r="K148" s="577" t="s">
        <v>1466</v>
      </c>
      <c r="L148" s="573"/>
      <c r="M148" s="573"/>
      <c r="N148" s="573"/>
      <c r="O148" s="573"/>
      <c r="P148" s="578"/>
      <c r="Q148" s="573" t="s">
        <v>816</v>
      </c>
      <c r="R148" s="573"/>
      <c r="S148" s="573" t="s">
        <v>862</v>
      </c>
      <c r="T148" s="579"/>
      <c r="U148" s="579"/>
      <c r="V148" s="580"/>
      <c r="W148" s="580" t="s">
        <v>863</v>
      </c>
      <c r="X148" s="581"/>
      <c r="Y148" s="582"/>
      <c r="Z148" s="573"/>
      <c r="AA148" s="583"/>
      <c r="AB148" s="573"/>
      <c r="AC148" s="579"/>
      <c r="AD148" s="579">
        <v>1</v>
      </c>
    </row>
    <row r="149" spans="1:30" s="584" customFormat="1" ht="13.5" customHeight="1">
      <c r="A149" s="573">
        <v>131</v>
      </c>
      <c r="B149" s="574"/>
      <c r="C149" s="574"/>
      <c r="D149" s="574"/>
      <c r="E149" s="574" t="s">
        <v>1467</v>
      </c>
      <c r="F149" s="574"/>
      <c r="G149" s="574"/>
      <c r="H149" s="573" t="s">
        <v>1468</v>
      </c>
      <c r="I149" s="600"/>
      <c r="J149" s="573"/>
      <c r="K149" s="577" t="s">
        <v>1469</v>
      </c>
      <c r="L149" s="573"/>
      <c r="M149" s="573"/>
      <c r="N149" s="573"/>
      <c r="O149" s="573"/>
      <c r="P149" s="578"/>
      <c r="Q149" s="573" t="s">
        <v>816</v>
      </c>
      <c r="R149" s="573"/>
      <c r="S149" s="573" t="s">
        <v>862</v>
      </c>
      <c r="T149" s="579"/>
      <c r="U149" s="579"/>
      <c r="V149" s="580"/>
      <c r="W149" s="580" t="s">
        <v>863</v>
      </c>
      <c r="X149" s="581"/>
      <c r="Y149" s="582"/>
      <c r="Z149" s="573"/>
      <c r="AA149" s="583"/>
      <c r="AB149" s="573"/>
      <c r="AC149" s="579"/>
      <c r="AD149" s="579">
        <v>1</v>
      </c>
    </row>
    <row r="150" spans="1:30" s="584" customFormat="1" ht="13.5" customHeight="1">
      <c r="A150" s="573">
        <v>132</v>
      </c>
      <c r="B150" s="574"/>
      <c r="C150" s="574"/>
      <c r="D150" s="574"/>
      <c r="E150" s="574" t="s">
        <v>1470</v>
      </c>
      <c r="F150" s="574"/>
      <c r="G150" s="574"/>
      <c r="H150" s="573" t="s">
        <v>1471</v>
      </c>
      <c r="I150" s="600"/>
      <c r="J150" s="573"/>
      <c r="K150" s="577" t="s">
        <v>1472</v>
      </c>
      <c r="L150" s="573"/>
      <c r="M150" s="573"/>
      <c r="N150" s="573"/>
      <c r="O150" s="573"/>
      <c r="P150" s="578"/>
      <c r="Q150" s="573" t="s">
        <v>816</v>
      </c>
      <c r="R150" s="573"/>
      <c r="S150" s="573" t="s">
        <v>862</v>
      </c>
      <c r="T150" s="579"/>
      <c r="U150" s="579"/>
      <c r="V150" s="580"/>
      <c r="W150" s="580" t="s">
        <v>863</v>
      </c>
      <c r="X150" s="581"/>
      <c r="Y150" s="582"/>
      <c r="Z150" s="573"/>
      <c r="AA150" s="583"/>
      <c r="AB150" s="573"/>
      <c r="AC150" s="579"/>
      <c r="AD150" s="579">
        <v>1</v>
      </c>
    </row>
    <row r="151" spans="1:30" s="584" customFormat="1" ht="13.5" customHeight="1">
      <c r="A151" s="573">
        <v>135</v>
      </c>
      <c r="B151" s="574"/>
      <c r="C151" s="574"/>
      <c r="D151" s="574"/>
      <c r="E151" s="574" t="s">
        <v>1473</v>
      </c>
      <c r="F151" s="574"/>
      <c r="G151" s="574"/>
      <c r="H151" s="573" t="s">
        <v>1474</v>
      </c>
      <c r="I151" s="600"/>
      <c r="J151" s="573"/>
      <c r="K151" s="577" t="s">
        <v>1475</v>
      </c>
      <c r="L151" s="573"/>
      <c r="M151" s="573"/>
      <c r="N151" s="573"/>
      <c r="O151" s="573"/>
      <c r="P151" s="578"/>
      <c r="Q151" s="573" t="s">
        <v>816</v>
      </c>
      <c r="R151" s="573"/>
      <c r="S151" s="573" t="s">
        <v>1091</v>
      </c>
      <c r="T151" s="579"/>
      <c r="U151" s="641"/>
      <c r="V151" s="580"/>
      <c r="W151" s="580" t="s">
        <v>863</v>
      </c>
      <c r="X151" s="581"/>
      <c r="Y151" s="582" t="s">
        <v>1476</v>
      </c>
      <c r="Z151" s="573" t="s">
        <v>1477</v>
      </c>
      <c r="AA151" s="583"/>
      <c r="AB151" s="573"/>
      <c r="AC151" s="579"/>
      <c r="AD151" s="579">
        <v>1</v>
      </c>
    </row>
    <row r="152" spans="1:30" s="613" customFormat="1" ht="13.5" customHeight="1">
      <c r="A152" s="605">
        <v>133</v>
      </c>
      <c r="B152" s="564"/>
      <c r="C152" s="564" t="s">
        <v>1478</v>
      </c>
      <c r="D152" s="564"/>
      <c r="E152" s="564"/>
      <c r="F152" s="564"/>
      <c r="G152" s="564"/>
      <c r="H152" s="605" t="s">
        <v>1479</v>
      </c>
      <c r="I152" s="647"/>
      <c r="J152" s="605"/>
      <c r="K152" s="606" t="s">
        <v>1480</v>
      </c>
      <c r="L152" s="605"/>
      <c r="M152" s="605"/>
      <c r="N152" s="605"/>
      <c r="O152" s="605"/>
      <c r="P152" s="648"/>
      <c r="Q152" s="605" t="s">
        <v>816</v>
      </c>
      <c r="R152" s="605"/>
      <c r="S152" s="605" t="s">
        <v>1481</v>
      </c>
      <c r="T152" s="608"/>
      <c r="U152" s="649"/>
      <c r="V152" s="609" t="s">
        <v>863</v>
      </c>
      <c r="W152" s="609" t="s">
        <v>863</v>
      </c>
      <c r="X152" s="610"/>
      <c r="Y152" s="611"/>
      <c r="Z152" s="605"/>
      <c r="AA152" s="612"/>
      <c r="AB152" s="605"/>
      <c r="AC152" s="608"/>
      <c r="AD152" s="608">
        <v>1</v>
      </c>
    </row>
    <row r="153" spans="1:30" s="613" customFormat="1" ht="13.5" customHeight="1">
      <c r="A153" s="605">
        <v>134</v>
      </c>
      <c r="B153" s="564"/>
      <c r="C153" s="564" t="s">
        <v>1482</v>
      </c>
      <c r="D153" s="564"/>
      <c r="E153" s="564"/>
      <c r="F153" s="564"/>
      <c r="G153" s="564"/>
      <c r="H153" s="605" t="s">
        <v>1483</v>
      </c>
      <c r="I153" s="647" t="s">
        <v>698</v>
      </c>
      <c r="J153" s="605"/>
      <c r="K153" s="606" t="s">
        <v>1484</v>
      </c>
      <c r="L153" s="605"/>
      <c r="M153" s="605"/>
      <c r="N153" s="605"/>
      <c r="O153" s="605"/>
      <c r="P153" s="648"/>
      <c r="Q153" s="605" t="s">
        <v>816</v>
      </c>
      <c r="R153" s="605"/>
      <c r="S153" s="605" t="s">
        <v>862</v>
      </c>
      <c r="T153" s="608"/>
      <c r="U153" s="608"/>
      <c r="V153" s="609" t="s">
        <v>863</v>
      </c>
      <c r="W153" s="609" t="s">
        <v>863</v>
      </c>
      <c r="X153" s="610"/>
      <c r="Y153" s="611" t="s">
        <v>1485</v>
      </c>
      <c r="Z153" s="605"/>
      <c r="AA153" s="612"/>
      <c r="AB153" s="605"/>
      <c r="AC153" s="608"/>
      <c r="AD153" s="608">
        <v>1</v>
      </c>
    </row>
    <row r="154" spans="1:30" s="613" customFormat="1" ht="13.5" customHeight="1">
      <c r="A154" s="605">
        <v>136</v>
      </c>
      <c r="B154" s="564"/>
      <c r="C154" s="564" t="s">
        <v>1300</v>
      </c>
      <c r="D154" s="574" t="s">
        <v>1486</v>
      </c>
      <c r="E154" s="574"/>
      <c r="F154" s="574"/>
      <c r="G154" s="574"/>
      <c r="H154" s="605" t="s">
        <v>1487</v>
      </c>
      <c r="I154" s="647"/>
      <c r="J154" s="605"/>
      <c r="K154" s="606" t="s">
        <v>1488</v>
      </c>
      <c r="L154" s="605"/>
      <c r="M154" s="605"/>
      <c r="N154" s="605"/>
      <c r="O154" s="605"/>
      <c r="P154" s="648"/>
      <c r="Q154" s="605" t="s">
        <v>816</v>
      </c>
      <c r="R154" s="605" t="s">
        <v>863</v>
      </c>
      <c r="S154" s="616" t="s">
        <v>1302</v>
      </c>
      <c r="T154" s="608"/>
      <c r="U154" s="608"/>
      <c r="V154" s="609" t="s">
        <v>863</v>
      </c>
      <c r="W154" s="609" t="s">
        <v>863</v>
      </c>
      <c r="X154" s="610"/>
      <c r="Y154" s="611"/>
      <c r="Z154" s="605"/>
      <c r="AA154" s="612"/>
      <c r="AB154" s="605"/>
      <c r="AC154" s="608"/>
      <c r="AD154" s="608">
        <v>1</v>
      </c>
    </row>
    <row r="155" spans="1:30" s="584" customFormat="1" ht="14.25" customHeight="1">
      <c r="A155" s="573">
        <v>137</v>
      </c>
      <c r="B155" s="574"/>
      <c r="C155" s="574" t="s">
        <v>1008</v>
      </c>
      <c r="D155" s="574" t="s">
        <v>985</v>
      </c>
      <c r="E155" s="574"/>
      <c r="F155" s="574"/>
      <c r="G155" s="574"/>
      <c r="H155" s="573" t="s">
        <v>1489</v>
      </c>
      <c r="I155" s="577"/>
      <c r="J155" s="573"/>
      <c r="K155" s="573" t="s">
        <v>1010</v>
      </c>
      <c r="L155" s="573"/>
      <c r="M155" s="573"/>
      <c r="N155" s="573"/>
      <c r="O155" s="573"/>
      <c r="P155" s="578"/>
      <c r="Q155" s="573" t="s">
        <v>816</v>
      </c>
      <c r="R155" s="573" t="s">
        <v>863</v>
      </c>
      <c r="S155" s="585" t="s">
        <v>990</v>
      </c>
      <c r="T155" s="579"/>
      <c r="U155" s="573"/>
      <c r="V155" s="580"/>
      <c r="W155" s="580" t="s">
        <v>863</v>
      </c>
      <c r="X155" s="581"/>
      <c r="Y155" s="582" t="s">
        <v>1490</v>
      </c>
      <c r="Z155" s="573" t="s">
        <v>991</v>
      </c>
      <c r="AA155" s="583"/>
      <c r="AB155" s="573"/>
      <c r="AC155" s="579"/>
      <c r="AD155" s="579">
        <v>1</v>
      </c>
    </row>
    <row r="156" spans="1:30" s="584" customFormat="1" ht="12.75" customHeight="1">
      <c r="A156" s="573">
        <v>138</v>
      </c>
      <c r="B156" s="574"/>
      <c r="C156" s="574" t="s">
        <v>1491</v>
      </c>
      <c r="D156" s="574"/>
      <c r="E156" s="574"/>
      <c r="F156" s="574"/>
      <c r="G156" s="574"/>
      <c r="H156" s="573"/>
      <c r="I156" s="577"/>
      <c r="J156" s="573"/>
      <c r="K156" s="577" t="s">
        <v>1119</v>
      </c>
      <c r="L156" s="573"/>
      <c r="M156" s="573"/>
      <c r="N156" s="573"/>
      <c r="O156" s="573"/>
      <c r="P156" s="578"/>
      <c r="Q156" s="573" t="s">
        <v>816</v>
      </c>
      <c r="R156" s="573" t="s">
        <v>863</v>
      </c>
      <c r="S156" s="601" t="s">
        <v>1492</v>
      </c>
      <c r="T156" s="579"/>
      <c r="U156" s="573"/>
      <c r="V156" s="578"/>
      <c r="W156" s="580" t="s">
        <v>863</v>
      </c>
      <c r="X156" s="581"/>
      <c r="Y156" s="582" t="s">
        <v>1493</v>
      </c>
      <c r="Z156" s="573"/>
      <c r="AA156" s="645" t="s">
        <v>1494</v>
      </c>
      <c r="AB156" s="573"/>
      <c r="AC156" s="579"/>
      <c r="AD156" s="579">
        <v>1</v>
      </c>
    </row>
    <row r="157" spans="1:30" s="572" customFormat="1" ht="13.5" customHeight="1">
      <c r="A157" s="562">
        <v>139</v>
      </c>
      <c r="B157" s="563"/>
      <c r="C157" s="564" t="s">
        <v>1495</v>
      </c>
      <c r="D157" s="563"/>
      <c r="E157" s="563"/>
      <c r="F157" s="563"/>
      <c r="G157" s="563"/>
      <c r="H157" s="562" t="s">
        <v>1496</v>
      </c>
      <c r="I157" s="565">
        <v>31</v>
      </c>
      <c r="J157" s="562"/>
      <c r="K157" s="565" t="s">
        <v>1497</v>
      </c>
      <c r="L157" s="562"/>
      <c r="M157" s="562"/>
      <c r="N157" s="562"/>
      <c r="O157" s="562"/>
      <c r="P157" s="566"/>
      <c r="Q157" s="562" t="s">
        <v>816</v>
      </c>
      <c r="R157" s="562"/>
      <c r="S157" s="562" t="s">
        <v>1379</v>
      </c>
      <c r="T157" s="567"/>
      <c r="U157" s="562"/>
      <c r="V157" s="568" t="s">
        <v>863</v>
      </c>
      <c r="W157" s="568" t="s">
        <v>863</v>
      </c>
      <c r="X157" s="569"/>
      <c r="Y157" s="603"/>
      <c r="Z157" s="562"/>
      <c r="AA157" s="571"/>
      <c r="AB157" s="562"/>
      <c r="AC157" s="567"/>
      <c r="AD157" s="567">
        <v>1</v>
      </c>
    </row>
    <row r="158" spans="1:30" s="572" customFormat="1" ht="13.5" customHeight="1">
      <c r="A158" s="562">
        <v>140</v>
      </c>
      <c r="B158" s="563"/>
      <c r="C158" s="564" t="s">
        <v>1498</v>
      </c>
      <c r="D158" s="563"/>
      <c r="E158" s="563"/>
      <c r="F158" s="563"/>
      <c r="G158" s="563"/>
      <c r="H158" s="562" t="s">
        <v>1499</v>
      </c>
      <c r="I158" s="565">
        <v>109</v>
      </c>
      <c r="J158" s="562"/>
      <c r="K158" s="565" t="s">
        <v>1181</v>
      </c>
      <c r="L158" s="562"/>
      <c r="M158" s="562"/>
      <c r="N158" s="562"/>
      <c r="O158" s="562"/>
      <c r="P158" s="566"/>
      <c r="Q158" s="562" t="s">
        <v>816</v>
      </c>
      <c r="R158" s="562"/>
      <c r="S158" s="562" t="s">
        <v>1379</v>
      </c>
      <c r="T158" s="567"/>
      <c r="U158" s="562"/>
      <c r="V158" s="568" t="s">
        <v>863</v>
      </c>
      <c r="W158" s="568" t="s">
        <v>863</v>
      </c>
      <c r="X158" s="569"/>
      <c r="Y158" s="603"/>
      <c r="Z158" s="562"/>
      <c r="AA158" s="571"/>
      <c r="AB158" s="562"/>
      <c r="AC158" s="567"/>
      <c r="AD158" s="567">
        <v>1</v>
      </c>
    </row>
    <row r="159" spans="1:30" s="572" customFormat="1" ht="12.75" customHeight="1">
      <c r="A159" s="562">
        <v>141</v>
      </c>
      <c r="B159" s="563"/>
      <c r="C159" s="564" t="s">
        <v>1500</v>
      </c>
      <c r="D159" s="563"/>
      <c r="E159" s="563"/>
      <c r="F159" s="563"/>
      <c r="G159" s="563"/>
      <c r="H159" s="562" t="s">
        <v>1501</v>
      </c>
      <c r="I159" s="565" t="s">
        <v>1502</v>
      </c>
      <c r="J159" s="562"/>
      <c r="K159" s="565" t="s">
        <v>1503</v>
      </c>
      <c r="L159" s="562"/>
      <c r="M159" s="562"/>
      <c r="N159" s="562"/>
      <c r="O159" s="562"/>
      <c r="P159" s="566"/>
      <c r="Q159" s="562" t="s">
        <v>816</v>
      </c>
      <c r="R159" s="562"/>
      <c r="S159" s="646" t="s">
        <v>862</v>
      </c>
      <c r="T159" s="567"/>
      <c r="U159" s="562" t="s">
        <v>1504</v>
      </c>
      <c r="V159" s="568" t="s">
        <v>863</v>
      </c>
      <c r="W159" s="568" t="s">
        <v>863</v>
      </c>
      <c r="X159" s="569"/>
      <c r="Y159" s="603"/>
      <c r="Z159" s="562"/>
      <c r="AA159" s="571"/>
      <c r="AB159" s="562"/>
      <c r="AC159" s="567"/>
      <c r="AD159" s="567">
        <v>1</v>
      </c>
    </row>
    <row r="160" spans="1:30" s="572" customFormat="1" ht="13.5" customHeight="1">
      <c r="A160" s="562">
        <v>142</v>
      </c>
      <c r="B160" s="563"/>
      <c r="C160" s="564" t="s">
        <v>1505</v>
      </c>
      <c r="D160" s="563"/>
      <c r="E160" s="563"/>
      <c r="F160" s="563"/>
      <c r="G160" s="563"/>
      <c r="H160" s="562"/>
      <c r="I160" s="565" t="s">
        <v>1506</v>
      </c>
      <c r="J160" s="562"/>
      <c r="K160" s="565" t="s">
        <v>1507</v>
      </c>
      <c r="L160" s="562"/>
      <c r="M160" s="562"/>
      <c r="N160" s="562"/>
      <c r="O160" s="562"/>
      <c r="P160" s="566"/>
      <c r="Q160" s="562" t="s">
        <v>816</v>
      </c>
      <c r="R160" s="562"/>
      <c r="S160" s="562" t="s">
        <v>862</v>
      </c>
      <c r="T160" s="567"/>
      <c r="U160" s="562"/>
      <c r="V160" s="568" t="s">
        <v>863</v>
      </c>
      <c r="W160" s="568" t="s">
        <v>863</v>
      </c>
      <c r="X160" s="569"/>
      <c r="Y160" s="603" t="s">
        <v>1508</v>
      </c>
      <c r="Z160" s="562"/>
      <c r="AA160" s="571"/>
      <c r="AB160" s="562"/>
      <c r="AC160" s="567"/>
      <c r="AD160" s="567">
        <v>1</v>
      </c>
    </row>
    <row r="161" spans="1:30" s="584" customFormat="1" ht="13.5" customHeight="1">
      <c r="A161" s="573">
        <v>143</v>
      </c>
      <c r="B161" s="574"/>
      <c r="C161" s="574" t="s">
        <v>1509</v>
      </c>
      <c r="D161" s="574"/>
      <c r="E161" s="574"/>
      <c r="F161" s="574"/>
      <c r="G161" s="574"/>
      <c r="H161" s="573"/>
      <c r="I161" s="577"/>
      <c r="J161" s="573"/>
      <c r="K161" s="577" t="s">
        <v>1510</v>
      </c>
      <c r="L161" s="573"/>
      <c r="M161" s="573"/>
      <c r="N161" s="573"/>
      <c r="O161" s="573"/>
      <c r="P161" s="578"/>
      <c r="Q161" s="573" t="s">
        <v>816</v>
      </c>
      <c r="R161" s="573" t="s">
        <v>863</v>
      </c>
      <c r="S161" s="601" t="s">
        <v>1510</v>
      </c>
      <c r="T161" s="579"/>
      <c r="U161" s="573"/>
      <c r="V161" s="580"/>
      <c r="W161" s="580" t="s">
        <v>863</v>
      </c>
      <c r="X161" s="581"/>
      <c r="Y161" s="582"/>
      <c r="Z161" s="573"/>
      <c r="AA161" s="583"/>
      <c r="AB161" s="573"/>
      <c r="AC161" s="579"/>
      <c r="AD161" s="579">
        <v>1</v>
      </c>
    </row>
    <row r="162" spans="1:30" s="584" customFormat="1" ht="13.5" customHeight="1">
      <c r="A162" s="573">
        <v>144</v>
      </c>
      <c r="B162" s="574"/>
      <c r="C162" s="574"/>
      <c r="D162" s="574" t="s">
        <v>1511</v>
      </c>
      <c r="E162" s="574" t="s">
        <v>985</v>
      </c>
      <c r="F162" s="574"/>
      <c r="G162" s="574"/>
      <c r="H162" s="573" t="s">
        <v>1512</v>
      </c>
      <c r="I162" s="577"/>
      <c r="J162" s="573"/>
      <c r="K162" s="577" t="s">
        <v>1513</v>
      </c>
      <c r="L162" s="573"/>
      <c r="M162" s="573"/>
      <c r="N162" s="573"/>
      <c r="O162" s="573"/>
      <c r="P162" s="578"/>
      <c r="Q162" s="573" t="s">
        <v>816</v>
      </c>
      <c r="R162" s="573" t="s">
        <v>863</v>
      </c>
      <c r="S162" s="601" t="s">
        <v>990</v>
      </c>
      <c r="T162" s="579"/>
      <c r="U162" s="573"/>
      <c r="V162" s="580"/>
      <c r="W162" s="580" t="s">
        <v>863</v>
      </c>
      <c r="X162" s="581"/>
      <c r="Y162" s="582" t="s">
        <v>1514</v>
      </c>
      <c r="Z162" s="573"/>
      <c r="AA162" s="583"/>
      <c r="AB162" s="573"/>
      <c r="AC162" s="579"/>
      <c r="AD162" s="579">
        <v>1</v>
      </c>
    </row>
    <row r="163" spans="1:30" s="584" customFormat="1" ht="14.25" customHeight="1">
      <c r="A163" s="573">
        <v>145</v>
      </c>
      <c r="B163" s="574"/>
      <c r="C163" s="574"/>
      <c r="D163" s="574" t="s">
        <v>1515</v>
      </c>
      <c r="E163" s="574" t="s">
        <v>985</v>
      </c>
      <c r="F163" s="574"/>
      <c r="G163" s="574"/>
      <c r="H163" s="573" t="s">
        <v>1516</v>
      </c>
      <c r="I163" s="577"/>
      <c r="J163" s="573"/>
      <c r="K163" s="577" t="s">
        <v>1517</v>
      </c>
      <c r="L163" s="573"/>
      <c r="M163" s="573"/>
      <c r="N163" s="573"/>
      <c r="O163" s="573"/>
      <c r="P163" s="578"/>
      <c r="Q163" s="573" t="s">
        <v>822</v>
      </c>
      <c r="R163" s="573" t="s">
        <v>863</v>
      </c>
      <c r="S163" s="601" t="s">
        <v>990</v>
      </c>
      <c r="T163" s="579"/>
      <c r="U163" s="573"/>
      <c r="V163" s="580"/>
      <c r="W163" s="580" t="s">
        <v>863</v>
      </c>
      <c r="X163" s="581"/>
      <c r="Y163" s="582" t="s">
        <v>1514</v>
      </c>
      <c r="Z163" s="573"/>
      <c r="AA163" s="583"/>
      <c r="AB163" s="573"/>
      <c r="AC163" s="579"/>
      <c r="AD163" s="579">
        <v>1</v>
      </c>
    </row>
    <row r="164" spans="1:30" s="584" customFormat="1" ht="13.5" customHeight="1">
      <c r="A164" s="573">
        <v>146</v>
      </c>
      <c r="B164" s="574"/>
      <c r="C164" s="574" t="s">
        <v>1518</v>
      </c>
      <c r="D164" s="574" t="s">
        <v>985</v>
      </c>
      <c r="E164" s="574"/>
      <c r="F164" s="574"/>
      <c r="G164" s="574"/>
      <c r="H164" s="573" t="s">
        <v>1519</v>
      </c>
      <c r="I164" s="577"/>
      <c r="J164" s="573"/>
      <c r="K164" s="577" t="s">
        <v>1520</v>
      </c>
      <c r="L164" s="573"/>
      <c r="M164" s="573"/>
      <c r="N164" s="573"/>
      <c r="O164" s="573"/>
      <c r="P164" s="578"/>
      <c r="Q164" s="573" t="s">
        <v>816</v>
      </c>
      <c r="R164" s="573" t="s">
        <v>863</v>
      </c>
      <c r="S164" s="601" t="s">
        <v>990</v>
      </c>
      <c r="T164" s="579"/>
      <c r="U164" s="573"/>
      <c r="V164" s="580"/>
      <c r="W164" s="580" t="s">
        <v>863</v>
      </c>
      <c r="X164" s="581"/>
      <c r="Y164" s="582" t="s">
        <v>1514</v>
      </c>
      <c r="Z164" s="573"/>
      <c r="AA164" s="583"/>
      <c r="AB164" s="573"/>
      <c r="AC164" s="579"/>
      <c r="AD164" s="579">
        <v>1</v>
      </c>
    </row>
    <row r="165" spans="1:30" s="224" customFormat="1" ht="13.5" customHeight="1">
      <c r="A165" s="225">
        <v>147</v>
      </c>
      <c r="B165" s="219" t="s">
        <v>1521</v>
      </c>
      <c r="C165" s="241"/>
      <c r="D165" s="241"/>
      <c r="E165" s="241"/>
      <c r="F165" s="241"/>
      <c r="G165" s="241"/>
      <c r="H165" s="668" t="s">
        <v>1522</v>
      </c>
      <c r="I165" s="666"/>
      <c r="J165" s="668"/>
      <c r="K165" s="666" t="s">
        <v>1523</v>
      </c>
      <c r="L165" s="668"/>
      <c r="M165" s="668"/>
      <c r="N165" s="668"/>
      <c r="O165" s="668"/>
      <c r="P165" s="669"/>
      <c r="Q165" s="701" t="s">
        <v>822</v>
      </c>
      <c r="R165" s="668" t="s">
        <v>863</v>
      </c>
      <c r="S165" s="378" t="s">
        <v>1523</v>
      </c>
      <c r="T165" s="670"/>
      <c r="U165" s="668"/>
      <c r="V165" s="667"/>
      <c r="W165" s="260" t="s">
        <v>863</v>
      </c>
      <c r="X165" s="232"/>
      <c r="Y165" s="671" t="s">
        <v>1524</v>
      </c>
      <c r="Z165" s="668"/>
      <c r="AA165" s="672"/>
      <c r="AB165" s="668"/>
      <c r="AC165" s="670"/>
      <c r="AD165" s="670">
        <v>1</v>
      </c>
    </row>
    <row r="166" spans="1:30" s="584" customFormat="1" ht="13.5" customHeight="1">
      <c r="A166" s="573">
        <v>155</v>
      </c>
      <c r="B166" s="574"/>
      <c r="C166" s="574" t="s">
        <v>1403</v>
      </c>
      <c r="D166" s="574"/>
      <c r="E166" s="574"/>
      <c r="F166" s="574"/>
      <c r="G166" s="574"/>
      <c r="H166" s="573" t="s">
        <v>1525</v>
      </c>
      <c r="I166" s="577"/>
      <c r="J166" s="573"/>
      <c r="K166" s="577" t="s">
        <v>1217</v>
      </c>
      <c r="L166" s="573"/>
      <c r="M166" s="573"/>
      <c r="N166" s="573"/>
      <c r="O166" s="573"/>
      <c r="P166" s="578"/>
      <c r="Q166" s="573" t="s">
        <v>816</v>
      </c>
      <c r="R166" s="573"/>
      <c r="S166" s="573" t="s">
        <v>862</v>
      </c>
      <c r="T166" s="579"/>
      <c r="U166" s="573"/>
      <c r="V166" s="580"/>
      <c r="W166" s="580" t="s">
        <v>863</v>
      </c>
      <c r="X166" s="581"/>
      <c r="Y166" s="582"/>
      <c r="Z166" s="573"/>
      <c r="AA166" s="583"/>
      <c r="AB166" s="573"/>
      <c r="AC166" s="579"/>
      <c r="AD166" s="579">
        <v>1</v>
      </c>
    </row>
    <row r="167" spans="1:30" s="584" customFormat="1" ht="13.5" customHeight="1">
      <c r="A167" s="573">
        <v>148</v>
      </c>
      <c r="B167" s="574"/>
      <c r="C167" s="574" t="s">
        <v>1526</v>
      </c>
      <c r="D167" s="574" t="s">
        <v>1527</v>
      </c>
      <c r="E167" s="574"/>
      <c r="F167" s="574"/>
      <c r="G167" s="574"/>
      <c r="H167" s="573" t="s">
        <v>1528</v>
      </c>
      <c r="I167" s="577"/>
      <c r="J167" s="573"/>
      <c r="K167" s="577" t="s">
        <v>1394</v>
      </c>
      <c r="L167" s="573"/>
      <c r="M167" s="573"/>
      <c r="N167" s="573"/>
      <c r="O167" s="573"/>
      <c r="P167" s="578"/>
      <c r="Q167" s="573" t="s">
        <v>816</v>
      </c>
      <c r="R167" s="573" t="s">
        <v>863</v>
      </c>
      <c r="S167" s="601" t="s">
        <v>1394</v>
      </c>
      <c r="T167" s="579"/>
      <c r="U167" s="573"/>
      <c r="V167" s="580"/>
      <c r="W167" s="580" t="s">
        <v>863</v>
      </c>
      <c r="X167" s="581"/>
      <c r="Y167" s="582"/>
      <c r="Z167" s="573"/>
      <c r="AA167" s="583"/>
      <c r="AB167" s="573"/>
      <c r="AC167" s="579"/>
      <c r="AD167" s="579">
        <v>1</v>
      </c>
    </row>
    <row r="168" spans="1:30" s="662" customFormat="1" ht="13.5" customHeight="1">
      <c r="A168" s="656">
        <v>149</v>
      </c>
      <c r="B168" s="657"/>
      <c r="C168" s="658" t="s">
        <v>1529</v>
      </c>
      <c r="D168" s="657"/>
      <c r="E168" s="657"/>
      <c r="F168" s="657"/>
      <c r="G168" s="657"/>
      <c r="H168" s="656" t="s">
        <v>1530</v>
      </c>
      <c r="I168" s="658" t="s">
        <v>929</v>
      </c>
      <c r="J168" s="656"/>
      <c r="K168" s="658" t="s">
        <v>930</v>
      </c>
      <c r="L168" s="656"/>
      <c r="M168" s="656"/>
      <c r="N168" s="656"/>
      <c r="O168" s="656"/>
      <c r="P168" s="659"/>
      <c r="Q168" s="656" t="s">
        <v>819</v>
      </c>
      <c r="R168" s="656"/>
      <c r="S168" s="656" t="s">
        <v>878</v>
      </c>
      <c r="T168" s="660"/>
      <c r="U168" s="656" t="s">
        <v>931</v>
      </c>
      <c r="V168" s="661"/>
      <c r="W168" s="661" t="s">
        <v>863</v>
      </c>
      <c r="Y168" s="663"/>
      <c r="Z168" s="656"/>
      <c r="AA168" s="664"/>
      <c r="AB168" s="656"/>
      <c r="AC168" s="660"/>
      <c r="AD168" s="660">
        <v>1</v>
      </c>
    </row>
    <row r="169" spans="1:30" s="224" customFormat="1" ht="13.5" customHeight="1">
      <c r="A169" s="225">
        <v>150</v>
      </c>
      <c r="B169" s="219"/>
      <c r="C169" s="241" t="s">
        <v>1531</v>
      </c>
      <c r="D169" s="241"/>
      <c r="E169" s="241"/>
      <c r="F169" s="241"/>
      <c r="G169" s="241"/>
      <c r="H169" s="668" t="s">
        <v>1532</v>
      </c>
      <c r="I169" s="666"/>
      <c r="J169" s="668"/>
      <c r="K169" s="666" t="s">
        <v>938</v>
      </c>
      <c r="L169" s="668"/>
      <c r="M169" s="668"/>
      <c r="N169" s="668"/>
      <c r="O169" s="668"/>
      <c r="P169" s="669"/>
      <c r="Q169" s="668" t="s">
        <v>819</v>
      </c>
      <c r="R169" s="668"/>
      <c r="S169" s="668" t="s">
        <v>862</v>
      </c>
      <c r="T169" s="670"/>
      <c r="U169" s="668"/>
      <c r="V169" s="667" t="s">
        <v>863</v>
      </c>
      <c r="W169" s="260" t="s">
        <v>863</v>
      </c>
      <c r="X169" s="232"/>
      <c r="Y169" s="671"/>
      <c r="Z169" s="668"/>
      <c r="AA169" s="672"/>
      <c r="AB169" s="668"/>
      <c r="AC169" s="670"/>
      <c r="AD169" s="670">
        <v>1</v>
      </c>
    </row>
    <row r="170" spans="1:30" s="584" customFormat="1" ht="13.5" customHeight="1">
      <c r="A170" s="573">
        <v>151</v>
      </c>
      <c r="B170" s="574"/>
      <c r="C170" s="574" t="s">
        <v>1533</v>
      </c>
      <c r="D170" s="574"/>
      <c r="E170" s="574"/>
      <c r="F170" s="574"/>
      <c r="G170" s="574"/>
      <c r="H170" s="573" t="s">
        <v>1534</v>
      </c>
      <c r="I170" s="577"/>
      <c r="J170" s="573"/>
      <c r="K170" s="577" t="s">
        <v>1535</v>
      </c>
      <c r="L170" s="573"/>
      <c r="M170" s="573"/>
      <c r="N170" s="573"/>
      <c r="O170" s="573"/>
      <c r="P170" s="578"/>
      <c r="Q170" s="573" t="s">
        <v>816</v>
      </c>
      <c r="R170" s="573"/>
      <c r="S170" s="573" t="s">
        <v>862</v>
      </c>
      <c r="T170" s="579"/>
      <c r="U170" s="573"/>
      <c r="V170" s="580"/>
      <c r="W170" s="580" t="s">
        <v>863</v>
      </c>
      <c r="X170" s="581"/>
      <c r="Y170" s="582"/>
      <c r="Z170" s="573"/>
      <c r="AA170" s="583"/>
      <c r="AB170" s="573"/>
      <c r="AC170" s="579"/>
      <c r="AD170" s="579">
        <v>1</v>
      </c>
    </row>
    <row r="171" spans="1:30" s="584" customFormat="1" ht="13.5" customHeight="1">
      <c r="A171" s="573">
        <v>152</v>
      </c>
      <c r="B171" s="574"/>
      <c r="C171" s="574" t="s">
        <v>1536</v>
      </c>
      <c r="D171" s="574"/>
      <c r="E171" s="574"/>
      <c r="F171" s="574"/>
      <c r="G171" s="574"/>
      <c r="H171" s="573" t="s">
        <v>1537</v>
      </c>
      <c r="I171" s="577"/>
      <c r="J171" s="573"/>
      <c r="K171" s="577" t="s">
        <v>1538</v>
      </c>
      <c r="L171" s="573"/>
      <c r="M171" s="573"/>
      <c r="N171" s="573"/>
      <c r="O171" s="573"/>
      <c r="P171" s="578"/>
      <c r="Q171" s="573" t="s">
        <v>816</v>
      </c>
      <c r="R171" s="573"/>
      <c r="S171" s="573" t="s">
        <v>862</v>
      </c>
      <c r="T171" s="579"/>
      <c r="U171" s="573"/>
      <c r="V171" s="580"/>
      <c r="W171" s="580" t="s">
        <v>863</v>
      </c>
      <c r="X171" s="581"/>
      <c r="Y171" s="582"/>
      <c r="Z171" s="573"/>
      <c r="AA171" s="583"/>
      <c r="AB171" s="573"/>
      <c r="AC171" s="579"/>
      <c r="AD171" s="579">
        <v>1</v>
      </c>
    </row>
    <row r="172" spans="1:30" s="584" customFormat="1" ht="13.5" customHeight="1">
      <c r="A172" s="573">
        <v>153</v>
      </c>
      <c r="B172" s="574"/>
      <c r="C172" s="574" t="s">
        <v>1539</v>
      </c>
      <c r="D172" s="574"/>
      <c r="E172" s="574"/>
      <c r="F172" s="574"/>
      <c r="G172" s="574"/>
      <c r="H172" s="573" t="s">
        <v>1540</v>
      </c>
      <c r="I172" s="577"/>
      <c r="J172" s="573"/>
      <c r="K172" s="577" t="s">
        <v>1541</v>
      </c>
      <c r="L172" s="573"/>
      <c r="M172" s="573"/>
      <c r="N172" s="573"/>
      <c r="O172" s="573"/>
      <c r="P172" s="578"/>
      <c r="Q172" s="573" t="s">
        <v>816</v>
      </c>
      <c r="R172" s="573"/>
      <c r="S172" s="573" t="s">
        <v>862</v>
      </c>
      <c r="T172" s="579"/>
      <c r="U172" s="573"/>
      <c r="V172" s="580"/>
      <c r="W172" s="580" t="s">
        <v>863</v>
      </c>
      <c r="X172" s="581"/>
      <c r="Y172" s="582"/>
      <c r="Z172" s="573"/>
      <c r="AA172" s="583"/>
      <c r="AB172" s="573"/>
      <c r="AC172" s="579"/>
      <c r="AD172" s="579">
        <v>1</v>
      </c>
    </row>
    <row r="173" spans="1:30" s="584" customFormat="1" ht="13.5" customHeight="1">
      <c r="A173" s="573">
        <v>154</v>
      </c>
      <c r="B173" s="574" t="s">
        <v>1542</v>
      </c>
      <c r="C173" s="574"/>
      <c r="D173" s="574"/>
      <c r="E173" s="574"/>
      <c r="F173" s="574"/>
      <c r="G173" s="574"/>
      <c r="H173" s="650" t="s">
        <v>1543</v>
      </c>
      <c r="I173" s="577"/>
      <c r="J173" s="573"/>
      <c r="K173" s="577" t="s">
        <v>1544</v>
      </c>
      <c r="L173" s="573"/>
      <c r="M173" s="573"/>
      <c r="N173" s="573"/>
      <c r="O173" s="573"/>
      <c r="P173" s="578"/>
      <c r="Q173" s="573" t="s">
        <v>822</v>
      </c>
      <c r="R173" s="573" t="s">
        <v>863</v>
      </c>
      <c r="S173" s="585" t="s">
        <v>1544</v>
      </c>
      <c r="T173" s="579"/>
      <c r="U173" s="573"/>
      <c r="V173" s="580"/>
      <c r="W173" s="580" t="s">
        <v>863</v>
      </c>
      <c r="X173" s="581"/>
      <c r="Y173" s="582" t="s">
        <v>1545</v>
      </c>
      <c r="Z173" s="573" t="s">
        <v>1546</v>
      </c>
      <c r="AA173" s="583"/>
      <c r="AB173" s="573"/>
      <c r="AC173" s="579"/>
      <c r="AD173" s="579">
        <v>1</v>
      </c>
    </row>
    <row r="174" spans="1:30" s="584" customFormat="1" ht="13.5" customHeight="1">
      <c r="A174" s="573">
        <v>155</v>
      </c>
      <c r="B174" s="574"/>
      <c r="C174" s="574" t="s">
        <v>1403</v>
      </c>
      <c r="D174" s="574"/>
      <c r="E174" s="574"/>
      <c r="F174" s="574"/>
      <c r="G174" s="574"/>
      <c r="H174" s="573" t="s">
        <v>1525</v>
      </c>
      <c r="I174" s="577"/>
      <c r="J174" s="573"/>
      <c r="K174" s="577" t="s">
        <v>1217</v>
      </c>
      <c r="L174" s="573"/>
      <c r="M174" s="573"/>
      <c r="N174" s="573"/>
      <c r="O174" s="573"/>
      <c r="P174" s="578"/>
      <c r="Q174" s="573" t="s">
        <v>816</v>
      </c>
      <c r="R174" s="573"/>
      <c r="S174" s="573" t="s">
        <v>862</v>
      </c>
      <c r="T174" s="579"/>
      <c r="U174" s="573"/>
      <c r="V174" s="580"/>
      <c r="W174" s="580" t="s">
        <v>863</v>
      </c>
      <c r="X174" s="581"/>
      <c r="Y174" s="582"/>
      <c r="Z174" s="573"/>
      <c r="AA174" s="583"/>
      <c r="AB174" s="573"/>
      <c r="AC174" s="579"/>
      <c r="AD174" s="579">
        <v>1</v>
      </c>
    </row>
    <row r="175" spans="1:30" s="584" customFormat="1" ht="12.75" customHeight="1">
      <c r="A175" s="573">
        <v>157</v>
      </c>
      <c r="B175" s="574"/>
      <c r="C175" s="574" t="s">
        <v>1547</v>
      </c>
      <c r="D175" s="574"/>
      <c r="E175" s="574"/>
      <c r="F175" s="574"/>
      <c r="G175" s="574"/>
      <c r="H175" s="573" t="s">
        <v>1548</v>
      </c>
      <c r="I175" s="577" t="s">
        <v>929</v>
      </c>
      <c r="J175" s="573"/>
      <c r="K175" s="577" t="s">
        <v>930</v>
      </c>
      <c r="L175" s="573"/>
      <c r="M175" s="573"/>
      <c r="N175" s="573"/>
      <c r="O175" s="573"/>
      <c r="P175" s="578"/>
      <c r="Q175" s="573" t="s">
        <v>819</v>
      </c>
      <c r="R175" s="573"/>
      <c r="S175" s="573" t="s">
        <v>878</v>
      </c>
      <c r="T175" s="579"/>
      <c r="U175" s="573"/>
      <c r="V175" s="580"/>
      <c r="W175" s="580" t="s">
        <v>863</v>
      </c>
      <c r="X175" s="581"/>
      <c r="Y175" s="582"/>
      <c r="Z175" s="573"/>
      <c r="AA175" s="583"/>
      <c r="AB175" s="573"/>
      <c r="AC175" s="579"/>
      <c r="AD175" s="579">
        <v>1</v>
      </c>
    </row>
    <row r="176" spans="1:30" s="584" customFormat="1" ht="12.75" customHeight="1">
      <c r="A176" s="573">
        <v>158</v>
      </c>
      <c r="B176" s="574"/>
      <c r="C176" s="574" t="s">
        <v>1549</v>
      </c>
      <c r="D176" s="574"/>
      <c r="E176" s="574"/>
      <c r="F176" s="574"/>
      <c r="G176" s="574"/>
      <c r="H176" s="650" t="s">
        <v>1550</v>
      </c>
      <c r="I176" s="577" t="s">
        <v>1551</v>
      </c>
      <c r="J176" s="573"/>
      <c r="K176" s="577" t="s">
        <v>969</v>
      </c>
      <c r="L176" s="573"/>
      <c r="M176" s="573"/>
      <c r="N176" s="573"/>
      <c r="O176" s="573"/>
      <c r="P176" s="578"/>
      <c r="Q176" s="651" t="s">
        <v>816</v>
      </c>
      <c r="R176" s="573"/>
      <c r="S176" s="573" t="s">
        <v>862</v>
      </c>
      <c r="T176" s="579"/>
      <c r="U176" s="579"/>
      <c r="V176" s="580"/>
      <c r="W176" s="580" t="s">
        <v>863</v>
      </c>
      <c r="X176" s="581"/>
      <c r="Y176" s="582" t="s">
        <v>1552</v>
      </c>
      <c r="Z176" s="642" t="s">
        <v>1553</v>
      </c>
      <c r="AA176" s="583" t="s">
        <v>1554</v>
      </c>
      <c r="AB176" s="573"/>
      <c r="AC176" s="579"/>
      <c r="AD176" s="579">
        <v>1</v>
      </c>
    </row>
    <row r="177" spans="1:30" s="584" customFormat="1" ht="12.75" customHeight="1">
      <c r="A177" s="573">
        <v>159</v>
      </c>
      <c r="B177" s="574"/>
      <c r="C177" s="574" t="s">
        <v>1555</v>
      </c>
      <c r="D177" s="574"/>
      <c r="E177" s="574"/>
      <c r="F177" s="574"/>
      <c r="G177" s="574"/>
      <c r="H177" s="582" t="s">
        <v>1556</v>
      </c>
      <c r="I177" s="577" t="s">
        <v>1557</v>
      </c>
      <c r="J177" s="573"/>
      <c r="K177" s="577" t="s">
        <v>1558</v>
      </c>
      <c r="L177" s="573"/>
      <c r="M177" s="573"/>
      <c r="N177" s="573"/>
      <c r="O177" s="573"/>
      <c r="P177" s="578"/>
      <c r="Q177" s="573" t="s">
        <v>816</v>
      </c>
      <c r="R177" s="573"/>
      <c r="S177" s="573" t="s">
        <v>862</v>
      </c>
      <c r="T177" s="579"/>
      <c r="U177" s="579"/>
      <c r="V177" s="578"/>
      <c r="W177" s="580" t="s">
        <v>863</v>
      </c>
      <c r="X177" s="581"/>
      <c r="Y177" s="651" t="s">
        <v>1559</v>
      </c>
      <c r="Z177" s="642" t="s">
        <v>1553</v>
      </c>
      <c r="AA177" s="645" t="s">
        <v>1560</v>
      </c>
      <c r="AB177" s="573"/>
      <c r="AC177" s="579"/>
      <c r="AD177" s="579">
        <v>1</v>
      </c>
    </row>
    <row r="178" spans="1:30" s="584" customFormat="1" ht="12.75" customHeight="1">
      <c r="A178" s="573">
        <v>160</v>
      </c>
      <c r="B178" s="574"/>
      <c r="C178" s="574" t="s">
        <v>1561</v>
      </c>
      <c r="D178" s="574"/>
      <c r="E178" s="574"/>
      <c r="F178" s="574"/>
      <c r="G178" s="574"/>
      <c r="H178" s="650" t="s">
        <v>1562</v>
      </c>
      <c r="I178" s="577" t="s">
        <v>1563</v>
      </c>
      <c r="J178" s="573"/>
      <c r="K178" s="577" t="s">
        <v>1564</v>
      </c>
      <c r="L178" s="573"/>
      <c r="M178" s="573"/>
      <c r="N178" s="573"/>
      <c r="O178" s="573"/>
      <c r="P178" s="578"/>
      <c r="Q178" s="651" t="s">
        <v>822</v>
      </c>
      <c r="R178" s="573"/>
      <c r="S178" s="573" t="s">
        <v>862</v>
      </c>
      <c r="T178" s="579"/>
      <c r="U178" s="579"/>
      <c r="V178" s="578"/>
      <c r="W178" s="580" t="s">
        <v>863</v>
      </c>
      <c r="X178" s="581"/>
      <c r="Y178" s="652" t="s">
        <v>1565</v>
      </c>
      <c r="Z178" s="642" t="s">
        <v>1566</v>
      </c>
      <c r="AA178" s="583"/>
      <c r="AB178" s="573"/>
      <c r="AC178" s="579"/>
      <c r="AD178" s="579">
        <v>1</v>
      </c>
    </row>
    <row r="179" spans="1:30" s="584" customFormat="1" ht="12.75" customHeight="1">
      <c r="A179" s="573"/>
      <c r="B179" s="574"/>
      <c r="C179" s="574" t="s">
        <v>1567</v>
      </c>
      <c r="D179" s="574"/>
      <c r="E179" s="574"/>
      <c r="F179" s="574"/>
      <c r="G179" s="574"/>
      <c r="H179" s="650" t="s">
        <v>1568</v>
      </c>
      <c r="I179" s="577"/>
      <c r="J179" s="573"/>
      <c r="K179" s="577" t="s">
        <v>1569</v>
      </c>
      <c r="L179" s="573"/>
      <c r="M179" s="573"/>
      <c r="N179" s="573"/>
      <c r="O179" s="573"/>
      <c r="P179" s="578"/>
      <c r="Q179" s="573" t="s">
        <v>816</v>
      </c>
      <c r="R179" s="573"/>
      <c r="S179" s="573" t="s">
        <v>862</v>
      </c>
      <c r="T179" s="579"/>
      <c r="U179" s="573"/>
      <c r="V179" s="580"/>
      <c r="W179" s="580" t="s">
        <v>863</v>
      </c>
      <c r="X179" s="581"/>
      <c r="Y179" s="652" t="s">
        <v>1570</v>
      </c>
      <c r="Z179" s="573"/>
      <c r="AA179" s="583"/>
      <c r="AB179" s="573"/>
      <c r="AC179" s="579"/>
      <c r="AD179" s="579"/>
    </row>
    <row r="180" spans="1:30" s="584" customFormat="1" ht="12.75" customHeight="1">
      <c r="A180" s="573">
        <v>161.46666666666701</v>
      </c>
      <c r="B180" s="574"/>
      <c r="C180" s="574" t="s">
        <v>1571</v>
      </c>
      <c r="D180" s="574"/>
      <c r="E180" s="574"/>
      <c r="F180" s="574"/>
      <c r="G180" s="574"/>
      <c r="H180" s="650" t="s">
        <v>1572</v>
      </c>
      <c r="I180" s="577" t="s">
        <v>1573</v>
      </c>
      <c r="J180" s="573"/>
      <c r="K180" s="577" t="s">
        <v>1574</v>
      </c>
      <c r="L180" s="573"/>
      <c r="M180" s="573"/>
      <c r="N180" s="573"/>
      <c r="O180" s="573"/>
      <c r="P180" s="578"/>
      <c r="Q180" s="573" t="s">
        <v>816</v>
      </c>
      <c r="R180" s="573"/>
      <c r="S180" s="573" t="s">
        <v>862</v>
      </c>
      <c r="T180" s="579"/>
      <c r="U180" s="578"/>
      <c r="V180" s="578"/>
      <c r="W180" s="580" t="s">
        <v>863</v>
      </c>
      <c r="X180" s="581"/>
      <c r="Y180" s="573" t="s">
        <v>1575</v>
      </c>
      <c r="Z180" s="642" t="s">
        <v>1553</v>
      </c>
      <c r="AA180" s="645"/>
      <c r="AB180" s="573"/>
      <c r="AC180" s="579"/>
      <c r="AD180" s="579">
        <v>1</v>
      </c>
    </row>
    <row r="181" spans="1:30" s="584" customFormat="1" ht="12.75" customHeight="1">
      <c r="A181" s="573">
        <v>162.69523809523801</v>
      </c>
      <c r="B181" s="574"/>
      <c r="C181" s="574" t="s">
        <v>1576</v>
      </c>
      <c r="D181" s="574"/>
      <c r="E181" s="574"/>
      <c r="F181" s="574"/>
      <c r="G181" s="574"/>
      <c r="H181" s="650"/>
      <c r="I181" s="577"/>
      <c r="J181" s="573"/>
      <c r="K181" s="577" t="s">
        <v>1577</v>
      </c>
      <c r="L181" s="573"/>
      <c r="M181" s="573"/>
      <c r="N181" s="573"/>
      <c r="O181" s="573"/>
      <c r="P181" s="578"/>
      <c r="Q181" s="651" t="s">
        <v>816</v>
      </c>
      <c r="R181" s="573" t="s">
        <v>863</v>
      </c>
      <c r="S181" s="601" t="s">
        <v>1577</v>
      </c>
      <c r="T181" s="579"/>
      <c r="U181" s="573"/>
      <c r="V181" s="578"/>
      <c r="W181" s="580" t="s">
        <v>863</v>
      </c>
      <c r="X181" s="581"/>
      <c r="Y181" s="582" t="s">
        <v>1578</v>
      </c>
      <c r="Z181" s="573"/>
      <c r="AA181" s="583"/>
      <c r="AB181" s="573"/>
      <c r="AC181" s="579"/>
      <c r="AD181" s="579">
        <v>1</v>
      </c>
    </row>
    <row r="182" spans="1:30" s="584" customFormat="1" ht="12.75" customHeight="1">
      <c r="A182" s="573">
        <v>163.78952380952401</v>
      </c>
      <c r="B182" s="574"/>
      <c r="C182" s="574"/>
      <c r="D182" s="574" t="s">
        <v>1579</v>
      </c>
      <c r="E182" s="574"/>
      <c r="F182" s="574"/>
      <c r="G182" s="574"/>
      <c r="H182" s="650" t="s">
        <v>1580</v>
      </c>
      <c r="I182" s="577"/>
      <c r="J182" s="573"/>
      <c r="K182" s="577" t="s">
        <v>969</v>
      </c>
      <c r="L182" s="573"/>
      <c r="M182" s="573"/>
      <c r="N182" s="573"/>
      <c r="O182" s="573"/>
      <c r="P182" s="578"/>
      <c r="Q182" s="651" t="s">
        <v>816</v>
      </c>
      <c r="R182" s="573"/>
      <c r="S182" s="573" t="s">
        <v>862</v>
      </c>
      <c r="T182" s="579"/>
      <c r="U182" s="573" t="s">
        <v>1581</v>
      </c>
      <c r="V182" s="578"/>
      <c r="W182" s="580" t="s">
        <v>863</v>
      </c>
      <c r="X182" s="581"/>
      <c r="Y182" s="582"/>
      <c r="Z182" s="573"/>
      <c r="AA182" s="583"/>
      <c r="AB182" s="573"/>
      <c r="AC182" s="579"/>
      <c r="AD182" s="579">
        <v>1</v>
      </c>
    </row>
    <row r="183" spans="1:30" s="584" customFormat="1" ht="12.75" customHeight="1">
      <c r="A183" s="653">
        <v>164.97523809523801</v>
      </c>
      <c r="B183" s="654"/>
      <c r="C183" s="654"/>
      <c r="D183" s="654" t="s">
        <v>1582</v>
      </c>
      <c r="E183" s="574" t="s">
        <v>1583</v>
      </c>
      <c r="F183" s="574"/>
      <c r="G183" s="574"/>
      <c r="H183" s="650"/>
      <c r="I183" s="577"/>
      <c r="J183" s="573"/>
      <c r="K183" s="577" t="s">
        <v>1584</v>
      </c>
      <c r="L183" s="573"/>
      <c r="M183" s="573"/>
      <c r="N183" s="573"/>
      <c r="O183" s="573"/>
      <c r="P183" s="578"/>
      <c r="Q183" s="651" t="s">
        <v>816</v>
      </c>
      <c r="R183" s="573" t="s">
        <v>863</v>
      </c>
      <c r="S183" s="585" t="s">
        <v>1053</v>
      </c>
      <c r="T183" s="579"/>
      <c r="U183" s="573"/>
      <c r="V183" s="580"/>
      <c r="W183" s="580" t="s">
        <v>863</v>
      </c>
      <c r="X183" s="581"/>
      <c r="Y183" s="582"/>
      <c r="Z183" s="573"/>
      <c r="AA183" s="583"/>
      <c r="AB183" s="573"/>
      <c r="AC183" s="579"/>
      <c r="AD183" s="579">
        <v>1</v>
      </c>
    </row>
    <row r="184" spans="1:30" s="584" customFormat="1" ht="14.25" customHeight="1">
      <c r="A184" s="573">
        <v>172.089523809524</v>
      </c>
      <c r="B184" s="574" t="s">
        <v>1585</v>
      </c>
      <c r="C184" s="574" t="s">
        <v>1586</v>
      </c>
      <c r="D184" s="638"/>
      <c r="E184" s="574"/>
      <c r="F184" s="574"/>
      <c r="G184" s="574"/>
      <c r="H184" s="573" t="s">
        <v>1587</v>
      </c>
      <c r="I184" s="577"/>
      <c r="J184" s="573" t="s">
        <v>1588</v>
      </c>
      <c r="K184" s="577" t="s">
        <v>1589</v>
      </c>
      <c r="L184" s="573"/>
      <c r="M184" s="573"/>
      <c r="N184" s="573"/>
      <c r="O184" s="573"/>
      <c r="P184" s="578">
        <v>1</v>
      </c>
      <c r="Q184" s="573" t="s">
        <v>822</v>
      </c>
      <c r="R184" s="573" t="s">
        <v>863</v>
      </c>
      <c r="S184" s="585" t="s">
        <v>1233</v>
      </c>
      <c r="T184" s="639"/>
      <c r="U184" s="573"/>
      <c r="V184" s="580"/>
      <c r="W184" s="580" t="s">
        <v>863</v>
      </c>
      <c r="X184" s="581"/>
      <c r="Y184" s="582"/>
      <c r="Z184" s="573"/>
      <c r="AA184" s="583"/>
      <c r="AB184" s="573"/>
      <c r="AC184" s="579"/>
      <c r="AD184" s="579">
        <v>1</v>
      </c>
    </row>
    <row r="185" spans="1:30" s="584" customFormat="1" ht="12.95" customHeight="1">
      <c r="A185" s="573">
        <v>173.275238095238</v>
      </c>
      <c r="B185" s="574" t="s">
        <v>1590</v>
      </c>
      <c r="C185" s="575"/>
      <c r="D185" s="574"/>
      <c r="E185" s="574"/>
      <c r="F185" s="574"/>
      <c r="G185" s="574"/>
      <c r="H185" s="573"/>
      <c r="I185" s="577"/>
      <c r="J185" s="573"/>
      <c r="K185" s="573" t="s">
        <v>1591</v>
      </c>
      <c r="L185" s="573"/>
      <c r="M185" s="573"/>
      <c r="N185" s="573"/>
      <c r="O185" s="573"/>
      <c r="P185" s="578"/>
      <c r="Q185" s="573" t="s">
        <v>816</v>
      </c>
      <c r="R185" s="573" t="s">
        <v>863</v>
      </c>
      <c r="S185" s="573" t="s">
        <v>1591</v>
      </c>
      <c r="T185" s="579"/>
      <c r="U185" s="573"/>
      <c r="V185" s="580"/>
      <c r="W185" s="580" t="s">
        <v>863</v>
      </c>
      <c r="X185" s="581"/>
      <c r="Y185" s="582"/>
      <c r="Z185" s="573"/>
      <c r="AA185" s="583"/>
      <c r="AB185" s="573"/>
      <c r="AC185" s="579">
        <v>1</v>
      </c>
      <c r="AD185" s="579">
        <v>1</v>
      </c>
    </row>
    <row r="186" spans="1:30" s="584" customFormat="1" ht="12.95" customHeight="1">
      <c r="A186" s="573">
        <v>174.46095238095299</v>
      </c>
      <c r="B186" s="574"/>
      <c r="C186" s="575" t="s">
        <v>1592</v>
      </c>
      <c r="D186" s="575"/>
      <c r="E186" s="574"/>
      <c r="F186" s="574"/>
      <c r="G186" s="574"/>
      <c r="H186" s="573" t="s">
        <v>1593</v>
      </c>
      <c r="I186" s="577"/>
      <c r="J186" s="573"/>
      <c r="K186" s="577" t="s">
        <v>1594</v>
      </c>
      <c r="L186" s="573"/>
      <c r="M186" s="573"/>
      <c r="N186" s="573"/>
      <c r="O186" s="573"/>
      <c r="P186" s="578"/>
      <c r="Q186" s="573" t="s">
        <v>1595</v>
      </c>
      <c r="R186" s="573" t="s">
        <v>863</v>
      </c>
      <c r="S186" s="585" t="s">
        <v>1594</v>
      </c>
      <c r="T186" s="579"/>
      <c r="U186" s="573"/>
      <c r="V186" s="580"/>
      <c r="W186" s="580" t="s">
        <v>863</v>
      </c>
      <c r="X186" s="581"/>
      <c r="Y186" s="582"/>
      <c r="Z186" s="573"/>
      <c r="AA186" s="583"/>
      <c r="AB186" s="573"/>
      <c r="AC186" s="579">
        <v>1</v>
      </c>
      <c r="AD186" s="579">
        <v>1</v>
      </c>
    </row>
    <row r="187" spans="1:30" s="584" customFormat="1" ht="12.95" customHeight="1">
      <c r="A187" s="573">
        <v>175.64666666666699</v>
      </c>
      <c r="B187" s="574"/>
      <c r="C187" s="575"/>
      <c r="D187" s="574" t="s">
        <v>1596</v>
      </c>
      <c r="E187" s="575"/>
      <c r="F187" s="574"/>
      <c r="G187" s="574"/>
      <c r="H187" s="573" t="s">
        <v>1597</v>
      </c>
      <c r="I187" s="577" t="s">
        <v>1598</v>
      </c>
      <c r="J187" s="573"/>
      <c r="K187" s="577" t="s">
        <v>1599</v>
      </c>
      <c r="L187" s="573"/>
      <c r="M187" s="573"/>
      <c r="N187" s="573"/>
      <c r="O187" s="573"/>
      <c r="P187" s="578"/>
      <c r="Q187" s="573" t="s">
        <v>819</v>
      </c>
      <c r="R187" s="573"/>
      <c r="S187" s="573" t="s">
        <v>862</v>
      </c>
      <c r="T187" s="579"/>
      <c r="U187" s="573"/>
      <c r="V187" s="580"/>
      <c r="W187" s="580" t="s">
        <v>863</v>
      </c>
      <c r="X187" s="581"/>
      <c r="Y187" s="582"/>
      <c r="Z187" s="573"/>
      <c r="AA187" s="583"/>
      <c r="AB187" s="573"/>
      <c r="AC187" s="579">
        <v>1</v>
      </c>
      <c r="AD187" s="579">
        <v>1</v>
      </c>
    </row>
    <row r="188" spans="1:30" s="584" customFormat="1" ht="12.95" customHeight="1">
      <c r="A188" s="573">
        <v>176.83238095238099</v>
      </c>
      <c r="B188" s="574"/>
      <c r="C188" s="575"/>
      <c r="D188" s="574" t="s">
        <v>1000</v>
      </c>
      <c r="E188" s="575"/>
      <c r="F188" s="574"/>
      <c r="G188" s="574"/>
      <c r="H188" s="573" t="s">
        <v>1600</v>
      </c>
      <c r="I188" s="577" t="s">
        <v>399</v>
      </c>
      <c r="J188" s="573"/>
      <c r="K188" s="577" t="s">
        <v>1003</v>
      </c>
      <c r="L188" s="573"/>
      <c r="M188" s="573"/>
      <c r="N188" s="573"/>
      <c r="O188" s="573"/>
      <c r="P188" s="578"/>
      <c r="Q188" s="573" t="s">
        <v>816</v>
      </c>
      <c r="R188" s="573"/>
      <c r="S188" s="573" t="s">
        <v>862</v>
      </c>
      <c r="T188" s="579"/>
      <c r="U188" s="573"/>
      <c r="V188" s="580"/>
      <c r="W188" s="580" t="s">
        <v>863</v>
      </c>
      <c r="X188" s="581"/>
      <c r="Y188" s="582"/>
      <c r="Z188" s="573"/>
      <c r="AA188" s="583"/>
      <c r="AB188" s="573"/>
      <c r="AC188" s="579">
        <v>1</v>
      </c>
      <c r="AD188" s="579">
        <v>1</v>
      </c>
    </row>
    <row r="189" spans="1:30" s="584" customFormat="1" ht="12.95" customHeight="1">
      <c r="A189" s="573">
        <v>178.01809523809601</v>
      </c>
      <c r="B189" s="574"/>
      <c r="C189" s="575"/>
      <c r="D189" s="574" t="s">
        <v>1601</v>
      </c>
      <c r="E189" s="575"/>
      <c r="F189" s="574"/>
      <c r="G189" s="574"/>
      <c r="H189" s="573" t="s">
        <v>1602</v>
      </c>
      <c r="I189" s="577" t="s">
        <v>1603</v>
      </c>
      <c r="J189" s="573"/>
      <c r="K189" s="577" t="s">
        <v>1079</v>
      </c>
      <c r="L189" s="573"/>
      <c r="M189" s="573"/>
      <c r="N189" s="573"/>
      <c r="O189" s="573"/>
      <c r="P189" s="578"/>
      <c r="Q189" s="573" t="s">
        <v>819</v>
      </c>
      <c r="R189" s="573"/>
      <c r="S189" s="573" t="s">
        <v>862</v>
      </c>
      <c r="T189" s="579"/>
      <c r="U189" s="573"/>
      <c r="V189" s="580"/>
      <c r="W189" s="580" t="s">
        <v>863</v>
      </c>
      <c r="X189" s="581"/>
      <c r="Y189" s="582"/>
      <c r="Z189" s="573"/>
      <c r="AA189" s="583"/>
      <c r="AB189" s="573"/>
      <c r="AC189" s="579">
        <v>1</v>
      </c>
      <c r="AD189" s="579">
        <v>1</v>
      </c>
    </row>
    <row r="190" spans="1:30" s="584" customFormat="1" ht="12.95" customHeight="1">
      <c r="A190" s="573">
        <v>179.20380952381001</v>
      </c>
      <c r="B190" s="574"/>
      <c r="C190" s="575"/>
      <c r="D190" s="575" t="s">
        <v>1604</v>
      </c>
      <c r="E190" s="575"/>
      <c r="F190" s="574"/>
      <c r="G190" s="574"/>
      <c r="H190" s="573" t="s">
        <v>1605</v>
      </c>
      <c r="I190" s="577" t="s">
        <v>1606</v>
      </c>
      <c r="J190" s="573"/>
      <c r="K190" s="577" t="s">
        <v>938</v>
      </c>
      <c r="L190" s="573"/>
      <c r="M190" s="573"/>
      <c r="N190" s="573"/>
      <c r="O190" s="573"/>
      <c r="P190" s="578"/>
      <c r="Q190" s="573" t="s">
        <v>816</v>
      </c>
      <c r="R190" s="573"/>
      <c r="S190" s="573" t="s">
        <v>862</v>
      </c>
      <c r="T190" s="579"/>
      <c r="U190" s="573"/>
      <c r="V190" s="580"/>
      <c r="W190" s="580" t="s">
        <v>863</v>
      </c>
      <c r="X190" s="581"/>
      <c r="Y190" s="582"/>
      <c r="Z190" s="573"/>
      <c r="AA190" s="583"/>
      <c r="AB190" s="573"/>
      <c r="AC190" s="579">
        <v>1</v>
      </c>
      <c r="AD190" s="579">
        <v>1</v>
      </c>
    </row>
    <row r="191" spans="1:30" s="584" customFormat="1" ht="12.95" customHeight="1">
      <c r="A191" s="573">
        <v>180.38952380952401</v>
      </c>
      <c r="B191" s="574" t="s">
        <v>1607</v>
      </c>
      <c r="C191" s="575"/>
      <c r="D191" s="574"/>
      <c r="E191" s="574"/>
      <c r="F191" s="574"/>
      <c r="G191" s="574"/>
      <c r="H191" s="573" t="s">
        <v>1608</v>
      </c>
      <c r="I191" s="577"/>
      <c r="J191" s="573"/>
      <c r="K191" s="577" t="s">
        <v>938</v>
      </c>
      <c r="L191" s="573"/>
      <c r="M191" s="573"/>
      <c r="N191" s="573"/>
      <c r="O191" s="573"/>
      <c r="P191" s="578"/>
      <c r="Q191" s="573" t="s">
        <v>816</v>
      </c>
      <c r="R191" s="573"/>
      <c r="S191" s="573" t="s">
        <v>862</v>
      </c>
      <c r="T191" s="579"/>
      <c r="U191" s="573"/>
      <c r="V191" s="579"/>
      <c r="W191" s="579" t="s">
        <v>863</v>
      </c>
      <c r="X191" s="581"/>
      <c r="Y191" s="582"/>
      <c r="Z191" s="573"/>
      <c r="AA191" s="573"/>
      <c r="AB191" s="573"/>
      <c r="AC191" s="579"/>
      <c r="AD191" s="579">
        <v>1</v>
      </c>
    </row>
    <row r="192" spans="1:30" s="224" customFormat="1" ht="12" customHeight="1">
      <c r="A192" s="225">
        <f>SUBTOTAL(103,createCase142[ID])</f>
        <v>176</v>
      </c>
      <c r="C192" s="225">
        <f>SUBTOTAL(103,createCase142[Donnée (Niveau 2)])</f>
        <v>68</v>
      </c>
      <c r="D192" s="225">
        <f>SUBTOTAL(103,createCase142[Donnée (Niveau 3)])</f>
        <v>77</v>
      </c>
      <c r="E192" s="225">
        <f>SUBTOTAL(103,createCase142[Donnée (Niveau 4)])</f>
        <v>31</v>
      </c>
      <c r="F192" s="225">
        <f>SUBTOTAL(103,createCase142[Donnée (Niveau 5)])</f>
        <v>8</v>
      </c>
      <c r="G192" s="225">
        <f>SUBTOTAL(103,createCase142[Donnée (Niveau 6)])</f>
        <v>0</v>
      </c>
      <c r="H192" s="225">
        <f>SUBTOTAL(103,createCase142[Description])</f>
        <v>158</v>
      </c>
      <c r="I192" s="225">
        <f>SUBTOTAL(103,createCase142[Exemples])</f>
        <v>96</v>
      </c>
      <c r="J192" s="225">
        <f>SUBTOTAL(103,createCase142[Balise NexSIS])</f>
        <v>60</v>
      </c>
      <c r="K192" s="239">
        <f>SUBTOTAL(103,createCase142[Nouvelle balise])</f>
        <v>156</v>
      </c>
      <c r="L192" s="225">
        <f>SUBTOTAL(103,createCase142[Nantes - balise])</f>
        <v>22</v>
      </c>
      <c r="M192" s="225">
        <f>SUBTOTAL(103,createCase142[Nantes - description])</f>
        <v>22</v>
      </c>
      <c r="N192" s="225">
        <f>SUBTOTAL(103,createCase142[GT399])</f>
        <v>0</v>
      </c>
      <c r="O192" s="225">
        <f>SUBTOTAL(103,createCase142[GT399 description])</f>
        <v>0</v>
      </c>
      <c r="P192" s="234">
        <f>SUBTOTAL(103,createCase142[Priorisation])</f>
        <v>16</v>
      </c>
      <c r="Q192" s="225"/>
      <c r="R192" s="225">
        <f>SUBTOTAL(103,createCase142[Objet])</f>
        <v>59</v>
      </c>
      <c r="S192" s="225">
        <f>SUBTOTAL(103,createCase142[Format (ou type)])</f>
        <v>180</v>
      </c>
      <c r="T192" s="274"/>
      <c r="U192" s="225"/>
      <c r="V192" s="225"/>
      <c r="W192" s="225"/>
      <c r="Y192" s="271">
        <f>SUBTOTAL(103,createCase142[Commentaire Hub Santé])</f>
        <v>39</v>
      </c>
      <c r="Z192" s="225">
        <f>SUBTOTAL(103,createCase142[Commentaire Philippe Dreyfus])</f>
        <v>41</v>
      </c>
      <c r="AA192" s="239"/>
      <c r="AB192" s="225">
        <f>SUBTOTAL(103,createCase142[Commentaire Yann Penverne])</f>
        <v>0</v>
      </c>
      <c r="AC192" s="225">
        <f>SUBTOTAL(103,createCase142[NexSIS])-COUNTIFS(createCase142[NexSIS],"=X")</f>
        <v>84</v>
      </c>
      <c r="AD192" s="225">
        <f>SUBTOTAL(103,createCase142[Métier])-COUNTIFS(createCase142[Métier],"=X")</f>
        <v>169</v>
      </c>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77"/>
      <c r="U194" s="96"/>
      <c r="V194" s="96"/>
      <c r="W194" s="96"/>
      <c r="X194"/>
      <c r="Y194" s="179"/>
      <c r="Z194" s="96"/>
      <c r="AA194" s="159"/>
      <c r="AB194" s="96"/>
      <c r="AD194" s="96"/>
      <c r="AMA194"/>
      <c r="AMB194"/>
      <c r="AMC194"/>
    </row>
    <row r="195" spans="1:1017" s="128" customFormat="1" ht="12" customHeight="1">
      <c r="I195" s="224"/>
      <c r="P195" s="174"/>
      <c r="R195" s="96"/>
      <c r="S195" s="96"/>
      <c r="T195" s="277"/>
      <c r="U195" s="96"/>
      <c r="V195" s="96"/>
      <c r="W195" s="96"/>
      <c r="X195"/>
      <c r="Y195" s="179"/>
      <c r="Z195" s="96"/>
      <c r="AA195" s="159"/>
      <c r="AB195" s="96"/>
      <c r="AD195" s="96"/>
      <c r="AMA195"/>
      <c r="AMB195"/>
      <c r="AMC195"/>
    </row>
    <row r="196" spans="1:1017" s="128" customFormat="1" ht="12" customHeight="1">
      <c r="I196" s="224"/>
      <c r="P196" s="174"/>
      <c r="R196" s="96"/>
      <c r="S196" s="96"/>
      <c r="T196" s="277"/>
      <c r="U196" s="96"/>
      <c r="V196" s="96"/>
      <c r="W196" s="96"/>
      <c r="X196"/>
      <c r="Y196" s="179"/>
      <c r="Z196" s="96"/>
      <c r="AA196" s="159"/>
      <c r="AB196" s="96"/>
      <c r="AD196" s="96"/>
      <c r="AMA196"/>
      <c r="AMB196"/>
      <c r="AMC196"/>
    </row>
    <row r="197" spans="1:1017" s="128" customFormat="1" ht="12" customHeight="1">
      <c r="I197" s="224"/>
      <c r="P197" s="174"/>
      <c r="R197" s="96"/>
      <c r="S197" s="96"/>
      <c r="T197" s="277"/>
      <c r="U197" s="96"/>
      <c r="V197" s="96"/>
      <c r="W197" s="96"/>
      <c r="X197"/>
      <c r="Y197" s="179"/>
      <c r="Z197" s="96"/>
      <c r="AA197" s="159"/>
      <c r="AB197" s="96"/>
      <c r="AD197" s="96"/>
      <c r="AMA197"/>
      <c r="AMB197"/>
      <c r="AMC197"/>
    </row>
    <row r="198" spans="1:1017" s="128" customFormat="1" ht="12" customHeight="1">
      <c r="I198" s="224"/>
      <c r="P198" s="174"/>
      <c r="R198" s="96"/>
      <c r="S198" s="96"/>
      <c r="T198" s="277"/>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77"/>
      <c r="U200" s="96"/>
      <c r="V200" s="96"/>
      <c r="W200" s="96"/>
      <c r="X200"/>
      <c r="Y200" s="179"/>
      <c r="Z200" s="96"/>
      <c r="AA200" s="161"/>
      <c r="AB200" s="96"/>
      <c r="AD200" s="96"/>
      <c r="AMB200"/>
    </row>
    <row r="201" spans="1:1017" ht="12" customHeight="1">
      <c r="A201" s="117"/>
      <c r="B201" s="117"/>
      <c r="C201" s="117"/>
      <c r="D201" s="117"/>
      <c r="E201" s="117"/>
      <c r="F201" s="117"/>
      <c r="G201" s="117"/>
      <c r="H201" s="117"/>
      <c r="I201" s="251"/>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1018" s="96" customFormat="1" ht="12" customHeight="1">
      <c r="A214" s="130"/>
      <c r="B214" s="130"/>
      <c r="C214" s="130"/>
      <c r="D214" s="130"/>
      <c r="E214" s="130"/>
      <c r="F214" s="130"/>
      <c r="I214" s="225"/>
      <c r="K214" s="159"/>
      <c r="P214" s="173"/>
      <c r="T214" s="277"/>
      <c r="X214"/>
      <c r="Y214" s="179"/>
      <c r="AA214" s="159"/>
      <c r="AC214"/>
      <c r="AE214" s="128"/>
      <c r="AF214"/>
      <c r="AG214" s="128"/>
      <c r="AH214" s="128"/>
      <c r="AI214" s="128"/>
      <c r="AJ214" s="128"/>
      <c r="AK214" s="128"/>
      <c r="AL214" s="128"/>
      <c r="AM214" s="128"/>
      <c r="AN214" s="128"/>
      <c r="AO214" s="128"/>
      <c r="AP214" s="128"/>
      <c r="AQ214" s="128"/>
      <c r="AR214" s="128"/>
      <c r="AS214" s="128"/>
      <c r="AT214" s="128"/>
      <c r="AU214" s="128"/>
      <c r="AV214" s="128"/>
      <c r="AW214" s="128"/>
      <c r="AX214" s="128"/>
      <c r="AY214" s="128"/>
      <c r="AZ214" s="128"/>
      <c r="BA214" s="128"/>
      <c r="BB214" s="128"/>
      <c r="BC214" s="128"/>
      <c r="BD214" s="128"/>
      <c r="BE214" s="128"/>
      <c r="BF214" s="128"/>
      <c r="BG214" s="128"/>
      <c r="BH214" s="128"/>
      <c r="BI214" s="128"/>
      <c r="BJ214" s="128"/>
      <c r="BK214" s="128"/>
      <c r="BL214" s="128"/>
      <c r="BM214" s="128"/>
      <c r="BN214" s="128"/>
      <c r="BO214" s="128"/>
      <c r="BP214" s="128"/>
      <c r="BQ214" s="128"/>
      <c r="BR214" s="128"/>
      <c r="BS214" s="128"/>
      <c r="BT214" s="128"/>
      <c r="BU214" s="128"/>
      <c r="BV214" s="128"/>
      <c r="BW214" s="128"/>
      <c r="BX214" s="128"/>
      <c r="BY214" s="128"/>
      <c r="BZ214" s="128"/>
      <c r="CA214" s="128"/>
      <c r="CB214" s="128"/>
      <c r="CC214" s="128"/>
      <c r="CD214" s="128"/>
      <c r="CE214" s="128"/>
      <c r="CF214" s="128"/>
      <c r="CG214" s="128"/>
      <c r="CH214" s="128"/>
      <c r="CI214" s="128"/>
      <c r="CJ214" s="128"/>
      <c r="CK214" s="128"/>
      <c r="CL214" s="128"/>
      <c r="CM214" s="128"/>
      <c r="CN214" s="128"/>
      <c r="CO214" s="128"/>
      <c r="CP214" s="128"/>
      <c r="CQ214" s="128"/>
      <c r="CR214" s="128"/>
      <c r="CS214" s="128"/>
      <c r="CT214" s="128"/>
      <c r="CU214" s="128"/>
      <c r="CV214" s="128"/>
      <c r="CW214" s="128"/>
      <c r="CX214" s="128"/>
      <c r="CY214" s="128"/>
      <c r="CZ214" s="128"/>
      <c r="DA214" s="128"/>
      <c r="DB214" s="128"/>
      <c r="DC214" s="128"/>
      <c r="DD214" s="128"/>
      <c r="DE214" s="128"/>
      <c r="DF214" s="128"/>
      <c r="DG214" s="128"/>
      <c r="DH214" s="128"/>
      <c r="DI214" s="128"/>
      <c r="DJ214" s="128"/>
      <c r="DK214" s="128"/>
      <c r="DL214" s="128"/>
      <c r="DM214" s="128"/>
      <c r="DN214" s="128"/>
      <c r="DO214" s="128"/>
      <c r="DP214" s="128"/>
      <c r="DQ214" s="128"/>
      <c r="DR214" s="128"/>
      <c r="DS214" s="128"/>
      <c r="DT214" s="128"/>
      <c r="DU214" s="128"/>
      <c r="DV214" s="128"/>
      <c r="DW214" s="128"/>
      <c r="DX214" s="128"/>
      <c r="DY214" s="128"/>
      <c r="DZ214" s="128"/>
      <c r="EA214" s="128"/>
      <c r="EB214" s="128"/>
      <c r="EC214" s="128"/>
      <c r="ED214" s="128"/>
      <c r="EE214" s="128"/>
      <c r="EF214" s="128"/>
      <c r="EG214" s="128"/>
      <c r="EH214" s="128"/>
      <c r="EI214" s="128"/>
      <c r="EJ214" s="128"/>
      <c r="EK214" s="128"/>
      <c r="EL214" s="128"/>
      <c r="EM214" s="128"/>
      <c r="EN214" s="128"/>
      <c r="EO214" s="128"/>
      <c r="EP214" s="128"/>
      <c r="EQ214" s="128"/>
      <c r="ER214" s="128"/>
      <c r="ES214" s="128"/>
      <c r="ET214" s="128"/>
      <c r="EU214" s="128"/>
      <c r="EV214" s="128"/>
      <c r="EW214" s="128"/>
      <c r="EX214" s="128"/>
      <c r="EY214" s="128"/>
      <c r="EZ214" s="128"/>
      <c r="FA214" s="128"/>
      <c r="FB214" s="128"/>
      <c r="FC214" s="128"/>
      <c r="FD214" s="128"/>
      <c r="FE214" s="128"/>
      <c r="FF214" s="128"/>
      <c r="FG214" s="128"/>
      <c r="FH214" s="128"/>
      <c r="FI214" s="128"/>
      <c r="FJ214" s="128"/>
      <c r="FK214" s="128"/>
      <c r="FL214" s="128"/>
      <c r="FM214" s="128"/>
      <c r="FN214" s="128"/>
      <c r="FO214" s="128"/>
      <c r="FP214" s="128"/>
      <c r="FQ214" s="128"/>
      <c r="FR214" s="128"/>
      <c r="FS214" s="128"/>
      <c r="FT214" s="128"/>
      <c r="FU214" s="128"/>
      <c r="FV214" s="128"/>
      <c r="FW214" s="128"/>
      <c r="FX214" s="128"/>
      <c r="FY214" s="128"/>
      <c r="FZ214" s="128"/>
      <c r="GA214" s="128"/>
      <c r="GB214" s="128"/>
      <c r="GC214" s="128"/>
      <c r="GD214" s="128"/>
      <c r="GE214" s="128"/>
      <c r="GF214" s="128"/>
      <c r="GG214" s="128"/>
      <c r="GH214" s="128"/>
      <c r="GI214" s="128"/>
      <c r="GJ214" s="128"/>
      <c r="GK214" s="128"/>
      <c r="GL214" s="128"/>
      <c r="GM214" s="128"/>
      <c r="GN214" s="128"/>
      <c r="GO214" s="128"/>
      <c r="GP214" s="128"/>
      <c r="GQ214" s="128"/>
      <c r="GR214" s="128"/>
      <c r="GS214" s="128"/>
      <c r="GT214" s="128"/>
      <c r="GU214" s="128"/>
      <c r="GV214" s="128"/>
      <c r="GW214" s="128"/>
      <c r="GX214" s="128"/>
      <c r="GY214" s="128"/>
      <c r="GZ214" s="128"/>
      <c r="HA214" s="128"/>
      <c r="HB214" s="128"/>
      <c r="HC214" s="128"/>
      <c r="HD214" s="128"/>
      <c r="HE214" s="128"/>
      <c r="HF214" s="128"/>
      <c r="HG214" s="128"/>
      <c r="HH214" s="128"/>
      <c r="HI214" s="128"/>
      <c r="HJ214" s="128"/>
      <c r="HK214" s="128"/>
      <c r="HL214" s="128"/>
      <c r="HM214" s="128"/>
      <c r="HN214" s="128"/>
      <c r="HO214" s="128"/>
      <c r="HP214" s="128"/>
      <c r="HQ214" s="128"/>
      <c r="HR214" s="128"/>
      <c r="HS214" s="128"/>
      <c r="HT214" s="128"/>
      <c r="HU214" s="128"/>
      <c r="HV214" s="128"/>
      <c r="HW214" s="128"/>
      <c r="HX214" s="128"/>
      <c r="HY214" s="128"/>
      <c r="HZ214" s="128"/>
      <c r="IA214" s="128"/>
      <c r="IB214" s="128"/>
      <c r="IC214" s="128"/>
      <c r="ID214" s="128"/>
      <c r="IE214" s="128"/>
      <c r="IF214" s="128"/>
      <c r="IG214" s="128"/>
      <c r="IH214" s="128"/>
      <c r="II214" s="128"/>
      <c r="IJ214" s="128"/>
      <c r="IK214" s="128"/>
      <c r="IL214" s="128"/>
      <c r="IM214" s="128"/>
      <c r="IN214" s="128"/>
      <c r="IO214" s="128"/>
      <c r="IP214" s="128"/>
      <c r="IQ214" s="128"/>
      <c r="IR214" s="128"/>
      <c r="IS214" s="128"/>
      <c r="IT214" s="128"/>
      <c r="IU214" s="128"/>
      <c r="IV214" s="128"/>
      <c r="IW214" s="128"/>
      <c r="IX214" s="128"/>
      <c r="IY214" s="128"/>
      <c r="IZ214" s="128"/>
      <c r="JA214" s="128"/>
      <c r="JB214" s="128"/>
      <c r="JC214" s="128"/>
      <c r="JD214" s="128"/>
      <c r="JE214" s="128"/>
      <c r="JF214" s="128"/>
      <c r="JG214" s="128"/>
      <c r="JH214" s="128"/>
      <c r="JI214" s="128"/>
      <c r="JJ214" s="128"/>
      <c r="JK214" s="128"/>
      <c r="JL214" s="128"/>
      <c r="JM214" s="128"/>
      <c r="JN214" s="128"/>
      <c r="JO214" s="128"/>
      <c r="JP214" s="128"/>
      <c r="JQ214" s="128"/>
      <c r="JR214" s="128"/>
      <c r="JS214" s="128"/>
      <c r="JT214" s="128"/>
      <c r="JU214" s="128"/>
      <c r="JV214" s="128"/>
      <c r="JW214" s="128"/>
      <c r="JX214" s="128"/>
      <c r="JY214" s="128"/>
      <c r="JZ214" s="128"/>
      <c r="KA214" s="128"/>
      <c r="KB214" s="128"/>
      <c r="KC214" s="128"/>
      <c r="KD214" s="128"/>
      <c r="KE214" s="128"/>
      <c r="KF214" s="128"/>
      <c r="KG214" s="128"/>
      <c r="KH214" s="128"/>
      <c r="KI214" s="128"/>
      <c r="KJ214" s="128"/>
      <c r="KK214" s="128"/>
      <c r="KL214" s="128"/>
      <c r="KM214" s="128"/>
      <c r="KN214" s="128"/>
      <c r="KO214" s="128"/>
      <c r="KP214" s="128"/>
      <c r="KQ214" s="128"/>
      <c r="KR214" s="128"/>
      <c r="KS214" s="128"/>
      <c r="KT214" s="128"/>
      <c r="KU214" s="128"/>
      <c r="KV214" s="128"/>
      <c r="KW214" s="128"/>
      <c r="KX214" s="128"/>
      <c r="KY214" s="128"/>
      <c r="KZ214" s="128"/>
      <c r="LA214" s="128"/>
      <c r="LB214" s="128"/>
      <c r="LC214" s="128"/>
      <c r="LD214" s="128"/>
      <c r="LE214" s="128"/>
      <c r="LF214" s="128"/>
      <c r="LG214" s="128"/>
      <c r="LH214" s="128"/>
      <c r="LI214" s="128"/>
      <c r="LJ214" s="128"/>
      <c r="LK214" s="128"/>
      <c r="LL214" s="128"/>
      <c r="LM214" s="128"/>
      <c r="LN214" s="128"/>
      <c r="LO214" s="128"/>
      <c r="LP214" s="128"/>
      <c r="LQ214" s="128"/>
      <c r="LR214" s="128"/>
      <c r="LS214" s="128"/>
      <c r="LT214" s="128"/>
      <c r="LU214" s="128"/>
      <c r="LV214" s="128"/>
      <c r="LW214" s="128"/>
      <c r="LX214" s="128"/>
      <c r="LY214" s="128"/>
      <c r="LZ214" s="128"/>
      <c r="MA214" s="128"/>
      <c r="MB214" s="128"/>
      <c r="MC214" s="128"/>
      <c r="MD214" s="128"/>
      <c r="ME214" s="128"/>
      <c r="MF214" s="128"/>
      <c r="MG214" s="128"/>
      <c r="MH214" s="128"/>
      <c r="MI214" s="128"/>
      <c r="MJ214" s="128"/>
      <c r="MK214" s="128"/>
      <c r="ML214" s="128"/>
      <c r="MM214" s="128"/>
      <c r="MN214" s="128"/>
      <c r="MO214" s="128"/>
      <c r="MP214" s="128"/>
      <c r="MQ214" s="128"/>
      <c r="MR214" s="128"/>
      <c r="MS214" s="128"/>
      <c r="MT214" s="128"/>
      <c r="MU214" s="128"/>
      <c r="MV214" s="128"/>
      <c r="MW214" s="128"/>
      <c r="MX214" s="128"/>
      <c r="MY214" s="128"/>
      <c r="MZ214" s="128"/>
      <c r="NA214" s="128"/>
      <c r="NB214" s="128"/>
      <c r="NC214" s="128"/>
      <c r="ND214" s="128"/>
      <c r="NE214" s="128"/>
      <c r="NF214" s="128"/>
      <c r="NG214" s="128"/>
      <c r="NH214" s="128"/>
      <c r="NI214" s="128"/>
      <c r="NJ214" s="128"/>
      <c r="NK214" s="128"/>
      <c r="NL214" s="128"/>
      <c r="NM214" s="128"/>
      <c r="NN214" s="128"/>
      <c r="NO214" s="128"/>
      <c r="NP214" s="128"/>
      <c r="NQ214" s="128"/>
      <c r="NR214" s="128"/>
      <c r="NS214" s="128"/>
      <c r="NT214" s="128"/>
      <c r="NU214" s="128"/>
      <c r="NV214" s="128"/>
      <c r="NW214" s="128"/>
      <c r="NX214" s="128"/>
      <c r="NY214" s="128"/>
      <c r="NZ214" s="128"/>
      <c r="OA214" s="128"/>
      <c r="OB214" s="128"/>
      <c r="OC214" s="128"/>
      <c r="OD214" s="128"/>
      <c r="OE214" s="128"/>
      <c r="OF214" s="128"/>
      <c r="OG214" s="128"/>
      <c r="OH214" s="128"/>
      <c r="OI214" s="128"/>
      <c r="OJ214" s="128"/>
      <c r="OK214" s="128"/>
      <c r="OL214" s="128"/>
      <c r="OM214" s="128"/>
      <c r="ON214" s="128"/>
      <c r="OO214" s="128"/>
      <c r="OP214" s="128"/>
      <c r="OQ214" s="128"/>
      <c r="OR214" s="128"/>
      <c r="OS214" s="128"/>
      <c r="OT214" s="128"/>
      <c r="OU214" s="128"/>
      <c r="OV214" s="128"/>
      <c r="OW214" s="128"/>
      <c r="OX214" s="128"/>
      <c r="OY214" s="128"/>
      <c r="OZ214" s="128"/>
      <c r="PA214" s="128"/>
      <c r="PB214" s="128"/>
      <c r="PC214" s="128"/>
      <c r="PD214" s="128"/>
      <c r="PE214" s="128"/>
      <c r="PF214" s="128"/>
      <c r="PG214" s="128"/>
      <c r="PH214" s="128"/>
      <c r="PI214" s="128"/>
      <c r="PJ214" s="128"/>
      <c r="PK214" s="128"/>
      <c r="PL214" s="128"/>
      <c r="PM214" s="128"/>
      <c r="PN214" s="128"/>
      <c r="PO214" s="128"/>
      <c r="PP214" s="128"/>
      <c r="PQ214" s="128"/>
      <c r="PR214" s="128"/>
      <c r="PS214" s="128"/>
      <c r="PT214" s="128"/>
      <c r="PU214" s="128"/>
      <c r="PV214" s="128"/>
      <c r="PW214" s="128"/>
      <c r="PX214" s="128"/>
      <c r="PY214" s="128"/>
      <c r="PZ214" s="128"/>
      <c r="QA214" s="128"/>
      <c r="QB214" s="128"/>
      <c r="QC214" s="128"/>
      <c r="QD214" s="128"/>
      <c r="QE214" s="128"/>
      <c r="QF214" s="128"/>
      <c r="QG214" s="128"/>
      <c r="QH214" s="128"/>
      <c r="QI214" s="128"/>
      <c r="QJ214" s="128"/>
      <c r="QK214" s="128"/>
      <c r="QL214" s="128"/>
      <c r="QM214" s="128"/>
      <c r="QN214" s="128"/>
      <c r="QO214" s="128"/>
      <c r="QP214" s="128"/>
      <c r="QQ214" s="128"/>
      <c r="QR214" s="128"/>
      <c r="QS214" s="128"/>
      <c r="QT214" s="128"/>
      <c r="QU214" s="128"/>
      <c r="QV214" s="128"/>
      <c r="QW214" s="128"/>
      <c r="QX214" s="128"/>
      <c r="QY214" s="128"/>
      <c r="QZ214" s="128"/>
      <c r="RA214" s="128"/>
      <c r="RB214" s="128"/>
      <c r="RC214" s="128"/>
      <c r="RD214" s="128"/>
      <c r="RE214" s="128"/>
      <c r="RF214" s="128"/>
      <c r="RG214" s="128"/>
      <c r="RH214" s="128"/>
      <c r="RI214" s="128"/>
      <c r="RJ214" s="128"/>
      <c r="RK214" s="128"/>
      <c r="RL214" s="128"/>
      <c r="RM214" s="128"/>
      <c r="RN214" s="128"/>
      <c r="RO214" s="128"/>
      <c r="RP214" s="128"/>
      <c r="RQ214" s="128"/>
      <c r="RR214" s="128"/>
      <c r="RS214" s="128"/>
      <c r="RT214" s="128"/>
      <c r="RU214" s="128"/>
      <c r="RV214" s="128"/>
      <c r="RW214" s="128"/>
      <c r="RX214" s="128"/>
      <c r="RY214" s="128"/>
      <c r="RZ214" s="128"/>
      <c r="SA214" s="128"/>
      <c r="SB214" s="128"/>
      <c r="SC214" s="128"/>
      <c r="SD214" s="128"/>
      <c r="SE214" s="128"/>
      <c r="SF214" s="128"/>
      <c r="SG214" s="128"/>
      <c r="SH214" s="128"/>
      <c r="SI214" s="128"/>
      <c r="SJ214" s="128"/>
      <c r="SK214" s="128"/>
      <c r="SL214" s="128"/>
      <c r="SM214" s="128"/>
      <c r="SN214" s="128"/>
      <c r="SO214" s="128"/>
      <c r="SP214" s="128"/>
      <c r="SQ214" s="128"/>
      <c r="SR214" s="128"/>
      <c r="SS214" s="128"/>
      <c r="ST214" s="128"/>
      <c r="SU214" s="128"/>
      <c r="SV214" s="128"/>
      <c r="SW214" s="128"/>
      <c r="SX214" s="128"/>
      <c r="SY214" s="128"/>
      <c r="SZ214" s="128"/>
      <c r="TA214" s="128"/>
      <c r="TB214" s="128"/>
      <c r="TC214" s="128"/>
      <c r="TD214" s="128"/>
      <c r="TE214" s="128"/>
      <c r="TF214" s="128"/>
      <c r="TG214" s="128"/>
      <c r="TH214" s="128"/>
      <c r="TI214" s="128"/>
      <c r="TJ214" s="128"/>
      <c r="TK214" s="128"/>
      <c r="TL214" s="128"/>
      <c r="TM214" s="128"/>
      <c r="TN214" s="128"/>
      <c r="TO214" s="128"/>
      <c r="TP214" s="128"/>
      <c r="TQ214" s="128"/>
      <c r="TR214" s="128"/>
      <c r="TS214" s="128"/>
      <c r="TT214" s="128"/>
      <c r="TU214" s="128"/>
      <c r="TV214" s="128"/>
      <c r="TW214" s="128"/>
      <c r="TX214" s="128"/>
      <c r="TY214" s="128"/>
      <c r="TZ214" s="128"/>
      <c r="UA214" s="128"/>
      <c r="UB214" s="128"/>
      <c r="UC214" s="128"/>
      <c r="UD214" s="128"/>
      <c r="UE214" s="128"/>
      <c r="UF214" s="128"/>
      <c r="UG214" s="128"/>
      <c r="UH214" s="128"/>
      <c r="UI214" s="128"/>
      <c r="UJ214" s="128"/>
      <c r="UK214" s="128"/>
      <c r="UL214" s="128"/>
      <c r="UM214" s="128"/>
      <c r="UN214" s="128"/>
      <c r="UO214" s="128"/>
      <c r="UP214" s="128"/>
      <c r="UQ214" s="128"/>
      <c r="UR214" s="128"/>
      <c r="US214" s="128"/>
      <c r="UT214" s="128"/>
      <c r="UU214" s="128"/>
      <c r="UV214" s="128"/>
      <c r="UW214" s="128"/>
      <c r="UX214" s="128"/>
      <c r="UY214" s="128"/>
      <c r="UZ214" s="128"/>
      <c r="VA214" s="128"/>
      <c r="VB214" s="128"/>
      <c r="VC214" s="128"/>
      <c r="VD214" s="128"/>
      <c r="VE214" s="128"/>
      <c r="VF214" s="128"/>
      <c r="VG214" s="128"/>
      <c r="VH214" s="128"/>
      <c r="VI214" s="128"/>
      <c r="VJ214" s="128"/>
      <c r="VK214" s="128"/>
      <c r="VL214" s="128"/>
      <c r="VM214" s="128"/>
      <c r="VN214" s="128"/>
      <c r="VO214" s="128"/>
      <c r="VP214" s="128"/>
      <c r="VQ214" s="128"/>
      <c r="VR214" s="128"/>
      <c r="VS214" s="128"/>
      <c r="VT214" s="128"/>
      <c r="VU214" s="128"/>
      <c r="VV214" s="128"/>
      <c r="VW214" s="128"/>
      <c r="VX214" s="128"/>
      <c r="VY214" s="128"/>
      <c r="VZ214" s="128"/>
      <c r="WA214" s="128"/>
      <c r="WB214" s="128"/>
      <c r="WC214" s="128"/>
      <c r="WD214" s="128"/>
      <c r="WE214" s="128"/>
      <c r="WF214" s="128"/>
      <c r="WG214" s="128"/>
      <c r="WH214" s="128"/>
      <c r="WI214" s="128"/>
      <c r="WJ214" s="128"/>
      <c r="WK214" s="128"/>
      <c r="WL214" s="128"/>
      <c r="WM214" s="128"/>
      <c r="WN214" s="128"/>
      <c r="WO214" s="128"/>
      <c r="WP214" s="128"/>
      <c r="WQ214" s="128"/>
      <c r="WR214" s="128"/>
      <c r="WS214" s="128"/>
      <c r="WT214" s="128"/>
      <c r="WU214" s="128"/>
      <c r="WV214" s="128"/>
      <c r="WW214" s="128"/>
      <c r="WX214" s="128"/>
      <c r="WY214" s="128"/>
      <c r="WZ214" s="128"/>
      <c r="XA214" s="128"/>
      <c r="XB214" s="128"/>
      <c r="XC214" s="128"/>
      <c r="XD214" s="128"/>
      <c r="XE214" s="128"/>
      <c r="XF214" s="128"/>
      <c r="XG214" s="128"/>
      <c r="XH214" s="128"/>
      <c r="XI214" s="128"/>
      <c r="XJ214" s="128"/>
      <c r="XK214" s="128"/>
      <c r="XL214" s="128"/>
      <c r="XM214" s="128"/>
      <c r="XN214" s="128"/>
      <c r="XO214" s="128"/>
      <c r="XP214" s="128"/>
      <c r="XQ214" s="128"/>
      <c r="XR214" s="128"/>
      <c r="XS214" s="128"/>
      <c r="XT214" s="128"/>
      <c r="XU214" s="128"/>
      <c r="XV214" s="128"/>
      <c r="XW214" s="128"/>
      <c r="XX214" s="128"/>
      <c r="XY214" s="128"/>
      <c r="XZ214" s="128"/>
      <c r="YA214" s="128"/>
      <c r="YB214" s="128"/>
      <c r="YC214" s="128"/>
      <c r="YD214" s="128"/>
      <c r="YE214" s="128"/>
      <c r="YF214" s="128"/>
      <c r="YG214" s="128"/>
      <c r="YH214" s="128"/>
      <c r="YI214" s="128"/>
      <c r="YJ214" s="128"/>
      <c r="YK214" s="128"/>
      <c r="YL214" s="128"/>
      <c r="YM214" s="128"/>
      <c r="YN214" s="128"/>
      <c r="YO214" s="128"/>
      <c r="YP214" s="128"/>
      <c r="YQ214" s="128"/>
      <c r="YR214" s="128"/>
      <c r="YS214" s="128"/>
      <c r="YT214" s="128"/>
      <c r="YU214" s="128"/>
      <c r="YV214" s="128"/>
      <c r="YW214" s="128"/>
      <c r="YX214" s="128"/>
      <c r="YY214" s="128"/>
      <c r="YZ214" s="128"/>
      <c r="ZA214" s="128"/>
      <c r="ZB214" s="128"/>
      <c r="ZC214" s="128"/>
      <c r="ZD214" s="128"/>
      <c r="ZE214" s="128"/>
      <c r="ZF214" s="128"/>
      <c r="ZG214" s="128"/>
      <c r="ZH214" s="128"/>
      <c r="ZI214" s="128"/>
      <c r="ZJ214" s="128"/>
      <c r="ZK214" s="128"/>
      <c r="ZL214" s="128"/>
      <c r="ZM214" s="128"/>
      <c r="ZN214" s="128"/>
      <c r="ZO214" s="128"/>
      <c r="ZP214" s="128"/>
      <c r="ZQ214" s="128"/>
      <c r="ZR214" s="128"/>
      <c r="ZS214" s="128"/>
      <c r="ZT214" s="128"/>
      <c r="ZU214" s="128"/>
      <c r="ZV214" s="128"/>
      <c r="ZW214" s="128"/>
      <c r="ZX214" s="128"/>
      <c r="ZY214" s="128"/>
      <c r="ZZ214" s="128"/>
      <c r="AAA214" s="128"/>
      <c r="AAB214" s="128"/>
      <c r="AAC214" s="128"/>
      <c r="AAD214" s="128"/>
      <c r="AAE214" s="128"/>
      <c r="AAF214" s="128"/>
      <c r="AAG214" s="128"/>
      <c r="AAH214" s="128"/>
      <c r="AAI214" s="128"/>
      <c r="AAJ214" s="128"/>
      <c r="AAK214" s="128"/>
      <c r="AAL214" s="128"/>
      <c r="AAM214" s="128"/>
      <c r="AAN214" s="128"/>
      <c r="AAO214" s="128"/>
      <c r="AAP214" s="128"/>
      <c r="AAQ214" s="128"/>
      <c r="AAR214" s="128"/>
      <c r="AAS214" s="128"/>
      <c r="AAT214" s="128"/>
      <c r="AAU214" s="128"/>
      <c r="AAV214" s="128"/>
      <c r="AAW214" s="128"/>
      <c r="AAX214" s="128"/>
      <c r="AAY214" s="128"/>
      <c r="AAZ214" s="128"/>
      <c r="ABA214" s="128"/>
      <c r="ABB214" s="128"/>
      <c r="ABC214" s="128"/>
      <c r="ABD214" s="128"/>
      <c r="ABE214" s="128"/>
      <c r="ABF214" s="128"/>
      <c r="ABG214" s="128"/>
      <c r="ABH214" s="128"/>
      <c r="ABI214" s="128"/>
      <c r="ABJ214" s="128"/>
      <c r="ABK214" s="128"/>
      <c r="ABL214" s="128"/>
      <c r="ABM214" s="128"/>
      <c r="ABN214" s="128"/>
      <c r="ABO214" s="128"/>
      <c r="ABP214" s="128"/>
      <c r="ABQ214" s="128"/>
      <c r="ABR214" s="128"/>
      <c r="ABS214" s="128"/>
      <c r="ABT214" s="128"/>
      <c r="ABU214" s="128"/>
      <c r="ABV214" s="128"/>
      <c r="ABW214" s="128"/>
      <c r="ABX214" s="128"/>
      <c r="ABY214" s="128"/>
      <c r="ABZ214" s="128"/>
      <c r="ACA214" s="128"/>
      <c r="ACB214" s="128"/>
      <c r="ACC214" s="128"/>
      <c r="ACD214" s="128"/>
      <c r="ACE214" s="128"/>
      <c r="ACF214" s="128"/>
      <c r="ACG214" s="128"/>
      <c r="ACH214" s="128"/>
      <c r="ACI214" s="128"/>
      <c r="ACJ214" s="128"/>
      <c r="ACK214" s="128"/>
      <c r="ACL214" s="128"/>
      <c r="ACM214" s="128"/>
      <c r="ACN214" s="128"/>
      <c r="ACO214" s="128"/>
      <c r="ACP214" s="128"/>
      <c r="ACQ214" s="128"/>
      <c r="ACR214" s="128"/>
      <c r="ACS214" s="128"/>
      <c r="ACT214" s="128"/>
      <c r="ACU214" s="128"/>
      <c r="ACV214" s="128"/>
      <c r="ACW214" s="128"/>
      <c r="ACX214" s="128"/>
      <c r="ACY214" s="128"/>
      <c r="ACZ214" s="128"/>
      <c r="ADA214" s="128"/>
      <c r="ADB214" s="128"/>
      <c r="ADC214" s="128"/>
      <c r="ADD214" s="128"/>
      <c r="ADE214" s="128"/>
      <c r="ADF214" s="128"/>
      <c r="ADG214" s="128"/>
      <c r="ADH214" s="128"/>
      <c r="ADI214" s="128"/>
      <c r="ADJ214" s="128"/>
      <c r="ADK214" s="128"/>
      <c r="ADL214" s="128"/>
      <c r="ADM214" s="128"/>
      <c r="ADN214" s="128"/>
      <c r="ADO214" s="128"/>
      <c r="ADP214" s="128"/>
      <c r="ADQ214" s="128"/>
      <c r="ADR214" s="128"/>
      <c r="ADS214" s="128"/>
      <c r="ADT214" s="128"/>
      <c r="ADU214" s="128"/>
      <c r="ADV214" s="128"/>
      <c r="ADW214" s="128"/>
      <c r="ADX214" s="128"/>
      <c r="ADY214" s="128"/>
      <c r="ADZ214" s="128"/>
      <c r="AEA214" s="128"/>
      <c r="AEB214" s="128"/>
      <c r="AEC214" s="128"/>
      <c r="AED214" s="128"/>
      <c r="AEE214" s="128"/>
      <c r="AEF214" s="128"/>
      <c r="AEG214" s="128"/>
      <c r="AEH214" s="128"/>
      <c r="AEI214" s="128"/>
      <c r="AEJ214" s="128"/>
      <c r="AEK214" s="128"/>
      <c r="AEL214" s="128"/>
      <c r="AEM214" s="128"/>
      <c r="AEN214" s="128"/>
      <c r="AEO214" s="128"/>
      <c r="AEP214" s="128"/>
      <c r="AEQ214" s="128"/>
      <c r="AER214" s="128"/>
      <c r="AES214" s="128"/>
      <c r="AET214" s="128"/>
      <c r="AEU214" s="128"/>
      <c r="AEV214" s="128"/>
      <c r="AEW214" s="128"/>
      <c r="AEX214" s="128"/>
      <c r="AEY214" s="128"/>
      <c r="AEZ214" s="128"/>
      <c r="AFA214" s="128"/>
      <c r="AFB214" s="128"/>
      <c r="AFC214" s="128"/>
      <c r="AFD214" s="128"/>
      <c r="AFE214" s="128"/>
      <c r="AFF214" s="128"/>
      <c r="AFG214" s="128"/>
      <c r="AFH214" s="128"/>
      <c r="AFI214" s="128"/>
      <c r="AFJ214" s="128"/>
      <c r="AFK214" s="128"/>
      <c r="AFL214" s="128"/>
      <c r="AFM214" s="128"/>
      <c r="AFN214" s="128"/>
      <c r="AFO214" s="128"/>
      <c r="AFP214" s="128"/>
      <c r="AFQ214" s="128"/>
      <c r="AFR214" s="128"/>
      <c r="AFS214" s="128"/>
      <c r="AFT214" s="128"/>
      <c r="AFU214" s="128"/>
      <c r="AFV214" s="128"/>
      <c r="AFW214" s="128"/>
      <c r="AFX214" s="128"/>
      <c r="AFY214" s="128"/>
      <c r="AFZ214" s="128"/>
      <c r="AGA214" s="128"/>
      <c r="AGB214" s="128"/>
      <c r="AGC214" s="128"/>
      <c r="AGD214" s="128"/>
      <c r="AGE214" s="128"/>
      <c r="AGF214" s="128"/>
      <c r="AGG214" s="128"/>
      <c r="AGH214" s="128"/>
      <c r="AGI214" s="128"/>
      <c r="AGJ214" s="128"/>
      <c r="AGK214" s="128"/>
      <c r="AGL214" s="128"/>
      <c r="AGM214" s="128"/>
      <c r="AGN214" s="128"/>
      <c r="AGO214" s="128"/>
      <c r="AGP214" s="128"/>
      <c r="AGQ214" s="128"/>
      <c r="AGR214" s="128"/>
      <c r="AGS214" s="128"/>
      <c r="AGT214" s="128"/>
      <c r="AGU214" s="128"/>
      <c r="AGV214" s="128"/>
      <c r="AGW214" s="128"/>
      <c r="AGX214" s="128"/>
      <c r="AGY214" s="128"/>
      <c r="AGZ214" s="128"/>
      <c r="AHA214" s="128"/>
      <c r="AHB214" s="128"/>
      <c r="AHC214" s="128"/>
      <c r="AHD214" s="128"/>
      <c r="AHE214" s="128"/>
      <c r="AHF214" s="128"/>
      <c r="AHG214" s="128"/>
      <c r="AHH214" s="128"/>
      <c r="AHI214" s="128"/>
      <c r="AHJ214" s="128"/>
      <c r="AHK214" s="128"/>
      <c r="AHL214" s="128"/>
      <c r="AHM214" s="128"/>
      <c r="AHN214" s="128"/>
      <c r="AHO214" s="128"/>
      <c r="AHP214" s="128"/>
      <c r="AHQ214" s="128"/>
      <c r="AHR214" s="128"/>
      <c r="AHS214" s="128"/>
      <c r="AHT214" s="128"/>
      <c r="AHU214" s="128"/>
      <c r="AHV214" s="128"/>
      <c r="AHW214" s="128"/>
      <c r="AHX214" s="128"/>
      <c r="AHY214" s="128"/>
      <c r="AHZ214" s="128"/>
      <c r="AIA214" s="128"/>
      <c r="AIB214" s="128"/>
      <c r="AIC214" s="128"/>
      <c r="AID214" s="128"/>
      <c r="AIE214" s="128"/>
      <c r="AIF214" s="128"/>
      <c r="AIG214" s="128"/>
      <c r="AIH214" s="128"/>
      <c r="AII214" s="128"/>
      <c r="AIJ214" s="128"/>
      <c r="AIK214" s="128"/>
      <c r="AIL214" s="128"/>
      <c r="AIM214" s="128"/>
      <c r="AIN214" s="128"/>
      <c r="AIO214" s="128"/>
      <c r="AIP214" s="128"/>
      <c r="AIQ214" s="128"/>
      <c r="AIR214" s="128"/>
      <c r="AIS214" s="128"/>
      <c r="AIT214" s="128"/>
      <c r="AIU214" s="128"/>
      <c r="AIV214" s="128"/>
      <c r="AIW214" s="128"/>
      <c r="AIX214" s="128"/>
      <c r="AIY214" s="128"/>
      <c r="AIZ214" s="128"/>
      <c r="AJA214" s="128"/>
      <c r="AJB214" s="128"/>
      <c r="AJC214" s="128"/>
      <c r="AJD214" s="128"/>
      <c r="AJE214" s="128"/>
      <c r="AJF214" s="128"/>
      <c r="AJG214" s="128"/>
      <c r="AJH214" s="128"/>
      <c r="AJI214" s="128"/>
      <c r="AJJ214" s="128"/>
      <c r="AJK214" s="128"/>
      <c r="AJL214" s="128"/>
      <c r="AJM214" s="128"/>
      <c r="AJN214" s="128"/>
      <c r="AJO214" s="128"/>
      <c r="AJP214" s="128"/>
      <c r="AJQ214" s="128"/>
      <c r="AJR214" s="128"/>
      <c r="AJS214" s="128"/>
      <c r="AJT214" s="128"/>
      <c r="AJU214" s="128"/>
      <c r="AJV214" s="128"/>
      <c r="AJW214" s="128"/>
      <c r="AJX214" s="128"/>
      <c r="AJY214" s="128"/>
      <c r="AJZ214" s="128"/>
      <c r="AKA214" s="128"/>
      <c r="AKB214" s="128"/>
      <c r="AKC214" s="128"/>
      <c r="AKD214" s="128"/>
      <c r="AKE214" s="128"/>
      <c r="AKF214" s="128"/>
      <c r="AKG214" s="128"/>
      <c r="AKH214" s="128"/>
      <c r="AKI214" s="128"/>
      <c r="AKJ214" s="128"/>
      <c r="AKK214" s="128"/>
      <c r="AKL214" s="128"/>
      <c r="AKM214" s="128"/>
      <c r="AKN214" s="128"/>
      <c r="AKO214" s="128"/>
      <c r="AKP214" s="128"/>
      <c r="AKQ214" s="128"/>
      <c r="AKR214" s="128"/>
      <c r="AKS214" s="128"/>
      <c r="AKT214" s="128"/>
      <c r="AKU214" s="128"/>
      <c r="AKV214" s="128"/>
      <c r="AKW214" s="128"/>
      <c r="AKX214" s="128"/>
      <c r="AKY214" s="128"/>
      <c r="AKZ214" s="128"/>
      <c r="ALA214" s="128"/>
      <c r="ALB214" s="128"/>
      <c r="ALC214" s="128"/>
      <c r="ALD214" s="128"/>
      <c r="ALE214" s="128"/>
      <c r="ALF214" s="128"/>
      <c r="ALG214" s="128"/>
      <c r="ALH214" s="128"/>
      <c r="ALI214" s="128"/>
      <c r="ALJ214" s="128"/>
      <c r="ALK214" s="128"/>
      <c r="ALL214" s="128"/>
      <c r="ALM214" s="128"/>
      <c r="ALN214" s="128"/>
      <c r="ALO214" s="128"/>
      <c r="ALP214" s="128"/>
      <c r="ALQ214" s="128"/>
      <c r="ALR214" s="128"/>
      <c r="ALS214" s="128"/>
      <c r="ALT214" s="128"/>
      <c r="ALU214" s="128"/>
      <c r="ALV214" s="128"/>
      <c r="ALW214" s="128"/>
      <c r="ALX214" s="128"/>
      <c r="ALY214" s="128"/>
      <c r="ALZ214" s="128"/>
      <c r="AMA214"/>
      <c r="AMB214"/>
      <c r="AMC214"/>
      <c r="AMD214"/>
    </row>
    <row r="215" spans="1:1018" s="96" customFormat="1" ht="12" customHeight="1">
      <c r="A215" s="130"/>
      <c r="B215" s="130"/>
      <c r="C215" s="130"/>
      <c r="D215" s="130"/>
      <c r="E215" s="130"/>
      <c r="F215" s="130"/>
      <c r="I215" s="225"/>
      <c r="K215" s="159"/>
      <c r="P215" s="173"/>
      <c r="T215" s="277"/>
      <c r="X215"/>
      <c r="Y215" s="179"/>
      <c r="AA215" s="159"/>
      <c r="AC215"/>
      <c r="AE215" s="128"/>
      <c r="AF215"/>
      <c r="AG215" s="128"/>
      <c r="AH215" s="128"/>
      <c r="AI215" s="128"/>
      <c r="AJ215" s="128"/>
      <c r="AK215" s="128"/>
      <c r="AL215" s="128"/>
      <c r="AM215" s="128"/>
      <c r="AN215" s="128"/>
      <c r="AO215" s="128"/>
      <c r="AP215" s="128"/>
      <c r="AQ215" s="128"/>
      <c r="AR215" s="128"/>
      <c r="AS215" s="128"/>
      <c r="AT215" s="128"/>
      <c r="AU215" s="128"/>
      <c r="AV215" s="128"/>
      <c r="AW215" s="128"/>
      <c r="AX215" s="128"/>
      <c r="AY215" s="128"/>
      <c r="AZ215" s="128"/>
      <c r="BA215" s="128"/>
      <c r="BB215" s="128"/>
      <c r="BC215" s="128"/>
      <c r="BD215" s="128"/>
      <c r="BE215" s="128"/>
      <c r="BF215" s="128"/>
      <c r="BG215" s="128"/>
      <c r="BH215" s="128"/>
      <c r="BI215" s="128"/>
      <c r="BJ215" s="128"/>
      <c r="BK215" s="128"/>
      <c r="BL215" s="128"/>
      <c r="BM215" s="128"/>
      <c r="BN215" s="128"/>
      <c r="BO215" s="128"/>
      <c r="BP215" s="128"/>
      <c r="BQ215" s="128"/>
      <c r="BR215" s="128"/>
      <c r="BS215" s="128"/>
      <c r="BT215" s="128"/>
      <c r="BU215" s="128"/>
      <c r="BV215" s="128"/>
      <c r="BW215" s="128"/>
      <c r="BX215" s="128"/>
      <c r="BY215" s="128"/>
      <c r="BZ215" s="128"/>
      <c r="CA215" s="128"/>
      <c r="CB215" s="128"/>
      <c r="CC215" s="128"/>
      <c r="CD215" s="128"/>
      <c r="CE215" s="128"/>
      <c r="CF215" s="128"/>
      <c r="CG215" s="128"/>
      <c r="CH215" s="128"/>
      <c r="CI215" s="128"/>
      <c r="CJ215" s="128"/>
      <c r="CK215" s="128"/>
      <c r="CL215" s="128"/>
      <c r="CM215" s="128"/>
      <c r="CN215" s="128"/>
      <c r="CO215" s="128"/>
      <c r="CP215" s="128"/>
      <c r="CQ215" s="128"/>
      <c r="CR215" s="128"/>
      <c r="CS215" s="128"/>
      <c r="CT215" s="128"/>
      <c r="CU215" s="128"/>
      <c r="CV215" s="128"/>
      <c r="CW215" s="128"/>
      <c r="CX215" s="128"/>
      <c r="CY215" s="128"/>
      <c r="CZ215" s="128"/>
      <c r="DA215" s="128"/>
      <c r="DB215" s="128"/>
      <c r="DC215" s="128"/>
      <c r="DD215" s="128"/>
      <c r="DE215" s="128"/>
      <c r="DF215" s="128"/>
      <c r="DG215" s="128"/>
      <c r="DH215" s="128"/>
      <c r="DI215" s="128"/>
      <c r="DJ215" s="128"/>
      <c r="DK215" s="128"/>
      <c r="DL215" s="128"/>
      <c r="DM215" s="128"/>
      <c r="DN215" s="128"/>
      <c r="DO215" s="128"/>
      <c r="DP215" s="128"/>
      <c r="DQ215" s="128"/>
      <c r="DR215" s="128"/>
      <c r="DS215" s="128"/>
      <c r="DT215" s="128"/>
      <c r="DU215" s="128"/>
      <c r="DV215" s="128"/>
      <c r="DW215" s="128"/>
      <c r="DX215" s="128"/>
      <c r="DY215" s="128"/>
      <c r="DZ215" s="128"/>
      <c r="EA215" s="128"/>
      <c r="EB215" s="128"/>
      <c r="EC215" s="128"/>
      <c r="ED215" s="128"/>
      <c r="EE215" s="128"/>
      <c r="EF215" s="128"/>
      <c r="EG215" s="128"/>
      <c r="EH215" s="128"/>
      <c r="EI215" s="128"/>
      <c r="EJ215" s="128"/>
      <c r="EK215" s="128"/>
      <c r="EL215" s="128"/>
      <c r="EM215" s="128"/>
      <c r="EN215" s="128"/>
      <c r="EO215" s="128"/>
      <c r="EP215" s="128"/>
      <c r="EQ215" s="128"/>
      <c r="ER215" s="128"/>
      <c r="ES215" s="128"/>
      <c r="ET215" s="128"/>
      <c r="EU215" s="128"/>
      <c r="EV215" s="128"/>
      <c r="EW215" s="128"/>
      <c r="EX215" s="128"/>
      <c r="EY215" s="128"/>
      <c r="EZ215" s="128"/>
      <c r="FA215" s="128"/>
      <c r="FB215" s="128"/>
      <c r="FC215" s="128"/>
      <c r="FD215" s="128"/>
      <c r="FE215" s="128"/>
      <c r="FF215" s="128"/>
      <c r="FG215" s="128"/>
      <c r="FH215" s="128"/>
      <c r="FI215" s="128"/>
      <c r="FJ215" s="128"/>
      <c r="FK215" s="128"/>
      <c r="FL215" s="128"/>
      <c r="FM215" s="128"/>
      <c r="FN215" s="128"/>
      <c r="FO215" s="128"/>
      <c r="FP215" s="128"/>
      <c r="FQ215" s="128"/>
      <c r="FR215" s="128"/>
      <c r="FS215" s="128"/>
      <c r="FT215" s="128"/>
      <c r="FU215" s="128"/>
      <c r="FV215" s="128"/>
      <c r="FW215" s="128"/>
      <c r="FX215" s="128"/>
      <c r="FY215" s="128"/>
      <c r="FZ215" s="128"/>
      <c r="GA215" s="128"/>
      <c r="GB215" s="128"/>
      <c r="GC215" s="128"/>
      <c r="GD215" s="128"/>
      <c r="GE215" s="128"/>
      <c r="GF215" s="128"/>
      <c r="GG215" s="128"/>
      <c r="GH215" s="128"/>
      <c r="GI215" s="128"/>
      <c r="GJ215" s="128"/>
      <c r="GK215" s="128"/>
      <c r="GL215" s="128"/>
      <c r="GM215" s="128"/>
      <c r="GN215" s="128"/>
      <c r="GO215" s="128"/>
      <c r="GP215" s="128"/>
      <c r="GQ215" s="128"/>
      <c r="GR215" s="128"/>
      <c r="GS215" s="128"/>
      <c r="GT215" s="128"/>
      <c r="GU215" s="128"/>
      <c r="GV215" s="128"/>
      <c r="GW215" s="128"/>
      <c r="GX215" s="128"/>
      <c r="GY215" s="128"/>
      <c r="GZ215" s="128"/>
      <c r="HA215" s="128"/>
      <c r="HB215" s="128"/>
      <c r="HC215" s="128"/>
      <c r="HD215" s="128"/>
      <c r="HE215" s="128"/>
      <c r="HF215" s="128"/>
      <c r="HG215" s="128"/>
      <c r="HH215" s="128"/>
      <c r="HI215" s="128"/>
      <c r="HJ215" s="128"/>
      <c r="HK215" s="128"/>
      <c r="HL215" s="128"/>
      <c r="HM215" s="128"/>
      <c r="HN215" s="128"/>
      <c r="HO215" s="128"/>
      <c r="HP215" s="128"/>
      <c r="HQ215" s="128"/>
      <c r="HR215" s="128"/>
      <c r="HS215" s="128"/>
      <c r="HT215" s="128"/>
      <c r="HU215" s="128"/>
      <c r="HV215" s="128"/>
      <c r="HW215" s="128"/>
      <c r="HX215" s="128"/>
      <c r="HY215" s="128"/>
      <c r="HZ215" s="128"/>
      <c r="IA215" s="128"/>
      <c r="IB215" s="128"/>
      <c r="IC215" s="128"/>
      <c r="ID215" s="128"/>
      <c r="IE215" s="128"/>
      <c r="IF215" s="128"/>
      <c r="IG215" s="128"/>
      <c r="IH215" s="128"/>
      <c r="II215" s="128"/>
      <c r="IJ215" s="128"/>
      <c r="IK215" s="128"/>
      <c r="IL215" s="128"/>
      <c r="IM215" s="128"/>
      <c r="IN215" s="128"/>
      <c r="IO215" s="128"/>
      <c r="IP215" s="128"/>
      <c r="IQ215" s="128"/>
      <c r="IR215" s="128"/>
      <c r="IS215" s="128"/>
      <c r="IT215" s="128"/>
      <c r="IU215" s="128"/>
      <c r="IV215" s="128"/>
      <c r="IW215" s="128"/>
      <c r="IX215" s="128"/>
      <c r="IY215" s="128"/>
      <c r="IZ215" s="128"/>
      <c r="JA215" s="128"/>
      <c r="JB215" s="128"/>
      <c r="JC215" s="128"/>
      <c r="JD215" s="128"/>
      <c r="JE215" s="128"/>
      <c r="JF215" s="128"/>
      <c r="JG215" s="128"/>
      <c r="JH215" s="128"/>
      <c r="JI215" s="128"/>
      <c r="JJ215" s="128"/>
      <c r="JK215" s="128"/>
      <c r="JL215" s="128"/>
      <c r="JM215" s="128"/>
      <c r="JN215" s="128"/>
      <c r="JO215" s="128"/>
      <c r="JP215" s="128"/>
      <c r="JQ215" s="128"/>
      <c r="JR215" s="128"/>
      <c r="JS215" s="128"/>
      <c r="JT215" s="128"/>
      <c r="JU215" s="128"/>
      <c r="JV215" s="128"/>
      <c r="JW215" s="128"/>
      <c r="JX215" s="128"/>
      <c r="JY215" s="128"/>
      <c r="JZ215" s="128"/>
      <c r="KA215" s="128"/>
      <c r="KB215" s="128"/>
      <c r="KC215" s="128"/>
      <c r="KD215" s="128"/>
      <c r="KE215" s="128"/>
      <c r="KF215" s="128"/>
      <c r="KG215" s="128"/>
      <c r="KH215" s="128"/>
      <c r="KI215" s="128"/>
      <c r="KJ215" s="128"/>
      <c r="KK215" s="128"/>
      <c r="KL215" s="128"/>
      <c r="KM215" s="128"/>
      <c r="KN215" s="128"/>
      <c r="KO215" s="128"/>
      <c r="KP215" s="128"/>
      <c r="KQ215" s="128"/>
      <c r="KR215" s="128"/>
      <c r="KS215" s="128"/>
      <c r="KT215" s="128"/>
      <c r="KU215" s="128"/>
      <c r="KV215" s="128"/>
      <c r="KW215" s="128"/>
      <c r="KX215" s="128"/>
      <c r="KY215" s="128"/>
      <c r="KZ215" s="128"/>
      <c r="LA215" s="128"/>
      <c r="LB215" s="128"/>
      <c r="LC215" s="128"/>
      <c r="LD215" s="128"/>
      <c r="LE215" s="128"/>
      <c r="LF215" s="128"/>
      <c r="LG215" s="128"/>
      <c r="LH215" s="128"/>
      <c r="LI215" s="128"/>
      <c r="LJ215" s="128"/>
      <c r="LK215" s="128"/>
      <c r="LL215" s="128"/>
      <c r="LM215" s="128"/>
      <c r="LN215" s="128"/>
      <c r="LO215" s="128"/>
      <c r="LP215" s="128"/>
      <c r="LQ215" s="128"/>
      <c r="LR215" s="128"/>
      <c r="LS215" s="128"/>
      <c r="LT215" s="128"/>
      <c r="LU215" s="128"/>
      <c r="LV215" s="128"/>
      <c r="LW215" s="128"/>
      <c r="LX215" s="128"/>
      <c r="LY215" s="128"/>
      <c r="LZ215" s="128"/>
      <c r="MA215" s="128"/>
      <c r="MB215" s="128"/>
      <c r="MC215" s="128"/>
      <c r="MD215" s="128"/>
      <c r="ME215" s="128"/>
      <c r="MF215" s="128"/>
      <c r="MG215" s="128"/>
      <c r="MH215" s="128"/>
      <c r="MI215" s="128"/>
      <c r="MJ215" s="128"/>
      <c r="MK215" s="128"/>
      <c r="ML215" s="128"/>
      <c r="MM215" s="128"/>
      <c r="MN215" s="128"/>
      <c r="MO215" s="128"/>
      <c r="MP215" s="128"/>
      <c r="MQ215" s="128"/>
      <c r="MR215" s="128"/>
      <c r="MS215" s="128"/>
      <c r="MT215" s="128"/>
      <c r="MU215" s="128"/>
      <c r="MV215" s="128"/>
      <c r="MW215" s="128"/>
      <c r="MX215" s="128"/>
      <c r="MY215" s="128"/>
      <c r="MZ215" s="128"/>
      <c r="NA215" s="128"/>
      <c r="NB215" s="128"/>
      <c r="NC215" s="128"/>
      <c r="ND215" s="128"/>
      <c r="NE215" s="128"/>
      <c r="NF215" s="128"/>
      <c r="NG215" s="128"/>
      <c r="NH215" s="128"/>
      <c r="NI215" s="128"/>
      <c r="NJ215" s="128"/>
      <c r="NK215" s="128"/>
      <c r="NL215" s="128"/>
      <c r="NM215" s="128"/>
      <c r="NN215" s="128"/>
      <c r="NO215" s="128"/>
      <c r="NP215" s="128"/>
      <c r="NQ215" s="128"/>
      <c r="NR215" s="128"/>
      <c r="NS215" s="128"/>
      <c r="NT215" s="128"/>
      <c r="NU215" s="128"/>
      <c r="NV215" s="128"/>
      <c r="NW215" s="128"/>
      <c r="NX215" s="128"/>
      <c r="NY215" s="128"/>
      <c r="NZ215" s="128"/>
      <c r="OA215" s="128"/>
      <c r="OB215" s="128"/>
      <c r="OC215" s="128"/>
      <c r="OD215" s="128"/>
      <c r="OE215" s="128"/>
      <c r="OF215" s="128"/>
      <c r="OG215" s="128"/>
      <c r="OH215" s="128"/>
      <c r="OI215" s="128"/>
      <c r="OJ215" s="128"/>
      <c r="OK215" s="128"/>
      <c r="OL215" s="128"/>
      <c r="OM215" s="128"/>
      <c r="ON215" s="128"/>
      <c r="OO215" s="128"/>
      <c r="OP215" s="128"/>
      <c r="OQ215" s="128"/>
      <c r="OR215" s="128"/>
      <c r="OS215" s="128"/>
      <c r="OT215" s="128"/>
      <c r="OU215" s="128"/>
      <c r="OV215" s="128"/>
      <c r="OW215" s="128"/>
      <c r="OX215" s="128"/>
      <c r="OY215" s="128"/>
      <c r="OZ215" s="128"/>
      <c r="PA215" s="128"/>
      <c r="PB215" s="128"/>
      <c r="PC215" s="128"/>
      <c r="PD215" s="128"/>
      <c r="PE215" s="128"/>
      <c r="PF215" s="128"/>
      <c r="PG215" s="128"/>
      <c r="PH215" s="128"/>
      <c r="PI215" s="128"/>
      <c r="PJ215" s="128"/>
      <c r="PK215" s="128"/>
      <c r="PL215" s="128"/>
      <c r="PM215" s="128"/>
      <c r="PN215" s="128"/>
      <c r="PO215" s="128"/>
      <c r="PP215" s="128"/>
      <c r="PQ215" s="128"/>
      <c r="PR215" s="128"/>
      <c r="PS215" s="128"/>
      <c r="PT215" s="128"/>
      <c r="PU215" s="128"/>
      <c r="PV215" s="128"/>
      <c r="PW215" s="128"/>
      <c r="PX215" s="128"/>
      <c r="PY215" s="128"/>
      <c r="PZ215" s="128"/>
      <c r="QA215" s="128"/>
      <c r="QB215" s="128"/>
      <c r="QC215" s="128"/>
      <c r="QD215" s="128"/>
      <c r="QE215" s="128"/>
      <c r="QF215" s="128"/>
      <c r="QG215" s="128"/>
      <c r="QH215" s="128"/>
      <c r="QI215" s="128"/>
      <c r="QJ215" s="128"/>
      <c r="QK215" s="128"/>
      <c r="QL215" s="128"/>
      <c r="QM215" s="128"/>
      <c r="QN215" s="128"/>
      <c r="QO215" s="128"/>
      <c r="QP215" s="128"/>
      <c r="QQ215" s="128"/>
      <c r="QR215" s="128"/>
      <c r="QS215" s="128"/>
      <c r="QT215" s="128"/>
      <c r="QU215" s="128"/>
      <c r="QV215" s="128"/>
      <c r="QW215" s="128"/>
      <c r="QX215" s="128"/>
      <c r="QY215" s="128"/>
      <c r="QZ215" s="128"/>
      <c r="RA215" s="128"/>
      <c r="RB215" s="128"/>
      <c r="RC215" s="128"/>
      <c r="RD215" s="128"/>
      <c r="RE215" s="128"/>
      <c r="RF215" s="128"/>
      <c r="RG215" s="128"/>
      <c r="RH215" s="128"/>
      <c r="RI215" s="128"/>
      <c r="RJ215" s="128"/>
      <c r="RK215" s="128"/>
      <c r="RL215" s="128"/>
      <c r="RM215" s="128"/>
      <c r="RN215" s="128"/>
      <c r="RO215" s="128"/>
      <c r="RP215" s="128"/>
      <c r="RQ215" s="128"/>
      <c r="RR215" s="128"/>
      <c r="RS215" s="128"/>
      <c r="RT215" s="128"/>
      <c r="RU215" s="128"/>
      <c r="RV215" s="128"/>
      <c r="RW215" s="128"/>
      <c r="RX215" s="128"/>
      <c r="RY215" s="128"/>
      <c r="RZ215" s="128"/>
      <c r="SA215" s="128"/>
      <c r="SB215" s="128"/>
      <c r="SC215" s="128"/>
      <c r="SD215" s="128"/>
      <c r="SE215" s="128"/>
      <c r="SF215" s="128"/>
      <c r="SG215" s="128"/>
      <c r="SH215" s="128"/>
      <c r="SI215" s="128"/>
      <c r="SJ215" s="128"/>
      <c r="SK215" s="128"/>
      <c r="SL215" s="128"/>
      <c r="SM215" s="128"/>
      <c r="SN215" s="128"/>
      <c r="SO215" s="128"/>
      <c r="SP215" s="128"/>
      <c r="SQ215" s="128"/>
      <c r="SR215" s="128"/>
      <c r="SS215" s="128"/>
      <c r="ST215" s="128"/>
      <c r="SU215" s="128"/>
      <c r="SV215" s="128"/>
      <c r="SW215" s="128"/>
      <c r="SX215" s="128"/>
      <c r="SY215" s="128"/>
      <c r="SZ215" s="128"/>
      <c r="TA215" s="128"/>
      <c r="TB215" s="128"/>
      <c r="TC215" s="128"/>
      <c r="TD215" s="128"/>
      <c r="TE215" s="128"/>
      <c r="TF215" s="128"/>
      <c r="TG215" s="128"/>
      <c r="TH215" s="128"/>
      <c r="TI215" s="128"/>
      <c r="TJ215" s="128"/>
      <c r="TK215" s="128"/>
      <c r="TL215" s="128"/>
      <c r="TM215" s="128"/>
      <c r="TN215" s="128"/>
      <c r="TO215" s="128"/>
      <c r="TP215" s="128"/>
      <c r="TQ215" s="128"/>
      <c r="TR215" s="128"/>
      <c r="TS215" s="128"/>
      <c r="TT215" s="128"/>
      <c r="TU215" s="128"/>
      <c r="TV215" s="128"/>
      <c r="TW215" s="128"/>
      <c r="TX215" s="128"/>
      <c r="TY215" s="128"/>
      <c r="TZ215" s="128"/>
      <c r="UA215" s="128"/>
      <c r="UB215" s="128"/>
      <c r="UC215" s="128"/>
      <c r="UD215" s="128"/>
      <c r="UE215" s="128"/>
      <c r="UF215" s="128"/>
      <c r="UG215" s="128"/>
      <c r="UH215" s="128"/>
      <c r="UI215" s="128"/>
      <c r="UJ215" s="128"/>
      <c r="UK215" s="128"/>
      <c r="UL215" s="128"/>
      <c r="UM215" s="128"/>
      <c r="UN215" s="128"/>
      <c r="UO215" s="128"/>
      <c r="UP215" s="128"/>
      <c r="UQ215" s="128"/>
      <c r="UR215" s="128"/>
      <c r="US215" s="128"/>
      <c r="UT215" s="128"/>
      <c r="UU215" s="128"/>
      <c r="UV215" s="128"/>
      <c r="UW215" s="128"/>
      <c r="UX215" s="128"/>
      <c r="UY215" s="128"/>
      <c r="UZ215" s="128"/>
      <c r="VA215" s="128"/>
      <c r="VB215" s="128"/>
      <c r="VC215" s="128"/>
      <c r="VD215" s="128"/>
      <c r="VE215" s="128"/>
      <c r="VF215" s="128"/>
      <c r="VG215" s="128"/>
      <c r="VH215" s="128"/>
      <c r="VI215" s="128"/>
      <c r="VJ215" s="128"/>
      <c r="VK215" s="128"/>
      <c r="VL215" s="128"/>
      <c r="VM215" s="128"/>
      <c r="VN215" s="128"/>
      <c r="VO215" s="128"/>
      <c r="VP215" s="128"/>
      <c r="VQ215" s="128"/>
      <c r="VR215" s="128"/>
      <c r="VS215" s="128"/>
      <c r="VT215" s="128"/>
      <c r="VU215" s="128"/>
      <c r="VV215" s="128"/>
      <c r="VW215" s="128"/>
      <c r="VX215" s="128"/>
      <c r="VY215" s="128"/>
      <c r="VZ215" s="128"/>
      <c r="WA215" s="128"/>
      <c r="WB215" s="128"/>
      <c r="WC215" s="128"/>
      <c r="WD215" s="128"/>
      <c r="WE215" s="128"/>
      <c r="WF215" s="128"/>
      <c r="WG215" s="128"/>
      <c r="WH215" s="128"/>
      <c r="WI215" s="128"/>
      <c r="WJ215" s="128"/>
      <c r="WK215" s="128"/>
      <c r="WL215" s="128"/>
      <c r="WM215" s="128"/>
      <c r="WN215" s="128"/>
      <c r="WO215" s="128"/>
      <c r="WP215" s="128"/>
      <c r="WQ215" s="128"/>
      <c r="WR215" s="128"/>
      <c r="WS215" s="128"/>
      <c r="WT215" s="128"/>
      <c r="WU215" s="128"/>
      <c r="WV215" s="128"/>
      <c r="WW215" s="128"/>
      <c r="WX215" s="128"/>
      <c r="WY215" s="128"/>
      <c r="WZ215" s="128"/>
      <c r="XA215" s="128"/>
      <c r="XB215" s="128"/>
      <c r="XC215" s="128"/>
      <c r="XD215" s="128"/>
      <c r="XE215" s="128"/>
      <c r="XF215" s="128"/>
      <c r="XG215" s="128"/>
      <c r="XH215" s="128"/>
      <c r="XI215" s="128"/>
      <c r="XJ215" s="128"/>
      <c r="XK215" s="128"/>
      <c r="XL215" s="128"/>
      <c r="XM215" s="128"/>
      <c r="XN215" s="128"/>
      <c r="XO215" s="128"/>
      <c r="XP215" s="128"/>
      <c r="XQ215" s="128"/>
      <c r="XR215" s="128"/>
      <c r="XS215" s="128"/>
      <c r="XT215" s="128"/>
      <c r="XU215" s="128"/>
      <c r="XV215" s="128"/>
      <c r="XW215" s="128"/>
      <c r="XX215" s="128"/>
      <c r="XY215" s="128"/>
      <c r="XZ215" s="128"/>
      <c r="YA215" s="128"/>
      <c r="YB215" s="128"/>
      <c r="YC215" s="128"/>
      <c r="YD215" s="128"/>
      <c r="YE215" s="128"/>
      <c r="YF215" s="128"/>
      <c r="YG215" s="128"/>
      <c r="YH215" s="128"/>
      <c r="YI215" s="128"/>
      <c r="YJ215" s="128"/>
      <c r="YK215" s="128"/>
      <c r="YL215" s="128"/>
      <c r="YM215" s="128"/>
      <c r="YN215" s="128"/>
      <c r="YO215" s="128"/>
      <c r="YP215" s="128"/>
      <c r="YQ215" s="128"/>
      <c r="YR215" s="128"/>
      <c r="YS215" s="128"/>
      <c r="YT215" s="128"/>
      <c r="YU215" s="128"/>
      <c r="YV215" s="128"/>
      <c r="YW215" s="128"/>
      <c r="YX215" s="128"/>
      <c r="YY215" s="128"/>
      <c r="YZ215" s="128"/>
      <c r="ZA215" s="128"/>
      <c r="ZB215" s="128"/>
      <c r="ZC215" s="128"/>
      <c r="ZD215" s="128"/>
      <c r="ZE215" s="128"/>
      <c r="ZF215" s="128"/>
      <c r="ZG215" s="128"/>
      <c r="ZH215" s="128"/>
      <c r="ZI215" s="128"/>
      <c r="ZJ215" s="128"/>
      <c r="ZK215" s="128"/>
      <c r="ZL215" s="128"/>
      <c r="ZM215" s="128"/>
      <c r="ZN215" s="128"/>
      <c r="ZO215" s="128"/>
      <c r="ZP215" s="128"/>
      <c r="ZQ215" s="128"/>
      <c r="ZR215" s="128"/>
      <c r="ZS215" s="128"/>
      <c r="ZT215" s="128"/>
      <c r="ZU215" s="128"/>
      <c r="ZV215" s="128"/>
      <c r="ZW215" s="128"/>
      <c r="ZX215" s="128"/>
      <c r="ZY215" s="128"/>
      <c r="ZZ215" s="128"/>
      <c r="AAA215" s="128"/>
      <c r="AAB215" s="128"/>
      <c r="AAC215" s="128"/>
      <c r="AAD215" s="128"/>
      <c r="AAE215" s="128"/>
      <c r="AAF215" s="128"/>
      <c r="AAG215" s="128"/>
      <c r="AAH215" s="128"/>
      <c r="AAI215" s="128"/>
      <c r="AAJ215" s="128"/>
      <c r="AAK215" s="128"/>
      <c r="AAL215" s="128"/>
      <c r="AAM215" s="128"/>
      <c r="AAN215" s="128"/>
      <c r="AAO215" s="128"/>
      <c r="AAP215" s="128"/>
      <c r="AAQ215" s="128"/>
      <c r="AAR215" s="128"/>
      <c r="AAS215" s="128"/>
      <c r="AAT215" s="128"/>
      <c r="AAU215" s="128"/>
      <c r="AAV215" s="128"/>
      <c r="AAW215" s="128"/>
      <c r="AAX215" s="128"/>
      <c r="AAY215" s="128"/>
      <c r="AAZ215" s="128"/>
      <c r="ABA215" s="128"/>
      <c r="ABB215" s="128"/>
      <c r="ABC215" s="128"/>
      <c r="ABD215" s="128"/>
      <c r="ABE215" s="128"/>
      <c r="ABF215" s="128"/>
      <c r="ABG215" s="128"/>
      <c r="ABH215" s="128"/>
      <c r="ABI215" s="128"/>
      <c r="ABJ215" s="128"/>
      <c r="ABK215" s="128"/>
      <c r="ABL215" s="128"/>
      <c r="ABM215" s="128"/>
      <c r="ABN215" s="128"/>
      <c r="ABO215" s="128"/>
      <c r="ABP215" s="128"/>
      <c r="ABQ215" s="128"/>
      <c r="ABR215" s="128"/>
      <c r="ABS215" s="128"/>
      <c r="ABT215" s="128"/>
      <c r="ABU215" s="128"/>
      <c r="ABV215" s="128"/>
      <c r="ABW215" s="128"/>
      <c r="ABX215" s="128"/>
      <c r="ABY215" s="128"/>
      <c r="ABZ215" s="128"/>
      <c r="ACA215" s="128"/>
      <c r="ACB215" s="128"/>
      <c r="ACC215" s="128"/>
      <c r="ACD215" s="128"/>
      <c r="ACE215" s="128"/>
      <c r="ACF215" s="128"/>
      <c r="ACG215" s="128"/>
      <c r="ACH215" s="128"/>
      <c r="ACI215" s="128"/>
      <c r="ACJ215" s="128"/>
      <c r="ACK215" s="128"/>
      <c r="ACL215" s="128"/>
      <c r="ACM215" s="128"/>
      <c r="ACN215" s="128"/>
      <c r="ACO215" s="128"/>
      <c r="ACP215" s="128"/>
      <c r="ACQ215" s="128"/>
      <c r="ACR215" s="128"/>
      <c r="ACS215" s="128"/>
      <c r="ACT215" s="128"/>
      <c r="ACU215" s="128"/>
      <c r="ACV215" s="128"/>
      <c r="ACW215" s="128"/>
      <c r="ACX215" s="128"/>
      <c r="ACY215" s="128"/>
      <c r="ACZ215" s="128"/>
      <c r="ADA215" s="128"/>
      <c r="ADB215" s="128"/>
      <c r="ADC215" s="128"/>
      <c r="ADD215" s="128"/>
      <c r="ADE215" s="128"/>
      <c r="ADF215" s="128"/>
      <c r="ADG215" s="128"/>
      <c r="ADH215" s="128"/>
      <c r="ADI215" s="128"/>
      <c r="ADJ215" s="128"/>
      <c r="ADK215" s="128"/>
      <c r="ADL215" s="128"/>
      <c r="ADM215" s="128"/>
      <c r="ADN215" s="128"/>
      <c r="ADO215" s="128"/>
      <c r="ADP215" s="128"/>
      <c r="ADQ215" s="128"/>
      <c r="ADR215" s="128"/>
      <c r="ADS215" s="128"/>
      <c r="ADT215" s="128"/>
      <c r="ADU215" s="128"/>
      <c r="ADV215" s="128"/>
      <c r="ADW215" s="128"/>
      <c r="ADX215" s="128"/>
      <c r="ADY215" s="128"/>
      <c r="ADZ215" s="128"/>
      <c r="AEA215" s="128"/>
      <c r="AEB215" s="128"/>
      <c r="AEC215" s="128"/>
      <c r="AED215" s="128"/>
      <c r="AEE215" s="128"/>
      <c r="AEF215" s="128"/>
      <c r="AEG215" s="128"/>
      <c r="AEH215" s="128"/>
      <c r="AEI215" s="128"/>
      <c r="AEJ215" s="128"/>
      <c r="AEK215" s="128"/>
      <c r="AEL215" s="128"/>
      <c r="AEM215" s="128"/>
      <c r="AEN215" s="128"/>
      <c r="AEO215" s="128"/>
      <c r="AEP215" s="128"/>
      <c r="AEQ215" s="128"/>
      <c r="AER215" s="128"/>
      <c r="AES215" s="128"/>
      <c r="AET215" s="128"/>
      <c r="AEU215" s="128"/>
      <c r="AEV215" s="128"/>
      <c r="AEW215" s="128"/>
      <c r="AEX215" s="128"/>
      <c r="AEY215" s="128"/>
      <c r="AEZ215" s="128"/>
      <c r="AFA215" s="128"/>
      <c r="AFB215" s="128"/>
      <c r="AFC215" s="128"/>
      <c r="AFD215" s="128"/>
      <c r="AFE215" s="128"/>
      <c r="AFF215" s="128"/>
      <c r="AFG215" s="128"/>
      <c r="AFH215" s="128"/>
      <c r="AFI215" s="128"/>
      <c r="AFJ215" s="128"/>
      <c r="AFK215" s="128"/>
      <c r="AFL215" s="128"/>
      <c r="AFM215" s="128"/>
      <c r="AFN215" s="128"/>
      <c r="AFO215" s="128"/>
      <c r="AFP215" s="128"/>
      <c r="AFQ215" s="128"/>
      <c r="AFR215" s="128"/>
      <c r="AFS215" s="128"/>
      <c r="AFT215" s="128"/>
      <c r="AFU215" s="128"/>
      <c r="AFV215" s="128"/>
      <c r="AFW215" s="128"/>
      <c r="AFX215" s="128"/>
      <c r="AFY215" s="128"/>
      <c r="AFZ215" s="128"/>
      <c r="AGA215" s="128"/>
      <c r="AGB215" s="128"/>
      <c r="AGC215" s="128"/>
      <c r="AGD215" s="128"/>
      <c r="AGE215" s="128"/>
      <c r="AGF215" s="128"/>
      <c r="AGG215" s="128"/>
      <c r="AGH215" s="128"/>
      <c r="AGI215" s="128"/>
      <c r="AGJ215" s="128"/>
      <c r="AGK215" s="128"/>
      <c r="AGL215" s="128"/>
      <c r="AGM215" s="128"/>
      <c r="AGN215" s="128"/>
      <c r="AGO215" s="128"/>
      <c r="AGP215" s="128"/>
      <c r="AGQ215" s="128"/>
      <c r="AGR215" s="128"/>
      <c r="AGS215" s="128"/>
      <c r="AGT215" s="128"/>
      <c r="AGU215" s="128"/>
      <c r="AGV215" s="128"/>
      <c r="AGW215" s="128"/>
      <c r="AGX215" s="128"/>
      <c r="AGY215" s="128"/>
      <c r="AGZ215" s="128"/>
      <c r="AHA215" s="128"/>
      <c r="AHB215" s="128"/>
      <c r="AHC215" s="128"/>
      <c r="AHD215" s="128"/>
      <c r="AHE215" s="128"/>
      <c r="AHF215" s="128"/>
      <c r="AHG215" s="128"/>
      <c r="AHH215" s="128"/>
      <c r="AHI215" s="128"/>
      <c r="AHJ215" s="128"/>
      <c r="AHK215" s="128"/>
      <c r="AHL215" s="128"/>
      <c r="AHM215" s="128"/>
      <c r="AHN215" s="128"/>
      <c r="AHO215" s="128"/>
      <c r="AHP215" s="128"/>
      <c r="AHQ215" s="128"/>
      <c r="AHR215" s="128"/>
      <c r="AHS215" s="128"/>
      <c r="AHT215" s="128"/>
      <c r="AHU215" s="128"/>
      <c r="AHV215" s="128"/>
      <c r="AHW215" s="128"/>
      <c r="AHX215" s="128"/>
      <c r="AHY215" s="128"/>
      <c r="AHZ215" s="128"/>
      <c r="AIA215" s="128"/>
      <c r="AIB215" s="128"/>
      <c r="AIC215" s="128"/>
      <c r="AID215" s="128"/>
      <c r="AIE215" s="128"/>
      <c r="AIF215" s="128"/>
      <c r="AIG215" s="128"/>
      <c r="AIH215" s="128"/>
      <c r="AII215" s="128"/>
      <c r="AIJ215" s="128"/>
      <c r="AIK215" s="128"/>
      <c r="AIL215" s="128"/>
      <c r="AIM215" s="128"/>
      <c r="AIN215" s="128"/>
      <c r="AIO215" s="128"/>
      <c r="AIP215" s="128"/>
      <c r="AIQ215" s="128"/>
      <c r="AIR215" s="128"/>
      <c r="AIS215" s="128"/>
      <c r="AIT215" s="128"/>
      <c r="AIU215" s="128"/>
      <c r="AIV215" s="128"/>
      <c r="AIW215" s="128"/>
      <c r="AIX215" s="128"/>
      <c r="AIY215" s="128"/>
      <c r="AIZ215" s="128"/>
      <c r="AJA215" s="128"/>
      <c r="AJB215" s="128"/>
      <c r="AJC215" s="128"/>
      <c r="AJD215" s="128"/>
      <c r="AJE215" s="128"/>
      <c r="AJF215" s="128"/>
      <c r="AJG215" s="128"/>
      <c r="AJH215" s="128"/>
      <c r="AJI215" s="128"/>
      <c r="AJJ215" s="128"/>
      <c r="AJK215" s="128"/>
      <c r="AJL215" s="128"/>
      <c r="AJM215" s="128"/>
      <c r="AJN215" s="128"/>
      <c r="AJO215" s="128"/>
      <c r="AJP215" s="128"/>
      <c r="AJQ215" s="128"/>
      <c r="AJR215" s="128"/>
      <c r="AJS215" s="128"/>
      <c r="AJT215" s="128"/>
      <c r="AJU215" s="128"/>
      <c r="AJV215" s="128"/>
      <c r="AJW215" s="128"/>
      <c r="AJX215" s="128"/>
      <c r="AJY215" s="128"/>
      <c r="AJZ215" s="128"/>
      <c r="AKA215" s="128"/>
      <c r="AKB215" s="128"/>
      <c r="AKC215" s="128"/>
      <c r="AKD215" s="128"/>
      <c r="AKE215" s="128"/>
      <c r="AKF215" s="128"/>
      <c r="AKG215" s="128"/>
      <c r="AKH215" s="128"/>
      <c r="AKI215" s="128"/>
      <c r="AKJ215" s="128"/>
      <c r="AKK215" s="128"/>
      <c r="AKL215" s="128"/>
      <c r="AKM215" s="128"/>
      <c r="AKN215" s="128"/>
      <c r="AKO215" s="128"/>
      <c r="AKP215" s="128"/>
      <c r="AKQ215" s="128"/>
      <c r="AKR215" s="128"/>
      <c r="AKS215" s="128"/>
      <c r="AKT215" s="128"/>
      <c r="AKU215" s="128"/>
      <c r="AKV215" s="128"/>
      <c r="AKW215" s="128"/>
      <c r="AKX215" s="128"/>
      <c r="AKY215" s="128"/>
      <c r="AKZ215" s="128"/>
      <c r="ALA215" s="128"/>
      <c r="ALB215" s="128"/>
      <c r="ALC215" s="128"/>
      <c r="ALD215" s="128"/>
      <c r="ALE215" s="128"/>
      <c r="ALF215" s="128"/>
      <c r="ALG215" s="128"/>
      <c r="ALH215" s="128"/>
      <c r="ALI215" s="128"/>
      <c r="ALJ215" s="128"/>
      <c r="ALK215" s="128"/>
      <c r="ALL215" s="128"/>
      <c r="ALM215" s="128"/>
      <c r="ALN215" s="128"/>
      <c r="ALO215" s="128"/>
      <c r="ALP215" s="128"/>
      <c r="ALQ215" s="128"/>
      <c r="ALR215" s="128"/>
      <c r="ALS215" s="128"/>
      <c r="ALT215" s="128"/>
      <c r="ALU215" s="128"/>
      <c r="ALV215" s="128"/>
      <c r="ALW215" s="128"/>
      <c r="ALX215" s="128"/>
      <c r="ALY215" s="128"/>
      <c r="ALZ215" s="128"/>
      <c r="AMA215"/>
      <c r="AMB215"/>
      <c r="AMC215"/>
      <c r="AMD215"/>
    </row>
    <row r="216" spans="1:1018" s="96" customFormat="1" ht="12" customHeight="1">
      <c r="A216" s="130"/>
      <c r="B216" s="130"/>
      <c r="C216" s="130"/>
      <c r="D216" s="130"/>
      <c r="E216" s="130"/>
      <c r="F216" s="130"/>
      <c r="I216" s="225"/>
      <c r="K216" s="159"/>
      <c r="P216" s="173"/>
      <c r="T216" s="277"/>
      <c r="X216"/>
      <c r="Y216" s="179"/>
      <c r="AA216" s="159"/>
      <c r="AC216"/>
      <c r="AE216" s="128"/>
      <c r="AF216"/>
      <c r="AG216" s="128"/>
      <c r="AH216" s="128"/>
      <c r="AI216" s="128"/>
      <c r="AJ216" s="128"/>
      <c r="AK216" s="128"/>
      <c r="AL216" s="128"/>
      <c r="AM216" s="128"/>
      <c r="AN216" s="128"/>
      <c r="AO216" s="128"/>
      <c r="AP216" s="128"/>
      <c r="AQ216" s="128"/>
      <c r="AR216" s="128"/>
      <c r="AS216" s="128"/>
      <c r="AT216" s="128"/>
      <c r="AU216" s="128"/>
      <c r="AV216" s="128"/>
      <c r="AW216" s="128"/>
      <c r="AX216" s="128"/>
      <c r="AY216" s="128"/>
      <c r="AZ216" s="128"/>
      <c r="BA216" s="128"/>
      <c r="BB216" s="128"/>
      <c r="BC216" s="128"/>
      <c r="BD216" s="128"/>
      <c r="BE216" s="128"/>
      <c r="BF216" s="128"/>
      <c r="BG216" s="128"/>
      <c r="BH216" s="128"/>
      <c r="BI216" s="128"/>
      <c r="BJ216" s="128"/>
      <c r="BK216" s="128"/>
      <c r="BL216" s="128"/>
      <c r="BM216" s="128"/>
      <c r="BN216" s="128"/>
      <c r="BO216" s="128"/>
      <c r="BP216" s="128"/>
      <c r="BQ216" s="128"/>
      <c r="BR216" s="128"/>
      <c r="BS216" s="128"/>
      <c r="BT216" s="128"/>
      <c r="BU216" s="128"/>
      <c r="BV216" s="128"/>
      <c r="BW216" s="128"/>
      <c r="BX216" s="128"/>
      <c r="BY216" s="128"/>
      <c r="BZ216" s="128"/>
      <c r="CA216" s="128"/>
      <c r="CB216" s="128"/>
      <c r="CC216" s="128"/>
      <c r="CD216" s="128"/>
      <c r="CE216" s="128"/>
      <c r="CF216" s="128"/>
      <c r="CG216" s="128"/>
      <c r="CH216" s="128"/>
      <c r="CI216" s="128"/>
      <c r="CJ216" s="128"/>
      <c r="CK216" s="128"/>
      <c r="CL216" s="128"/>
      <c r="CM216" s="128"/>
      <c r="CN216" s="128"/>
      <c r="CO216" s="128"/>
      <c r="CP216" s="128"/>
      <c r="CQ216" s="128"/>
      <c r="CR216" s="128"/>
      <c r="CS216" s="128"/>
      <c r="CT216" s="128"/>
      <c r="CU216" s="128"/>
      <c r="CV216" s="128"/>
      <c r="CW216" s="128"/>
      <c r="CX216" s="128"/>
      <c r="CY216" s="128"/>
      <c r="CZ216" s="128"/>
      <c r="DA216" s="128"/>
      <c r="DB216" s="128"/>
      <c r="DC216" s="128"/>
      <c r="DD216" s="128"/>
      <c r="DE216" s="128"/>
      <c r="DF216" s="128"/>
      <c r="DG216" s="128"/>
      <c r="DH216" s="128"/>
      <c r="DI216" s="128"/>
      <c r="DJ216" s="128"/>
      <c r="DK216" s="128"/>
      <c r="DL216" s="128"/>
      <c r="DM216" s="128"/>
      <c r="DN216" s="128"/>
      <c r="DO216" s="128"/>
      <c r="DP216" s="128"/>
      <c r="DQ216" s="128"/>
      <c r="DR216" s="128"/>
      <c r="DS216" s="128"/>
      <c r="DT216" s="128"/>
      <c r="DU216" s="128"/>
      <c r="DV216" s="128"/>
      <c r="DW216" s="128"/>
      <c r="DX216" s="128"/>
      <c r="DY216" s="128"/>
      <c r="DZ216" s="128"/>
      <c r="EA216" s="128"/>
      <c r="EB216" s="128"/>
      <c r="EC216" s="128"/>
      <c r="ED216" s="128"/>
      <c r="EE216" s="128"/>
      <c r="EF216" s="128"/>
      <c r="EG216" s="128"/>
      <c r="EH216" s="128"/>
      <c r="EI216" s="128"/>
      <c r="EJ216" s="128"/>
      <c r="EK216" s="128"/>
      <c r="EL216" s="128"/>
      <c r="EM216" s="128"/>
      <c r="EN216" s="128"/>
      <c r="EO216" s="128"/>
      <c r="EP216" s="128"/>
      <c r="EQ216" s="128"/>
      <c r="ER216" s="128"/>
      <c r="ES216" s="128"/>
      <c r="ET216" s="128"/>
      <c r="EU216" s="128"/>
      <c r="EV216" s="128"/>
      <c r="EW216" s="128"/>
      <c r="EX216" s="128"/>
      <c r="EY216" s="128"/>
      <c r="EZ216" s="128"/>
      <c r="FA216" s="128"/>
      <c r="FB216" s="128"/>
      <c r="FC216" s="128"/>
      <c r="FD216" s="128"/>
      <c r="FE216" s="128"/>
      <c r="FF216" s="128"/>
      <c r="FG216" s="128"/>
      <c r="FH216" s="128"/>
      <c r="FI216" s="128"/>
      <c r="FJ216" s="128"/>
      <c r="FK216" s="128"/>
      <c r="FL216" s="128"/>
      <c r="FM216" s="128"/>
      <c r="FN216" s="128"/>
      <c r="FO216" s="128"/>
      <c r="FP216" s="128"/>
      <c r="FQ216" s="128"/>
      <c r="FR216" s="128"/>
      <c r="FS216" s="128"/>
      <c r="FT216" s="128"/>
      <c r="FU216" s="128"/>
      <c r="FV216" s="128"/>
      <c r="FW216" s="128"/>
      <c r="FX216" s="128"/>
      <c r="FY216" s="128"/>
      <c r="FZ216" s="128"/>
      <c r="GA216" s="128"/>
      <c r="GB216" s="128"/>
      <c r="GC216" s="128"/>
      <c r="GD216" s="128"/>
      <c r="GE216" s="128"/>
      <c r="GF216" s="128"/>
      <c r="GG216" s="128"/>
      <c r="GH216" s="128"/>
      <c r="GI216" s="128"/>
      <c r="GJ216" s="128"/>
      <c r="GK216" s="128"/>
      <c r="GL216" s="128"/>
      <c r="GM216" s="128"/>
      <c r="GN216" s="128"/>
      <c r="GO216" s="128"/>
      <c r="GP216" s="128"/>
      <c r="GQ216" s="128"/>
      <c r="GR216" s="128"/>
      <c r="GS216" s="128"/>
      <c r="GT216" s="128"/>
      <c r="GU216" s="128"/>
      <c r="GV216" s="128"/>
      <c r="GW216" s="128"/>
      <c r="GX216" s="128"/>
      <c r="GY216" s="128"/>
      <c r="GZ216" s="128"/>
      <c r="HA216" s="128"/>
      <c r="HB216" s="128"/>
      <c r="HC216" s="128"/>
      <c r="HD216" s="128"/>
      <c r="HE216" s="128"/>
      <c r="HF216" s="128"/>
      <c r="HG216" s="128"/>
      <c r="HH216" s="128"/>
      <c r="HI216" s="128"/>
      <c r="HJ216" s="128"/>
      <c r="HK216" s="128"/>
      <c r="HL216" s="128"/>
      <c r="HM216" s="128"/>
      <c r="HN216" s="128"/>
      <c r="HO216" s="128"/>
      <c r="HP216" s="128"/>
      <c r="HQ216" s="128"/>
      <c r="HR216" s="128"/>
      <c r="HS216" s="128"/>
      <c r="HT216" s="128"/>
      <c r="HU216" s="128"/>
      <c r="HV216" s="128"/>
      <c r="HW216" s="128"/>
      <c r="HX216" s="128"/>
      <c r="HY216" s="128"/>
      <c r="HZ216" s="128"/>
      <c r="IA216" s="128"/>
      <c r="IB216" s="128"/>
      <c r="IC216" s="128"/>
      <c r="ID216" s="128"/>
      <c r="IE216" s="128"/>
      <c r="IF216" s="128"/>
      <c r="IG216" s="128"/>
      <c r="IH216" s="128"/>
      <c r="II216" s="128"/>
      <c r="IJ216" s="128"/>
      <c r="IK216" s="128"/>
      <c r="IL216" s="128"/>
      <c r="IM216" s="128"/>
      <c r="IN216" s="128"/>
      <c r="IO216" s="128"/>
      <c r="IP216" s="128"/>
      <c r="IQ216" s="128"/>
      <c r="IR216" s="128"/>
      <c r="IS216" s="128"/>
      <c r="IT216" s="128"/>
      <c r="IU216" s="128"/>
      <c r="IV216" s="128"/>
      <c r="IW216" s="128"/>
      <c r="IX216" s="128"/>
      <c r="IY216" s="128"/>
      <c r="IZ216" s="128"/>
      <c r="JA216" s="128"/>
      <c r="JB216" s="128"/>
      <c r="JC216" s="128"/>
      <c r="JD216" s="128"/>
      <c r="JE216" s="128"/>
      <c r="JF216" s="128"/>
      <c r="JG216" s="128"/>
      <c r="JH216" s="128"/>
      <c r="JI216" s="128"/>
      <c r="JJ216" s="128"/>
      <c r="JK216" s="128"/>
      <c r="JL216" s="128"/>
      <c r="JM216" s="128"/>
      <c r="JN216" s="128"/>
      <c r="JO216" s="128"/>
      <c r="JP216" s="128"/>
      <c r="JQ216" s="128"/>
      <c r="JR216" s="128"/>
      <c r="JS216" s="128"/>
      <c r="JT216" s="128"/>
      <c r="JU216" s="128"/>
      <c r="JV216" s="128"/>
      <c r="JW216" s="128"/>
      <c r="JX216" s="128"/>
      <c r="JY216" s="128"/>
      <c r="JZ216" s="128"/>
      <c r="KA216" s="128"/>
      <c r="KB216" s="128"/>
      <c r="KC216" s="128"/>
      <c r="KD216" s="128"/>
      <c r="KE216" s="128"/>
      <c r="KF216" s="128"/>
      <c r="KG216" s="128"/>
      <c r="KH216" s="128"/>
      <c r="KI216" s="128"/>
      <c r="KJ216" s="128"/>
      <c r="KK216" s="128"/>
      <c r="KL216" s="128"/>
      <c r="KM216" s="128"/>
      <c r="KN216" s="128"/>
      <c r="KO216" s="128"/>
      <c r="KP216" s="128"/>
      <c r="KQ216" s="128"/>
      <c r="KR216" s="128"/>
      <c r="KS216" s="128"/>
      <c r="KT216" s="128"/>
      <c r="KU216" s="128"/>
      <c r="KV216" s="128"/>
      <c r="KW216" s="128"/>
      <c r="KX216" s="128"/>
      <c r="KY216" s="128"/>
      <c r="KZ216" s="128"/>
      <c r="LA216" s="128"/>
      <c r="LB216" s="128"/>
      <c r="LC216" s="128"/>
      <c r="LD216" s="128"/>
      <c r="LE216" s="128"/>
      <c r="LF216" s="128"/>
      <c r="LG216" s="128"/>
      <c r="LH216" s="128"/>
      <c r="LI216" s="128"/>
      <c r="LJ216" s="128"/>
      <c r="LK216" s="128"/>
      <c r="LL216" s="128"/>
      <c r="LM216" s="128"/>
      <c r="LN216" s="128"/>
      <c r="LO216" s="128"/>
      <c r="LP216" s="128"/>
      <c r="LQ216" s="128"/>
      <c r="LR216" s="128"/>
      <c r="LS216" s="128"/>
      <c r="LT216" s="128"/>
      <c r="LU216" s="128"/>
      <c r="LV216" s="128"/>
      <c r="LW216" s="128"/>
      <c r="LX216" s="128"/>
      <c r="LY216" s="128"/>
      <c r="LZ216" s="128"/>
      <c r="MA216" s="128"/>
      <c r="MB216" s="128"/>
      <c r="MC216" s="128"/>
      <c r="MD216" s="128"/>
      <c r="ME216" s="128"/>
      <c r="MF216" s="128"/>
      <c r="MG216" s="128"/>
      <c r="MH216" s="128"/>
      <c r="MI216" s="128"/>
      <c r="MJ216" s="128"/>
      <c r="MK216" s="128"/>
      <c r="ML216" s="128"/>
      <c r="MM216" s="128"/>
      <c r="MN216" s="128"/>
      <c r="MO216" s="128"/>
      <c r="MP216" s="128"/>
      <c r="MQ216" s="128"/>
      <c r="MR216" s="128"/>
      <c r="MS216" s="128"/>
      <c r="MT216" s="128"/>
      <c r="MU216" s="128"/>
      <c r="MV216" s="128"/>
      <c r="MW216" s="128"/>
      <c r="MX216" s="128"/>
      <c r="MY216" s="128"/>
      <c r="MZ216" s="128"/>
      <c r="NA216" s="128"/>
      <c r="NB216" s="128"/>
      <c r="NC216" s="128"/>
      <c r="ND216" s="128"/>
      <c r="NE216" s="128"/>
      <c r="NF216" s="128"/>
      <c r="NG216" s="128"/>
      <c r="NH216" s="128"/>
      <c r="NI216" s="128"/>
      <c r="NJ216" s="128"/>
      <c r="NK216" s="128"/>
      <c r="NL216" s="128"/>
      <c r="NM216" s="128"/>
      <c r="NN216" s="128"/>
      <c r="NO216" s="128"/>
      <c r="NP216" s="128"/>
      <c r="NQ216" s="128"/>
      <c r="NR216" s="128"/>
      <c r="NS216" s="128"/>
      <c r="NT216" s="128"/>
      <c r="NU216" s="128"/>
      <c r="NV216" s="128"/>
      <c r="NW216" s="128"/>
      <c r="NX216" s="128"/>
      <c r="NY216" s="128"/>
      <c r="NZ216" s="128"/>
      <c r="OA216" s="128"/>
      <c r="OB216" s="128"/>
      <c r="OC216" s="128"/>
      <c r="OD216" s="128"/>
      <c r="OE216" s="128"/>
      <c r="OF216" s="128"/>
      <c r="OG216" s="128"/>
      <c r="OH216" s="128"/>
      <c r="OI216" s="128"/>
      <c r="OJ216" s="128"/>
      <c r="OK216" s="128"/>
      <c r="OL216" s="128"/>
      <c r="OM216" s="128"/>
      <c r="ON216" s="128"/>
      <c r="OO216" s="128"/>
      <c r="OP216" s="128"/>
      <c r="OQ216" s="128"/>
      <c r="OR216" s="128"/>
      <c r="OS216" s="128"/>
      <c r="OT216" s="128"/>
      <c r="OU216" s="128"/>
      <c r="OV216" s="128"/>
      <c r="OW216" s="128"/>
      <c r="OX216" s="128"/>
      <c r="OY216" s="128"/>
      <c r="OZ216" s="128"/>
      <c r="PA216" s="128"/>
      <c r="PB216" s="128"/>
      <c r="PC216" s="128"/>
      <c r="PD216" s="128"/>
      <c r="PE216" s="128"/>
      <c r="PF216" s="128"/>
      <c r="PG216" s="128"/>
      <c r="PH216" s="128"/>
      <c r="PI216" s="128"/>
      <c r="PJ216" s="128"/>
      <c r="PK216" s="128"/>
      <c r="PL216" s="128"/>
      <c r="PM216" s="128"/>
      <c r="PN216" s="128"/>
      <c r="PO216" s="128"/>
      <c r="PP216" s="128"/>
      <c r="PQ216" s="128"/>
      <c r="PR216" s="128"/>
      <c r="PS216" s="128"/>
      <c r="PT216" s="128"/>
      <c r="PU216" s="128"/>
      <c r="PV216" s="128"/>
      <c r="PW216" s="128"/>
      <c r="PX216" s="128"/>
      <c r="PY216" s="128"/>
      <c r="PZ216" s="128"/>
      <c r="QA216" s="128"/>
      <c r="QB216" s="128"/>
      <c r="QC216" s="128"/>
      <c r="QD216" s="128"/>
      <c r="QE216" s="128"/>
      <c r="QF216" s="128"/>
      <c r="QG216" s="128"/>
      <c r="QH216" s="128"/>
      <c r="QI216" s="128"/>
      <c r="QJ216" s="128"/>
      <c r="QK216" s="128"/>
      <c r="QL216" s="128"/>
      <c r="QM216" s="128"/>
      <c r="QN216" s="128"/>
      <c r="QO216" s="128"/>
      <c r="QP216" s="128"/>
      <c r="QQ216" s="128"/>
      <c r="QR216" s="128"/>
      <c r="QS216" s="128"/>
      <c r="QT216" s="128"/>
      <c r="QU216" s="128"/>
      <c r="QV216" s="128"/>
      <c r="QW216" s="128"/>
      <c r="QX216" s="128"/>
      <c r="QY216" s="128"/>
      <c r="QZ216" s="128"/>
      <c r="RA216" s="128"/>
      <c r="RB216" s="128"/>
      <c r="RC216" s="128"/>
      <c r="RD216" s="128"/>
      <c r="RE216" s="128"/>
      <c r="RF216" s="128"/>
      <c r="RG216" s="128"/>
      <c r="RH216" s="128"/>
      <c r="RI216" s="128"/>
      <c r="RJ216" s="128"/>
      <c r="RK216" s="128"/>
      <c r="RL216" s="128"/>
      <c r="RM216" s="128"/>
      <c r="RN216" s="128"/>
      <c r="RO216" s="128"/>
      <c r="RP216" s="128"/>
      <c r="RQ216" s="128"/>
      <c r="RR216" s="128"/>
      <c r="RS216" s="128"/>
      <c r="RT216" s="128"/>
      <c r="RU216" s="128"/>
      <c r="RV216" s="128"/>
      <c r="RW216" s="128"/>
      <c r="RX216" s="128"/>
      <c r="RY216" s="128"/>
      <c r="RZ216" s="128"/>
      <c r="SA216" s="128"/>
      <c r="SB216" s="128"/>
      <c r="SC216" s="128"/>
      <c r="SD216" s="128"/>
      <c r="SE216" s="128"/>
      <c r="SF216" s="128"/>
      <c r="SG216" s="128"/>
      <c r="SH216" s="128"/>
      <c r="SI216" s="128"/>
      <c r="SJ216" s="128"/>
      <c r="SK216" s="128"/>
      <c r="SL216" s="128"/>
      <c r="SM216" s="128"/>
      <c r="SN216" s="128"/>
      <c r="SO216" s="128"/>
      <c r="SP216" s="128"/>
      <c r="SQ216" s="128"/>
      <c r="SR216" s="128"/>
      <c r="SS216" s="128"/>
      <c r="ST216" s="128"/>
      <c r="SU216" s="128"/>
      <c r="SV216" s="128"/>
      <c r="SW216" s="128"/>
      <c r="SX216" s="128"/>
      <c r="SY216" s="128"/>
      <c r="SZ216" s="128"/>
      <c r="TA216" s="128"/>
      <c r="TB216" s="128"/>
      <c r="TC216" s="128"/>
      <c r="TD216" s="128"/>
      <c r="TE216" s="128"/>
      <c r="TF216" s="128"/>
      <c r="TG216" s="128"/>
      <c r="TH216" s="128"/>
      <c r="TI216" s="128"/>
      <c r="TJ216" s="128"/>
      <c r="TK216" s="128"/>
      <c r="TL216" s="128"/>
      <c r="TM216" s="128"/>
      <c r="TN216" s="128"/>
      <c r="TO216" s="128"/>
      <c r="TP216" s="128"/>
      <c r="TQ216" s="128"/>
      <c r="TR216" s="128"/>
      <c r="TS216" s="128"/>
      <c r="TT216" s="128"/>
      <c r="TU216" s="128"/>
      <c r="TV216" s="128"/>
      <c r="TW216" s="128"/>
      <c r="TX216" s="128"/>
      <c r="TY216" s="128"/>
      <c r="TZ216" s="128"/>
      <c r="UA216" s="128"/>
      <c r="UB216" s="128"/>
      <c r="UC216" s="128"/>
      <c r="UD216" s="128"/>
      <c r="UE216" s="128"/>
      <c r="UF216" s="128"/>
      <c r="UG216" s="128"/>
      <c r="UH216" s="128"/>
      <c r="UI216" s="128"/>
      <c r="UJ216" s="128"/>
      <c r="UK216" s="128"/>
      <c r="UL216" s="128"/>
      <c r="UM216" s="128"/>
      <c r="UN216" s="128"/>
      <c r="UO216" s="128"/>
      <c r="UP216" s="128"/>
      <c r="UQ216" s="128"/>
      <c r="UR216" s="128"/>
      <c r="US216" s="128"/>
      <c r="UT216" s="128"/>
      <c r="UU216" s="128"/>
      <c r="UV216" s="128"/>
      <c r="UW216" s="128"/>
      <c r="UX216" s="128"/>
      <c r="UY216" s="128"/>
      <c r="UZ216" s="128"/>
      <c r="VA216" s="128"/>
      <c r="VB216" s="128"/>
      <c r="VC216" s="128"/>
      <c r="VD216" s="128"/>
      <c r="VE216" s="128"/>
      <c r="VF216" s="128"/>
      <c r="VG216" s="128"/>
      <c r="VH216" s="128"/>
      <c r="VI216" s="128"/>
      <c r="VJ216" s="128"/>
      <c r="VK216" s="128"/>
      <c r="VL216" s="128"/>
      <c r="VM216" s="128"/>
      <c r="VN216" s="128"/>
      <c r="VO216" s="128"/>
      <c r="VP216" s="128"/>
      <c r="VQ216" s="128"/>
      <c r="VR216" s="128"/>
      <c r="VS216" s="128"/>
      <c r="VT216" s="128"/>
      <c r="VU216" s="128"/>
      <c r="VV216" s="128"/>
      <c r="VW216" s="128"/>
      <c r="VX216" s="128"/>
      <c r="VY216" s="128"/>
      <c r="VZ216" s="128"/>
      <c r="WA216" s="128"/>
      <c r="WB216" s="128"/>
      <c r="WC216" s="128"/>
      <c r="WD216" s="128"/>
      <c r="WE216" s="128"/>
      <c r="WF216" s="128"/>
      <c r="WG216" s="128"/>
      <c r="WH216" s="128"/>
      <c r="WI216" s="128"/>
      <c r="WJ216" s="128"/>
      <c r="WK216" s="128"/>
      <c r="WL216" s="128"/>
      <c r="WM216" s="128"/>
      <c r="WN216" s="128"/>
      <c r="WO216" s="128"/>
      <c r="WP216" s="128"/>
      <c r="WQ216" s="128"/>
      <c r="WR216" s="128"/>
      <c r="WS216" s="128"/>
      <c r="WT216" s="128"/>
      <c r="WU216" s="128"/>
      <c r="WV216" s="128"/>
      <c r="WW216" s="128"/>
      <c r="WX216" s="128"/>
      <c r="WY216" s="128"/>
      <c r="WZ216" s="128"/>
      <c r="XA216" s="128"/>
      <c r="XB216" s="128"/>
      <c r="XC216" s="128"/>
      <c r="XD216" s="128"/>
      <c r="XE216" s="128"/>
      <c r="XF216" s="128"/>
      <c r="XG216" s="128"/>
      <c r="XH216" s="128"/>
      <c r="XI216" s="128"/>
      <c r="XJ216" s="128"/>
      <c r="XK216" s="128"/>
      <c r="XL216" s="128"/>
      <c r="XM216" s="128"/>
      <c r="XN216" s="128"/>
      <c r="XO216" s="128"/>
      <c r="XP216" s="128"/>
      <c r="XQ216" s="128"/>
      <c r="XR216" s="128"/>
      <c r="XS216" s="128"/>
      <c r="XT216" s="128"/>
      <c r="XU216" s="128"/>
      <c r="XV216" s="128"/>
      <c r="XW216" s="128"/>
      <c r="XX216" s="128"/>
      <c r="XY216" s="128"/>
      <c r="XZ216" s="128"/>
      <c r="YA216" s="128"/>
      <c r="YB216" s="128"/>
      <c r="YC216" s="128"/>
      <c r="YD216" s="128"/>
      <c r="YE216" s="128"/>
      <c r="YF216" s="128"/>
      <c r="YG216" s="128"/>
      <c r="YH216" s="128"/>
      <c r="YI216" s="128"/>
      <c r="YJ216" s="128"/>
      <c r="YK216" s="128"/>
      <c r="YL216" s="128"/>
      <c r="YM216" s="128"/>
      <c r="YN216" s="128"/>
      <c r="YO216" s="128"/>
      <c r="YP216" s="128"/>
      <c r="YQ216" s="128"/>
      <c r="YR216" s="128"/>
      <c r="YS216" s="128"/>
      <c r="YT216" s="128"/>
      <c r="YU216" s="128"/>
      <c r="YV216" s="128"/>
      <c r="YW216" s="128"/>
      <c r="YX216" s="128"/>
      <c r="YY216" s="128"/>
      <c r="YZ216" s="128"/>
      <c r="ZA216" s="128"/>
      <c r="ZB216" s="128"/>
      <c r="ZC216" s="128"/>
      <c r="ZD216" s="128"/>
      <c r="ZE216" s="128"/>
      <c r="ZF216" s="128"/>
      <c r="ZG216" s="128"/>
      <c r="ZH216" s="128"/>
      <c r="ZI216" s="128"/>
      <c r="ZJ216" s="128"/>
      <c r="ZK216" s="128"/>
      <c r="ZL216" s="128"/>
      <c r="ZM216" s="128"/>
      <c r="ZN216" s="128"/>
      <c r="ZO216" s="128"/>
      <c r="ZP216" s="128"/>
      <c r="ZQ216" s="128"/>
      <c r="ZR216" s="128"/>
      <c r="ZS216" s="128"/>
      <c r="ZT216" s="128"/>
      <c r="ZU216" s="128"/>
      <c r="ZV216" s="128"/>
      <c r="ZW216" s="128"/>
      <c r="ZX216" s="128"/>
      <c r="ZY216" s="128"/>
      <c r="ZZ216" s="128"/>
      <c r="AAA216" s="128"/>
      <c r="AAB216" s="128"/>
      <c r="AAC216" s="128"/>
      <c r="AAD216" s="128"/>
      <c r="AAE216" s="128"/>
      <c r="AAF216" s="128"/>
      <c r="AAG216" s="128"/>
      <c r="AAH216" s="128"/>
      <c r="AAI216" s="128"/>
      <c r="AAJ216" s="128"/>
      <c r="AAK216" s="128"/>
      <c r="AAL216" s="128"/>
      <c r="AAM216" s="128"/>
      <c r="AAN216" s="128"/>
      <c r="AAO216" s="128"/>
      <c r="AAP216" s="128"/>
      <c r="AAQ216" s="128"/>
      <c r="AAR216" s="128"/>
      <c r="AAS216" s="128"/>
      <c r="AAT216" s="128"/>
      <c r="AAU216" s="128"/>
      <c r="AAV216" s="128"/>
      <c r="AAW216" s="128"/>
      <c r="AAX216" s="128"/>
      <c r="AAY216" s="128"/>
      <c r="AAZ216" s="128"/>
      <c r="ABA216" s="128"/>
      <c r="ABB216" s="128"/>
      <c r="ABC216" s="128"/>
      <c r="ABD216" s="128"/>
      <c r="ABE216" s="128"/>
      <c r="ABF216" s="128"/>
      <c r="ABG216" s="128"/>
      <c r="ABH216" s="128"/>
      <c r="ABI216" s="128"/>
      <c r="ABJ216" s="128"/>
      <c r="ABK216" s="128"/>
      <c r="ABL216" s="128"/>
      <c r="ABM216" s="128"/>
      <c r="ABN216" s="128"/>
      <c r="ABO216" s="128"/>
      <c r="ABP216" s="128"/>
      <c r="ABQ216" s="128"/>
      <c r="ABR216" s="128"/>
      <c r="ABS216" s="128"/>
      <c r="ABT216" s="128"/>
      <c r="ABU216" s="128"/>
      <c r="ABV216" s="128"/>
      <c r="ABW216" s="128"/>
      <c r="ABX216" s="128"/>
      <c r="ABY216" s="128"/>
      <c r="ABZ216" s="128"/>
      <c r="ACA216" s="128"/>
      <c r="ACB216" s="128"/>
      <c r="ACC216" s="128"/>
      <c r="ACD216" s="128"/>
      <c r="ACE216" s="128"/>
      <c r="ACF216" s="128"/>
      <c r="ACG216" s="128"/>
      <c r="ACH216" s="128"/>
      <c r="ACI216" s="128"/>
      <c r="ACJ216" s="128"/>
      <c r="ACK216" s="128"/>
      <c r="ACL216" s="128"/>
      <c r="ACM216" s="128"/>
      <c r="ACN216" s="128"/>
      <c r="ACO216" s="128"/>
      <c r="ACP216" s="128"/>
      <c r="ACQ216" s="128"/>
      <c r="ACR216" s="128"/>
      <c r="ACS216" s="128"/>
      <c r="ACT216" s="128"/>
      <c r="ACU216" s="128"/>
      <c r="ACV216" s="128"/>
      <c r="ACW216" s="128"/>
      <c r="ACX216" s="128"/>
      <c r="ACY216" s="128"/>
      <c r="ACZ216" s="128"/>
      <c r="ADA216" s="128"/>
      <c r="ADB216" s="128"/>
      <c r="ADC216" s="128"/>
      <c r="ADD216" s="128"/>
      <c r="ADE216" s="128"/>
      <c r="ADF216" s="128"/>
      <c r="ADG216" s="128"/>
      <c r="ADH216" s="128"/>
      <c r="ADI216" s="128"/>
      <c r="ADJ216" s="128"/>
      <c r="ADK216" s="128"/>
      <c r="ADL216" s="128"/>
      <c r="ADM216" s="128"/>
      <c r="ADN216" s="128"/>
      <c r="ADO216" s="128"/>
      <c r="ADP216" s="128"/>
      <c r="ADQ216" s="128"/>
      <c r="ADR216" s="128"/>
      <c r="ADS216" s="128"/>
      <c r="ADT216" s="128"/>
      <c r="ADU216" s="128"/>
      <c r="ADV216" s="128"/>
      <c r="ADW216" s="128"/>
      <c r="ADX216" s="128"/>
      <c r="ADY216" s="128"/>
      <c r="ADZ216" s="128"/>
      <c r="AEA216" s="128"/>
      <c r="AEB216" s="128"/>
      <c r="AEC216" s="128"/>
      <c r="AED216" s="128"/>
      <c r="AEE216" s="128"/>
      <c r="AEF216" s="128"/>
      <c r="AEG216" s="128"/>
      <c r="AEH216" s="128"/>
      <c r="AEI216" s="128"/>
      <c r="AEJ216" s="128"/>
      <c r="AEK216" s="128"/>
      <c r="AEL216" s="128"/>
      <c r="AEM216" s="128"/>
      <c r="AEN216" s="128"/>
      <c r="AEO216" s="128"/>
      <c r="AEP216" s="128"/>
      <c r="AEQ216" s="128"/>
      <c r="AER216" s="128"/>
      <c r="AES216" s="128"/>
      <c r="AET216" s="128"/>
      <c r="AEU216" s="128"/>
      <c r="AEV216" s="128"/>
      <c r="AEW216" s="128"/>
      <c r="AEX216" s="128"/>
      <c r="AEY216" s="128"/>
      <c r="AEZ216" s="128"/>
      <c r="AFA216" s="128"/>
      <c r="AFB216" s="128"/>
      <c r="AFC216" s="128"/>
      <c r="AFD216" s="128"/>
      <c r="AFE216" s="128"/>
      <c r="AFF216" s="128"/>
      <c r="AFG216" s="128"/>
      <c r="AFH216" s="128"/>
      <c r="AFI216" s="128"/>
      <c r="AFJ216" s="128"/>
      <c r="AFK216" s="128"/>
      <c r="AFL216" s="128"/>
      <c r="AFM216" s="128"/>
      <c r="AFN216" s="128"/>
      <c r="AFO216" s="128"/>
      <c r="AFP216" s="128"/>
      <c r="AFQ216" s="128"/>
      <c r="AFR216" s="128"/>
      <c r="AFS216" s="128"/>
      <c r="AFT216" s="128"/>
      <c r="AFU216" s="128"/>
      <c r="AFV216" s="128"/>
      <c r="AFW216" s="128"/>
      <c r="AFX216" s="128"/>
      <c r="AFY216" s="128"/>
      <c r="AFZ216" s="128"/>
      <c r="AGA216" s="128"/>
      <c r="AGB216" s="128"/>
      <c r="AGC216" s="128"/>
      <c r="AGD216" s="128"/>
      <c r="AGE216" s="128"/>
      <c r="AGF216" s="128"/>
      <c r="AGG216" s="128"/>
      <c r="AGH216" s="128"/>
      <c r="AGI216" s="128"/>
      <c r="AGJ216" s="128"/>
      <c r="AGK216" s="128"/>
      <c r="AGL216" s="128"/>
      <c r="AGM216" s="128"/>
      <c r="AGN216" s="128"/>
      <c r="AGO216" s="128"/>
      <c r="AGP216" s="128"/>
      <c r="AGQ216" s="128"/>
      <c r="AGR216" s="128"/>
      <c r="AGS216" s="128"/>
      <c r="AGT216" s="128"/>
      <c r="AGU216" s="128"/>
      <c r="AGV216" s="128"/>
      <c r="AGW216" s="128"/>
      <c r="AGX216" s="128"/>
      <c r="AGY216" s="128"/>
      <c r="AGZ216" s="128"/>
      <c r="AHA216" s="128"/>
      <c r="AHB216" s="128"/>
      <c r="AHC216" s="128"/>
      <c r="AHD216" s="128"/>
      <c r="AHE216" s="128"/>
      <c r="AHF216" s="128"/>
      <c r="AHG216" s="128"/>
      <c r="AHH216" s="128"/>
      <c r="AHI216" s="128"/>
      <c r="AHJ216" s="128"/>
      <c r="AHK216" s="128"/>
      <c r="AHL216" s="128"/>
      <c r="AHM216" s="128"/>
      <c r="AHN216" s="128"/>
      <c r="AHO216" s="128"/>
      <c r="AHP216" s="128"/>
      <c r="AHQ216" s="128"/>
      <c r="AHR216" s="128"/>
      <c r="AHS216" s="128"/>
      <c r="AHT216" s="128"/>
      <c r="AHU216" s="128"/>
      <c r="AHV216" s="128"/>
      <c r="AHW216" s="128"/>
      <c r="AHX216" s="128"/>
      <c r="AHY216" s="128"/>
      <c r="AHZ216" s="128"/>
      <c r="AIA216" s="128"/>
      <c r="AIB216" s="128"/>
      <c r="AIC216" s="128"/>
      <c r="AID216" s="128"/>
      <c r="AIE216" s="128"/>
      <c r="AIF216" s="128"/>
      <c r="AIG216" s="128"/>
      <c r="AIH216" s="128"/>
      <c r="AII216" s="128"/>
      <c r="AIJ216" s="128"/>
      <c r="AIK216" s="128"/>
      <c r="AIL216" s="128"/>
      <c r="AIM216" s="128"/>
      <c r="AIN216" s="128"/>
      <c r="AIO216" s="128"/>
      <c r="AIP216" s="128"/>
      <c r="AIQ216" s="128"/>
      <c r="AIR216" s="128"/>
      <c r="AIS216" s="128"/>
      <c r="AIT216" s="128"/>
      <c r="AIU216" s="128"/>
      <c r="AIV216" s="128"/>
      <c r="AIW216" s="128"/>
      <c r="AIX216" s="128"/>
      <c r="AIY216" s="128"/>
      <c r="AIZ216" s="128"/>
      <c r="AJA216" s="128"/>
      <c r="AJB216" s="128"/>
      <c r="AJC216" s="128"/>
      <c r="AJD216" s="128"/>
      <c r="AJE216" s="128"/>
      <c r="AJF216" s="128"/>
      <c r="AJG216" s="128"/>
      <c r="AJH216" s="128"/>
      <c r="AJI216" s="128"/>
      <c r="AJJ216" s="128"/>
      <c r="AJK216" s="128"/>
      <c r="AJL216" s="128"/>
      <c r="AJM216" s="128"/>
      <c r="AJN216" s="128"/>
      <c r="AJO216" s="128"/>
      <c r="AJP216" s="128"/>
      <c r="AJQ216" s="128"/>
      <c r="AJR216" s="128"/>
      <c r="AJS216" s="128"/>
      <c r="AJT216" s="128"/>
      <c r="AJU216" s="128"/>
      <c r="AJV216" s="128"/>
      <c r="AJW216" s="128"/>
      <c r="AJX216" s="128"/>
      <c r="AJY216" s="128"/>
      <c r="AJZ216" s="128"/>
      <c r="AKA216" s="128"/>
      <c r="AKB216" s="128"/>
      <c r="AKC216" s="128"/>
      <c r="AKD216" s="128"/>
      <c r="AKE216" s="128"/>
      <c r="AKF216" s="128"/>
      <c r="AKG216" s="128"/>
      <c r="AKH216" s="128"/>
      <c r="AKI216" s="128"/>
      <c r="AKJ216" s="128"/>
      <c r="AKK216" s="128"/>
      <c r="AKL216" s="128"/>
      <c r="AKM216" s="128"/>
      <c r="AKN216" s="128"/>
      <c r="AKO216" s="128"/>
      <c r="AKP216" s="128"/>
      <c r="AKQ216" s="128"/>
      <c r="AKR216" s="128"/>
      <c r="AKS216" s="128"/>
      <c r="AKT216" s="128"/>
      <c r="AKU216" s="128"/>
      <c r="AKV216" s="128"/>
      <c r="AKW216" s="128"/>
      <c r="AKX216" s="128"/>
      <c r="AKY216" s="128"/>
      <c r="AKZ216" s="128"/>
      <c r="ALA216" s="128"/>
      <c r="ALB216" s="128"/>
      <c r="ALC216" s="128"/>
      <c r="ALD216" s="128"/>
      <c r="ALE216" s="128"/>
      <c r="ALF216" s="128"/>
      <c r="ALG216" s="128"/>
      <c r="ALH216" s="128"/>
      <c r="ALI216" s="128"/>
      <c r="ALJ216" s="128"/>
      <c r="ALK216" s="128"/>
      <c r="ALL216" s="128"/>
      <c r="ALM216" s="128"/>
      <c r="ALN216" s="128"/>
      <c r="ALO216" s="128"/>
      <c r="ALP216" s="128"/>
      <c r="ALQ216" s="128"/>
      <c r="ALR216" s="128"/>
      <c r="ALS216" s="128"/>
      <c r="ALT216" s="128"/>
      <c r="ALU216" s="128"/>
      <c r="ALV216" s="128"/>
      <c r="ALW216" s="128"/>
      <c r="ALX216" s="128"/>
      <c r="ALY216" s="128"/>
      <c r="ALZ216" s="128"/>
      <c r="AMA216"/>
      <c r="AMB216"/>
      <c r="AMC216"/>
      <c r="AMD216"/>
    </row>
    <row r="217" spans="1:1018" s="96" customFormat="1" ht="12" customHeight="1">
      <c r="A217" s="130"/>
      <c r="B217" s="130"/>
      <c r="C217" s="130"/>
      <c r="D217" s="130"/>
      <c r="E217" s="130"/>
      <c r="F217" s="130"/>
      <c r="I217" s="225"/>
      <c r="K217" s="159"/>
      <c r="P217" s="173"/>
      <c r="T217" s="277"/>
      <c r="X217"/>
      <c r="Y217" s="179"/>
      <c r="AA217" s="159"/>
      <c r="AC217"/>
      <c r="AE217" s="128"/>
      <c r="AF217"/>
      <c r="AG217" s="128"/>
      <c r="AH217" s="128"/>
      <c r="AI217" s="128"/>
      <c r="AJ217" s="128"/>
      <c r="AK217" s="128"/>
      <c r="AL217" s="128"/>
      <c r="AM217" s="128"/>
      <c r="AN217" s="128"/>
      <c r="AO217" s="128"/>
      <c r="AP217" s="128"/>
      <c r="AQ217" s="128"/>
      <c r="AR217" s="128"/>
      <c r="AS217" s="128"/>
      <c r="AT217" s="128"/>
      <c r="AU217" s="128"/>
      <c r="AV217" s="128"/>
      <c r="AW217" s="128"/>
      <c r="AX217" s="128"/>
      <c r="AY217" s="128"/>
      <c r="AZ217" s="128"/>
      <c r="BA217" s="128"/>
      <c r="BB217" s="128"/>
      <c r="BC217" s="128"/>
      <c r="BD217" s="128"/>
      <c r="BE217" s="128"/>
      <c r="BF217" s="128"/>
      <c r="BG217" s="128"/>
      <c r="BH217" s="128"/>
      <c r="BI217" s="128"/>
      <c r="BJ217" s="128"/>
      <c r="BK217" s="128"/>
      <c r="BL217" s="128"/>
      <c r="BM217" s="128"/>
      <c r="BN217" s="128"/>
      <c r="BO217" s="128"/>
      <c r="BP217" s="128"/>
      <c r="BQ217" s="128"/>
      <c r="BR217" s="128"/>
      <c r="BS217" s="128"/>
      <c r="BT217" s="128"/>
      <c r="BU217" s="128"/>
      <c r="BV217" s="128"/>
      <c r="BW217" s="128"/>
      <c r="BX217" s="128"/>
      <c r="BY217" s="128"/>
      <c r="BZ217" s="128"/>
      <c r="CA217" s="128"/>
      <c r="CB217" s="128"/>
      <c r="CC217" s="128"/>
      <c r="CD217" s="128"/>
      <c r="CE217" s="128"/>
      <c r="CF217" s="128"/>
      <c r="CG217" s="128"/>
      <c r="CH217" s="128"/>
      <c r="CI217" s="128"/>
      <c r="CJ217" s="128"/>
      <c r="CK217" s="128"/>
      <c r="CL217" s="128"/>
      <c r="CM217" s="128"/>
      <c r="CN217" s="128"/>
      <c r="CO217" s="128"/>
      <c r="CP217" s="128"/>
      <c r="CQ217" s="128"/>
      <c r="CR217" s="128"/>
      <c r="CS217" s="128"/>
      <c r="CT217" s="128"/>
      <c r="CU217" s="128"/>
      <c r="CV217" s="128"/>
      <c r="CW217" s="128"/>
      <c r="CX217" s="128"/>
      <c r="CY217" s="128"/>
      <c r="CZ217" s="128"/>
      <c r="DA217" s="128"/>
      <c r="DB217" s="128"/>
      <c r="DC217" s="128"/>
      <c r="DD217" s="128"/>
      <c r="DE217" s="128"/>
      <c r="DF217" s="128"/>
      <c r="DG217" s="128"/>
      <c r="DH217" s="128"/>
      <c r="DI217" s="128"/>
      <c r="DJ217" s="128"/>
      <c r="DK217" s="128"/>
      <c r="DL217" s="128"/>
      <c r="DM217" s="128"/>
      <c r="DN217" s="128"/>
      <c r="DO217" s="128"/>
      <c r="DP217" s="128"/>
      <c r="DQ217" s="128"/>
      <c r="DR217" s="128"/>
      <c r="DS217" s="128"/>
      <c r="DT217" s="128"/>
      <c r="DU217" s="128"/>
      <c r="DV217" s="128"/>
      <c r="DW217" s="128"/>
      <c r="DX217" s="128"/>
      <c r="DY217" s="128"/>
      <c r="DZ217" s="128"/>
      <c r="EA217" s="128"/>
      <c r="EB217" s="128"/>
      <c r="EC217" s="128"/>
      <c r="ED217" s="128"/>
      <c r="EE217" s="128"/>
      <c r="EF217" s="128"/>
      <c r="EG217" s="128"/>
      <c r="EH217" s="128"/>
      <c r="EI217" s="128"/>
      <c r="EJ217" s="128"/>
      <c r="EK217" s="128"/>
      <c r="EL217" s="128"/>
      <c r="EM217" s="128"/>
      <c r="EN217" s="128"/>
      <c r="EO217" s="128"/>
      <c r="EP217" s="128"/>
      <c r="EQ217" s="128"/>
      <c r="ER217" s="128"/>
      <c r="ES217" s="128"/>
      <c r="ET217" s="128"/>
      <c r="EU217" s="128"/>
      <c r="EV217" s="128"/>
      <c r="EW217" s="128"/>
      <c r="EX217" s="128"/>
      <c r="EY217" s="128"/>
      <c r="EZ217" s="128"/>
      <c r="FA217" s="128"/>
      <c r="FB217" s="128"/>
      <c r="FC217" s="128"/>
      <c r="FD217" s="128"/>
      <c r="FE217" s="128"/>
      <c r="FF217" s="128"/>
      <c r="FG217" s="128"/>
      <c r="FH217" s="128"/>
      <c r="FI217" s="128"/>
      <c r="FJ217" s="128"/>
      <c r="FK217" s="128"/>
      <c r="FL217" s="128"/>
      <c r="FM217" s="128"/>
      <c r="FN217" s="128"/>
      <c r="FO217" s="128"/>
      <c r="FP217" s="128"/>
      <c r="FQ217" s="128"/>
      <c r="FR217" s="128"/>
      <c r="FS217" s="128"/>
      <c r="FT217" s="128"/>
      <c r="FU217" s="128"/>
      <c r="FV217" s="128"/>
      <c r="FW217" s="128"/>
      <c r="FX217" s="128"/>
      <c r="FY217" s="128"/>
      <c r="FZ217" s="128"/>
      <c r="GA217" s="128"/>
      <c r="GB217" s="128"/>
      <c r="GC217" s="128"/>
      <c r="GD217" s="128"/>
      <c r="GE217" s="128"/>
      <c r="GF217" s="128"/>
      <c r="GG217" s="128"/>
      <c r="GH217" s="128"/>
      <c r="GI217" s="128"/>
      <c r="GJ217" s="128"/>
      <c r="GK217" s="128"/>
      <c r="GL217" s="128"/>
      <c r="GM217" s="128"/>
      <c r="GN217" s="128"/>
      <c r="GO217" s="128"/>
      <c r="GP217" s="128"/>
      <c r="GQ217" s="128"/>
      <c r="GR217" s="128"/>
      <c r="GS217" s="128"/>
      <c r="GT217" s="128"/>
      <c r="GU217" s="128"/>
      <c r="GV217" s="128"/>
      <c r="GW217" s="128"/>
      <c r="GX217" s="128"/>
      <c r="GY217" s="128"/>
      <c r="GZ217" s="128"/>
      <c r="HA217" s="128"/>
      <c r="HB217" s="128"/>
      <c r="HC217" s="128"/>
      <c r="HD217" s="128"/>
      <c r="HE217" s="128"/>
      <c r="HF217" s="128"/>
      <c r="HG217" s="128"/>
      <c r="HH217" s="128"/>
      <c r="HI217" s="128"/>
      <c r="HJ217" s="128"/>
      <c r="HK217" s="128"/>
      <c r="HL217" s="128"/>
      <c r="HM217" s="128"/>
      <c r="HN217" s="128"/>
      <c r="HO217" s="128"/>
      <c r="HP217" s="128"/>
      <c r="HQ217" s="128"/>
      <c r="HR217" s="128"/>
      <c r="HS217" s="128"/>
      <c r="HT217" s="128"/>
      <c r="HU217" s="128"/>
      <c r="HV217" s="128"/>
      <c r="HW217" s="128"/>
      <c r="HX217" s="128"/>
      <c r="HY217" s="128"/>
      <c r="HZ217" s="128"/>
      <c r="IA217" s="128"/>
      <c r="IB217" s="128"/>
      <c r="IC217" s="128"/>
      <c r="ID217" s="128"/>
      <c r="IE217" s="128"/>
      <c r="IF217" s="128"/>
      <c r="IG217" s="128"/>
      <c r="IH217" s="128"/>
      <c r="II217" s="128"/>
      <c r="IJ217" s="128"/>
      <c r="IK217" s="128"/>
      <c r="IL217" s="128"/>
      <c r="IM217" s="128"/>
      <c r="IN217" s="128"/>
      <c r="IO217" s="128"/>
      <c r="IP217" s="128"/>
      <c r="IQ217" s="128"/>
      <c r="IR217" s="128"/>
      <c r="IS217" s="128"/>
      <c r="IT217" s="128"/>
      <c r="IU217" s="128"/>
      <c r="IV217" s="128"/>
      <c r="IW217" s="128"/>
      <c r="IX217" s="128"/>
      <c r="IY217" s="128"/>
      <c r="IZ217" s="128"/>
      <c r="JA217" s="128"/>
      <c r="JB217" s="128"/>
      <c r="JC217" s="128"/>
      <c r="JD217" s="128"/>
      <c r="JE217" s="128"/>
      <c r="JF217" s="128"/>
      <c r="JG217" s="128"/>
      <c r="JH217" s="128"/>
      <c r="JI217" s="128"/>
      <c r="JJ217" s="128"/>
      <c r="JK217" s="128"/>
      <c r="JL217" s="128"/>
      <c r="JM217" s="128"/>
      <c r="JN217" s="128"/>
      <c r="JO217" s="128"/>
      <c r="JP217" s="128"/>
      <c r="JQ217" s="128"/>
      <c r="JR217" s="128"/>
      <c r="JS217" s="128"/>
      <c r="JT217" s="128"/>
      <c r="JU217" s="128"/>
      <c r="JV217" s="128"/>
      <c r="JW217" s="128"/>
      <c r="JX217" s="128"/>
      <c r="JY217" s="128"/>
      <c r="JZ217" s="128"/>
      <c r="KA217" s="128"/>
      <c r="KB217" s="128"/>
      <c r="KC217" s="128"/>
      <c r="KD217" s="128"/>
      <c r="KE217" s="128"/>
      <c r="KF217" s="128"/>
      <c r="KG217" s="128"/>
      <c r="KH217" s="128"/>
      <c r="KI217" s="128"/>
      <c r="KJ217" s="128"/>
      <c r="KK217" s="128"/>
      <c r="KL217" s="128"/>
      <c r="KM217" s="128"/>
      <c r="KN217" s="128"/>
      <c r="KO217" s="128"/>
      <c r="KP217" s="128"/>
      <c r="KQ217" s="128"/>
      <c r="KR217" s="128"/>
      <c r="KS217" s="128"/>
      <c r="KT217" s="128"/>
      <c r="KU217" s="128"/>
      <c r="KV217" s="128"/>
      <c r="KW217" s="128"/>
      <c r="KX217" s="128"/>
      <c r="KY217" s="128"/>
      <c r="KZ217" s="128"/>
      <c r="LA217" s="128"/>
      <c r="LB217" s="128"/>
      <c r="LC217" s="128"/>
      <c r="LD217" s="128"/>
      <c r="LE217" s="128"/>
      <c r="LF217" s="128"/>
      <c r="LG217" s="128"/>
      <c r="LH217" s="128"/>
      <c r="LI217" s="128"/>
      <c r="LJ217" s="128"/>
      <c r="LK217" s="128"/>
      <c r="LL217" s="128"/>
      <c r="LM217" s="128"/>
      <c r="LN217" s="128"/>
      <c r="LO217" s="128"/>
      <c r="LP217" s="128"/>
      <c r="LQ217" s="128"/>
      <c r="LR217" s="128"/>
      <c r="LS217" s="128"/>
      <c r="LT217" s="128"/>
      <c r="LU217" s="128"/>
      <c r="LV217" s="128"/>
      <c r="LW217" s="128"/>
      <c r="LX217" s="128"/>
      <c r="LY217" s="128"/>
      <c r="LZ217" s="128"/>
      <c r="MA217" s="128"/>
      <c r="MB217" s="128"/>
      <c r="MC217" s="128"/>
      <c r="MD217" s="128"/>
      <c r="ME217" s="128"/>
      <c r="MF217" s="128"/>
      <c r="MG217" s="128"/>
      <c r="MH217" s="128"/>
      <c r="MI217" s="128"/>
      <c r="MJ217" s="128"/>
      <c r="MK217" s="128"/>
      <c r="ML217" s="128"/>
      <c r="MM217" s="128"/>
      <c r="MN217" s="128"/>
      <c r="MO217" s="128"/>
      <c r="MP217" s="128"/>
      <c r="MQ217" s="128"/>
      <c r="MR217" s="128"/>
      <c r="MS217" s="128"/>
      <c r="MT217" s="128"/>
      <c r="MU217" s="128"/>
      <c r="MV217" s="128"/>
      <c r="MW217" s="128"/>
      <c r="MX217" s="128"/>
      <c r="MY217" s="128"/>
      <c r="MZ217" s="128"/>
      <c r="NA217" s="128"/>
      <c r="NB217" s="128"/>
      <c r="NC217" s="128"/>
      <c r="ND217" s="128"/>
      <c r="NE217" s="128"/>
      <c r="NF217" s="128"/>
      <c r="NG217" s="128"/>
      <c r="NH217" s="128"/>
      <c r="NI217" s="128"/>
      <c r="NJ217" s="128"/>
      <c r="NK217" s="128"/>
      <c r="NL217" s="128"/>
      <c r="NM217" s="128"/>
      <c r="NN217" s="128"/>
      <c r="NO217" s="128"/>
      <c r="NP217" s="128"/>
      <c r="NQ217" s="128"/>
      <c r="NR217" s="128"/>
      <c r="NS217" s="128"/>
      <c r="NT217" s="128"/>
      <c r="NU217" s="128"/>
      <c r="NV217" s="128"/>
      <c r="NW217" s="128"/>
      <c r="NX217" s="128"/>
      <c r="NY217" s="128"/>
      <c r="NZ217" s="128"/>
      <c r="OA217" s="128"/>
      <c r="OB217" s="128"/>
      <c r="OC217" s="128"/>
      <c r="OD217" s="128"/>
      <c r="OE217" s="128"/>
      <c r="OF217" s="128"/>
      <c r="OG217" s="128"/>
      <c r="OH217" s="128"/>
      <c r="OI217" s="128"/>
      <c r="OJ217" s="128"/>
      <c r="OK217" s="128"/>
      <c r="OL217" s="128"/>
      <c r="OM217" s="128"/>
      <c r="ON217" s="128"/>
      <c r="OO217" s="128"/>
      <c r="OP217" s="128"/>
      <c r="OQ217" s="128"/>
      <c r="OR217" s="128"/>
      <c r="OS217" s="128"/>
      <c r="OT217" s="128"/>
      <c r="OU217" s="128"/>
      <c r="OV217" s="128"/>
      <c r="OW217" s="128"/>
      <c r="OX217" s="128"/>
      <c r="OY217" s="128"/>
      <c r="OZ217" s="128"/>
      <c r="PA217" s="128"/>
      <c r="PB217" s="128"/>
      <c r="PC217" s="128"/>
      <c r="PD217" s="128"/>
      <c r="PE217" s="128"/>
      <c r="PF217" s="128"/>
      <c r="PG217" s="128"/>
      <c r="PH217" s="128"/>
      <c r="PI217" s="128"/>
      <c r="PJ217" s="128"/>
      <c r="PK217" s="128"/>
      <c r="PL217" s="128"/>
      <c r="PM217" s="128"/>
      <c r="PN217" s="128"/>
      <c r="PO217" s="128"/>
      <c r="PP217" s="128"/>
      <c r="PQ217" s="128"/>
      <c r="PR217" s="128"/>
      <c r="PS217" s="128"/>
      <c r="PT217" s="128"/>
      <c r="PU217" s="128"/>
      <c r="PV217" s="128"/>
      <c r="PW217" s="128"/>
      <c r="PX217" s="128"/>
      <c r="PY217" s="128"/>
      <c r="PZ217" s="128"/>
      <c r="QA217" s="128"/>
      <c r="QB217" s="128"/>
      <c r="QC217" s="128"/>
      <c r="QD217" s="128"/>
      <c r="QE217" s="128"/>
      <c r="QF217" s="128"/>
      <c r="QG217" s="128"/>
      <c r="QH217" s="128"/>
      <c r="QI217" s="128"/>
      <c r="QJ217" s="128"/>
      <c r="QK217" s="128"/>
      <c r="QL217" s="128"/>
      <c r="QM217" s="128"/>
      <c r="QN217" s="128"/>
      <c r="QO217" s="128"/>
      <c r="QP217" s="128"/>
      <c r="QQ217" s="128"/>
      <c r="QR217" s="128"/>
      <c r="QS217" s="128"/>
      <c r="QT217" s="128"/>
      <c r="QU217" s="128"/>
      <c r="QV217" s="128"/>
      <c r="QW217" s="128"/>
      <c r="QX217" s="128"/>
      <c r="QY217" s="128"/>
      <c r="QZ217" s="128"/>
      <c r="RA217" s="128"/>
      <c r="RB217" s="128"/>
      <c r="RC217" s="128"/>
      <c r="RD217" s="128"/>
      <c r="RE217" s="128"/>
      <c r="RF217" s="128"/>
      <c r="RG217" s="128"/>
      <c r="RH217" s="128"/>
      <c r="RI217" s="128"/>
      <c r="RJ217" s="128"/>
      <c r="RK217" s="128"/>
      <c r="RL217" s="128"/>
      <c r="RM217" s="128"/>
      <c r="RN217" s="128"/>
      <c r="RO217" s="128"/>
      <c r="RP217" s="128"/>
      <c r="RQ217" s="128"/>
      <c r="RR217" s="128"/>
      <c r="RS217" s="128"/>
      <c r="RT217" s="128"/>
      <c r="RU217" s="128"/>
      <c r="RV217" s="128"/>
      <c r="RW217" s="128"/>
      <c r="RX217" s="128"/>
      <c r="RY217" s="128"/>
      <c r="RZ217" s="128"/>
      <c r="SA217" s="128"/>
      <c r="SB217" s="128"/>
      <c r="SC217" s="128"/>
      <c r="SD217" s="128"/>
      <c r="SE217" s="128"/>
      <c r="SF217" s="128"/>
      <c r="SG217" s="128"/>
      <c r="SH217" s="128"/>
      <c r="SI217" s="128"/>
      <c r="SJ217" s="128"/>
      <c r="SK217" s="128"/>
      <c r="SL217" s="128"/>
      <c r="SM217" s="128"/>
      <c r="SN217" s="128"/>
      <c r="SO217" s="128"/>
      <c r="SP217" s="128"/>
      <c r="SQ217" s="128"/>
      <c r="SR217" s="128"/>
      <c r="SS217" s="128"/>
      <c r="ST217" s="128"/>
      <c r="SU217" s="128"/>
      <c r="SV217" s="128"/>
      <c r="SW217" s="128"/>
      <c r="SX217" s="128"/>
      <c r="SY217" s="128"/>
      <c r="SZ217" s="128"/>
      <c r="TA217" s="128"/>
      <c r="TB217" s="128"/>
      <c r="TC217" s="128"/>
      <c r="TD217" s="128"/>
      <c r="TE217" s="128"/>
      <c r="TF217" s="128"/>
      <c r="TG217" s="128"/>
      <c r="TH217" s="128"/>
      <c r="TI217" s="128"/>
      <c r="TJ217" s="128"/>
      <c r="TK217" s="128"/>
      <c r="TL217" s="128"/>
      <c r="TM217" s="128"/>
      <c r="TN217" s="128"/>
      <c r="TO217" s="128"/>
      <c r="TP217" s="128"/>
      <c r="TQ217" s="128"/>
      <c r="TR217" s="128"/>
      <c r="TS217" s="128"/>
      <c r="TT217" s="128"/>
      <c r="TU217" s="128"/>
      <c r="TV217" s="128"/>
      <c r="TW217" s="128"/>
      <c r="TX217" s="128"/>
      <c r="TY217" s="128"/>
      <c r="TZ217" s="128"/>
      <c r="UA217" s="128"/>
      <c r="UB217" s="128"/>
      <c r="UC217" s="128"/>
      <c r="UD217" s="128"/>
      <c r="UE217" s="128"/>
      <c r="UF217" s="128"/>
      <c r="UG217" s="128"/>
      <c r="UH217" s="128"/>
      <c r="UI217" s="128"/>
      <c r="UJ217" s="128"/>
      <c r="UK217" s="128"/>
      <c r="UL217" s="128"/>
      <c r="UM217" s="128"/>
      <c r="UN217" s="128"/>
      <c r="UO217" s="128"/>
      <c r="UP217" s="128"/>
      <c r="UQ217" s="128"/>
      <c r="UR217" s="128"/>
      <c r="US217" s="128"/>
      <c r="UT217" s="128"/>
      <c r="UU217" s="128"/>
      <c r="UV217" s="128"/>
      <c r="UW217" s="128"/>
      <c r="UX217" s="128"/>
      <c r="UY217" s="128"/>
      <c r="UZ217" s="128"/>
      <c r="VA217" s="128"/>
      <c r="VB217" s="128"/>
      <c r="VC217" s="128"/>
      <c r="VD217" s="128"/>
      <c r="VE217" s="128"/>
      <c r="VF217" s="128"/>
      <c r="VG217" s="128"/>
      <c r="VH217" s="128"/>
      <c r="VI217" s="128"/>
      <c r="VJ217" s="128"/>
      <c r="VK217" s="128"/>
      <c r="VL217" s="128"/>
      <c r="VM217" s="128"/>
      <c r="VN217" s="128"/>
      <c r="VO217" s="128"/>
      <c r="VP217" s="128"/>
      <c r="VQ217" s="128"/>
      <c r="VR217" s="128"/>
      <c r="VS217" s="128"/>
      <c r="VT217" s="128"/>
      <c r="VU217" s="128"/>
      <c r="VV217" s="128"/>
      <c r="VW217" s="128"/>
      <c r="VX217" s="128"/>
      <c r="VY217" s="128"/>
      <c r="VZ217" s="128"/>
      <c r="WA217" s="128"/>
      <c r="WB217" s="128"/>
      <c r="WC217" s="128"/>
      <c r="WD217" s="128"/>
      <c r="WE217" s="128"/>
      <c r="WF217" s="128"/>
      <c r="WG217" s="128"/>
      <c r="WH217" s="128"/>
      <c r="WI217" s="128"/>
      <c r="WJ217" s="128"/>
      <c r="WK217" s="128"/>
      <c r="WL217" s="128"/>
      <c r="WM217" s="128"/>
      <c r="WN217" s="128"/>
      <c r="WO217" s="128"/>
      <c r="WP217" s="128"/>
      <c r="WQ217" s="128"/>
      <c r="WR217" s="128"/>
      <c r="WS217" s="128"/>
      <c r="WT217" s="128"/>
      <c r="WU217" s="128"/>
      <c r="WV217" s="128"/>
      <c r="WW217" s="128"/>
      <c r="WX217" s="128"/>
      <c r="WY217" s="128"/>
      <c r="WZ217" s="128"/>
      <c r="XA217" s="128"/>
      <c r="XB217" s="128"/>
      <c r="XC217" s="128"/>
      <c r="XD217" s="128"/>
      <c r="XE217" s="128"/>
      <c r="XF217" s="128"/>
      <c r="XG217" s="128"/>
      <c r="XH217" s="128"/>
      <c r="XI217" s="128"/>
      <c r="XJ217" s="128"/>
      <c r="XK217" s="128"/>
      <c r="XL217" s="128"/>
      <c r="XM217" s="128"/>
      <c r="XN217" s="128"/>
      <c r="XO217" s="128"/>
      <c r="XP217" s="128"/>
      <c r="XQ217" s="128"/>
      <c r="XR217" s="128"/>
      <c r="XS217" s="128"/>
      <c r="XT217" s="128"/>
      <c r="XU217" s="128"/>
      <c r="XV217" s="128"/>
      <c r="XW217" s="128"/>
      <c r="XX217" s="128"/>
      <c r="XY217" s="128"/>
      <c r="XZ217" s="128"/>
      <c r="YA217" s="128"/>
      <c r="YB217" s="128"/>
      <c r="YC217" s="128"/>
      <c r="YD217" s="128"/>
      <c r="YE217" s="128"/>
      <c r="YF217" s="128"/>
      <c r="YG217" s="128"/>
      <c r="YH217" s="128"/>
      <c r="YI217" s="128"/>
      <c r="YJ217" s="128"/>
      <c r="YK217" s="128"/>
      <c r="YL217" s="128"/>
      <c r="YM217" s="128"/>
      <c r="YN217" s="128"/>
      <c r="YO217" s="128"/>
      <c r="YP217" s="128"/>
      <c r="YQ217" s="128"/>
      <c r="YR217" s="128"/>
      <c r="YS217" s="128"/>
      <c r="YT217" s="128"/>
      <c r="YU217" s="128"/>
      <c r="YV217" s="128"/>
      <c r="YW217" s="128"/>
      <c r="YX217" s="128"/>
      <c r="YY217" s="128"/>
      <c r="YZ217" s="128"/>
      <c r="ZA217" s="128"/>
      <c r="ZB217" s="128"/>
      <c r="ZC217" s="128"/>
      <c r="ZD217" s="128"/>
      <c r="ZE217" s="128"/>
      <c r="ZF217" s="128"/>
      <c r="ZG217" s="128"/>
      <c r="ZH217" s="128"/>
      <c r="ZI217" s="128"/>
      <c r="ZJ217" s="128"/>
      <c r="ZK217" s="128"/>
      <c r="ZL217" s="128"/>
      <c r="ZM217" s="128"/>
      <c r="ZN217" s="128"/>
      <c r="ZO217" s="128"/>
      <c r="ZP217" s="128"/>
      <c r="ZQ217" s="128"/>
      <c r="ZR217" s="128"/>
      <c r="ZS217" s="128"/>
      <c r="ZT217" s="128"/>
      <c r="ZU217" s="128"/>
      <c r="ZV217" s="128"/>
      <c r="ZW217" s="128"/>
      <c r="ZX217" s="128"/>
      <c r="ZY217" s="128"/>
      <c r="ZZ217" s="128"/>
      <c r="AAA217" s="128"/>
      <c r="AAB217" s="128"/>
      <c r="AAC217" s="128"/>
      <c r="AAD217" s="128"/>
      <c r="AAE217" s="128"/>
      <c r="AAF217" s="128"/>
      <c r="AAG217" s="128"/>
      <c r="AAH217" s="128"/>
      <c r="AAI217" s="128"/>
      <c r="AAJ217" s="128"/>
      <c r="AAK217" s="128"/>
      <c r="AAL217" s="128"/>
      <c r="AAM217" s="128"/>
      <c r="AAN217" s="128"/>
      <c r="AAO217" s="128"/>
      <c r="AAP217" s="128"/>
      <c r="AAQ217" s="128"/>
      <c r="AAR217" s="128"/>
      <c r="AAS217" s="128"/>
      <c r="AAT217" s="128"/>
      <c r="AAU217" s="128"/>
      <c r="AAV217" s="128"/>
      <c r="AAW217" s="128"/>
      <c r="AAX217" s="128"/>
      <c r="AAY217" s="128"/>
      <c r="AAZ217" s="128"/>
      <c r="ABA217" s="128"/>
      <c r="ABB217" s="128"/>
      <c r="ABC217" s="128"/>
      <c r="ABD217" s="128"/>
      <c r="ABE217" s="128"/>
      <c r="ABF217" s="128"/>
      <c r="ABG217" s="128"/>
      <c r="ABH217" s="128"/>
      <c r="ABI217" s="128"/>
      <c r="ABJ217" s="128"/>
      <c r="ABK217" s="128"/>
      <c r="ABL217" s="128"/>
      <c r="ABM217" s="128"/>
      <c r="ABN217" s="128"/>
      <c r="ABO217" s="128"/>
      <c r="ABP217" s="128"/>
      <c r="ABQ217" s="128"/>
      <c r="ABR217" s="128"/>
      <c r="ABS217" s="128"/>
      <c r="ABT217" s="128"/>
      <c r="ABU217" s="128"/>
      <c r="ABV217" s="128"/>
      <c r="ABW217" s="128"/>
      <c r="ABX217" s="128"/>
      <c r="ABY217" s="128"/>
      <c r="ABZ217" s="128"/>
      <c r="ACA217" s="128"/>
      <c r="ACB217" s="128"/>
      <c r="ACC217" s="128"/>
      <c r="ACD217" s="128"/>
      <c r="ACE217" s="128"/>
      <c r="ACF217" s="128"/>
      <c r="ACG217" s="128"/>
      <c r="ACH217" s="128"/>
      <c r="ACI217" s="128"/>
      <c r="ACJ217" s="128"/>
      <c r="ACK217" s="128"/>
      <c r="ACL217" s="128"/>
      <c r="ACM217" s="128"/>
      <c r="ACN217" s="128"/>
      <c r="ACO217" s="128"/>
      <c r="ACP217" s="128"/>
      <c r="ACQ217" s="128"/>
      <c r="ACR217" s="128"/>
      <c r="ACS217" s="128"/>
      <c r="ACT217" s="128"/>
      <c r="ACU217" s="128"/>
      <c r="ACV217" s="128"/>
      <c r="ACW217" s="128"/>
      <c r="ACX217" s="128"/>
      <c r="ACY217" s="128"/>
      <c r="ACZ217" s="128"/>
      <c r="ADA217" s="128"/>
      <c r="ADB217" s="128"/>
      <c r="ADC217" s="128"/>
      <c r="ADD217" s="128"/>
      <c r="ADE217" s="128"/>
      <c r="ADF217" s="128"/>
      <c r="ADG217" s="128"/>
      <c r="ADH217" s="128"/>
      <c r="ADI217" s="128"/>
      <c r="ADJ217" s="128"/>
      <c r="ADK217" s="128"/>
      <c r="ADL217" s="128"/>
      <c r="ADM217" s="128"/>
      <c r="ADN217" s="128"/>
      <c r="ADO217" s="128"/>
      <c r="ADP217" s="128"/>
      <c r="ADQ217" s="128"/>
      <c r="ADR217" s="128"/>
      <c r="ADS217" s="128"/>
      <c r="ADT217" s="128"/>
      <c r="ADU217" s="128"/>
      <c r="ADV217" s="128"/>
      <c r="ADW217" s="128"/>
      <c r="ADX217" s="128"/>
      <c r="ADY217" s="128"/>
      <c r="ADZ217" s="128"/>
      <c r="AEA217" s="128"/>
      <c r="AEB217" s="128"/>
      <c r="AEC217" s="128"/>
      <c r="AED217" s="128"/>
      <c r="AEE217" s="128"/>
      <c r="AEF217" s="128"/>
      <c r="AEG217" s="128"/>
      <c r="AEH217" s="128"/>
      <c r="AEI217" s="128"/>
      <c r="AEJ217" s="128"/>
      <c r="AEK217" s="128"/>
      <c r="AEL217" s="128"/>
      <c r="AEM217" s="128"/>
      <c r="AEN217" s="128"/>
      <c r="AEO217" s="128"/>
      <c r="AEP217" s="128"/>
      <c r="AEQ217" s="128"/>
      <c r="AER217" s="128"/>
      <c r="AES217" s="128"/>
      <c r="AET217" s="128"/>
      <c r="AEU217" s="128"/>
      <c r="AEV217" s="128"/>
      <c r="AEW217" s="128"/>
      <c r="AEX217" s="128"/>
      <c r="AEY217" s="128"/>
      <c r="AEZ217" s="128"/>
      <c r="AFA217" s="128"/>
      <c r="AFB217" s="128"/>
      <c r="AFC217" s="128"/>
      <c r="AFD217" s="128"/>
      <c r="AFE217" s="128"/>
      <c r="AFF217" s="128"/>
      <c r="AFG217" s="128"/>
      <c r="AFH217" s="128"/>
      <c r="AFI217" s="128"/>
      <c r="AFJ217" s="128"/>
      <c r="AFK217" s="128"/>
      <c r="AFL217" s="128"/>
      <c r="AFM217" s="128"/>
      <c r="AFN217" s="128"/>
      <c r="AFO217" s="128"/>
      <c r="AFP217" s="128"/>
      <c r="AFQ217" s="128"/>
      <c r="AFR217" s="128"/>
      <c r="AFS217" s="128"/>
      <c r="AFT217" s="128"/>
      <c r="AFU217" s="128"/>
      <c r="AFV217" s="128"/>
      <c r="AFW217" s="128"/>
      <c r="AFX217" s="128"/>
      <c r="AFY217" s="128"/>
      <c r="AFZ217" s="128"/>
      <c r="AGA217" s="128"/>
      <c r="AGB217" s="128"/>
      <c r="AGC217" s="128"/>
      <c r="AGD217" s="128"/>
      <c r="AGE217" s="128"/>
      <c r="AGF217" s="128"/>
      <c r="AGG217" s="128"/>
      <c r="AGH217" s="128"/>
      <c r="AGI217" s="128"/>
      <c r="AGJ217" s="128"/>
      <c r="AGK217" s="128"/>
      <c r="AGL217" s="128"/>
      <c r="AGM217" s="128"/>
      <c r="AGN217" s="128"/>
      <c r="AGO217" s="128"/>
      <c r="AGP217" s="128"/>
      <c r="AGQ217" s="128"/>
      <c r="AGR217" s="128"/>
      <c r="AGS217" s="128"/>
      <c r="AGT217" s="128"/>
      <c r="AGU217" s="128"/>
      <c r="AGV217" s="128"/>
      <c r="AGW217" s="128"/>
      <c r="AGX217" s="128"/>
      <c r="AGY217" s="128"/>
      <c r="AGZ217" s="128"/>
      <c r="AHA217" s="128"/>
      <c r="AHB217" s="128"/>
      <c r="AHC217" s="128"/>
      <c r="AHD217" s="128"/>
      <c r="AHE217" s="128"/>
      <c r="AHF217" s="128"/>
      <c r="AHG217" s="128"/>
      <c r="AHH217" s="128"/>
      <c r="AHI217" s="128"/>
      <c r="AHJ217" s="128"/>
      <c r="AHK217" s="128"/>
      <c r="AHL217" s="128"/>
      <c r="AHM217" s="128"/>
      <c r="AHN217" s="128"/>
      <c r="AHO217" s="128"/>
      <c r="AHP217" s="128"/>
      <c r="AHQ217" s="128"/>
      <c r="AHR217" s="128"/>
      <c r="AHS217" s="128"/>
      <c r="AHT217" s="128"/>
      <c r="AHU217" s="128"/>
      <c r="AHV217" s="128"/>
      <c r="AHW217" s="128"/>
      <c r="AHX217" s="128"/>
      <c r="AHY217" s="128"/>
      <c r="AHZ217" s="128"/>
      <c r="AIA217" s="128"/>
      <c r="AIB217" s="128"/>
      <c r="AIC217" s="128"/>
      <c r="AID217" s="128"/>
      <c r="AIE217" s="128"/>
      <c r="AIF217" s="128"/>
      <c r="AIG217" s="128"/>
      <c r="AIH217" s="128"/>
      <c r="AII217" s="128"/>
      <c r="AIJ217" s="128"/>
      <c r="AIK217" s="128"/>
      <c r="AIL217" s="128"/>
      <c r="AIM217" s="128"/>
      <c r="AIN217" s="128"/>
      <c r="AIO217" s="128"/>
      <c r="AIP217" s="128"/>
      <c r="AIQ217" s="128"/>
      <c r="AIR217" s="128"/>
      <c r="AIS217" s="128"/>
      <c r="AIT217" s="128"/>
      <c r="AIU217" s="128"/>
      <c r="AIV217" s="128"/>
      <c r="AIW217" s="128"/>
      <c r="AIX217" s="128"/>
      <c r="AIY217" s="128"/>
      <c r="AIZ217" s="128"/>
      <c r="AJA217" s="128"/>
      <c r="AJB217" s="128"/>
      <c r="AJC217" s="128"/>
      <c r="AJD217" s="128"/>
      <c r="AJE217" s="128"/>
      <c r="AJF217" s="128"/>
      <c r="AJG217" s="128"/>
      <c r="AJH217" s="128"/>
      <c r="AJI217" s="128"/>
      <c r="AJJ217" s="128"/>
      <c r="AJK217" s="128"/>
      <c r="AJL217" s="128"/>
      <c r="AJM217" s="128"/>
      <c r="AJN217" s="128"/>
      <c r="AJO217" s="128"/>
      <c r="AJP217" s="128"/>
      <c r="AJQ217" s="128"/>
      <c r="AJR217" s="128"/>
      <c r="AJS217" s="128"/>
      <c r="AJT217" s="128"/>
      <c r="AJU217" s="128"/>
      <c r="AJV217" s="128"/>
      <c r="AJW217" s="128"/>
      <c r="AJX217" s="128"/>
      <c r="AJY217" s="128"/>
      <c r="AJZ217" s="128"/>
      <c r="AKA217" s="128"/>
      <c r="AKB217" s="128"/>
      <c r="AKC217" s="128"/>
      <c r="AKD217" s="128"/>
      <c r="AKE217" s="128"/>
      <c r="AKF217" s="128"/>
      <c r="AKG217" s="128"/>
      <c r="AKH217" s="128"/>
      <c r="AKI217" s="128"/>
      <c r="AKJ217" s="128"/>
      <c r="AKK217" s="128"/>
      <c r="AKL217" s="128"/>
      <c r="AKM217" s="128"/>
      <c r="AKN217" s="128"/>
      <c r="AKO217" s="128"/>
      <c r="AKP217" s="128"/>
      <c r="AKQ217" s="128"/>
      <c r="AKR217" s="128"/>
      <c r="AKS217" s="128"/>
      <c r="AKT217" s="128"/>
      <c r="AKU217" s="128"/>
      <c r="AKV217" s="128"/>
      <c r="AKW217" s="128"/>
      <c r="AKX217" s="128"/>
      <c r="AKY217" s="128"/>
      <c r="AKZ217" s="128"/>
      <c r="ALA217" s="128"/>
      <c r="ALB217" s="128"/>
      <c r="ALC217" s="128"/>
      <c r="ALD217" s="128"/>
      <c r="ALE217" s="128"/>
      <c r="ALF217" s="128"/>
      <c r="ALG217" s="128"/>
      <c r="ALH217" s="128"/>
      <c r="ALI217" s="128"/>
      <c r="ALJ217" s="128"/>
      <c r="ALK217" s="128"/>
      <c r="ALL217" s="128"/>
      <c r="ALM217" s="128"/>
      <c r="ALN217" s="128"/>
      <c r="ALO217" s="128"/>
      <c r="ALP217" s="128"/>
      <c r="ALQ217" s="128"/>
      <c r="ALR217" s="128"/>
      <c r="ALS217" s="128"/>
      <c r="ALT217" s="128"/>
      <c r="ALU217" s="128"/>
      <c r="ALV217" s="128"/>
      <c r="ALW217" s="128"/>
      <c r="ALX217" s="128"/>
      <c r="ALY217" s="128"/>
      <c r="ALZ217" s="128"/>
      <c r="AMA217"/>
      <c r="AMB217"/>
      <c r="AMC217"/>
      <c r="AMD217"/>
    </row>
    <row r="218" spans="1:1018" s="96" customFormat="1" ht="12" customHeight="1">
      <c r="A218" s="130"/>
      <c r="B218" s="130"/>
      <c r="C218" s="130"/>
      <c r="D218" s="130"/>
      <c r="E218" s="130"/>
      <c r="F218" s="130"/>
      <c r="I218" s="225"/>
      <c r="K218" s="159"/>
      <c r="P218" s="173"/>
      <c r="T218" s="277"/>
      <c r="X218"/>
      <c r="Y218" s="179"/>
      <c r="AA218" s="159"/>
      <c r="AC218"/>
      <c r="AE218" s="128"/>
      <c r="AF218"/>
      <c r="AG218" s="128"/>
      <c r="AH218" s="128"/>
      <c r="AI218" s="128"/>
      <c r="AJ218" s="128"/>
      <c r="AK218" s="128"/>
      <c r="AL218" s="128"/>
      <c r="AM218" s="128"/>
      <c r="AN218" s="128"/>
      <c r="AO218" s="128"/>
      <c r="AP218" s="128"/>
      <c r="AQ218" s="128"/>
      <c r="AR218" s="128"/>
      <c r="AS218" s="128"/>
      <c r="AT218" s="128"/>
      <c r="AU218" s="128"/>
      <c r="AV218" s="128"/>
      <c r="AW218" s="128"/>
      <c r="AX218" s="128"/>
      <c r="AY218" s="128"/>
      <c r="AZ218" s="128"/>
      <c r="BA218" s="128"/>
      <c r="BB218" s="128"/>
      <c r="BC218" s="128"/>
      <c r="BD218" s="128"/>
      <c r="BE218" s="128"/>
      <c r="BF218" s="128"/>
      <c r="BG218" s="128"/>
      <c r="BH218" s="128"/>
      <c r="BI218" s="128"/>
      <c r="BJ218" s="128"/>
      <c r="BK218" s="128"/>
      <c r="BL218" s="128"/>
      <c r="BM218" s="128"/>
      <c r="BN218" s="128"/>
      <c r="BO218" s="128"/>
      <c r="BP218" s="128"/>
      <c r="BQ218" s="128"/>
      <c r="BR218" s="128"/>
      <c r="BS218" s="128"/>
      <c r="BT218" s="128"/>
      <c r="BU218" s="128"/>
      <c r="BV218" s="128"/>
      <c r="BW218" s="128"/>
      <c r="BX218" s="128"/>
      <c r="BY218" s="128"/>
      <c r="BZ218" s="128"/>
      <c r="CA218" s="128"/>
      <c r="CB218" s="128"/>
      <c r="CC218" s="128"/>
      <c r="CD218" s="128"/>
      <c r="CE218" s="128"/>
      <c r="CF218" s="128"/>
      <c r="CG218" s="128"/>
      <c r="CH218" s="128"/>
      <c r="CI218" s="128"/>
      <c r="CJ218" s="128"/>
      <c r="CK218" s="128"/>
      <c r="CL218" s="128"/>
      <c r="CM218" s="128"/>
      <c r="CN218" s="128"/>
      <c r="CO218" s="128"/>
      <c r="CP218" s="128"/>
      <c r="CQ218" s="128"/>
      <c r="CR218" s="128"/>
      <c r="CS218" s="128"/>
      <c r="CT218" s="128"/>
      <c r="CU218" s="128"/>
      <c r="CV218" s="128"/>
      <c r="CW218" s="128"/>
      <c r="CX218" s="128"/>
      <c r="CY218" s="128"/>
      <c r="CZ218" s="128"/>
      <c r="DA218" s="128"/>
      <c r="DB218" s="128"/>
      <c r="DC218" s="128"/>
      <c r="DD218" s="128"/>
      <c r="DE218" s="128"/>
      <c r="DF218" s="128"/>
      <c r="DG218" s="128"/>
      <c r="DH218" s="128"/>
      <c r="DI218" s="128"/>
      <c r="DJ218" s="128"/>
      <c r="DK218" s="128"/>
      <c r="DL218" s="128"/>
      <c r="DM218" s="128"/>
      <c r="DN218" s="128"/>
      <c r="DO218" s="128"/>
      <c r="DP218" s="128"/>
      <c r="DQ218" s="128"/>
      <c r="DR218" s="128"/>
      <c r="DS218" s="128"/>
      <c r="DT218" s="128"/>
      <c r="DU218" s="128"/>
      <c r="DV218" s="128"/>
      <c r="DW218" s="128"/>
      <c r="DX218" s="128"/>
      <c r="DY218" s="128"/>
      <c r="DZ218" s="128"/>
      <c r="EA218" s="128"/>
      <c r="EB218" s="128"/>
      <c r="EC218" s="128"/>
      <c r="ED218" s="128"/>
      <c r="EE218" s="128"/>
      <c r="EF218" s="128"/>
      <c r="EG218" s="128"/>
      <c r="EH218" s="128"/>
      <c r="EI218" s="128"/>
      <c r="EJ218" s="128"/>
      <c r="EK218" s="128"/>
      <c r="EL218" s="128"/>
      <c r="EM218" s="128"/>
      <c r="EN218" s="128"/>
      <c r="EO218" s="128"/>
      <c r="EP218" s="128"/>
      <c r="EQ218" s="128"/>
      <c r="ER218" s="128"/>
      <c r="ES218" s="128"/>
      <c r="ET218" s="128"/>
      <c r="EU218" s="128"/>
      <c r="EV218" s="128"/>
      <c r="EW218" s="128"/>
      <c r="EX218" s="128"/>
      <c r="EY218" s="128"/>
      <c r="EZ218" s="128"/>
      <c r="FA218" s="128"/>
      <c r="FB218" s="128"/>
      <c r="FC218" s="128"/>
      <c r="FD218" s="128"/>
      <c r="FE218" s="128"/>
      <c r="FF218" s="128"/>
      <c r="FG218" s="128"/>
      <c r="FH218" s="128"/>
      <c r="FI218" s="128"/>
      <c r="FJ218" s="128"/>
      <c r="FK218" s="128"/>
      <c r="FL218" s="128"/>
      <c r="FM218" s="128"/>
      <c r="FN218" s="128"/>
      <c r="FO218" s="128"/>
      <c r="FP218" s="128"/>
      <c r="FQ218" s="128"/>
      <c r="FR218" s="128"/>
      <c r="FS218" s="128"/>
      <c r="FT218" s="128"/>
      <c r="FU218" s="128"/>
      <c r="FV218" s="128"/>
      <c r="FW218" s="128"/>
      <c r="FX218" s="128"/>
      <c r="FY218" s="128"/>
      <c r="FZ218" s="128"/>
      <c r="GA218" s="128"/>
      <c r="GB218" s="128"/>
      <c r="GC218" s="128"/>
      <c r="GD218" s="128"/>
      <c r="GE218" s="128"/>
      <c r="GF218" s="128"/>
      <c r="GG218" s="128"/>
      <c r="GH218" s="128"/>
      <c r="GI218" s="128"/>
      <c r="GJ218" s="128"/>
      <c r="GK218" s="128"/>
      <c r="GL218" s="128"/>
      <c r="GM218" s="128"/>
      <c r="GN218" s="128"/>
      <c r="GO218" s="128"/>
      <c r="GP218" s="128"/>
      <c r="GQ218" s="128"/>
      <c r="GR218" s="128"/>
      <c r="GS218" s="128"/>
      <c r="GT218" s="128"/>
      <c r="GU218" s="128"/>
      <c r="GV218" s="128"/>
      <c r="GW218" s="128"/>
      <c r="GX218" s="128"/>
      <c r="GY218" s="128"/>
      <c r="GZ218" s="128"/>
      <c r="HA218" s="128"/>
      <c r="HB218" s="128"/>
      <c r="HC218" s="128"/>
      <c r="HD218" s="128"/>
      <c r="HE218" s="128"/>
      <c r="HF218" s="128"/>
      <c r="HG218" s="128"/>
      <c r="HH218" s="128"/>
      <c r="HI218" s="128"/>
      <c r="HJ218" s="128"/>
      <c r="HK218" s="128"/>
      <c r="HL218" s="128"/>
      <c r="HM218" s="128"/>
      <c r="HN218" s="128"/>
      <c r="HO218" s="128"/>
      <c r="HP218" s="128"/>
      <c r="HQ218" s="128"/>
      <c r="HR218" s="128"/>
      <c r="HS218" s="128"/>
      <c r="HT218" s="128"/>
      <c r="HU218" s="128"/>
      <c r="HV218" s="128"/>
      <c r="HW218" s="128"/>
      <c r="HX218" s="128"/>
      <c r="HY218" s="128"/>
      <c r="HZ218" s="128"/>
      <c r="IA218" s="128"/>
      <c r="IB218" s="128"/>
      <c r="IC218" s="128"/>
      <c r="ID218" s="128"/>
      <c r="IE218" s="128"/>
      <c r="IF218" s="128"/>
      <c r="IG218" s="128"/>
      <c r="IH218" s="128"/>
      <c r="II218" s="128"/>
      <c r="IJ218" s="128"/>
      <c r="IK218" s="128"/>
      <c r="IL218" s="128"/>
      <c r="IM218" s="128"/>
      <c r="IN218" s="128"/>
      <c r="IO218" s="128"/>
      <c r="IP218" s="128"/>
      <c r="IQ218" s="128"/>
      <c r="IR218" s="128"/>
      <c r="IS218" s="128"/>
      <c r="IT218" s="128"/>
      <c r="IU218" s="128"/>
      <c r="IV218" s="128"/>
      <c r="IW218" s="128"/>
      <c r="IX218" s="128"/>
      <c r="IY218" s="128"/>
      <c r="IZ218" s="128"/>
      <c r="JA218" s="128"/>
      <c r="JB218" s="128"/>
      <c r="JC218" s="128"/>
      <c r="JD218" s="128"/>
      <c r="JE218" s="128"/>
      <c r="JF218" s="128"/>
      <c r="JG218" s="128"/>
      <c r="JH218" s="128"/>
      <c r="JI218" s="128"/>
      <c r="JJ218" s="128"/>
      <c r="JK218" s="128"/>
      <c r="JL218" s="128"/>
      <c r="JM218" s="128"/>
      <c r="JN218" s="128"/>
      <c r="JO218" s="128"/>
      <c r="JP218" s="128"/>
      <c r="JQ218" s="128"/>
      <c r="JR218" s="128"/>
      <c r="JS218" s="128"/>
      <c r="JT218" s="128"/>
      <c r="JU218" s="128"/>
      <c r="JV218" s="128"/>
      <c r="JW218" s="128"/>
      <c r="JX218" s="128"/>
      <c r="JY218" s="128"/>
      <c r="JZ218" s="128"/>
      <c r="KA218" s="128"/>
      <c r="KB218" s="128"/>
      <c r="KC218" s="128"/>
      <c r="KD218" s="128"/>
      <c r="KE218" s="128"/>
      <c r="KF218" s="128"/>
      <c r="KG218" s="128"/>
      <c r="KH218" s="128"/>
      <c r="KI218" s="128"/>
      <c r="KJ218" s="128"/>
      <c r="KK218" s="128"/>
      <c r="KL218" s="128"/>
      <c r="KM218" s="128"/>
      <c r="KN218" s="128"/>
      <c r="KO218" s="128"/>
      <c r="KP218" s="128"/>
      <c r="KQ218" s="128"/>
      <c r="KR218" s="128"/>
      <c r="KS218" s="128"/>
      <c r="KT218" s="128"/>
      <c r="KU218" s="128"/>
      <c r="KV218" s="128"/>
      <c r="KW218" s="128"/>
      <c r="KX218" s="128"/>
      <c r="KY218" s="128"/>
      <c r="KZ218" s="128"/>
      <c r="LA218" s="128"/>
      <c r="LB218" s="128"/>
      <c r="LC218" s="128"/>
      <c r="LD218" s="128"/>
      <c r="LE218" s="128"/>
      <c r="LF218" s="128"/>
      <c r="LG218" s="128"/>
      <c r="LH218" s="128"/>
      <c r="LI218" s="128"/>
      <c r="LJ218" s="128"/>
      <c r="LK218" s="128"/>
      <c r="LL218" s="128"/>
      <c r="LM218" s="128"/>
      <c r="LN218" s="128"/>
      <c r="LO218" s="128"/>
      <c r="LP218" s="128"/>
      <c r="LQ218" s="128"/>
      <c r="LR218" s="128"/>
      <c r="LS218" s="128"/>
      <c r="LT218" s="128"/>
      <c r="LU218" s="128"/>
      <c r="LV218" s="128"/>
      <c r="LW218" s="128"/>
      <c r="LX218" s="128"/>
      <c r="LY218" s="128"/>
      <c r="LZ218" s="128"/>
      <c r="MA218" s="128"/>
      <c r="MB218" s="128"/>
      <c r="MC218" s="128"/>
      <c r="MD218" s="128"/>
      <c r="ME218" s="128"/>
      <c r="MF218" s="128"/>
      <c r="MG218" s="128"/>
      <c r="MH218" s="128"/>
      <c r="MI218" s="128"/>
      <c r="MJ218" s="128"/>
      <c r="MK218" s="128"/>
      <c r="ML218" s="128"/>
      <c r="MM218" s="128"/>
      <c r="MN218" s="128"/>
      <c r="MO218" s="128"/>
      <c r="MP218" s="128"/>
      <c r="MQ218" s="128"/>
      <c r="MR218" s="128"/>
      <c r="MS218" s="128"/>
      <c r="MT218" s="128"/>
      <c r="MU218" s="128"/>
      <c r="MV218" s="128"/>
      <c r="MW218" s="128"/>
      <c r="MX218" s="128"/>
      <c r="MY218" s="128"/>
      <c r="MZ218" s="128"/>
      <c r="NA218" s="128"/>
      <c r="NB218" s="128"/>
      <c r="NC218" s="128"/>
      <c r="ND218" s="128"/>
      <c r="NE218" s="128"/>
      <c r="NF218" s="128"/>
      <c r="NG218" s="128"/>
      <c r="NH218" s="128"/>
      <c r="NI218" s="128"/>
      <c r="NJ218" s="128"/>
      <c r="NK218" s="128"/>
      <c r="NL218" s="128"/>
      <c r="NM218" s="128"/>
      <c r="NN218" s="128"/>
      <c r="NO218" s="128"/>
      <c r="NP218" s="128"/>
      <c r="NQ218" s="128"/>
      <c r="NR218" s="128"/>
      <c r="NS218" s="128"/>
      <c r="NT218" s="128"/>
      <c r="NU218" s="128"/>
      <c r="NV218" s="128"/>
      <c r="NW218" s="128"/>
      <c r="NX218" s="128"/>
      <c r="NY218" s="128"/>
      <c r="NZ218" s="128"/>
      <c r="OA218" s="128"/>
      <c r="OB218" s="128"/>
      <c r="OC218" s="128"/>
      <c r="OD218" s="128"/>
      <c r="OE218" s="128"/>
      <c r="OF218" s="128"/>
      <c r="OG218" s="128"/>
      <c r="OH218" s="128"/>
      <c r="OI218" s="128"/>
      <c r="OJ218" s="128"/>
      <c r="OK218" s="128"/>
      <c r="OL218" s="128"/>
      <c r="OM218" s="128"/>
      <c r="ON218" s="128"/>
      <c r="OO218" s="128"/>
      <c r="OP218" s="128"/>
      <c r="OQ218" s="128"/>
      <c r="OR218" s="128"/>
      <c r="OS218" s="128"/>
      <c r="OT218" s="128"/>
      <c r="OU218" s="128"/>
      <c r="OV218" s="128"/>
      <c r="OW218" s="128"/>
      <c r="OX218" s="128"/>
      <c r="OY218" s="128"/>
      <c r="OZ218" s="128"/>
      <c r="PA218" s="128"/>
      <c r="PB218" s="128"/>
      <c r="PC218" s="128"/>
      <c r="PD218" s="128"/>
      <c r="PE218" s="128"/>
      <c r="PF218" s="128"/>
      <c r="PG218" s="128"/>
      <c r="PH218" s="128"/>
      <c r="PI218" s="128"/>
      <c r="PJ218" s="128"/>
      <c r="PK218" s="128"/>
      <c r="PL218" s="128"/>
      <c r="PM218" s="128"/>
      <c r="PN218" s="128"/>
      <c r="PO218" s="128"/>
      <c r="PP218" s="128"/>
      <c r="PQ218" s="128"/>
      <c r="PR218" s="128"/>
      <c r="PS218" s="128"/>
      <c r="PT218" s="128"/>
      <c r="PU218" s="128"/>
      <c r="PV218" s="128"/>
      <c r="PW218" s="128"/>
      <c r="PX218" s="128"/>
      <c r="PY218" s="128"/>
      <c r="PZ218" s="128"/>
      <c r="QA218" s="128"/>
      <c r="QB218" s="128"/>
      <c r="QC218" s="128"/>
      <c r="QD218" s="128"/>
      <c r="QE218" s="128"/>
      <c r="QF218" s="128"/>
      <c r="QG218" s="128"/>
      <c r="QH218" s="128"/>
      <c r="QI218" s="128"/>
      <c r="QJ218" s="128"/>
      <c r="QK218" s="128"/>
      <c r="QL218" s="128"/>
      <c r="QM218" s="128"/>
      <c r="QN218" s="128"/>
      <c r="QO218" s="128"/>
      <c r="QP218" s="128"/>
      <c r="QQ218" s="128"/>
      <c r="QR218" s="128"/>
      <c r="QS218" s="128"/>
      <c r="QT218" s="128"/>
      <c r="QU218" s="128"/>
      <c r="QV218" s="128"/>
      <c r="QW218" s="128"/>
      <c r="QX218" s="128"/>
      <c r="QY218" s="128"/>
      <c r="QZ218" s="128"/>
      <c r="RA218" s="128"/>
      <c r="RB218" s="128"/>
      <c r="RC218" s="128"/>
      <c r="RD218" s="128"/>
      <c r="RE218" s="128"/>
      <c r="RF218" s="128"/>
      <c r="RG218" s="128"/>
      <c r="RH218" s="128"/>
      <c r="RI218" s="128"/>
      <c r="RJ218" s="128"/>
      <c r="RK218" s="128"/>
      <c r="RL218" s="128"/>
      <c r="RM218" s="128"/>
      <c r="RN218" s="128"/>
      <c r="RO218" s="128"/>
      <c r="RP218" s="128"/>
      <c r="RQ218" s="128"/>
      <c r="RR218" s="128"/>
      <c r="RS218" s="128"/>
      <c r="RT218" s="128"/>
      <c r="RU218" s="128"/>
      <c r="RV218" s="128"/>
      <c r="RW218" s="128"/>
      <c r="RX218" s="128"/>
      <c r="RY218" s="128"/>
      <c r="RZ218" s="128"/>
      <c r="SA218" s="128"/>
      <c r="SB218" s="128"/>
      <c r="SC218" s="128"/>
      <c r="SD218" s="128"/>
      <c r="SE218" s="128"/>
      <c r="SF218" s="128"/>
      <c r="SG218" s="128"/>
      <c r="SH218" s="128"/>
      <c r="SI218" s="128"/>
      <c r="SJ218" s="128"/>
      <c r="SK218" s="128"/>
      <c r="SL218" s="128"/>
      <c r="SM218" s="128"/>
      <c r="SN218" s="128"/>
      <c r="SO218" s="128"/>
      <c r="SP218" s="128"/>
      <c r="SQ218" s="128"/>
      <c r="SR218" s="128"/>
      <c r="SS218" s="128"/>
      <c r="ST218" s="128"/>
      <c r="SU218" s="128"/>
      <c r="SV218" s="128"/>
      <c r="SW218" s="128"/>
      <c r="SX218" s="128"/>
      <c r="SY218" s="128"/>
      <c r="SZ218" s="128"/>
      <c r="TA218" s="128"/>
      <c r="TB218" s="128"/>
      <c r="TC218" s="128"/>
      <c r="TD218" s="128"/>
      <c r="TE218" s="128"/>
      <c r="TF218" s="128"/>
      <c r="TG218" s="128"/>
      <c r="TH218" s="128"/>
      <c r="TI218" s="128"/>
      <c r="TJ218" s="128"/>
      <c r="TK218" s="128"/>
      <c r="TL218" s="128"/>
      <c r="TM218" s="128"/>
      <c r="TN218" s="128"/>
      <c r="TO218" s="128"/>
      <c r="TP218" s="128"/>
      <c r="TQ218" s="128"/>
      <c r="TR218" s="128"/>
      <c r="TS218" s="128"/>
      <c r="TT218" s="128"/>
      <c r="TU218" s="128"/>
      <c r="TV218" s="128"/>
      <c r="TW218" s="128"/>
      <c r="TX218" s="128"/>
      <c r="TY218" s="128"/>
      <c r="TZ218" s="128"/>
      <c r="UA218" s="128"/>
      <c r="UB218" s="128"/>
      <c r="UC218" s="128"/>
      <c r="UD218" s="128"/>
      <c r="UE218" s="128"/>
      <c r="UF218" s="128"/>
      <c r="UG218" s="128"/>
      <c r="UH218" s="128"/>
      <c r="UI218" s="128"/>
      <c r="UJ218" s="128"/>
      <c r="UK218" s="128"/>
      <c r="UL218" s="128"/>
      <c r="UM218" s="128"/>
      <c r="UN218" s="128"/>
      <c r="UO218" s="128"/>
      <c r="UP218" s="128"/>
      <c r="UQ218" s="128"/>
      <c r="UR218" s="128"/>
      <c r="US218" s="128"/>
      <c r="UT218" s="128"/>
      <c r="UU218" s="128"/>
      <c r="UV218" s="128"/>
      <c r="UW218" s="128"/>
      <c r="UX218" s="128"/>
      <c r="UY218" s="128"/>
      <c r="UZ218" s="128"/>
      <c r="VA218" s="128"/>
      <c r="VB218" s="128"/>
      <c r="VC218" s="128"/>
      <c r="VD218" s="128"/>
      <c r="VE218" s="128"/>
      <c r="VF218" s="128"/>
      <c r="VG218" s="128"/>
      <c r="VH218" s="128"/>
      <c r="VI218" s="128"/>
      <c r="VJ218" s="128"/>
      <c r="VK218" s="128"/>
      <c r="VL218" s="128"/>
      <c r="VM218" s="128"/>
      <c r="VN218" s="128"/>
      <c r="VO218" s="128"/>
      <c r="VP218" s="128"/>
      <c r="VQ218" s="128"/>
      <c r="VR218" s="128"/>
      <c r="VS218" s="128"/>
      <c r="VT218" s="128"/>
      <c r="VU218" s="128"/>
      <c r="VV218" s="128"/>
      <c r="VW218" s="128"/>
      <c r="VX218" s="128"/>
      <c r="VY218" s="128"/>
      <c r="VZ218" s="128"/>
      <c r="WA218" s="128"/>
      <c r="WB218" s="128"/>
      <c r="WC218" s="128"/>
      <c r="WD218" s="128"/>
      <c r="WE218" s="128"/>
      <c r="WF218" s="128"/>
      <c r="WG218" s="128"/>
      <c r="WH218" s="128"/>
      <c r="WI218" s="128"/>
      <c r="WJ218" s="128"/>
      <c r="WK218" s="128"/>
      <c r="WL218" s="128"/>
      <c r="WM218" s="128"/>
      <c r="WN218" s="128"/>
      <c r="WO218" s="128"/>
      <c r="WP218" s="128"/>
      <c r="WQ218" s="128"/>
      <c r="WR218" s="128"/>
      <c r="WS218" s="128"/>
      <c r="WT218" s="128"/>
      <c r="WU218" s="128"/>
      <c r="WV218" s="128"/>
      <c r="WW218" s="128"/>
      <c r="WX218" s="128"/>
      <c r="WY218" s="128"/>
      <c r="WZ218" s="128"/>
      <c r="XA218" s="128"/>
      <c r="XB218" s="128"/>
      <c r="XC218" s="128"/>
      <c r="XD218" s="128"/>
      <c r="XE218" s="128"/>
      <c r="XF218" s="128"/>
      <c r="XG218" s="128"/>
      <c r="XH218" s="128"/>
      <c r="XI218" s="128"/>
      <c r="XJ218" s="128"/>
      <c r="XK218" s="128"/>
      <c r="XL218" s="128"/>
      <c r="XM218" s="128"/>
      <c r="XN218" s="128"/>
      <c r="XO218" s="128"/>
      <c r="XP218" s="128"/>
      <c r="XQ218" s="128"/>
      <c r="XR218" s="128"/>
      <c r="XS218" s="128"/>
      <c r="XT218" s="128"/>
      <c r="XU218" s="128"/>
      <c r="XV218" s="128"/>
      <c r="XW218" s="128"/>
      <c r="XX218" s="128"/>
      <c r="XY218" s="128"/>
      <c r="XZ218" s="128"/>
      <c r="YA218" s="128"/>
      <c r="YB218" s="128"/>
      <c r="YC218" s="128"/>
      <c r="YD218" s="128"/>
      <c r="YE218" s="128"/>
      <c r="YF218" s="128"/>
      <c r="YG218" s="128"/>
      <c r="YH218" s="128"/>
      <c r="YI218" s="128"/>
      <c r="YJ218" s="128"/>
      <c r="YK218" s="128"/>
      <c r="YL218" s="128"/>
      <c r="YM218" s="128"/>
      <c r="YN218" s="128"/>
      <c r="YO218" s="128"/>
      <c r="YP218" s="128"/>
      <c r="YQ218" s="128"/>
      <c r="YR218" s="128"/>
      <c r="YS218" s="128"/>
      <c r="YT218" s="128"/>
      <c r="YU218" s="128"/>
      <c r="YV218" s="128"/>
      <c r="YW218" s="128"/>
      <c r="YX218" s="128"/>
      <c r="YY218" s="128"/>
      <c r="YZ218" s="128"/>
      <c r="ZA218" s="128"/>
      <c r="ZB218" s="128"/>
      <c r="ZC218" s="128"/>
      <c r="ZD218" s="128"/>
      <c r="ZE218" s="128"/>
      <c r="ZF218" s="128"/>
      <c r="ZG218" s="128"/>
      <c r="ZH218" s="128"/>
      <c r="ZI218" s="128"/>
      <c r="ZJ218" s="128"/>
      <c r="ZK218" s="128"/>
      <c r="ZL218" s="128"/>
      <c r="ZM218" s="128"/>
      <c r="ZN218" s="128"/>
      <c r="ZO218" s="128"/>
      <c r="ZP218" s="128"/>
      <c r="ZQ218" s="128"/>
      <c r="ZR218" s="128"/>
      <c r="ZS218" s="128"/>
      <c r="ZT218" s="128"/>
      <c r="ZU218" s="128"/>
      <c r="ZV218" s="128"/>
      <c r="ZW218" s="128"/>
      <c r="ZX218" s="128"/>
      <c r="ZY218" s="128"/>
      <c r="ZZ218" s="128"/>
      <c r="AAA218" s="128"/>
      <c r="AAB218" s="128"/>
      <c r="AAC218" s="128"/>
      <c r="AAD218" s="128"/>
      <c r="AAE218" s="128"/>
      <c r="AAF218" s="128"/>
      <c r="AAG218" s="128"/>
      <c r="AAH218" s="128"/>
      <c r="AAI218" s="128"/>
      <c r="AAJ218" s="128"/>
      <c r="AAK218" s="128"/>
      <c r="AAL218" s="128"/>
      <c r="AAM218" s="128"/>
      <c r="AAN218" s="128"/>
      <c r="AAO218" s="128"/>
      <c r="AAP218" s="128"/>
      <c r="AAQ218" s="128"/>
      <c r="AAR218" s="128"/>
      <c r="AAS218" s="128"/>
      <c r="AAT218" s="128"/>
      <c r="AAU218" s="128"/>
      <c r="AAV218" s="128"/>
      <c r="AAW218" s="128"/>
      <c r="AAX218" s="128"/>
      <c r="AAY218" s="128"/>
      <c r="AAZ218" s="128"/>
      <c r="ABA218" s="128"/>
      <c r="ABB218" s="128"/>
      <c r="ABC218" s="128"/>
      <c r="ABD218" s="128"/>
      <c r="ABE218" s="128"/>
      <c r="ABF218" s="128"/>
      <c r="ABG218" s="128"/>
      <c r="ABH218" s="128"/>
      <c r="ABI218" s="128"/>
      <c r="ABJ218" s="128"/>
      <c r="ABK218" s="128"/>
      <c r="ABL218" s="128"/>
      <c r="ABM218" s="128"/>
      <c r="ABN218" s="128"/>
      <c r="ABO218" s="128"/>
      <c r="ABP218" s="128"/>
      <c r="ABQ218" s="128"/>
      <c r="ABR218" s="128"/>
      <c r="ABS218" s="128"/>
      <c r="ABT218" s="128"/>
      <c r="ABU218" s="128"/>
      <c r="ABV218" s="128"/>
      <c r="ABW218" s="128"/>
      <c r="ABX218" s="128"/>
      <c r="ABY218" s="128"/>
      <c r="ABZ218" s="128"/>
      <c r="ACA218" s="128"/>
      <c r="ACB218" s="128"/>
      <c r="ACC218" s="128"/>
      <c r="ACD218" s="128"/>
      <c r="ACE218" s="128"/>
      <c r="ACF218" s="128"/>
      <c r="ACG218" s="128"/>
      <c r="ACH218" s="128"/>
      <c r="ACI218" s="128"/>
      <c r="ACJ218" s="128"/>
      <c r="ACK218" s="128"/>
      <c r="ACL218" s="128"/>
      <c r="ACM218" s="128"/>
      <c r="ACN218" s="128"/>
      <c r="ACO218" s="128"/>
      <c r="ACP218" s="128"/>
      <c r="ACQ218" s="128"/>
      <c r="ACR218" s="128"/>
      <c r="ACS218" s="128"/>
      <c r="ACT218" s="128"/>
      <c r="ACU218" s="128"/>
      <c r="ACV218" s="128"/>
      <c r="ACW218" s="128"/>
      <c r="ACX218" s="128"/>
      <c r="ACY218" s="128"/>
      <c r="ACZ218" s="128"/>
      <c r="ADA218" s="128"/>
      <c r="ADB218" s="128"/>
      <c r="ADC218" s="128"/>
      <c r="ADD218" s="128"/>
      <c r="ADE218" s="128"/>
      <c r="ADF218" s="128"/>
      <c r="ADG218" s="128"/>
      <c r="ADH218" s="128"/>
      <c r="ADI218" s="128"/>
      <c r="ADJ218" s="128"/>
      <c r="ADK218" s="128"/>
      <c r="ADL218" s="128"/>
      <c r="ADM218" s="128"/>
      <c r="ADN218" s="128"/>
      <c r="ADO218" s="128"/>
      <c r="ADP218" s="128"/>
      <c r="ADQ218" s="128"/>
      <c r="ADR218" s="128"/>
      <c r="ADS218" s="128"/>
      <c r="ADT218" s="128"/>
      <c r="ADU218" s="128"/>
      <c r="ADV218" s="128"/>
      <c r="ADW218" s="128"/>
      <c r="ADX218" s="128"/>
      <c r="ADY218" s="128"/>
      <c r="ADZ218" s="128"/>
      <c r="AEA218" s="128"/>
      <c r="AEB218" s="128"/>
      <c r="AEC218" s="128"/>
      <c r="AED218" s="128"/>
      <c r="AEE218" s="128"/>
      <c r="AEF218" s="128"/>
      <c r="AEG218" s="128"/>
      <c r="AEH218" s="128"/>
      <c r="AEI218" s="128"/>
      <c r="AEJ218" s="128"/>
      <c r="AEK218" s="128"/>
      <c r="AEL218" s="128"/>
      <c r="AEM218" s="128"/>
      <c r="AEN218" s="128"/>
      <c r="AEO218" s="128"/>
      <c r="AEP218" s="128"/>
      <c r="AEQ218" s="128"/>
      <c r="AER218" s="128"/>
      <c r="AES218" s="128"/>
      <c r="AET218" s="128"/>
      <c r="AEU218" s="128"/>
      <c r="AEV218" s="128"/>
      <c r="AEW218" s="128"/>
      <c r="AEX218" s="128"/>
      <c r="AEY218" s="128"/>
      <c r="AEZ218" s="128"/>
      <c r="AFA218" s="128"/>
      <c r="AFB218" s="128"/>
      <c r="AFC218" s="128"/>
      <c r="AFD218" s="128"/>
      <c r="AFE218" s="128"/>
      <c r="AFF218" s="128"/>
      <c r="AFG218" s="128"/>
      <c r="AFH218" s="128"/>
      <c r="AFI218" s="128"/>
      <c r="AFJ218" s="128"/>
      <c r="AFK218" s="128"/>
      <c r="AFL218" s="128"/>
      <c r="AFM218" s="128"/>
      <c r="AFN218" s="128"/>
      <c r="AFO218" s="128"/>
      <c r="AFP218" s="128"/>
      <c r="AFQ218" s="128"/>
      <c r="AFR218" s="128"/>
      <c r="AFS218" s="128"/>
      <c r="AFT218" s="128"/>
      <c r="AFU218" s="128"/>
      <c r="AFV218" s="128"/>
      <c r="AFW218" s="128"/>
      <c r="AFX218" s="128"/>
      <c r="AFY218" s="128"/>
      <c r="AFZ218" s="128"/>
      <c r="AGA218" s="128"/>
      <c r="AGB218" s="128"/>
      <c r="AGC218" s="128"/>
      <c r="AGD218" s="128"/>
      <c r="AGE218" s="128"/>
      <c r="AGF218" s="128"/>
      <c r="AGG218" s="128"/>
      <c r="AGH218" s="128"/>
      <c r="AGI218" s="128"/>
      <c r="AGJ218" s="128"/>
      <c r="AGK218" s="128"/>
      <c r="AGL218" s="128"/>
      <c r="AGM218" s="128"/>
      <c r="AGN218" s="128"/>
      <c r="AGO218" s="128"/>
      <c r="AGP218" s="128"/>
      <c r="AGQ218" s="128"/>
      <c r="AGR218" s="128"/>
      <c r="AGS218" s="128"/>
      <c r="AGT218" s="128"/>
      <c r="AGU218" s="128"/>
      <c r="AGV218" s="128"/>
      <c r="AGW218" s="128"/>
      <c r="AGX218" s="128"/>
      <c r="AGY218" s="128"/>
      <c r="AGZ218" s="128"/>
      <c r="AHA218" s="128"/>
      <c r="AHB218" s="128"/>
      <c r="AHC218" s="128"/>
      <c r="AHD218" s="128"/>
      <c r="AHE218" s="128"/>
      <c r="AHF218" s="128"/>
      <c r="AHG218" s="128"/>
      <c r="AHH218" s="128"/>
      <c r="AHI218" s="128"/>
      <c r="AHJ218" s="128"/>
      <c r="AHK218" s="128"/>
      <c r="AHL218" s="128"/>
      <c r="AHM218" s="128"/>
      <c r="AHN218" s="128"/>
      <c r="AHO218" s="128"/>
      <c r="AHP218" s="128"/>
      <c r="AHQ218" s="128"/>
      <c r="AHR218" s="128"/>
      <c r="AHS218" s="128"/>
      <c r="AHT218" s="128"/>
      <c r="AHU218" s="128"/>
      <c r="AHV218" s="128"/>
      <c r="AHW218" s="128"/>
      <c r="AHX218" s="128"/>
      <c r="AHY218" s="128"/>
      <c r="AHZ218" s="128"/>
      <c r="AIA218" s="128"/>
      <c r="AIB218" s="128"/>
      <c r="AIC218" s="128"/>
      <c r="AID218" s="128"/>
      <c r="AIE218" s="128"/>
      <c r="AIF218" s="128"/>
      <c r="AIG218" s="128"/>
      <c r="AIH218" s="128"/>
      <c r="AII218" s="128"/>
      <c r="AIJ218" s="128"/>
      <c r="AIK218" s="128"/>
      <c r="AIL218" s="128"/>
      <c r="AIM218" s="128"/>
      <c r="AIN218" s="128"/>
      <c r="AIO218" s="128"/>
      <c r="AIP218" s="128"/>
      <c r="AIQ218" s="128"/>
      <c r="AIR218" s="128"/>
      <c r="AIS218" s="128"/>
      <c r="AIT218" s="128"/>
      <c r="AIU218" s="128"/>
      <c r="AIV218" s="128"/>
      <c r="AIW218" s="128"/>
      <c r="AIX218" s="128"/>
      <c r="AIY218" s="128"/>
      <c r="AIZ218" s="128"/>
      <c r="AJA218" s="128"/>
      <c r="AJB218" s="128"/>
      <c r="AJC218" s="128"/>
      <c r="AJD218" s="128"/>
      <c r="AJE218" s="128"/>
      <c r="AJF218" s="128"/>
      <c r="AJG218" s="128"/>
      <c r="AJH218" s="128"/>
      <c r="AJI218" s="128"/>
      <c r="AJJ218" s="128"/>
      <c r="AJK218" s="128"/>
      <c r="AJL218" s="128"/>
      <c r="AJM218" s="128"/>
      <c r="AJN218" s="128"/>
      <c r="AJO218" s="128"/>
      <c r="AJP218" s="128"/>
      <c r="AJQ218" s="128"/>
      <c r="AJR218" s="128"/>
      <c r="AJS218" s="128"/>
      <c r="AJT218" s="128"/>
      <c r="AJU218" s="128"/>
      <c r="AJV218" s="128"/>
      <c r="AJW218" s="128"/>
      <c r="AJX218" s="128"/>
      <c r="AJY218" s="128"/>
      <c r="AJZ218" s="128"/>
      <c r="AKA218" s="128"/>
      <c r="AKB218" s="128"/>
      <c r="AKC218" s="128"/>
      <c r="AKD218" s="128"/>
      <c r="AKE218" s="128"/>
      <c r="AKF218" s="128"/>
      <c r="AKG218" s="128"/>
      <c r="AKH218" s="128"/>
      <c r="AKI218" s="128"/>
      <c r="AKJ218" s="128"/>
      <c r="AKK218" s="128"/>
      <c r="AKL218" s="128"/>
      <c r="AKM218" s="128"/>
      <c r="AKN218" s="128"/>
      <c r="AKO218" s="128"/>
      <c r="AKP218" s="128"/>
      <c r="AKQ218" s="128"/>
      <c r="AKR218" s="128"/>
      <c r="AKS218" s="128"/>
      <c r="AKT218" s="128"/>
      <c r="AKU218" s="128"/>
      <c r="AKV218" s="128"/>
      <c r="AKW218" s="128"/>
      <c r="AKX218" s="128"/>
      <c r="AKY218" s="128"/>
      <c r="AKZ218" s="128"/>
      <c r="ALA218" s="128"/>
      <c r="ALB218" s="128"/>
      <c r="ALC218" s="128"/>
      <c r="ALD218" s="128"/>
      <c r="ALE218" s="128"/>
      <c r="ALF218" s="128"/>
      <c r="ALG218" s="128"/>
      <c r="ALH218" s="128"/>
      <c r="ALI218" s="128"/>
      <c r="ALJ218" s="128"/>
      <c r="ALK218" s="128"/>
      <c r="ALL218" s="128"/>
      <c r="ALM218" s="128"/>
      <c r="ALN218" s="128"/>
      <c r="ALO218" s="128"/>
      <c r="ALP218" s="128"/>
      <c r="ALQ218" s="128"/>
      <c r="ALR218" s="128"/>
      <c r="ALS218" s="128"/>
      <c r="ALT218" s="128"/>
      <c r="ALU218" s="128"/>
      <c r="ALV218" s="128"/>
      <c r="ALW218" s="128"/>
      <c r="ALX218" s="128"/>
      <c r="ALY218" s="128"/>
      <c r="ALZ218" s="128"/>
      <c r="AMA218"/>
      <c r="AMB218"/>
      <c r="AMC218"/>
      <c r="AMD218"/>
    </row>
    <row r="219" spans="1:1018" s="96" customFormat="1" ht="12" customHeight="1">
      <c r="A219" s="130"/>
      <c r="B219" s="130"/>
      <c r="C219" s="130"/>
      <c r="D219" s="130"/>
      <c r="E219" s="130"/>
      <c r="F219" s="130"/>
      <c r="I219" s="225"/>
      <c r="K219" s="159"/>
      <c r="P219" s="173"/>
      <c r="T219" s="277"/>
      <c r="X219"/>
      <c r="Y219" s="179"/>
      <c r="AA219" s="159"/>
      <c r="AC219"/>
      <c r="AE219" s="128"/>
      <c r="AF219"/>
      <c r="AG219" s="128"/>
      <c r="AH219" s="128"/>
      <c r="AI219" s="128"/>
      <c r="AJ219" s="128"/>
      <c r="AK219" s="128"/>
      <c r="AL219" s="128"/>
      <c r="AM219" s="128"/>
      <c r="AN219" s="128"/>
      <c r="AO219" s="128"/>
      <c r="AP219" s="128"/>
      <c r="AQ219" s="128"/>
      <c r="AR219" s="128"/>
      <c r="AS219" s="128"/>
      <c r="AT219" s="128"/>
      <c r="AU219" s="128"/>
      <c r="AV219" s="128"/>
      <c r="AW219" s="128"/>
      <c r="AX219" s="128"/>
      <c r="AY219" s="128"/>
      <c r="AZ219" s="128"/>
      <c r="BA219" s="128"/>
      <c r="BB219" s="128"/>
      <c r="BC219" s="128"/>
      <c r="BD219" s="128"/>
      <c r="BE219" s="128"/>
      <c r="BF219" s="128"/>
      <c r="BG219" s="128"/>
      <c r="BH219" s="128"/>
      <c r="BI219" s="128"/>
      <c r="BJ219" s="128"/>
      <c r="BK219" s="128"/>
      <c r="BL219" s="128"/>
      <c r="BM219" s="128"/>
      <c r="BN219" s="128"/>
      <c r="BO219" s="128"/>
      <c r="BP219" s="128"/>
      <c r="BQ219" s="128"/>
      <c r="BR219" s="128"/>
      <c r="BS219" s="128"/>
      <c r="BT219" s="128"/>
      <c r="BU219" s="128"/>
      <c r="BV219" s="128"/>
      <c r="BW219" s="128"/>
      <c r="BX219" s="128"/>
      <c r="BY219" s="128"/>
      <c r="BZ219" s="128"/>
      <c r="CA219" s="128"/>
      <c r="CB219" s="128"/>
      <c r="CC219" s="128"/>
      <c r="CD219" s="128"/>
      <c r="CE219" s="128"/>
      <c r="CF219" s="128"/>
      <c r="CG219" s="128"/>
      <c r="CH219" s="128"/>
      <c r="CI219" s="128"/>
      <c r="CJ219" s="128"/>
      <c r="CK219" s="128"/>
      <c r="CL219" s="128"/>
      <c r="CM219" s="128"/>
      <c r="CN219" s="128"/>
      <c r="CO219" s="128"/>
      <c r="CP219" s="128"/>
      <c r="CQ219" s="128"/>
      <c r="CR219" s="128"/>
      <c r="CS219" s="128"/>
      <c r="CT219" s="128"/>
      <c r="CU219" s="128"/>
      <c r="CV219" s="128"/>
      <c r="CW219" s="128"/>
      <c r="CX219" s="128"/>
      <c r="CY219" s="128"/>
      <c r="CZ219" s="128"/>
      <c r="DA219" s="128"/>
      <c r="DB219" s="128"/>
      <c r="DC219" s="128"/>
      <c r="DD219" s="128"/>
      <c r="DE219" s="128"/>
      <c r="DF219" s="128"/>
      <c r="DG219" s="128"/>
      <c r="DH219" s="128"/>
      <c r="DI219" s="128"/>
      <c r="DJ219" s="128"/>
      <c r="DK219" s="128"/>
      <c r="DL219" s="128"/>
      <c r="DM219" s="128"/>
      <c r="DN219" s="128"/>
      <c r="DO219" s="128"/>
      <c r="DP219" s="128"/>
      <c r="DQ219" s="128"/>
      <c r="DR219" s="128"/>
      <c r="DS219" s="128"/>
      <c r="DT219" s="128"/>
      <c r="DU219" s="128"/>
      <c r="DV219" s="128"/>
      <c r="DW219" s="128"/>
      <c r="DX219" s="128"/>
      <c r="DY219" s="128"/>
      <c r="DZ219" s="128"/>
      <c r="EA219" s="128"/>
      <c r="EB219" s="128"/>
      <c r="EC219" s="128"/>
      <c r="ED219" s="128"/>
      <c r="EE219" s="128"/>
      <c r="EF219" s="128"/>
      <c r="EG219" s="128"/>
      <c r="EH219" s="128"/>
      <c r="EI219" s="128"/>
      <c r="EJ219" s="128"/>
      <c r="EK219" s="128"/>
      <c r="EL219" s="128"/>
      <c r="EM219" s="128"/>
      <c r="EN219" s="128"/>
      <c r="EO219" s="128"/>
      <c r="EP219" s="128"/>
      <c r="EQ219" s="128"/>
      <c r="ER219" s="128"/>
      <c r="ES219" s="128"/>
      <c r="ET219" s="128"/>
      <c r="EU219" s="128"/>
      <c r="EV219" s="128"/>
      <c r="EW219" s="128"/>
      <c r="EX219" s="128"/>
      <c r="EY219" s="128"/>
      <c r="EZ219" s="128"/>
      <c r="FA219" s="128"/>
      <c r="FB219" s="128"/>
      <c r="FC219" s="128"/>
      <c r="FD219" s="128"/>
      <c r="FE219" s="128"/>
      <c r="FF219" s="128"/>
      <c r="FG219" s="128"/>
      <c r="FH219" s="128"/>
      <c r="FI219" s="128"/>
      <c r="FJ219" s="128"/>
      <c r="FK219" s="128"/>
      <c r="FL219" s="128"/>
      <c r="FM219" s="128"/>
      <c r="FN219" s="128"/>
      <c r="FO219" s="128"/>
      <c r="FP219" s="128"/>
      <c r="FQ219" s="128"/>
      <c r="FR219" s="128"/>
      <c r="FS219" s="128"/>
      <c r="FT219" s="128"/>
      <c r="FU219" s="128"/>
      <c r="FV219" s="128"/>
      <c r="FW219" s="128"/>
      <c r="FX219" s="128"/>
      <c r="FY219" s="128"/>
      <c r="FZ219" s="128"/>
      <c r="GA219" s="128"/>
      <c r="GB219" s="128"/>
      <c r="GC219" s="128"/>
      <c r="GD219" s="128"/>
      <c r="GE219" s="128"/>
      <c r="GF219" s="128"/>
      <c r="GG219" s="128"/>
      <c r="GH219" s="128"/>
      <c r="GI219" s="128"/>
      <c r="GJ219" s="128"/>
      <c r="GK219" s="128"/>
      <c r="GL219" s="128"/>
      <c r="GM219" s="128"/>
      <c r="GN219" s="128"/>
      <c r="GO219" s="128"/>
      <c r="GP219" s="128"/>
      <c r="GQ219" s="128"/>
      <c r="GR219" s="128"/>
      <c r="GS219" s="128"/>
      <c r="GT219" s="128"/>
      <c r="GU219" s="128"/>
      <c r="GV219" s="128"/>
      <c r="GW219" s="128"/>
      <c r="GX219" s="128"/>
      <c r="GY219" s="128"/>
      <c r="GZ219" s="128"/>
      <c r="HA219" s="128"/>
      <c r="HB219" s="128"/>
      <c r="HC219" s="128"/>
      <c r="HD219" s="128"/>
      <c r="HE219" s="128"/>
      <c r="HF219" s="128"/>
      <c r="HG219" s="128"/>
      <c r="HH219" s="128"/>
      <c r="HI219" s="128"/>
      <c r="HJ219" s="128"/>
      <c r="HK219" s="128"/>
      <c r="HL219" s="128"/>
      <c r="HM219" s="128"/>
      <c r="HN219" s="128"/>
      <c r="HO219" s="128"/>
      <c r="HP219" s="128"/>
      <c r="HQ219" s="128"/>
      <c r="HR219" s="128"/>
      <c r="HS219" s="128"/>
      <c r="HT219" s="128"/>
      <c r="HU219" s="128"/>
      <c r="HV219" s="128"/>
      <c r="HW219" s="128"/>
      <c r="HX219" s="128"/>
      <c r="HY219" s="128"/>
      <c r="HZ219" s="128"/>
      <c r="IA219" s="128"/>
      <c r="IB219" s="128"/>
      <c r="IC219" s="128"/>
      <c r="ID219" s="128"/>
      <c r="IE219" s="128"/>
      <c r="IF219" s="128"/>
      <c r="IG219" s="128"/>
      <c r="IH219" s="128"/>
      <c r="II219" s="128"/>
      <c r="IJ219" s="128"/>
      <c r="IK219" s="128"/>
      <c r="IL219" s="128"/>
      <c r="IM219" s="128"/>
      <c r="IN219" s="128"/>
      <c r="IO219" s="128"/>
      <c r="IP219" s="128"/>
      <c r="IQ219" s="128"/>
      <c r="IR219" s="128"/>
      <c r="IS219" s="128"/>
      <c r="IT219" s="128"/>
      <c r="IU219" s="128"/>
      <c r="IV219" s="128"/>
      <c r="IW219" s="128"/>
      <c r="IX219" s="128"/>
      <c r="IY219" s="128"/>
      <c r="IZ219" s="128"/>
      <c r="JA219" s="128"/>
      <c r="JB219" s="128"/>
      <c r="JC219" s="128"/>
      <c r="JD219" s="128"/>
      <c r="JE219" s="128"/>
      <c r="JF219" s="128"/>
      <c r="JG219" s="128"/>
      <c r="JH219" s="128"/>
      <c r="JI219" s="128"/>
      <c r="JJ219" s="128"/>
      <c r="JK219" s="128"/>
      <c r="JL219" s="128"/>
      <c r="JM219" s="128"/>
      <c r="JN219" s="128"/>
      <c r="JO219" s="128"/>
      <c r="JP219" s="128"/>
      <c r="JQ219" s="128"/>
      <c r="JR219" s="128"/>
      <c r="JS219" s="128"/>
      <c r="JT219" s="128"/>
      <c r="JU219" s="128"/>
      <c r="JV219" s="128"/>
      <c r="JW219" s="128"/>
      <c r="JX219" s="128"/>
      <c r="JY219" s="128"/>
      <c r="JZ219" s="128"/>
      <c r="KA219" s="128"/>
      <c r="KB219" s="128"/>
      <c r="KC219" s="128"/>
      <c r="KD219" s="128"/>
      <c r="KE219" s="128"/>
      <c r="KF219" s="128"/>
      <c r="KG219" s="128"/>
      <c r="KH219" s="128"/>
      <c r="KI219" s="128"/>
      <c r="KJ219" s="128"/>
      <c r="KK219" s="128"/>
      <c r="KL219" s="128"/>
      <c r="KM219" s="128"/>
      <c r="KN219" s="128"/>
      <c r="KO219" s="128"/>
      <c r="KP219" s="128"/>
      <c r="KQ219" s="128"/>
      <c r="KR219" s="128"/>
      <c r="KS219" s="128"/>
      <c r="KT219" s="128"/>
      <c r="KU219" s="128"/>
      <c r="KV219" s="128"/>
      <c r="KW219" s="128"/>
      <c r="KX219" s="128"/>
      <c r="KY219" s="128"/>
      <c r="KZ219" s="128"/>
      <c r="LA219" s="128"/>
      <c r="LB219" s="128"/>
      <c r="LC219" s="128"/>
      <c r="LD219" s="128"/>
      <c r="LE219" s="128"/>
      <c r="LF219" s="128"/>
      <c r="LG219" s="128"/>
      <c r="LH219" s="128"/>
      <c r="LI219" s="128"/>
      <c r="LJ219" s="128"/>
      <c r="LK219" s="128"/>
      <c r="LL219" s="128"/>
      <c r="LM219" s="128"/>
      <c r="LN219" s="128"/>
      <c r="LO219" s="128"/>
      <c r="LP219" s="128"/>
      <c r="LQ219" s="128"/>
      <c r="LR219" s="128"/>
      <c r="LS219" s="128"/>
      <c r="LT219" s="128"/>
      <c r="LU219" s="128"/>
      <c r="LV219" s="128"/>
      <c r="LW219" s="128"/>
      <c r="LX219" s="128"/>
      <c r="LY219" s="128"/>
      <c r="LZ219" s="128"/>
      <c r="MA219" s="128"/>
      <c r="MB219" s="128"/>
      <c r="MC219" s="128"/>
      <c r="MD219" s="128"/>
      <c r="ME219" s="128"/>
      <c r="MF219" s="128"/>
      <c r="MG219" s="128"/>
      <c r="MH219" s="128"/>
      <c r="MI219" s="128"/>
      <c r="MJ219" s="128"/>
      <c r="MK219" s="128"/>
      <c r="ML219" s="128"/>
      <c r="MM219" s="128"/>
      <c r="MN219" s="128"/>
      <c r="MO219" s="128"/>
      <c r="MP219" s="128"/>
      <c r="MQ219" s="128"/>
      <c r="MR219" s="128"/>
      <c r="MS219" s="128"/>
      <c r="MT219" s="128"/>
      <c r="MU219" s="128"/>
      <c r="MV219" s="128"/>
      <c r="MW219" s="128"/>
      <c r="MX219" s="128"/>
      <c r="MY219" s="128"/>
      <c r="MZ219" s="128"/>
      <c r="NA219" s="128"/>
      <c r="NB219" s="128"/>
      <c r="NC219" s="128"/>
      <c r="ND219" s="128"/>
      <c r="NE219" s="128"/>
      <c r="NF219" s="128"/>
      <c r="NG219" s="128"/>
      <c r="NH219" s="128"/>
      <c r="NI219" s="128"/>
      <c r="NJ219" s="128"/>
      <c r="NK219" s="128"/>
      <c r="NL219" s="128"/>
      <c r="NM219" s="128"/>
      <c r="NN219" s="128"/>
      <c r="NO219" s="128"/>
      <c r="NP219" s="128"/>
      <c r="NQ219" s="128"/>
      <c r="NR219" s="128"/>
      <c r="NS219" s="128"/>
      <c r="NT219" s="128"/>
      <c r="NU219" s="128"/>
      <c r="NV219" s="128"/>
      <c r="NW219" s="128"/>
      <c r="NX219" s="128"/>
      <c r="NY219" s="128"/>
      <c r="NZ219" s="128"/>
      <c r="OA219" s="128"/>
      <c r="OB219" s="128"/>
      <c r="OC219" s="128"/>
      <c r="OD219" s="128"/>
      <c r="OE219" s="128"/>
      <c r="OF219" s="128"/>
      <c r="OG219" s="128"/>
      <c r="OH219" s="128"/>
      <c r="OI219" s="128"/>
      <c r="OJ219" s="128"/>
      <c r="OK219" s="128"/>
      <c r="OL219" s="128"/>
      <c r="OM219" s="128"/>
      <c r="ON219" s="128"/>
      <c r="OO219" s="128"/>
      <c r="OP219" s="128"/>
      <c r="OQ219" s="128"/>
      <c r="OR219" s="128"/>
      <c r="OS219" s="128"/>
      <c r="OT219" s="128"/>
      <c r="OU219" s="128"/>
      <c r="OV219" s="128"/>
      <c r="OW219" s="128"/>
      <c r="OX219" s="128"/>
      <c r="OY219" s="128"/>
      <c r="OZ219" s="128"/>
      <c r="PA219" s="128"/>
      <c r="PB219" s="128"/>
      <c r="PC219" s="128"/>
      <c r="PD219" s="128"/>
      <c r="PE219" s="128"/>
      <c r="PF219" s="128"/>
      <c r="PG219" s="128"/>
      <c r="PH219" s="128"/>
      <c r="PI219" s="128"/>
      <c r="PJ219" s="128"/>
      <c r="PK219" s="128"/>
      <c r="PL219" s="128"/>
      <c r="PM219" s="128"/>
      <c r="PN219" s="128"/>
      <c r="PO219" s="128"/>
      <c r="PP219" s="128"/>
      <c r="PQ219" s="128"/>
      <c r="PR219" s="128"/>
      <c r="PS219" s="128"/>
      <c r="PT219" s="128"/>
      <c r="PU219" s="128"/>
      <c r="PV219" s="128"/>
      <c r="PW219" s="128"/>
      <c r="PX219" s="128"/>
      <c r="PY219" s="128"/>
      <c r="PZ219" s="128"/>
      <c r="QA219" s="128"/>
      <c r="QB219" s="128"/>
      <c r="QC219" s="128"/>
      <c r="QD219" s="128"/>
      <c r="QE219" s="128"/>
      <c r="QF219" s="128"/>
      <c r="QG219" s="128"/>
      <c r="QH219" s="128"/>
      <c r="QI219" s="128"/>
      <c r="QJ219" s="128"/>
      <c r="QK219" s="128"/>
      <c r="QL219" s="128"/>
      <c r="QM219" s="128"/>
      <c r="QN219" s="128"/>
      <c r="QO219" s="128"/>
      <c r="QP219" s="128"/>
      <c r="QQ219" s="128"/>
      <c r="QR219" s="128"/>
      <c r="QS219" s="128"/>
      <c r="QT219" s="128"/>
      <c r="QU219" s="128"/>
      <c r="QV219" s="128"/>
      <c r="QW219" s="128"/>
      <c r="QX219" s="128"/>
      <c r="QY219" s="128"/>
      <c r="QZ219" s="128"/>
      <c r="RA219" s="128"/>
      <c r="RB219" s="128"/>
      <c r="RC219" s="128"/>
      <c r="RD219" s="128"/>
      <c r="RE219" s="128"/>
      <c r="RF219" s="128"/>
      <c r="RG219" s="128"/>
      <c r="RH219" s="128"/>
      <c r="RI219" s="128"/>
      <c r="RJ219" s="128"/>
      <c r="RK219" s="128"/>
      <c r="RL219" s="128"/>
      <c r="RM219" s="128"/>
      <c r="RN219" s="128"/>
      <c r="RO219" s="128"/>
      <c r="RP219" s="128"/>
      <c r="RQ219" s="128"/>
      <c r="RR219" s="128"/>
      <c r="RS219" s="128"/>
      <c r="RT219" s="128"/>
      <c r="RU219" s="128"/>
      <c r="RV219" s="128"/>
      <c r="RW219" s="128"/>
      <c r="RX219" s="128"/>
      <c r="RY219" s="128"/>
      <c r="RZ219" s="128"/>
      <c r="SA219" s="128"/>
      <c r="SB219" s="128"/>
      <c r="SC219" s="128"/>
      <c r="SD219" s="128"/>
      <c r="SE219" s="128"/>
      <c r="SF219" s="128"/>
      <c r="SG219" s="128"/>
      <c r="SH219" s="128"/>
      <c r="SI219" s="128"/>
      <c r="SJ219" s="128"/>
      <c r="SK219" s="128"/>
      <c r="SL219" s="128"/>
      <c r="SM219" s="128"/>
      <c r="SN219" s="128"/>
      <c r="SO219" s="128"/>
      <c r="SP219" s="128"/>
      <c r="SQ219" s="128"/>
      <c r="SR219" s="128"/>
      <c r="SS219" s="128"/>
      <c r="ST219" s="128"/>
      <c r="SU219" s="128"/>
      <c r="SV219" s="128"/>
      <c r="SW219" s="128"/>
      <c r="SX219" s="128"/>
      <c r="SY219" s="128"/>
      <c r="SZ219" s="128"/>
      <c r="TA219" s="128"/>
      <c r="TB219" s="128"/>
      <c r="TC219" s="128"/>
      <c r="TD219" s="128"/>
      <c r="TE219" s="128"/>
      <c r="TF219" s="128"/>
      <c r="TG219" s="128"/>
      <c r="TH219" s="128"/>
      <c r="TI219" s="128"/>
      <c r="TJ219" s="128"/>
      <c r="TK219" s="128"/>
      <c r="TL219" s="128"/>
      <c r="TM219" s="128"/>
      <c r="TN219" s="128"/>
      <c r="TO219" s="128"/>
      <c r="TP219" s="128"/>
      <c r="TQ219" s="128"/>
      <c r="TR219" s="128"/>
      <c r="TS219" s="128"/>
      <c r="TT219" s="128"/>
      <c r="TU219" s="128"/>
      <c r="TV219" s="128"/>
      <c r="TW219" s="128"/>
      <c r="TX219" s="128"/>
      <c r="TY219" s="128"/>
      <c r="TZ219" s="128"/>
      <c r="UA219" s="128"/>
      <c r="UB219" s="128"/>
      <c r="UC219" s="128"/>
      <c r="UD219" s="128"/>
      <c r="UE219" s="128"/>
      <c r="UF219" s="128"/>
      <c r="UG219" s="128"/>
      <c r="UH219" s="128"/>
      <c r="UI219" s="128"/>
      <c r="UJ219" s="128"/>
      <c r="UK219" s="128"/>
      <c r="UL219" s="128"/>
      <c r="UM219" s="128"/>
      <c r="UN219" s="128"/>
      <c r="UO219" s="128"/>
      <c r="UP219" s="128"/>
      <c r="UQ219" s="128"/>
      <c r="UR219" s="128"/>
      <c r="US219" s="128"/>
      <c r="UT219" s="128"/>
      <c r="UU219" s="128"/>
      <c r="UV219" s="128"/>
      <c r="UW219" s="128"/>
      <c r="UX219" s="128"/>
      <c r="UY219" s="128"/>
      <c r="UZ219" s="128"/>
      <c r="VA219" s="128"/>
      <c r="VB219" s="128"/>
      <c r="VC219" s="128"/>
      <c r="VD219" s="128"/>
      <c r="VE219" s="128"/>
      <c r="VF219" s="128"/>
      <c r="VG219" s="128"/>
      <c r="VH219" s="128"/>
      <c r="VI219" s="128"/>
      <c r="VJ219" s="128"/>
      <c r="VK219" s="128"/>
      <c r="VL219" s="128"/>
      <c r="VM219" s="128"/>
      <c r="VN219" s="128"/>
      <c r="VO219" s="128"/>
      <c r="VP219" s="128"/>
      <c r="VQ219" s="128"/>
      <c r="VR219" s="128"/>
      <c r="VS219" s="128"/>
      <c r="VT219" s="128"/>
      <c r="VU219" s="128"/>
      <c r="VV219" s="128"/>
      <c r="VW219" s="128"/>
      <c r="VX219" s="128"/>
      <c r="VY219" s="128"/>
      <c r="VZ219" s="128"/>
      <c r="WA219" s="128"/>
      <c r="WB219" s="128"/>
      <c r="WC219" s="128"/>
      <c r="WD219" s="128"/>
      <c r="WE219" s="128"/>
      <c r="WF219" s="128"/>
      <c r="WG219" s="128"/>
      <c r="WH219" s="128"/>
      <c r="WI219" s="128"/>
      <c r="WJ219" s="128"/>
      <c r="WK219" s="128"/>
      <c r="WL219" s="128"/>
      <c r="WM219" s="128"/>
      <c r="WN219" s="128"/>
      <c r="WO219" s="128"/>
      <c r="WP219" s="128"/>
      <c r="WQ219" s="128"/>
      <c r="WR219" s="128"/>
      <c r="WS219" s="128"/>
      <c r="WT219" s="128"/>
      <c r="WU219" s="128"/>
      <c r="WV219" s="128"/>
      <c r="WW219" s="128"/>
      <c r="WX219" s="128"/>
      <c r="WY219" s="128"/>
      <c r="WZ219" s="128"/>
      <c r="XA219" s="128"/>
      <c r="XB219" s="128"/>
      <c r="XC219" s="128"/>
      <c r="XD219" s="128"/>
      <c r="XE219" s="128"/>
      <c r="XF219" s="128"/>
      <c r="XG219" s="128"/>
      <c r="XH219" s="128"/>
      <c r="XI219" s="128"/>
      <c r="XJ219" s="128"/>
      <c r="XK219" s="128"/>
      <c r="XL219" s="128"/>
      <c r="XM219" s="128"/>
      <c r="XN219" s="128"/>
      <c r="XO219" s="128"/>
      <c r="XP219" s="128"/>
      <c r="XQ219" s="128"/>
      <c r="XR219" s="128"/>
      <c r="XS219" s="128"/>
      <c r="XT219" s="128"/>
      <c r="XU219" s="128"/>
      <c r="XV219" s="128"/>
      <c r="XW219" s="128"/>
      <c r="XX219" s="128"/>
      <c r="XY219" s="128"/>
      <c r="XZ219" s="128"/>
      <c r="YA219" s="128"/>
      <c r="YB219" s="128"/>
      <c r="YC219" s="128"/>
      <c r="YD219" s="128"/>
      <c r="YE219" s="128"/>
      <c r="YF219" s="128"/>
      <c r="YG219" s="128"/>
      <c r="YH219" s="128"/>
      <c r="YI219" s="128"/>
      <c r="YJ219" s="128"/>
      <c r="YK219" s="128"/>
      <c r="YL219" s="128"/>
      <c r="YM219" s="128"/>
      <c r="YN219" s="128"/>
      <c r="YO219" s="128"/>
      <c r="YP219" s="128"/>
      <c r="YQ219" s="128"/>
      <c r="YR219" s="128"/>
      <c r="YS219" s="128"/>
      <c r="YT219" s="128"/>
      <c r="YU219" s="128"/>
      <c r="YV219" s="128"/>
      <c r="YW219" s="128"/>
      <c r="YX219" s="128"/>
      <c r="YY219" s="128"/>
      <c r="YZ219" s="128"/>
      <c r="ZA219" s="128"/>
      <c r="ZB219" s="128"/>
      <c r="ZC219" s="128"/>
      <c r="ZD219" s="128"/>
      <c r="ZE219" s="128"/>
      <c r="ZF219" s="128"/>
      <c r="ZG219" s="128"/>
      <c r="ZH219" s="128"/>
      <c r="ZI219" s="128"/>
      <c r="ZJ219" s="128"/>
      <c r="ZK219" s="128"/>
      <c r="ZL219" s="128"/>
      <c r="ZM219" s="128"/>
      <c r="ZN219" s="128"/>
      <c r="ZO219" s="128"/>
      <c r="ZP219" s="128"/>
      <c r="ZQ219" s="128"/>
      <c r="ZR219" s="128"/>
      <c r="ZS219" s="128"/>
      <c r="ZT219" s="128"/>
      <c r="ZU219" s="128"/>
      <c r="ZV219" s="128"/>
      <c r="ZW219" s="128"/>
      <c r="ZX219" s="128"/>
      <c r="ZY219" s="128"/>
      <c r="ZZ219" s="128"/>
      <c r="AAA219" s="128"/>
      <c r="AAB219" s="128"/>
      <c r="AAC219" s="128"/>
      <c r="AAD219" s="128"/>
      <c r="AAE219" s="128"/>
      <c r="AAF219" s="128"/>
      <c r="AAG219" s="128"/>
      <c r="AAH219" s="128"/>
      <c r="AAI219" s="128"/>
      <c r="AAJ219" s="128"/>
      <c r="AAK219" s="128"/>
      <c r="AAL219" s="128"/>
      <c r="AAM219" s="128"/>
      <c r="AAN219" s="128"/>
      <c r="AAO219" s="128"/>
      <c r="AAP219" s="128"/>
      <c r="AAQ219" s="128"/>
      <c r="AAR219" s="128"/>
      <c r="AAS219" s="128"/>
      <c r="AAT219" s="128"/>
      <c r="AAU219" s="128"/>
      <c r="AAV219" s="128"/>
      <c r="AAW219" s="128"/>
      <c r="AAX219" s="128"/>
      <c r="AAY219" s="128"/>
      <c r="AAZ219" s="128"/>
      <c r="ABA219" s="128"/>
      <c r="ABB219" s="128"/>
      <c r="ABC219" s="128"/>
      <c r="ABD219" s="128"/>
      <c r="ABE219" s="128"/>
      <c r="ABF219" s="128"/>
      <c r="ABG219" s="128"/>
      <c r="ABH219" s="128"/>
      <c r="ABI219" s="128"/>
      <c r="ABJ219" s="128"/>
      <c r="ABK219" s="128"/>
      <c r="ABL219" s="128"/>
      <c r="ABM219" s="128"/>
      <c r="ABN219" s="128"/>
      <c r="ABO219" s="128"/>
      <c r="ABP219" s="128"/>
      <c r="ABQ219" s="128"/>
      <c r="ABR219" s="128"/>
      <c r="ABS219" s="128"/>
      <c r="ABT219" s="128"/>
      <c r="ABU219" s="128"/>
      <c r="ABV219" s="128"/>
      <c r="ABW219" s="128"/>
      <c r="ABX219" s="128"/>
      <c r="ABY219" s="128"/>
      <c r="ABZ219" s="128"/>
      <c r="ACA219" s="128"/>
      <c r="ACB219" s="128"/>
      <c r="ACC219" s="128"/>
      <c r="ACD219" s="128"/>
      <c r="ACE219" s="128"/>
      <c r="ACF219" s="128"/>
      <c r="ACG219" s="128"/>
      <c r="ACH219" s="128"/>
      <c r="ACI219" s="128"/>
      <c r="ACJ219" s="128"/>
      <c r="ACK219" s="128"/>
      <c r="ACL219" s="128"/>
      <c r="ACM219" s="128"/>
      <c r="ACN219" s="128"/>
      <c r="ACO219" s="128"/>
      <c r="ACP219" s="128"/>
      <c r="ACQ219" s="128"/>
      <c r="ACR219" s="128"/>
      <c r="ACS219" s="128"/>
      <c r="ACT219" s="128"/>
      <c r="ACU219" s="128"/>
      <c r="ACV219" s="128"/>
      <c r="ACW219" s="128"/>
      <c r="ACX219" s="128"/>
      <c r="ACY219" s="128"/>
      <c r="ACZ219" s="128"/>
      <c r="ADA219" s="128"/>
      <c r="ADB219" s="128"/>
      <c r="ADC219" s="128"/>
      <c r="ADD219" s="128"/>
      <c r="ADE219" s="128"/>
      <c r="ADF219" s="128"/>
      <c r="ADG219" s="128"/>
      <c r="ADH219" s="128"/>
      <c r="ADI219" s="128"/>
      <c r="ADJ219" s="128"/>
      <c r="ADK219" s="128"/>
      <c r="ADL219" s="128"/>
      <c r="ADM219" s="128"/>
      <c r="ADN219" s="128"/>
      <c r="ADO219" s="128"/>
      <c r="ADP219" s="128"/>
      <c r="ADQ219" s="128"/>
      <c r="ADR219" s="128"/>
      <c r="ADS219" s="128"/>
      <c r="ADT219" s="128"/>
      <c r="ADU219" s="128"/>
      <c r="ADV219" s="128"/>
      <c r="ADW219" s="128"/>
      <c r="ADX219" s="128"/>
      <c r="ADY219" s="128"/>
      <c r="ADZ219" s="128"/>
      <c r="AEA219" s="128"/>
      <c r="AEB219" s="128"/>
      <c r="AEC219" s="128"/>
      <c r="AED219" s="128"/>
      <c r="AEE219" s="128"/>
      <c r="AEF219" s="128"/>
      <c r="AEG219" s="128"/>
      <c r="AEH219" s="128"/>
      <c r="AEI219" s="128"/>
      <c r="AEJ219" s="128"/>
      <c r="AEK219" s="128"/>
      <c r="AEL219" s="128"/>
      <c r="AEM219" s="128"/>
      <c r="AEN219" s="128"/>
      <c r="AEO219" s="128"/>
      <c r="AEP219" s="128"/>
      <c r="AEQ219" s="128"/>
      <c r="AER219" s="128"/>
      <c r="AES219" s="128"/>
      <c r="AET219" s="128"/>
      <c r="AEU219" s="128"/>
      <c r="AEV219" s="128"/>
      <c r="AEW219" s="128"/>
      <c r="AEX219" s="128"/>
      <c r="AEY219" s="128"/>
      <c r="AEZ219" s="128"/>
      <c r="AFA219" s="128"/>
      <c r="AFB219" s="128"/>
      <c r="AFC219" s="128"/>
      <c r="AFD219" s="128"/>
      <c r="AFE219" s="128"/>
      <c r="AFF219" s="128"/>
      <c r="AFG219" s="128"/>
      <c r="AFH219" s="128"/>
      <c r="AFI219" s="128"/>
      <c r="AFJ219" s="128"/>
      <c r="AFK219" s="128"/>
      <c r="AFL219" s="128"/>
      <c r="AFM219" s="128"/>
      <c r="AFN219" s="128"/>
      <c r="AFO219" s="128"/>
      <c r="AFP219" s="128"/>
      <c r="AFQ219" s="128"/>
      <c r="AFR219" s="128"/>
      <c r="AFS219" s="128"/>
      <c r="AFT219" s="128"/>
      <c r="AFU219" s="128"/>
      <c r="AFV219" s="128"/>
      <c r="AFW219" s="128"/>
      <c r="AFX219" s="128"/>
      <c r="AFY219" s="128"/>
      <c r="AFZ219" s="128"/>
      <c r="AGA219" s="128"/>
      <c r="AGB219" s="128"/>
      <c r="AGC219" s="128"/>
      <c r="AGD219" s="128"/>
      <c r="AGE219" s="128"/>
      <c r="AGF219" s="128"/>
      <c r="AGG219" s="128"/>
      <c r="AGH219" s="128"/>
      <c r="AGI219" s="128"/>
      <c r="AGJ219" s="128"/>
      <c r="AGK219" s="128"/>
      <c r="AGL219" s="128"/>
      <c r="AGM219" s="128"/>
      <c r="AGN219" s="128"/>
      <c r="AGO219" s="128"/>
      <c r="AGP219" s="128"/>
      <c r="AGQ219" s="128"/>
      <c r="AGR219" s="128"/>
      <c r="AGS219" s="128"/>
      <c r="AGT219" s="128"/>
      <c r="AGU219" s="128"/>
      <c r="AGV219" s="128"/>
      <c r="AGW219" s="128"/>
      <c r="AGX219" s="128"/>
      <c r="AGY219" s="128"/>
      <c r="AGZ219" s="128"/>
      <c r="AHA219" s="128"/>
      <c r="AHB219" s="128"/>
      <c r="AHC219" s="128"/>
      <c r="AHD219" s="128"/>
      <c r="AHE219" s="128"/>
      <c r="AHF219" s="128"/>
      <c r="AHG219" s="128"/>
      <c r="AHH219" s="128"/>
      <c r="AHI219" s="128"/>
      <c r="AHJ219" s="128"/>
      <c r="AHK219" s="128"/>
      <c r="AHL219" s="128"/>
      <c r="AHM219" s="128"/>
      <c r="AHN219" s="128"/>
      <c r="AHO219" s="128"/>
      <c r="AHP219" s="128"/>
      <c r="AHQ219" s="128"/>
      <c r="AHR219" s="128"/>
      <c r="AHS219" s="128"/>
      <c r="AHT219" s="128"/>
      <c r="AHU219" s="128"/>
      <c r="AHV219" s="128"/>
      <c r="AHW219" s="128"/>
      <c r="AHX219" s="128"/>
      <c r="AHY219" s="128"/>
      <c r="AHZ219" s="128"/>
      <c r="AIA219" s="128"/>
      <c r="AIB219" s="128"/>
      <c r="AIC219" s="128"/>
      <c r="AID219" s="128"/>
      <c r="AIE219" s="128"/>
      <c r="AIF219" s="128"/>
      <c r="AIG219" s="128"/>
      <c r="AIH219" s="128"/>
      <c r="AII219" s="128"/>
      <c r="AIJ219" s="128"/>
      <c r="AIK219" s="128"/>
      <c r="AIL219" s="128"/>
      <c r="AIM219" s="128"/>
      <c r="AIN219" s="128"/>
      <c r="AIO219" s="128"/>
      <c r="AIP219" s="128"/>
      <c r="AIQ219" s="128"/>
      <c r="AIR219" s="128"/>
      <c r="AIS219" s="128"/>
      <c r="AIT219" s="128"/>
      <c r="AIU219" s="128"/>
      <c r="AIV219" s="128"/>
      <c r="AIW219" s="128"/>
      <c r="AIX219" s="128"/>
      <c r="AIY219" s="128"/>
      <c r="AIZ219" s="128"/>
      <c r="AJA219" s="128"/>
      <c r="AJB219" s="128"/>
      <c r="AJC219" s="128"/>
      <c r="AJD219" s="128"/>
      <c r="AJE219" s="128"/>
      <c r="AJF219" s="128"/>
      <c r="AJG219" s="128"/>
      <c r="AJH219" s="128"/>
      <c r="AJI219" s="128"/>
      <c r="AJJ219" s="128"/>
      <c r="AJK219" s="128"/>
      <c r="AJL219" s="128"/>
      <c r="AJM219" s="128"/>
      <c r="AJN219" s="128"/>
      <c r="AJO219" s="128"/>
      <c r="AJP219" s="128"/>
      <c r="AJQ219" s="128"/>
      <c r="AJR219" s="128"/>
      <c r="AJS219" s="128"/>
      <c r="AJT219" s="128"/>
      <c r="AJU219" s="128"/>
      <c r="AJV219" s="128"/>
      <c r="AJW219" s="128"/>
      <c r="AJX219" s="128"/>
      <c r="AJY219" s="128"/>
      <c r="AJZ219" s="128"/>
      <c r="AKA219" s="128"/>
      <c r="AKB219" s="128"/>
      <c r="AKC219" s="128"/>
      <c r="AKD219" s="128"/>
      <c r="AKE219" s="128"/>
      <c r="AKF219" s="128"/>
      <c r="AKG219" s="128"/>
      <c r="AKH219" s="128"/>
      <c r="AKI219" s="128"/>
      <c r="AKJ219" s="128"/>
      <c r="AKK219" s="128"/>
      <c r="AKL219" s="128"/>
      <c r="AKM219" s="128"/>
      <c r="AKN219" s="128"/>
      <c r="AKO219" s="128"/>
      <c r="AKP219" s="128"/>
      <c r="AKQ219" s="128"/>
      <c r="AKR219" s="128"/>
      <c r="AKS219" s="128"/>
      <c r="AKT219" s="128"/>
      <c r="AKU219" s="128"/>
      <c r="AKV219" s="128"/>
      <c r="AKW219" s="128"/>
      <c r="AKX219" s="128"/>
      <c r="AKY219" s="128"/>
      <c r="AKZ219" s="128"/>
      <c r="ALA219" s="128"/>
      <c r="ALB219" s="128"/>
      <c r="ALC219" s="128"/>
      <c r="ALD219" s="128"/>
      <c r="ALE219" s="128"/>
      <c r="ALF219" s="128"/>
      <c r="ALG219" s="128"/>
      <c r="ALH219" s="128"/>
      <c r="ALI219" s="128"/>
      <c r="ALJ219" s="128"/>
      <c r="ALK219" s="128"/>
      <c r="ALL219" s="128"/>
      <c r="ALM219" s="128"/>
      <c r="ALN219" s="128"/>
      <c r="ALO219" s="128"/>
      <c r="ALP219" s="128"/>
      <c r="ALQ219" s="128"/>
      <c r="ALR219" s="128"/>
      <c r="ALS219" s="128"/>
      <c r="ALT219" s="128"/>
      <c r="ALU219" s="128"/>
      <c r="ALV219" s="128"/>
      <c r="ALW219" s="128"/>
      <c r="ALX219" s="128"/>
      <c r="ALY219" s="128"/>
      <c r="ALZ219" s="128"/>
      <c r="AMA219"/>
      <c r="AMB219"/>
      <c r="AMC219"/>
      <c r="AMD219"/>
    </row>
    <row r="220" spans="1:1018" s="96" customFormat="1" ht="12" customHeight="1">
      <c r="A220" s="130"/>
      <c r="B220" s="130"/>
      <c r="C220" s="130"/>
      <c r="D220" s="130"/>
      <c r="E220" s="130"/>
      <c r="F220" s="130"/>
      <c r="I220" s="225"/>
      <c r="K220" s="159"/>
      <c r="P220" s="173"/>
      <c r="T220" s="277"/>
      <c r="X220"/>
      <c r="Y220" s="179"/>
      <c r="AA220" s="159"/>
      <c r="AC220"/>
      <c r="AE220" s="128"/>
      <c r="AF220"/>
      <c r="AG220" s="128"/>
      <c r="AH220" s="128"/>
      <c r="AI220" s="128"/>
      <c r="AJ220" s="128"/>
      <c r="AK220" s="128"/>
      <c r="AL220" s="128"/>
      <c r="AM220" s="128"/>
      <c r="AN220" s="128"/>
      <c r="AO220" s="128"/>
      <c r="AP220" s="128"/>
      <c r="AQ220" s="128"/>
      <c r="AR220" s="128"/>
      <c r="AS220" s="128"/>
      <c r="AT220" s="128"/>
      <c r="AU220" s="128"/>
      <c r="AV220" s="128"/>
      <c r="AW220" s="128"/>
      <c r="AX220" s="128"/>
      <c r="AY220" s="128"/>
      <c r="AZ220" s="128"/>
      <c r="BA220" s="128"/>
      <c r="BB220" s="128"/>
      <c r="BC220" s="128"/>
      <c r="BD220" s="128"/>
      <c r="BE220" s="128"/>
      <c r="BF220" s="128"/>
      <c r="BG220" s="128"/>
      <c r="BH220" s="128"/>
      <c r="BI220" s="128"/>
      <c r="BJ220" s="128"/>
      <c r="BK220" s="128"/>
      <c r="BL220" s="128"/>
      <c r="BM220" s="128"/>
      <c r="BN220" s="128"/>
      <c r="BO220" s="128"/>
      <c r="BP220" s="128"/>
      <c r="BQ220" s="128"/>
      <c r="BR220" s="128"/>
      <c r="BS220" s="128"/>
      <c r="BT220" s="128"/>
      <c r="BU220" s="128"/>
      <c r="BV220" s="128"/>
      <c r="BW220" s="128"/>
      <c r="BX220" s="128"/>
      <c r="BY220" s="128"/>
      <c r="BZ220" s="128"/>
      <c r="CA220" s="128"/>
      <c r="CB220" s="128"/>
      <c r="CC220" s="128"/>
      <c r="CD220" s="128"/>
      <c r="CE220" s="128"/>
      <c r="CF220" s="128"/>
      <c r="CG220" s="128"/>
      <c r="CH220" s="128"/>
      <c r="CI220" s="128"/>
      <c r="CJ220" s="128"/>
      <c r="CK220" s="128"/>
      <c r="CL220" s="128"/>
      <c r="CM220" s="128"/>
      <c r="CN220" s="128"/>
      <c r="CO220" s="128"/>
      <c r="CP220" s="128"/>
      <c r="CQ220" s="128"/>
      <c r="CR220" s="128"/>
      <c r="CS220" s="128"/>
      <c r="CT220" s="128"/>
      <c r="CU220" s="128"/>
      <c r="CV220" s="128"/>
      <c r="CW220" s="128"/>
      <c r="CX220" s="128"/>
      <c r="CY220" s="128"/>
      <c r="CZ220" s="128"/>
      <c r="DA220" s="128"/>
      <c r="DB220" s="128"/>
      <c r="DC220" s="128"/>
      <c r="DD220" s="128"/>
      <c r="DE220" s="128"/>
      <c r="DF220" s="128"/>
      <c r="DG220" s="128"/>
      <c r="DH220" s="128"/>
      <c r="DI220" s="128"/>
      <c r="DJ220" s="128"/>
      <c r="DK220" s="128"/>
      <c r="DL220" s="128"/>
      <c r="DM220" s="128"/>
      <c r="DN220" s="128"/>
      <c r="DO220" s="128"/>
      <c r="DP220" s="128"/>
      <c r="DQ220" s="128"/>
      <c r="DR220" s="128"/>
      <c r="DS220" s="128"/>
      <c r="DT220" s="128"/>
      <c r="DU220" s="128"/>
      <c r="DV220" s="128"/>
      <c r="DW220" s="128"/>
      <c r="DX220" s="128"/>
      <c r="DY220" s="128"/>
      <c r="DZ220" s="128"/>
      <c r="EA220" s="128"/>
      <c r="EB220" s="128"/>
      <c r="EC220" s="128"/>
      <c r="ED220" s="128"/>
      <c r="EE220" s="128"/>
      <c r="EF220" s="128"/>
      <c r="EG220" s="128"/>
      <c r="EH220" s="128"/>
      <c r="EI220" s="128"/>
      <c r="EJ220" s="128"/>
      <c r="EK220" s="128"/>
      <c r="EL220" s="128"/>
      <c r="EM220" s="128"/>
      <c r="EN220" s="128"/>
      <c r="EO220" s="128"/>
      <c r="EP220" s="128"/>
      <c r="EQ220" s="128"/>
      <c r="ER220" s="128"/>
      <c r="ES220" s="128"/>
      <c r="ET220" s="128"/>
      <c r="EU220" s="128"/>
      <c r="EV220" s="128"/>
      <c r="EW220" s="128"/>
      <c r="EX220" s="128"/>
      <c r="EY220" s="128"/>
      <c r="EZ220" s="128"/>
      <c r="FA220" s="128"/>
      <c r="FB220" s="128"/>
      <c r="FC220" s="128"/>
      <c r="FD220" s="128"/>
      <c r="FE220" s="128"/>
      <c r="FF220" s="128"/>
      <c r="FG220" s="128"/>
      <c r="FH220" s="128"/>
      <c r="FI220" s="128"/>
      <c r="FJ220" s="128"/>
      <c r="FK220" s="128"/>
      <c r="FL220" s="128"/>
      <c r="FM220" s="128"/>
      <c r="FN220" s="128"/>
      <c r="FO220" s="128"/>
      <c r="FP220" s="128"/>
      <c r="FQ220" s="128"/>
      <c r="FR220" s="128"/>
      <c r="FS220" s="128"/>
      <c r="FT220" s="128"/>
      <c r="FU220" s="128"/>
      <c r="FV220" s="128"/>
      <c r="FW220" s="128"/>
      <c r="FX220" s="128"/>
      <c r="FY220" s="128"/>
      <c r="FZ220" s="128"/>
      <c r="GA220" s="128"/>
      <c r="GB220" s="128"/>
      <c r="GC220" s="128"/>
      <c r="GD220" s="128"/>
      <c r="GE220" s="128"/>
      <c r="GF220" s="128"/>
      <c r="GG220" s="128"/>
      <c r="GH220" s="128"/>
      <c r="GI220" s="128"/>
      <c r="GJ220" s="128"/>
      <c r="GK220" s="128"/>
      <c r="GL220" s="128"/>
      <c r="GM220" s="128"/>
      <c r="GN220" s="128"/>
      <c r="GO220" s="128"/>
      <c r="GP220" s="128"/>
      <c r="GQ220" s="128"/>
      <c r="GR220" s="128"/>
      <c r="GS220" s="128"/>
      <c r="GT220" s="128"/>
      <c r="GU220" s="128"/>
      <c r="GV220" s="128"/>
      <c r="GW220" s="128"/>
      <c r="GX220" s="128"/>
      <c r="GY220" s="128"/>
      <c r="GZ220" s="128"/>
      <c r="HA220" s="128"/>
      <c r="HB220" s="128"/>
      <c r="HC220" s="128"/>
      <c r="HD220" s="128"/>
      <c r="HE220" s="128"/>
      <c r="HF220" s="128"/>
      <c r="HG220" s="128"/>
      <c r="HH220" s="128"/>
      <c r="HI220" s="128"/>
      <c r="HJ220" s="128"/>
      <c r="HK220" s="128"/>
      <c r="HL220" s="128"/>
      <c r="HM220" s="128"/>
      <c r="HN220" s="128"/>
      <c r="HO220" s="128"/>
      <c r="HP220" s="128"/>
      <c r="HQ220" s="128"/>
      <c r="HR220" s="128"/>
      <c r="HS220" s="128"/>
      <c r="HT220" s="128"/>
      <c r="HU220" s="128"/>
      <c r="HV220" s="128"/>
      <c r="HW220" s="128"/>
      <c r="HX220" s="128"/>
      <c r="HY220" s="128"/>
      <c r="HZ220" s="128"/>
      <c r="IA220" s="128"/>
      <c r="IB220" s="128"/>
      <c r="IC220" s="128"/>
      <c r="ID220" s="128"/>
      <c r="IE220" s="128"/>
      <c r="IF220" s="128"/>
      <c r="IG220" s="128"/>
      <c r="IH220" s="128"/>
      <c r="II220" s="128"/>
      <c r="IJ220" s="128"/>
      <c r="IK220" s="128"/>
      <c r="IL220" s="128"/>
      <c r="IM220" s="128"/>
      <c r="IN220" s="128"/>
      <c r="IO220" s="128"/>
      <c r="IP220" s="128"/>
      <c r="IQ220" s="128"/>
      <c r="IR220" s="128"/>
      <c r="IS220" s="128"/>
      <c r="IT220" s="128"/>
      <c r="IU220" s="128"/>
      <c r="IV220" s="128"/>
      <c r="IW220" s="128"/>
      <c r="IX220" s="128"/>
      <c r="IY220" s="128"/>
      <c r="IZ220" s="128"/>
      <c r="JA220" s="128"/>
      <c r="JB220" s="128"/>
      <c r="JC220" s="128"/>
      <c r="JD220" s="128"/>
      <c r="JE220" s="128"/>
      <c r="JF220" s="128"/>
      <c r="JG220" s="128"/>
      <c r="JH220" s="128"/>
      <c r="JI220" s="128"/>
      <c r="JJ220" s="128"/>
      <c r="JK220" s="128"/>
      <c r="JL220" s="128"/>
      <c r="JM220" s="128"/>
      <c r="JN220" s="128"/>
      <c r="JO220" s="128"/>
      <c r="JP220" s="128"/>
      <c r="JQ220" s="128"/>
      <c r="JR220" s="128"/>
      <c r="JS220" s="128"/>
      <c r="JT220" s="128"/>
      <c r="JU220" s="128"/>
      <c r="JV220" s="128"/>
      <c r="JW220" s="128"/>
      <c r="JX220" s="128"/>
      <c r="JY220" s="128"/>
      <c r="JZ220" s="128"/>
      <c r="KA220" s="128"/>
      <c r="KB220" s="128"/>
      <c r="KC220" s="128"/>
      <c r="KD220" s="128"/>
      <c r="KE220" s="128"/>
      <c r="KF220" s="128"/>
      <c r="KG220" s="128"/>
      <c r="KH220" s="128"/>
      <c r="KI220" s="128"/>
      <c r="KJ220" s="128"/>
      <c r="KK220" s="128"/>
      <c r="KL220" s="128"/>
      <c r="KM220" s="128"/>
      <c r="KN220" s="128"/>
      <c r="KO220" s="128"/>
      <c r="KP220" s="128"/>
      <c r="KQ220" s="128"/>
      <c r="KR220" s="128"/>
      <c r="KS220" s="128"/>
      <c r="KT220" s="128"/>
      <c r="KU220" s="128"/>
      <c r="KV220" s="128"/>
      <c r="KW220" s="128"/>
      <c r="KX220" s="128"/>
      <c r="KY220" s="128"/>
      <c r="KZ220" s="128"/>
      <c r="LA220" s="128"/>
      <c r="LB220" s="128"/>
      <c r="LC220" s="128"/>
      <c r="LD220" s="128"/>
      <c r="LE220" s="128"/>
      <c r="LF220" s="128"/>
      <c r="LG220" s="128"/>
      <c r="LH220" s="128"/>
      <c r="LI220" s="128"/>
      <c r="LJ220" s="128"/>
      <c r="LK220" s="128"/>
      <c r="LL220" s="128"/>
      <c r="LM220" s="128"/>
      <c r="LN220" s="128"/>
      <c r="LO220" s="128"/>
      <c r="LP220" s="128"/>
      <c r="LQ220" s="128"/>
      <c r="LR220" s="128"/>
      <c r="LS220" s="128"/>
      <c r="LT220" s="128"/>
      <c r="LU220" s="128"/>
      <c r="LV220" s="128"/>
      <c r="LW220" s="128"/>
      <c r="LX220" s="128"/>
      <c r="LY220" s="128"/>
      <c r="LZ220" s="128"/>
      <c r="MA220" s="128"/>
      <c r="MB220" s="128"/>
      <c r="MC220" s="128"/>
      <c r="MD220" s="128"/>
      <c r="ME220" s="128"/>
      <c r="MF220" s="128"/>
      <c r="MG220" s="128"/>
      <c r="MH220" s="128"/>
      <c r="MI220" s="128"/>
      <c r="MJ220" s="128"/>
      <c r="MK220" s="128"/>
      <c r="ML220" s="128"/>
      <c r="MM220" s="128"/>
      <c r="MN220" s="128"/>
      <c r="MO220" s="128"/>
      <c r="MP220" s="128"/>
      <c r="MQ220" s="128"/>
      <c r="MR220" s="128"/>
      <c r="MS220" s="128"/>
      <c r="MT220" s="128"/>
      <c r="MU220" s="128"/>
      <c r="MV220" s="128"/>
      <c r="MW220" s="128"/>
      <c r="MX220" s="128"/>
      <c r="MY220" s="128"/>
      <c r="MZ220" s="128"/>
      <c r="NA220" s="128"/>
      <c r="NB220" s="128"/>
      <c r="NC220" s="128"/>
      <c r="ND220" s="128"/>
      <c r="NE220" s="128"/>
      <c r="NF220" s="128"/>
      <c r="NG220" s="128"/>
      <c r="NH220" s="128"/>
      <c r="NI220" s="128"/>
      <c r="NJ220" s="128"/>
      <c r="NK220" s="128"/>
      <c r="NL220" s="128"/>
      <c r="NM220" s="128"/>
      <c r="NN220" s="128"/>
      <c r="NO220" s="128"/>
      <c r="NP220" s="128"/>
      <c r="NQ220" s="128"/>
      <c r="NR220" s="128"/>
      <c r="NS220" s="128"/>
      <c r="NT220" s="128"/>
      <c r="NU220" s="128"/>
      <c r="NV220" s="128"/>
      <c r="NW220" s="128"/>
      <c r="NX220" s="128"/>
      <c r="NY220" s="128"/>
      <c r="NZ220" s="128"/>
      <c r="OA220" s="128"/>
      <c r="OB220" s="128"/>
      <c r="OC220" s="128"/>
      <c r="OD220" s="128"/>
      <c r="OE220" s="128"/>
      <c r="OF220" s="128"/>
      <c r="OG220" s="128"/>
      <c r="OH220" s="128"/>
      <c r="OI220" s="128"/>
      <c r="OJ220" s="128"/>
      <c r="OK220" s="128"/>
      <c r="OL220" s="128"/>
      <c r="OM220" s="128"/>
      <c r="ON220" s="128"/>
      <c r="OO220" s="128"/>
      <c r="OP220" s="128"/>
      <c r="OQ220" s="128"/>
      <c r="OR220" s="128"/>
      <c r="OS220" s="128"/>
      <c r="OT220" s="128"/>
      <c r="OU220" s="128"/>
      <c r="OV220" s="128"/>
      <c r="OW220" s="128"/>
      <c r="OX220" s="128"/>
      <c r="OY220" s="128"/>
      <c r="OZ220" s="128"/>
      <c r="PA220" s="128"/>
      <c r="PB220" s="128"/>
      <c r="PC220" s="128"/>
      <c r="PD220" s="128"/>
      <c r="PE220" s="128"/>
      <c r="PF220" s="128"/>
      <c r="PG220" s="128"/>
      <c r="PH220" s="128"/>
      <c r="PI220" s="128"/>
      <c r="PJ220" s="128"/>
      <c r="PK220" s="128"/>
      <c r="PL220" s="128"/>
      <c r="PM220" s="128"/>
      <c r="PN220" s="128"/>
      <c r="PO220" s="128"/>
      <c r="PP220" s="128"/>
      <c r="PQ220" s="128"/>
      <c r="PR220" s="128"/>
      <c r="PS220" s="128"/>
      <c r="PT220" s="128"/>
      <c r="PU220" s="128"/>
      <c r="PV220" s="128"/>
      <c r="PW220" s="128"/>
      <c r="PX220" s="128"/>
      <c r="PY220" s="128"/>
      <c r="PZ220" s="128"/>
      <c r="QA220" s="128"/>
      <c r="QB220" s="128"/>
      <c r="QC220" s="128"/>
      <c r="QD220" s="128"/>
      <c r="QE220" s="128"/>
      <c r="QF220" s="128"/>
      <c r="QG220" s="128"/>
      <c r="QH220" s="128"/>
      <c r="QI220" s="128"/>
      <c r="QJ220" s="128"/>
      <c r="QK220" s="128"/>
      <c r="QL220" s="128"/>
      <c r="QM220" s="128"/>
      <c r="QN220" s="128"/>
      <c r="QO220" s="128"/>
      <c r="QP220" s="128"/>
      <c r="QQ220" s="128"/>
      <c r="QR220" s="128"/>
      <c r="QS220" s="128"/>
      <c r="QT220" s="128"/>
      <c r="QU220" s="128"/>
      <c r="QV220" s="128"/>
      <c r="QW220" s="128"/>
      <c r="QX220" s="128"/>
      <c r="QY220" s="128"/>
      <c r="QZ220" s="128"/>
      <c r="RA220" s="128"/>
      <c r="RB220" s="128"/>
      <c r="RC220" s="128"/>
      <c r="RD220" s="128"/>
      <c r="RE220" s="128"/>
      <c r="RF220" s="128"/>
      <c r="RG220" s="128"/>
      <c r="RH220" s="128"/>
      <c r="RI220" s="128"/>
      <c r="RJ220" s="128"/>
      <c r="RK220" s="128"/>
      <c r="RL220" s="128"/>
      <c r="RM220" s="128"/>
      <c r="RN220" s="128"/>
      <c r="RO220" s="128"/>
      <c r="RP220" s="128"/>
      <c r="RQ220" s="128"/>
      <c r="RR220" s="128"/>
      <c r="RS220" s="128"/>
      <c r="RT220" s="128"/>
      <c r="RU220" s="128"/>
      <c r="RV220" s="128"/>
      <c r="RW220" s="128"/>
      <c r="RX220" s="128"/>
      <c r="RY220" s="128"/>
      <c r="RZ220" s="128"/>
      <c r="SA220" s="128"/>
      <c r="SB220" s="128"/>
      <c r="SC220" s="128"/>
      <c r="SD220" s="128"/>
      <c r="SE220" s="128"/>
      <c r="SF220" s="128"/>
      <c r="SG220" s="128"/>
      <c r="SH220" s="128"/>
      <c r="SI220" s="128"/>
      <c r="SJ220" s="128"/>
      <c r="SK220" s="128"/>
      <c r="SL220" s="128"/>
      <c r="SM220" s="128"/>
      <c r="SN220" s="128"/>
      <c r="SO220" s="128"/>
      <c r="SP220" s="128"/>
      <c r="SQ220" s="128"/>
      <c r="SR220" s="128"/>
      <c r="SS220" s="128"/>
      <c r="ST220" s="128"/>
      <c r="SU220" s="128"/>
      <c r="SV220" s="128"/>
      <c r="SW220" s="128"/>
      <c r="SX220" s="128"/>
      <c r="SY220" s="128"/>
      <c r="SZ220" s="128"/>
      <c r="TA220" s="128"/>
      <c r="TB220" s="128"/>
      <c r="TC220" s="128"/>
      <c r="TD220" s="128"/>
      <c r="TE220" s="128"/>
      <c r="TF220" s="128"/>
      <c r="TG220" s="128"/>
      <c r="TH220" s="128"/>
      <c r="TI220" s="128"/>
      <c r="TJ220" s="128"/>
      <c r="TK220" s="128"/>
      <c r="TL220" s="128"/>
      <c r="TM220" s="128"/>
      <c r="TN220" s="128"/>
      <c r="TO220" s="128"/>
      <c r="TP220" s="128"/>
      <c r="TQ220" s="128"/>
      <c r="TR220" s="128"/>
      <c r="TS220" s="128"/>
      <c r="TT220" s="128"/>
      <c r="TU220" s="128"/>
      <c r="TV220" s="128"/>
      <c r="TW220" s="128"/>
      <c r="TX220" s="128"/>
      <c r="TY220" s="128"/>
      <c r="TZ220" s="128"/>
      <c r="UA220" s="128"/>
      <c r="UB220" s="128"/>
      <c r="UC220" s="128"/>
      <c r="UD220" s="128"/>
      <c r="UE220" s="128"/>
      <c r="UF220" s="128"/>
      <c r="UG220" s="128"/>
      <c r="UH220" s="128"/>
      <c r="UI220" s="128"/>
      <c r="UJ220" s="128"/>
      <c r="UK220" s="128"/>
      <c r="UL220" s="128"/>
      <c r="UM220" s="128"/>
      <c r="UN220" s="128"/>
      <c r="UO220" s="128"/>
      <c r="UP220" s="128"/>
      <c r="UQ220" s="128"/>
      <c r="UR220" s="128"/>
      <c r="US220" s="128"/>
      <c r="UT220" s="128"/>
      <c r="UU220" s="128"/>
      <c r="UV220" s="128"/>
      <c r="UW220" s="128"/>
      <c r="UX220" s="128"/>
      <c r="UY220" s="128"/>
      <c r="UZ220" s="128"/>
      <c r="VA220" s="128"/>
      <c r="VB220" s="128"/>
      <c r="VC220" s="128"/>
      <c r="VD220" s="128"/>
      <c r="VE220" s="128"/>
      <c r="VF220" s="128"/>
      <c r="VG220" s="128"/>
      <c r="VH220" s="128"/>
      <c r="VI220" s="128"/>
      <c r="VJ220" s="128"/>
      <c r="VK220" s="128"/>
      <c r="VL220" s="128"/>
      <c r="VM220" s="128"/>
      <c r="VN220" s="128"/>
      <c r="VO220" s="128"/>
      <c r="VP220" s="128"/>
      <c r="VQ220" s="128"/>
      <c r="VR220" s="128"/>
      <c r="VS220" s="128"/>
      <c r="VT220" s="128"/>
      <c r="VU220" s="128"/>
      <c r="VV220" s="128"/>
      <c r="VW220" s="128"/>
      <c r="VX220" s="128"/>
      <c r="VY220" s="128"/>
      <c r="VZ220" s="128"/>
      <c r="WA220" s="128"/>
      <c r="WB220" s="128"/>
      <c r="WC220" s="128"/>
      <c r="WD220" s="128"/>
      <c r="WE220" s="128"/>
      <c r="WF220" s="128"/>
      <c r="WG220" s="128"/>
      <c r="WH220" s="128"/>
      <c r="WI220" s="128"/>
      <c r="WJ220" s="128"/>
      <c r="WK220" s="128"/>
      <c r="WL220" s="128"/>
      <c r="WM220" s="128"/>
      <c r="WN220" s="128"/>
      <c r="WO220" s="128"/>
      <c r="WP220" s="128"/>
      <c r="WQ220" s="128"/>
      <c r="WR220" s="128"/>
      <c r="WS220" s="128"/>
      <c r="WT220" s="128"/>
      <c r="WU220" s="128"/>
      <c r="WV220" s="128"/>
      <c r="WW220" s="128"/>
      <c r="WX220" s="128"/>
      <c r="WY220" s="128"/>
      <c r="WZ220" s="128"/>
      <c r="XA220" s="128"/>
      <c r="XB220" s="128"/>
      <c r="XC220" s="128"/>
      <c r="XD220" s="128"/>
      <c r="XE220" s="128"/>
      <c r="XF220" s="128"/>
      <c r="XG220" s="128"/>
      <c r="XH220" s="128"/>
      <c r="XI220" s="128"/>
      <c r="XJ220" s="128"/>
      <c r="XK220" s="128"/>
      <c r="XL220" s="128"/>
      <c r="XM220" s="128"/>
      <c r="XN220" s="128"/>
      <c r="XO220" s="128"/>
      <c r="XP220" s="128"/>
      <c r="XQ220" s="128"/>
      <c r="XR220" s="128"/>
      <c r="XS220" s="128"/>
      <c r="XT220" s="128"/>
      <c r="XU220" s="128"/>
      <c r="XV220" s="128"/>
      <c r="XW220" s="128"/>
      <c r="XX220" s="128"/>
      <c r="XY220" s="128"/>
      <c r="XZ220" s="128"/>
      <c r="YA220" s="128"/>
      <c r="YB220" s="128"/>
      <c r="YC220" s="128"/>
      <c r="YD220" s="128"/>
      <c r="YE220" s="128"/>
      <c r="YF220" s="128"/>
      <c r="YG220" s="128"/>
      <c r="YH220" s="128"/>
      <c r="YI220" s="128"/>
      <c r="YJ220" s="128"/>
      <c r="YK220" s="128"/>
      <c r="YL220" s="128"/>
      <c r="YM220" s="128"/>
      <c r="YN220" s="128"/>
      <c r="YO220" s="128"/>
      <c r="YP220" s="128"/>
      <c r="YQ220" s="128"/>
      <c r="YR220" s="128"/>
      <c r="YS220" s="128"/>
      <c r="YT220" s="128"/>
      <c r="YU220" s="128"/>
      <c r="YV220" s="128"/>
      <c r="YW220" s="128"/>
      <c r="YX220" s="128"/>
      <c r="YY220" s="128"/>
      <c r="YZ220" s="128"/>
      <c r="ZA220" s="128"/>
      <c r="ZB220" s="128"/>
      <c r="ZC220" s="128"/>
      <c r="ZD220" s="128"/>
      <c r="ZE220" s="128"/>
      <c r="ZF220" s="128"/>
      <c r="ZG220" s="128"/>
      <c r="ZH220" s="128"/>
      <c r="ZI220" s="128"/>
      <c r="ZJ220" s="128"/>
      <c r="ZK220" s="128"/>
      <c r="ZL220" s="128"/>
      <c r="ZM220" s="128"/>
      <c r="ZN220" s="128"/>
      <c r="ZO220" s="128"/>
      <c r="ZP220" s="128"/>
      <c r="ZQ220" s="128"/>
      <c r="ZR220" s="128"/>
      <c r="ZS220" s="128"/>
      <c r="ZT220" s="128"/>
      <c r="ZU220" s="128"/>
      <c r="ZV220" s="128"/>
      <c r="ZW220" s="128"/>
      <c r="ZX220" s="128"/>
      <c r="ZY220" s="128"/>
      <c r="ZZ220" s="128"/>
      <c r="AAA220" s="128"/>
      <c r="AAB220" s="128"/>
      <c r="AAC220" s="128"/>
      <c r="AAD220" s="128"/>
      <c r="AAE220" s="128"/>
      <c r="AAF220" s="128"/>
      <c r="AAG220" s="128"/>
      <c r="AAH220" s="128"/>
      <c r="AAI220" s="128"/>
      <c r="AAJ220" s="128"/>
      <c r="AAK220" s="128"/>
      <c r="AAL220" s="128"/>
      <c r="AAM220" s="128"/>
      <c r="AAN220" s="128"/>
      <c r="AAO220" s="128"/>
      <c r="AAP220" s="128"/>
      <c r="AAQ220" s="128"/>
      <c r="AAR220" s="128"/>
      <c r="AAS220" s="128"/>
      <c r="AAT220" s="128"/>
      <c r="AAU220" s="128"/>
      <c r="AAV220" s="128"/>
      <c r="AAW220" s="128"/>
      <c r="AAX220" s="128"/>
      <c r="AAY220" s="128"/>
      <c r="AAZ220" s="128"/>
      <c r="ABA220" s="128"/>
      <c r="ABB220" s="128"/>
      <c r="ABC220" s="128"/>
      <c r="ABD220" s="128"/>
      <c r="ABE220" s="128"/>
      <c r="ABF220" s="128"/>
      <c r="ABG220" s="128"/>
      <c r="ABH220" s="128"/>
      <c r="ABI220" s="128"/>
      <c r="ABJ220" s="128"/>
      <c r="ABK220" s="128"/>
      <c r="ABL220" s="128"/>
      <c r="ABM220" s="128"/>
      <c r="ABN220" s="128"/>
      <c r="ABO220" s="128"/>
      <c r="ABP220" s="128"/>
      <c r="ABQ220" s="128"/>
      <c r="ABR220" s="128"/>
      <c r="ABS220" s="128"/>
      <c r="ABT220" s="128"/>
      <c r="ABU220" s="128"/>
      <c r="ABV220" s="128"/>
      <c r="ABW220" s="128"/>
      <c r="ABX220" s="128"/>
      <c r="ABY220" s="128"/>
      <c r="ABZ220" s="128"/>
      <c r="ACA220" s="128"/>
      <c r="ACB220" s="128"/>
      <c r="ACC220" s="128"/>
      <c r="ACD220" s="128"/>
      <c r="ACE220" s="128"/>
      <c r="ACF220" s="128"/>
      <c r="ACG220" s="128"/>
      <c r="ACH220" s="128"/>
      <c r="ACI220" s="128"/>
      <c r="ACJ220" s="128"/>
      <c r="ACK220" s="128"/>
      <c r="ACL220" s="128"/>
      <c r="ACM220" s="128"/>
      <c r="ACN220" s="128"/>
      <c r="ACO220" s="128"/>
      <c r="ACP220" s="128"/>
      <c r="ACQ220" s="128"/>
      <c r="ACR220" s="128"/>
      <c r="ACS220" s="128"/>
      <c r="ACT220" s="128"/>
      <c r="ACU220" s="128"/>
      <c r="ACV220" s="128"/>
      <c r="ACW220" s="128"/>
      <c r="ACX220" s="128"/>
      <c r="ACY220" s="128"/>
      <c r="ACZ220" s="128"/>
      <c r="ADA220" s="128"/>
      <c r="ADB220" s="128"/>
      <c r="ADC220" s="128"/>
      <c r="ADD220" s="128"/>
      <c r="ADE220" s="128"/>
      <c r="ADF220" s="128"/>
      <c r="ADG220" s="128"/>
      <c r="ADH220" s="128"/>
      <c r="ADI220" s="128"/>
      <c r="ADJ220" s="128"/>
      <c r="ADK220" s="128"/>
      <c r="ADL220" s="128"/>
      <c r="ADM220" s="128"/>
      <c r="ADN220" s="128"/>
      <c r="ADO220" s="128"/>
      <c r="ADP220" s="128"/>
      <c r="ADQ220" s="128"/>
      <c r="ADR220" s="128"/>
      <c r="ADS220" s="128"/>
      <c r="ADT220" s="128"/>
      <c r="ADU220" s="128"/>
      <c r="ADV220" s="128"/>
      <c r="ADW220" s="128"/>
      <c r="ADX220" s="128"/>
      <c r="ADY220" s="128"/>
      <c r="ADZ220" s="128"/>
      <c r="AEA220" s="128"/>
      <c r="AEB220" s="128"/>
      <c r="AEC220" s="128"/>
      <c r="AED220" s="128"/>
      <c r="AEE220" s="128"/>
      <c r="AEF220" s="128"/>
      <c r="AEG220" s="128"/>
      <c r="AEH220" s="128"/>
      <c r="AEI220" s="128"/>
      <c r="AEJ220" s="128"/>
      <c r="AEK220" s="128"/>
      <c r="AEL220" s="128"/>
      <c r="AEM220" s="128"/>
      <c r="AEN220" s="128"/>
      <c r="AEO220" s="128"/>
      <c r="AEP220" s="128"/>
      <c r="AEQ220" s="128"/>
      <c r="AER220" s="128"/>
      <c r="AES220" s="128"/>
      <c r="AET220" s="128"/>
      <c r="AEU220" s="128"/>
      <c r="AEV220" s="128"/>
      <c r="AEW220" s="128"/>
      <c r="AEX220" s="128"/>
      <c r="AEY220" s="128"/>
      <c r="AEZ220" s="128"/>
      <c r="AFA220" s="128"/>
      <c r="AFB220" s="128"/>
      <c r="AFC220" s="128"/>
      <c r="AFD220" s="128"/>
      <c r="AFE220" s="128"/>
      <c r="AFF220" s="128"/>
      <c r="AFG220" s="128"/>
      <c r="AFH220" s="128"/>
      <c r="AFI220" s="128"/>
      <c r="AFJ220" s="128"/>
      <c r="AFK220" s="128"/>
      <c r="AFL220" s="128"/>
      <c r="AFM220" s="128"/>
      <c r="AFN220" s="128"/>
      <c r="AFO220" s="128"/>
      <c r="AFP220" s="128"/>
      <c r="AFQ220" s="128"/>
      <c r="AFR220" s="128"/>
      <c r="AFS220" s="128"/>
      <c r="AFT220" s="128"/>
      <c r="AFU220" s="128"/>
      <c r="AFV220" s="128"/>
      <c r="AFW220" s="128"/>
      <c r="AFX220" s="128"/>
      <c r="AFY220" s="128"/>
      <c r="AFZ220" s="128"/>
      <c r="AGA220" s="128"/>
      <c r="AGB220" s="128"/>
      <c r="AGC220" s="128"/>
      <c r="AGD220" s="128"/>
      <c r="AGE220" s="128"/>
      <c r="AGF220" s="128"/>
      <c r="AGG220" s="128"/>
      <c r="AGH220" s="128"/>
      <c r="AGI220" s="128"/>
      <c r="AGJ220" s="128"/>
      <c r="AGK220" s="128"/>
      <c r="AGL220" s="128"/>
      <c r="AGM220" s="128"/>
      <c r="AGN220" s="128"/>
      <c r="AGO220" s="128"/>
      <c r="AGP220" s="128"/>
      <c r="AGQ220" s="128"/>
      <c r="AGR220" s="128"/>
      <c r="AGS220" s="128"/>
      <c r="AGT220" s="128"/>
      <c r="AGU220" s="128"/>
      <c r="AGV220" s="128"/>
      <c r="AGW220" s="128"/>
      <c r="AGX220" s="128"/>
      <c r="AGY220" s="128"/>
      <c r="AGZ220" s="128"/>
      <c r="AHA220" s="128"/>
      <c r="AHB220" s="128"/>
      <c r="AHC220" s="128"/>
      <c r="AHD220" s="128"/>
      <c r="AHE220" s="128"/>
      <c r="AHF220" s="128"/>
      <c r="AHG220" s="128"/>
      <c r="AHH220" s="128"/>
      <c r="AHI220" s="128"/>
      <c r="AHJ220" s="128"/>
      <c r="AHK220" s="128"/>
      <c r="AHL220" s="128"/>
      <c r="AHM220" s="128"/>
      <c r="AHN220" s="128"/>
      <c r="AHO220" s="128"/>
      <c r="AHP220" s="128"/>
      <c r="AHQ220" s="128"/>
      <c r="AHR220" s="128"/>
      <c r="AHS220" s="128"/>
      <c r="AHT220" s="128"/>
      <c r="AHU220" s="128"/>
      <c r="AHV220" s="128"/>
      <c r="AHW220" s="128"/>
      <c r="AHX220" s="128"/>
      <c r="AHY220" s="128"/>
      <c r="AHZ220" s="128"/>
      <c r="AIA220" s="128"/>
      <c r="AIB220" s="128"/>
      <c r="AIC220" s="128"/>
      <c r="AID220" s="128"/>
      <c r="AIE220" s="128"/>
      <c r="AIF220" s="128"/>
      <c r="AIG220" s="128"/>
      <c r="AIH220" s="128"/>
      <c r="AII220" s="128"/>
      <c r="AIJ220" s="128"/>
      <c r="AIK220" s="128"/>
      <c r="AIL220" s="128"/>
      <c r="AIM220" s="128"/>
      <c r="AIN220" s="128"/>
      <c r="AIO220" s="128"/>
      <c r="AIP220" s="128"/>
      <c r="AIQ220" s="128"/>
      <c r="AIR220" s="128"/>
      <c r="AIS220" s="128"/>
      <c r="AIT220" s="128"/>
      <c r="AIU220" s="128"/>
      <c r="AIV220" s="128"/>
      <c r="AIW220" s="128"/>
      <c r="AIX220" s="128"/>
      <c r="AIY220" s="128"/>
      <c r="AIZ220" s="128"/>
      <c r="AJA220" s="128"/>
      <c r="AJB220" s="128"/>
      <c r="AJC220" s="128"/>
      <c r="AJD220" s="128"/>
      <c r="AJE220" s="128"/>
      <c r="AJF220" s="128"/>
      <c r="AJG220" s="128"/>
      <c r="AJH220" s="128"/>
      <c r="AJI220" s="128"/>
      <c r="AJJ220" s="128"/>
      <c r="AJK220" s="128"/>
      <c r="AJL220" s="128"/>
      <c r="AJM220" s="128"/>
      <c r="AJN220" s="128"/>
      <c r="AJO220" s="128"/>
      <c r="AJP220" s="128"/>
      <c r="AJQ220" s="128"/>
      <c r="AJR220" s="128"/>
      <c r="AJS220" s="128"/>
      <c r="AJT220" s="128"/>
      <c r="AJU220" s="128"/>
      <c r="AJV220" s="128"/>
      <c r="AJW220" s="128"/>
      <c r="AJX220" s="128"/>
      <c r="AJY220" s="128"/>
      <c r="AJZ220" s="128"/>
      <c r="AKA220" s="128"/>
      <c r="AKB220" s="128"/>
      <c r="AKC220" s="128"/>
      <c r="AKD220" s="128"/>
      <c r="AKE220" s="128"/>
      <c r="AKF220" s="128"/>
      <c r="AKG220" s="128"/>
      <c r="AKH220" s="128"/>
      <c r="AKI220" s="128"/>
      <c r="AKJ220" s="128"/>
      <c r="AKK220" s="128"/>
      <c r="AKL220" s="128"/>
      <c r="AKM220" s="128"/>
      <c r="AKN220" s="128"/>
      <c r="AKO220" s="128"/>
      <c r="AKP220" s="128"/>
      <c r="AKQ220" s="128"/>
      <c r="AKR220" s="128"/>
      <c r="AKS220" s="128"/>
      <c r="AKT220" s="128"/>
      <c r="AKU220" s="128"/>
      <c r="AKV220" s="128"/>
      <c r="AKW220" s="128"/>
      <c r="AKX220" s="128"/>
      <c r="AKY220" s="128"/>
      <c r="AKZ220" s="128"/>
      <c r="ALA220" s="128"/>
      <c r="ALB220" s="128"/>
      <c r="ALC220" s="128"/>
      <c r="ALD220" s="128"/>
      <c r="ALE220" s="128"/>
      <c r="ALF220" s="128"/>
      <c r="ALG220" s="128"/>
      <c r="ALH220" s="128"/>
      <c r="ALI220" s="128"/>
      <c r="ALJ220" s="128"/>
      <c r="ALK220" s="128"/>
      <c r="ALL220" s="128"/>
      <c r="ALM220" s="128"/>
      <c r="ALN220" s="128"/>
      <c r="ALO220" s="128"/>
      <c r="ALP220" s="128"/>
      <c r="ALQ220" s="128"/>
      <c r="ALR220" s="128"/>
      <c r="ALS220" s="128"/>
      <c r="ALT220" s="128"/>
      <c r="ALU220" s="128"/>
      <c r="ALV220" s="128"/>
      <c r="ALW220" s="128"/>
      <c r="ALX220" s="128"/>
      <c r="ALY220" s="128"/>
      <c r="ALZ220" s="128"/>
      <c r="AMA220"/>
      <c r="AMB220"/>
      <c r="AMC220"/>
      <c r="AMD220"/>
    </row>
    <row r="221" spans="1:1018" s="96" customFormat="1" ht="12" customHeight="1">
      <c r="A221" s="130"/>
      <c r="B221" s="130"/>
      <c r="C221" s="130"/>
      <c r="D221" s="130"/>
      <c r="E221" s="130"/>
      <c r="F221" s="130"/>
      <c r="I221" s="225"/>
      <c r="K221" s="159"/>
      <c r="P221" s="173"/>
      <c r="T221" s="277"/>
      <c r="X221"/>
      <c r="Y221" s="179"/>
      <c r="AA221" s="159"/>
      <c r="AC221"/>
      <c r="AE221" s="128"/>
      <c r="AF221"/>
      <c r="AG221" s="128"/>
      <c r="AH221" s="128"/>
      <c r="AI221" s="128"/>
      <c r="AJ221" s="128"/>
      <c r="AK221" s="128"/>
      <c r="AL221" s="128"/>
      <c r="AM221" s="128"/>
      <c r="AN221" s="128"/>
      <c r="AO221" s="128"/>
      <c r="AP221" s="128"/>
      <c r="AQ221" s="128"/>
      <c r="AR221" s="128"/>
      <c r="AS221" s="128"/>
      <c r="AT221" s="128"/>
      <c r="AU221" s="128"/>
      <c r="AV221" s="128"/>
      <c r="AW221" s="128"/>
      <c r="AX221" s="128"/>
      <c r="AY221" s="128"/>
      <c r="AZ221" s="128"/>
      <c r="BA221" s="128"/>
      <c r="BB221" s="128"/>
      <c r="BC221" s="128"/>
      <c r="BD221" s="128"/>
      <c r="BE221" s="128"/>
      <c r="BF221" s="128"/>
      <c r="BG221" s="128"/>
      <c r="BH221" s="128"/>
      <c r="BI221" s="128"/>
      <c r="BJ221" s="128"/>
      <c r="BK221" s="128"/>
      <c r="BL221" s="128"/>
      <c r="BM221" s="128"/>
      <c r="BN221" s="128"/>
      <c r="BO221" s="128"/>
      <c r="BP221" s="128"/>
      <c r="BQ221" s="128"/>
      <c r="BR221" s="128"/>
      <c r="BS221" s="128"/>
      <c r="BT221" s="128"/>
      <c r="BU221" s="128"/>
      <c r="BV221" s="128"/>
      <c r="BW221" s="128"/>
      <c r="BX221" s="128"/>
      <c r="BY221" s="128"/>
      <c r="BZ221" s="128"/>
      <c r="CA221" s="128"/>
      <c r="CB221" s="128"/>
      <c r="CC221" s="128"/>
      <c r="CD221" s="128"/>
      <c r="CE221" s="128"/>
      <c r="CF221" s="128"/>
      <c r="CG221" s="128"/>
      <c r="CH221" s="128"/>
      <c r="CI221" s="128"/>
      <c r="CJ221" s="128"/>
      <c r="CK221" s="128"/>
      <c r="CL221" s="128"/>
      <c r="CM221" s="128"/>
      <c r="CN221" s="128"/>
      <c r="CO221" s="128"/>
      <c r="CP221" s="128"/>
      <c r="CQ221" s="128"/>
      <c r="CR221" s="128"/>
      <c r="CS221" s="128"/>
      <c r="CT221" s="128"/>
      <c r="CU221" s="128"/>
      <c r="CV221" s="128"/>
      <c r="CW221" s="128"/>
      <c r="CX221" s="128"/>
      <c r="CY221" s="128"/>
      <c r="CZ221" s="128"/>
      <c r="DA221" s="128"/>
      <c r="DB221" s="128"/>
      <c r="DC221" s="128"/>
      <c r="DD221" s="128"/>
      <c r="DE221" s="128"/>
      <c r="DF221" s="128"/>
      <c r="DG221" s="128"/>
      <c r="DH221" s="128"/>
      <c r="DI221" s="128"/>
      <c r="DJ221" s="128"/>
      <c r="DK221" s="128"/>
      <c r="DL221" s="128"/>
      <c r="DM221" s="128"/>
      <c r="DN221" s="128"/>
      <c r="DO221" s="128"/>
      <c r="DP221" s="128"/>
      <c r="DQ221" s="128"/>
      <c r="DR221" s="128"/>
      <c r="DS221" s="128"/>
      <c r="DT221" s="128"/>
      <c r="DU221" s="128"/>
      <c r="DV221" s="128"/>
      <c r="DW221" s="128"/>
      <c r="DX221" s="128"/>
      <c r="DY221" s="128"/>
      <c r="DZ221" s="128"/>
      <c r="EA221" s="128"/>
      <c r="EB221" s="128"/>
      <c r="EC221" s="128"/>
      <c r="ED221" s="128"/>
      <c r="EE221" s="128"/>
      <c r="EF221" s="128"/>
      <c r="EG221" s="128"/>
      <c r="EH221" s="128"/>
      <c r="EI221" s="128"/>
      <c r="EJ221" s="128"/>
      <c r="EK221" s="128"/>
      <c r="EL221" s="128"/>
      <c r="EM221" s="128"/>
      <c r="EN221" s="128"/>
      <c r="EO221" s="128"/>
      <c r="EP221" s="128"/>
      <c r="EQ221" s="128"/>
      <c r="ER221" s="128"/>
      <c r="ES221" s="128"/>
      <c r="ET221" s="128"/>
      <c r="EU221" s="128"/>
      <c r="EV221" s="128"/>
      <c r="EW221" s="128"/>
      <c r="EX221" s="128"/>
      <c r="EY221" s="128"/>
      <c r="EZ221" s="128"/>
      <c r="FA221" s="128"/>
      <c r="FB221" s="128"/>
      <c r="FC221" s="128"/>
      <c r="FD221" s="128"/>
      <c r="FE221" s="128"/>
      <c r="FF221" s="128"/>
      <c r="FG221" s="128"/>
      <c r="FH221" s="128"/>
      <c r="FI221" s="128"/>
      <c r="FJ221" s="128"/>
      <c r="FK221" s="128"/>
      <c r="FL221" s="128"/>
      <c r="FM221" s="128"/>
      <c r="FN221" s="128"/>
      <c r="FO221" s="128"/>
      <c r="FP221" s="128"/>
      <c r="FQ221" s="128"/>
      <c r="FR221" s="128"/>
      <c r="FS221" s="128"/>
      <c r="FT221" s="128"/>
      <c r="FU221" s="128"/>
      <c r="FV221" s="128"/>
      <c r="FW221" s="128"/>
      <c r="FX221" s="128"/>
      <c r="FY221" s="128"/>
      <c r="FZ221" s="128"/>
      <c r="GA221" s="128"/>
      <c r="GB221" s="128"/>
      <c r="GC221" s="128"/>
      <c r="GD221" s="128"/>
      <c r="GE221" s="128"/>
      <c r="GF221" s="128"/>
      <c r="GG221" s="128"/>
      <c r="GH221" s="128"/>
      <c r="GI221" s="128"/>
      <c r="GJ221" s="128"/>
      <c r="GK221" s="128"/>
      <c r="GL221" s="128"/>
      <c r="GM221" s="128"/>
      <c r="GN221" s="128"/>
      <c r="GO221" s="128"/>
      <c r="GP221" s="128"/>
      <c r="GQ221" s="128"/>
      <c r="GR221" s="128"/>
      <c r="GS221" s="128"/>
      <c r="GT221" s="128"/>
      <c r="GU221" s="128"/>
      <c r="GV221" s="128"/>
      <c r="GW221" s="128"/>
      <c r="GX221" s="128"/>
      <c r="GY221" s="128"/>
      <c r="GZ221" s="128"/>
      <c r="HA221" s="128"/>
      <c r="HB221" s="128"/>
      <c r="HC221" s="128"/>
      <c r="HD221" s="128"/>
      <c r="HE221" s="128"/>
      <c r="HF221" s="128"/>
      <c r="HG221" s="128"/>
      <c r="HH221" s="128"/>
      <c r="HI221" s="128"/>
      <c r="HJ221" s="128"/>
      <c r="HK221" s="128"/>
      <c r="HL221" s="128"/>
      <c r="HM221" s="128"/>
      <c r="HN221" s="128"/>
      <c r="HO221" s="128"/>
      <c r="HP221" s="128"/>
      <c r="HQ221" s="128"/>
      <c r="HR221" s="128"/>
      <c r="HS221" s="128"/>
      <c r="HT221" s="128"/>
      <c r="HU221" s="128"/>
      <c r="HV221" s="128"/>
      <c r="HW221" s="128"/>
      <c r="HX221" s="128"/>
      <c r="HY221" s="128"/>
      <c r="HZ221" s="128"/>
      <c r="IA221" s="128"/>
      <c r="IB221" s="128"/>
      <c r="IC221" s="128"/>
      <c r="ID221" s="128"/>
      <c r="IE221" s="128"/>
      <c r="IF221" s="128"/>
      <c r="IG221" s="128"/>
      <c r="IH221" s="128"/>
      <c r="II221" s="128"/>
      <c r="IJ221" s="128"/>
      <c r="IK221" s="128"/>
      <c r="IL221" s="128"/>
      <c r="IM221" s="128"/>
      <c r="IN221" s="128"/>
      <c r="IO221" s="128"/>
      <c r="IP221" s="128"/>
      <c r="IQ221" s="128"/>
      <c r="IR221" s="128"/>
      <c r="IS221" s="128"/>
      <c r="IT221" s="128"/>
      <c r="IU221" s="128"/>
      <c r="IV221" s="128"/>
      <c r="IW221" s="128"/>
      <c r="IX221" s="128"/>
      <c r="IY221" s="128"/>
      <c r="IZ221" s="128"/>
      <c r="JA221" s="128"/>
      <c r="JB221" s="128"/>
      <c r="JC221" s="128"/>
      <c r="JD221" s="128"/>
      <c r="JE221" s="128"/>
      <c r="JF221" s="128"/>
      <c r="JG221" s="128"/>
      <c r="JH221" s="128"/>
      <c r="JI221" s="128"/>
      <c r="JJ221" s="128"/>
      <c r="JK221" s="128"/>
      <c r="JL221" s="128"/>
      <c r="JM221" s="128"/>
      <c r="JN221" s="128"/>
      <c r="JO221" s="128"/>
      <c r="JP221" s="128"/>
      <c r="JQ221" s="128"/>
      <c r="JR221" s="128"/>
      <c r="JS221" s="128"/>
      <c r="JT221" s="128"/>
      <c r="JU221" s="128"/>
      <c r="JV221" s="128"/>
      <c r="JW221" s="128"/>
      <c r="JX221" s="128"/>
      <c r="JY221" s="128"/>
      <c r="JZ221" s="128"/>
      <c r="KA221" s="128"/>
      <c r="KB221" s="128"/>
      <c r="KC221" s="128"/>
      <c r="KD221" s="128"/>
      <c r="KE221" s="128"/>
      <c r="KF221" s="128"/>
      <c r="KG221" s="128"/>
      <c r="KH221" s="128"/>
      <c r="KI221" s="128"/>
      <c r="KJ221" s="128"/>
      <c r="KK221" s="128"/>
      <c r="KL221" s="128"/>
      <c r="KM221" s="128"/>
      <c r="KN221" s="128"/>
      <c r="KO221" s="128"/>
      <c r="KP221" s="128"/>
      <c r="KQ221" s="128"/>
      <c r="KR221" s="128"/>
      <c r="KS221" s="128"/>
      <c r="KT221" s="128"/>
      <c r="KU221" s="128"/>
      <c r="KV221" s="128"/>
      <c r="KW221" s="128"/>
      <c r="KX221" s="128"/>
      <c r="KY221" s="128"/>
      <c r="KZ221" s="128"/>
      <c r="LA221" s="128"/>
      <c r="LB221" s="128"/>
      <c r="LC221" s="128"/>
      <c r="LD221" s="128"/>
      <c r="LE221" s="128"/>
      <c r="LF221" s="128"/>
      <c r="LG221" s="128"/>
      <c r="LH221" s="128"/>
      <c r="LI221" s="128"/>
      <c r="LJ221" s="128"/>
      <c r="LK221" s="128"/>
      <c r="LL221" s="128"/>
      <c r="LM221" s="128"/>
      <c r="LN221" s="128"/>
      <c r="LO221" s="128"/>
      <c r="LP221" s="128"/>
      <c r="LQ221" s="128"/>
      <c r="LR221" s="128"/>
      <c r="LS221" s="128"/>
      <c r="LT221" s="128"/>
      <c r="LU221" s="128"/>
      <c r="LV221" s="128"/>
      <c r="LW221" s="128"/>
      <c r="LX221" s="128"/>
      <c r="LY221" s="128"/>
      <c r="LZ221" s="128"/>
      <c r="MA221" s="128"/>
      <c r="MB221" s="128"/>
      <c r="MC221" s="128"/>
      <c r="MD221" s="128"/>
      <c r="ME221" s="128"/>
      <c r="MF221" s="128"/>
      <c r="MG221" s="128"/>
      <c r="MH221" s="128"/>
      <c r="MI221" s="128"/>
      <c r="MJ221" s="128"/>
      <c r="MK221" s="128"/>
      <c r="ML221" s="128"/>
      <c r="MM221" s="128"/>
      <c r="MN221" s="128"/>
      <c r="MO221" s="128"/>
      <c r="MP221" s="128"/>
      <c r="MQ221" s="128"/>
      <c r="MR221" s="128"/>
      <c r="MS221" s="128"/>
      <c r="MT221" s="128"/>
      <c r="MU221" s="128"/>
      <c r="MV221" s="128"/>
      <c r="MW221" s="128"/>
      <c r="MX221" s="128"/>
      <c r="MY221" s="128"/>
      <c r="MZ221" s="128"/>
      <c r="NA221" s="128"/>
      <c r="NB221" s="128"/>
      <c r="NC221" s="128"/>
      <c r="ND221" s="128"/>
      <c r="NE221" s="128"/>
      <c r="NF221" s="128"/>
      <c r="NG221" s="128"/>
      <c r="NH221" s="128"/>
      <c r="NI221" s="128"/>
      <c r="NJ221" s="128"/>
      <c r="NK221" s="128"/>
      <c r="NL221" s="128"/>
      <c r="NM221" s="128"/>
      <c r="NN221" s="128"/>
      <c r="NO221" s="128"/>
      <c r="NP221" s="128"/>
      <c r="NQ221" s="128"/>
      <c r="NR221" s="128"/>
      <c r="NS221" s="128"/>
      <c r="NT221" s="128"/>
      <c r="NU221" s="128"/>
      <c r="NV221" s="128"/>
      <c r="NW221" s="128"/>
      <c r="NX221" s="128"/>
      <c r="NY221" s="128"/>
      <c r="NZ221" s="128"/>
      <c r="OA221" s="128"/>
      <c r="OB221" s="128"/>
      <c r="OC221" s="128"/>
      <c r="OD221" s="128"/>
      <c r="OE221" s="128"/>
      <c r="OF221" s="128"/>
      <c r="OG221" s="128"/>
      <c r="OH221" s="128"/>
      <c r="OI221" s="128"/>
      <c r="OJ221" s="128"/>
      <c r="OK221" s="128"/>
      <c r="OL221" s="128"/>
      <c r="OM221" s="128"/>
      <c r="ON221" s="128"/>
      <c r="OO221" s="128"/>
      <c r="OP221" s="128"/>
      <c r="OQ221" s="128"/>
      <c r="OR221" s="128"/>
      <c r="OS221" s="128"/>
      <c r="OT221" s="128"/>
      <c r="OU221" s="128"/>
      <c r="OV221" s="128"/>
      <c r="OW221" s="128"/>
      <c r="OX221" s="128"/>
      <c r="OY221" s="128"/>
      <c r="OZ221" s="128"/>
      <c r="PA221" s="128"/>
      <c r="PB221" s="128"/>
      <c r="PC221" s="128"/>
      <c r="PD221" s="128"/>
      <c r="PE221" s="128"/>
      <c r="PF221" s="128"/>
      <c r="PG221" s="128"/>
      <c r="PH221" s="128"/>
      <c r="PI221" s="128"/>
      <c r="PJ221" s="128"/>
      <c r="PK221" s="128"/>
      <c r="PL221" s="128"/>
      <c r="PM221" s="128"/>
      <c r="PN221" s="128"/>
      <c r="PO221" s="128"/>
      <c r="PP221" s="128"/>
      <c r="PQ221" s="128"/>
      <c r="PR221" s="128"/>
      <c r="PS221" s="128"/>
      <c r="PT221" s="128"/>
      <c r="PU221" s="128"/>
      <c r="PV221" s="128"/>
      <c r="PW221" s="128"/>
      <c r="PX221" s="128"/>
      <c r="PY221" s="128"/>
      <c r="PZ221" s="128"/>
      <c r="QA221" s="128"/>
      <c r="QB221" s="128"/>
      <c r="QC221" s="128"/>
      <c r="QD221" s="128"/>
      <c r="QE221" s="128"/>
      <c r="QF221" s="128"/>
      <c r="QG221" s="128"/>
      <c r="QH221" s="128"/>
      <c r="QI221" s="128"/>
      <c r="QJ221" s="128"/>
      <c r="QK221" s="128"/>
      <c r="QL221" s="128"/>
      <c r="QM221" s="128"/>
      <c r="QN221" s="128"/>
      <c r="QO221" s="128"/>
      <c r="QP221" s="128"/>
      <c r="QQ221" s="128"/>
      <c r="QR221" s="128"/>
      <c r="QS221" s="128"/>
      <c r="QT221" s="128"/>
      <c r="QU221" s="128"/>
      <c r="QV221" s="128"/>
      <c r="QW221" s="128"/>
      <c r="QX221" s="128"/>
      <c r="QY221" s="128"/>
      <c r="QZ221" s="128"/>
      <c r="RA221" s="128"/>
      <c r="RB221" s="128"/>
      <c r="RC221" s="128"/>
      <c r="RD221" s="128"/>
      <c r="RE221" s="128"/>
      <c r="RF221" s="128"/>
      <c r="RG221" s="128"/>
      <c r="RH221" s="128"/>
      <c r="RI221" s="128"/>
      <c r="RJ221" s="128"/>
      <c r="RK221" s="128"/>
      <c r="RL221" s="128"/>
      <c r="RM221" s="128"/>
      <c r="RN221" s="128"/>
      <c r="RO221" s="128"/>
      <c r="RP221" s="128"/>
      <c r="RQ221" s="128"/>
      <c r="RR221" s="128"/>
      <c r="RS221" s="128"/>
      <c r="RT221" s="128"/>
      <c r="RU221" s="128"/>
      <c r="RV221" s="128"/>
      <c r="RW221" s="128"/>
      <c r="RX221" s="128"/>
      <c r="RY221" s="128"/>
      <c r="RZ221" s="128"/>
      <c r="SA221" s="128"/>
      <c r="SB221" s="128"/>
      <c r="SC221" s="128"/>
      <c r="SD221" s="128"/>
      <c r="SE221" s="128"/>
      <c r="SF221" s="128"/>
      <c r="SG221" s="128"/>
      <c r="SH221" s="128"/>
      <c r="SI221" s="128"/>
      <c r="SJ221" s="128"/>
      <c r="SK221" s="128"/>
      <c r="SL221" s="128"/>
      <c r="SM221" s="128"/>
      <c r="SN221" s="128"/>
      <c r="SO221" s="128"/>
      <c r="SP221" s="128"/>
      <c r="SQ221" s="128"/>
      <c r="SR221" s="128"/>
      <c r="SS221" s="128"/>
      <c r="ST221" s="128"/>
      <c r="SU221" s="128"/>
      <c r="SV221" s="128"/>
      <c r="SW221" s="128"/>
      <c r="SX221" s="128"/>
      <c r="SY221" s="128"/>
      <c r="SZ221" s="128"/>
      <c r="TA221" s="128"/>
      <c r="TB221" s="128"/>
      <c r="TC221" s="128"/>
      <c r="TD221" s="128"/>
      <c r="TE221" s="128"/>
      <c r="TF221" s="128"/>
      <c r="TG221" s="128"/>
      <c r="TH221" s="128"/>
      <c r="TI221" s="128"/>
      <c r="TJ221" s="128"/>
      <c r="TK221" s="128"/>
      <c r="TL221" s="128"/>
      <c r="TM221" s="128"/>
      <c r="TN221" s="128"/>
      <c r="TO221" s="128"/>
      <c r="TP221" s="128"/>
      <c r="TQ221" s="128"/>
      <c r="TR221" s="128"/>
      <c r="TS221" s="128"/>
      <c r="TT221" s="128"/>
      <c r="TU221" s="128"/>
      <c r="TV221" s="128"/>
      <c r="TW221" s="128"/>
      <c r="TX221" s="128"/>
      <c r="TY221" s="128"/>
      <c r="TZ221" s="128"/>
      <c r="UA221" s="128"/>
      <c r="UB221" s="128"/>
      <c r="UC221" s="128"/>
      <c r="UD221" s="128"/>
      <c r="UE221" s="128"/>
      <c r="UF221" s="128"/>
      <c r="UG221" s="128"/>
      <c r="UH221" s="128"/>
      <c r="UI221" s="128"/>
      <c r="UJ221" s="128"/>
      <c r="UK221" s="128"/>
      <c r="UL221" s="128"/>
      <c r="UM221" s="128"/>
      <c r="UN221" s="128"/>
      <c r="UO221" s="128"/>
      <c r="UP221" s="128"/>
      <c r="UQ221" s="128"/>
      <c r="UR221" s="128"/>
      <c r="US221" s="128"/>
      <c r="UT221" s="128"/>
      <c r="UU221" s="128"/>
      <c r="UV221" s="128"/>
      <c r="UW221" s="128"/>
      <c r="UX221" s="128"/>
      <c r="UY221" s="128"/>
      <c r="UZ221" s="128"/>
      <c r="VA221" s="128"/>
      <c r="VB221" s="128"/>
      <c r="VC221" s="128"/>
      <c r="VD221" s="128"/>
      <c r="VE221" s="128"/>
      <c r="VF221" s="128"/>
      <c r="VG221" s="128"/>
      <c r="VH221" s="128"/>
      <c r="VI221" s="128"/>
      <c r="VJ221" s="128"/>
      <c r="VK221" s="128"/>
      <c r="VL221" s="128"/>
      <c r="VM221" s="128"/>
      <c r="VN221" s="128"/>
      <c r="VO221" s="128"/>
      <c r="VP221" s="128"/>
      <c r="VQ221" s="128"/>
      <c r="VR221" s="128"/>
      <c r="VS221" s="128"/>
      <c r="VT221" s="128"/>
      <c r="VU221" s="128"/>
      <c r="VV221" s="128"/>
      <c r="VW221" s="128"/>
      <c r="VX221" s="128"/>
      <c r="VY221" s="128"/>
      <c r="VZ221" s="128"/>
      <c r="WA221" s="128"/>
      <c r="WB221" s="128"/>
      <c r="WC221" s="128"/>
      <c r="WD221" s="128"/>
      <c r="WE221" s="128"/>
      <c r="WF221" s="128"/>
      <c r="WG221" s="128"/>
      <c r="WH221" s="128"/>
      <c r="WI221" s="128"/>
      <c r="WJ221" s="128"/>
      <c r="WK221" s="128"/>
      <c r="WL221" s="128"/>
      <c r="WM221" s="128"/>
      <c r="WN221" s="128"/>
      <c r="WO221" s="128"/>
      <c r="WP221" s="128"/>
      <c r="WQ221" s="128"/>
      <c r="WR221" s="128"/>
      <c r="WS221" s="128"/>
      <c r="WT221" s="128"/>
      <c r="WU221" s="128"/>
      <c r="WV221" s="128"/>
      <c r="WW221" s="128"/>
      <c r="WX221" s="128"/>
      <c r="WY221" s="128"/>
      <c r="WZ221" s="128"/>
      <c r="XA221" s="128"/>
      <c r="XB221" s="128"/>
      <c r="XC221" s="128"/>
      <c r="XD221" s="128"/>
      <c r="XE221" s="128"/>
      <c r="XF221" s="128"/>
      <c r="XG221" s="128"/>
      <c r="XH221" s="128"/>
      <c r="XI221" s="128"/>
      <c r="XJ221" s="128"/>
      <c r="XK221" s="128"/>
      <c r="XL221" s="128"/>
      <c r="XM221" s="128"/>
      <c r="XN221" s="128"/>
      <c r="XO221" s="128"/>
      <c r="XP221" s="128"/>
      <c r="XQ221" s="128"/>
      <c r="XR221" s="128"/>
      <c r="XS221" s="128"/>
      <c r="XT221" s="128"/>
      <c r="XU221" s="128"/>
      <c r="XV221" s="128"/>
      <c r="XW221" s="128"/>
      <c r="XX221" s="128"/>
      <c r="XY221" s="128"/>
      <c r="XZ221" s="128"/>
      <c r="YA221" s="128"/>
      <c r="YB221" s="128"/>
      <c r="YC221" s="128"/>
      <c r="YD221" s="128"/>
      <c r="YE221" s="128"/>
      <c r="YF221" s="128"/>
      <c r="YG221" s="128"/>
      <c r="YH221" s="128"/>
      <c r="YI221" s="128"/>
      <c r="YJ221" s="128"/>
      <c r="YK221" s="128"/>
      <c r="YL221" s="128"/>
      <c r="YM221" s="128"/>
      <c r="YN221" s="128"/>
      <c r="YO221" s="128"/>
      <c r="YP221" s="128"/>
      <c r="YQ221" s="128"/>
      <c r="YR221" s="128"/>
      <c r="YS221" s="128"/>
      <c r="YT221" s="128"/>
      <c r="YU221" s="128"/>
      <c r="YV221" s="128"/>
      <c r="YW221" s="128"/>
      <c r="YX221" s="128"/>
      <c r="YY221" s="128"/>
      <c r="YZ221" s="128"/>
      <c r="ZA221" s="128"/>
      <c r="ZB221" s="128"/>
      <c r="ZC221" s="128"/>
      <c r="ZD221" s="128"/>
      <c r="ZE221" s="128"/>
      <c r="ZF221" s="128"/>
      <c r="ZG221" s="128"/>
      <c r="ZH221" s="128"/>
      <c r="ZI221" s="128"/>
      <c r="ZJ221" s="128"/>
      <c r="ZK221" s="128"/>
      <c r="ZL221" s="128"/>
      <c r="ZM221" s="128"/>
      <c r="ZN221" s="128"/>
      <c r="ZO221" s="128"/>
      <c r="ZP221" s="128"/>
      <c r="ZQ221" s="128"/>
      <c r="ZR221" s="128"/>
      <c r="ZS221" s="128"/>
      <c r="ZT221" s="128"/>
      <c r="ZU221" s="128"/>
      <c r="ZV221" s="128"/>
      <c r="ZW221" s="128"/>
      <c r="ZX221" s="128"/>
      <c r="ZY221" s="128"/>
      <c r="ZZ221" s="128"/>
      <c r="AAA221" s="128"/>
      <c r="AAB221" s="128"/>
      <c r="AAC221" s="128"/>
      <c r="AAD221" s="128"/>
      <c r="AAE221" s="128"/>
      <c r="AAF221" s="128"/>
      <c r="AAG221" s="128"/>
      <c r="AAH221" s="128"/>
      <c r="AAI221" s="128"/>
      <c r="AAJ221" s="128"/>
      <c r="AAK221" s="128"/>
      <c r="AAL221" s="128"/>
      <c r="AAM221" s="128"/>
      <c r="AAN221" s="128"/>
      <c r="AAO221" s="128"/>
      <c r="AAP221" s="128"/>
      <c r="AAQ221" s="128"/>
      <c r="AAR221" s="128"/>
      <c r="AAS221" s="128"/>
      <c r="AAT221" s="128"/>
      <c r="AAU221" s="128"/>
      <c r="AAV221" s="128"/>
      <c r="AAW221" s="128"/>
      <c r="AAX221" s="128"/>
      <c r="AAY221" s="128"/>
      <c r="AAZ221" s="128"/>
      <c r="ABA221" s="128"/>
      <c r="ABB221" s="128"/>
      <c r="ABC221" s="128"/>
      <c r="ABD221" s="128"/>
      <c r="ABE221" s="128"/>
      <c r="ABF221" s="128"/>
      <c r="ABG221" s="128"/>
      <c r="ABH221" s="128"/>
      <c r="ABI221" s="128"/>
      <c r="ABJ221" s="128"/>
      <c r="ABK221" s="128"/>
      <c r="ABL221" s="128"/>
      <c r="ABM221" s="128"/>
      <c r="ABN221" s="128"/>
      <c r="ABO221" s="128"/>
      <c r="ABP221" s="128"/>
      <c r="ABQ221" s="128"/>
      <c r="ABR221" s="128"/>
      <c r="ABS221" s="128"/>
      <c r="ABT221" s="128"/>
      <c r="ABU221" s="128"/>
      <c r="ABV221" s="128"/>
      <c r="ABW221" s="128"/>
      <c r="ABX221" s="128"/>
      <c r="ABY221" s="128"/>
      <c r="ABZ221" s="128"/>
      <c r="ACA221" s="128"/>
      <c r="ACB221" s="128"/>
      <c r="ACC221" s="128"/>
      <c r="ACD221" s="128"/>
      <c r="ACE221" s="128"/>
      <c r="ACF221" s="128"/>
      <c r="ACG221" s="128"/>
      <c r="ACH221" s="128"/>
      <c r="ACI221" s="128"/>
      <c r="ACJ221" s="128"/>
      <c r="ACK221" s="128"/>
      <c r="ACL221" s="128"/>
      <c r="ACM221" s="128"/>
      <c r="ACN221" s="128"/>
      <c r="ACO221" s="128"/>
      <c r="ACP221" s="128"/>
      <c r="ACQ221" s="128"/>
      <c r="ACR221" s="128"/>
      <c r="ACS221" s="128"/>
      <c r="ACT221" s="128"/>
      <c r="ACU221" s="128"/>
      <c r="ACV221" s="128"/>
      <c r="ACW221" s="128"/>
      <c r="ACX221" s="128"/>
      <c r="ACY221" s="128"/>
      <c r="ACZ221" s="128"/>
      <c r="ADA221" s="128"/>
      <c r="ADB221" s="128"/>
      <c r="ADC221" s="128"/>
      <c r="ADD221" s="128"/>
      <c r="ADE221" s="128"/>
      <c r="ADF221" s="128"/>
      <c r="ADG221" s="128"/>
      <c r="ADH221" s="128"/>
      <c r="ADI221" s="128"/>
      <c r="ADJ221" s="128"/>
      <c r="ADK221" s="128"/>
      <c r="ADL221" s="128"/>
      <c r="ADM221" s="128"/>
      <c r="ADN221" s="128"/>
      <c r="ADO221" s="128"/>
      <c r="ADP221" s="128"/>
      <c r="ADQ221" s="128"/>
      <c r="ADR221" s="128"/>
      <c r="ADS221" s="128"/>
      <c r="ADT221" s="128"/>
      <c r="ADU221" s="128"/>
      <c r="ADV221" s="128"/>
      <c r="ADW221" s="128"/>
      <c r="ADX221" s="128"/>
      <c r="ADY221" s="128"/>
      <c r="ADZ221" s="128"/>
      <c r="AEA221" s="128"/>
      <c r="AEB221" s="128"/>
      <c r="AEC221" s="128"/>
      <c r="AED221" s="128"/>
      <c r="AEE221" s="128"/>
      <c r="AEF221" s="128"/>
      <c r="AEG221" s="128"/>
      <c r="AEH221" s="128"/>
      <c r="AEI221" s="128"/>
      <c r="AEJ221" s="128"/>
      <c r="AEK221" s="128"/>
      <c r="AEL221" s="128"/>
      <c r="AEM221" s="128"/>
      <c r="AEN221" s="128"/>
      <c r="AEO221" s="128"/>
      <c r="AEP221" s="128"/>
      <c r="AEQ221" s="128"/>
      <c r="AER221" s="128"/>
      <c r="AES221" s="128"/>
      <c r="AET221" s="128"/>
      <c r="AEU221" s="128"/>
      <c r="AEV221" s="128"/>
      <c r="AEW221" s="128"/>
      <c r="AEX221" s="128"/>
      <c r="AEY221" s="128"/>
      <c r="AEZ221" s="128"/>
      <c r="AFA221" s="128"/>
      <c r="AFB221" s="128"/>
      <c r="AFC221" s="128"/>
      <c r="AFD221" s="128"/>
      <c r="AFE221" s="128"/>
      <c r="AFF221" s="128"/>
      <c r="AFG221" s="128"/>
      <c r="AFH221" s="128"/>
      <c r="AFI221" s="128"/>
      <c r="AFJ221" s="128"/>
      <c r="AFK221" s="128"/>
      <c r="AFL221" s="128"/>
      <c r="AFM221" s="128"/>
      <c r="AFN221" s="128"/>
      <c r="AFO221" s="128"/>
      <c r="AFP221" s="128"/>
      <c r="AFQ221" s="128"/>
      <c r="AFR221" s="128"/>
      <c r="AFS221" s="128"/>
      <c r="AFT221" s="128"/>
      <c r="AFU221" s="128"/>
      <c r="AFV221" s="128"/>
      <c r="AFW221" s="128"/>
      <c r="AFX221" s="128"/>
      <c r="AFY221" s="128"/>
      <c r="AFZ221" s="128"/>
      <c r="AGA221" s="128"/>
      <c r="AGB221" s="128"/>
      <c r="AGC221" s="128"/>
      <c r="AGD221" s="128"/>
      <c r="AGE221" s="128"/>
      <c r="AGF221" s="128"/>
      <c r="AGG221" s="128"/>
      <c r="AGH221" s="128"/>
      <c r="AGI221" s="128"/>
      <c r="AGJ221" s="128"/>
      <c r="AGK221" s="128"/>
      <c r="AGL221" s="128"/>
      <c r="AGM221" s="128"/>
      <c r="AGN221" s="128"/>
      <c r="AGO221" s="128"/>
      <c r="AGP221" s="128"/>
      <c r="AGQ221" s="128"/>
      <c r="AGR221" s="128"/>
      <c r="AGS221" s="128"/>
      <c r="AGT221" s="128"/>
      <c r="AGU221" s="128"/>
      <c r="AGV221" s="128"/>
      <c r="AGW221" s="128"/>
      <c r="AGX221" s="128"/>
      <c r="AGY221" s="128"/>
      <c r="AGZ221" s="128"/>
      <c r="AHA221" s="128"/>
      <c r="AHB221" s="128"/>
      <c r="AHC221" s="128"/>
      <c r="AHD221" s="128"/>
      <c r="AHE221" s="128"/>
      <c r="AHF221" s="128"/>
      <c r="AHG221" s="128"/>
      <c r="AHH221" s="128"/>
      <c r="AHI221" s="128"/>
      <c r="AHJ221" s="128"/>
      <c r="AHK221" s="128"/>
      <c r="AHL221" s="128"/>
      <c r="AHM221" s="128"/>
      <c r="AHN221" s="128"/>
      <c r="AHO221" s="128"/>
      <c r="AHP221" s="128"/>
      <c r="AHQ221" s="128"/>
      <c r="AHR221" s="128"/>
      <c r="AHS221" s="128"/>
      <c r="AHT221" s="128"/>
      <c r="AHU221" s="128"/>
      <c r="AHV221" s="128"/>
      <c r="AHW221" s="128"/>
      <c r="AHX221" s="128"/>
      <c r="AHY221" s="128"/>
      <c r="AHZ221" s="128"/>
      <c r="AIA221" s="128"/>
      <c r="AIB221" s="128"/>
      <c r="AIC221" s="128"/>
      <c r="AID221" s="128"/>
      <c r="AIE221" s="128"/>
      <c r="AIF221" s="128"/>
      <c r="AIG221" s="128"/>
      <c r="AIH221" s="128"/>
      <c r="AII221" s="128"/>
      <c r="AIJ221" s="128"/>
      <c r="AIK221" s="128"/>
      <c r="AIL221" s="128"/>
      <c r="AIM221" s="128"/>
      <c r="AIN221" s="128"/>
      <c r="AIO221" s="128"/>
      <c r="AIP221" s="128"/>
      <c r="AIQ221" s="128"/>
      <c r="AIR221" s="128"/>
      <c r="AIS221" s="128"/>
      <c r="AIT221" s="128"/>
      <c r="AIU221" s="128"/>
      <c r="AIV221" s="128"/>
      <c r="AIW221" s="128"/>
      <c r="AIX221" s="128"/>
      <c r="AIY221" s="128"/>
      <c r="AIZ221" s="128"/>
      <c r="AJA221" s="128"/>
      <c r="AJB221" s="128"/>
      <c r="AJC221" s="128"/>
      <c r="AJD221" s="128"/>
      <c r="AJE221" s="128"/>
      <c r="AJF221" s="128"/>
      <c r="AJG221" s="128"/>
      <c r="AJH221" s="128"/>
      <c r="AJI221" s="128"/>
      <c r="AJJ221" s="128"/>
      <c r="AJK221" s="128"/>
      <c r="AJL221" s="128"/>
      <c r="AJM221" s="128"/>
      <c r="AJN221" s="128"/>
      <c r="AJO221" s="128"/>
      <c r="AJP221" s="128"/>
      <c r="AJQ221" s="128"/>
      <c r="AJR221" s="128"/>
      <c r="AJS221" s="128"/>
      <c r="AJT221" s="128"/>
      <c r="AJU221" s="128"/>
      <c r="AJV221" s="128"/>
      <c r="AJW221" s="128"/>
      <c r="AJX221" s="128"/>
      <c r="AJY221" s="128"/>
      <c r="AJZ221" s="128"/>
      <c r="AKA221" s="128"/>
      <c r="AKB221" s="128"/>
      <c r="AKC221" s="128"/>
      <c r="AKD221" s="128"/>
      <c r="AKE221" s="128"/>
      <c r="AKF221" s="128"/>
      <c r="AKG221" s="128"/>
      <c r="AKH221" s="128"/>
      <c r="AKI221" s="128"/>
      <c r="AKJ221" s="128"/>
      <c r="AKK221" s="128"/>
      <c r="AKL221" s="128"/>
      <c r="AKM221" s="128"/>
      <c r="AKN221" s="128"/>
      <c r="AKO221" s="128"/>
      <c r="AKP221" s="128"/>
      <c r="AKQ221" s="128"/>
      <c r="AKR221" s="128"/>
      <c r="AKS221" s="128"/>
      <c r="AKT221" s="128"/>
      <c r="AKU221" s="128"/>
      <c r="AKV221" s="128"/>
      <c r="AKW221" s="128"/>
      <c r="AKX221" s="128"/>
      <c r="AKY221" s="128"/>
      <c r="AKZ221" s="128"/>
      <c r="ALA221" s="128"/>
      <c r="ALB221" s="128"/>
      <c r="ALC221" s="128"/>
      <c r="ALD221" s="128"/>
      <c r="ALE221" s="128"/>
      <c r="ALF221" s="128"/>
      <c r="ALG221" s="128"/>
      <c r="ALH221" s="128"/>
      <c r="ALI221" s="128"/>
      <c r="ALJ221" s="128"/>
      <c r="ALK221" s="128"/>
      <c r="ALL221" s="128"/>
      <c r="ALM221" s="128"/>
      <c r="ALN221" s="128"/>
      <c r="ALO221" s="128"/>
      <c r="ALP221" s="128"/>
      <c r="ALQ221" s="128"/>
      <c r="ALR221" s="128"/>
      <c r="ALS221" s="128"/>
      <c r="ALT221" s="128"/>
      <c r="ALU221" s="128"/>
      <c r="ALV221" s="128"/>
      <c r="ALW221" s="128"/>
      <c r="ALX221" s="128"/>
      <c r="ALY221" s="128"/>
      <c r="ALZ221" s="128"/>
      <c r="AMA221"/>
      <c r="AMB221"/>
      <c r="AMC221"/>
      <c r="AMD221"/>
    </row>
    <row r="222" spans="1:1018" s="96" customFormat="1" ht="12" customHeight="1">
      <c r="A222" s="129"/>
      <c r="B222" s="129"/>
      <c r="C222" s="129"/>
      <c r="D222" s="129"/>
      <c r="E222" s="129"/>
      <c r="F222" s="129"/>
      <c r="I222" s="225"/>
      <c r="K222" s="159"/>
      <c r="P222" s="173"/>
      <c r="T222" s="277"/>
      <c r="X222"/>
      <c r="Y222" s="179"/>
      <c r="AA222" s="159"/>
      <c r="AC222"/>
      <c r="AE222" s="128"/>
      <c r="AF222"/>
      <c r="AG222" s="128"/>
      <c r="AH222" s="128"/>
      <c r="AI222" s="128"/>
      <c r="AJ222" s="128"/>
      <c r="AK222" s="128"/>
      <c r="AL222" s="128"/>
      <c r="AM222" s="128"/>
      <c r="AN222" s="128"/>
      <c r="AO222" s="128"/>
      <c r="AP222" s="128"/>
      <c r="AQ222" s="128"/>
      <c r="AR222" s="128"/>
      <c r="AS222" s="128"/>
      <c r="AT222" s="128"/>
      <c r="AU222" s="128"/>
      <c r="AV222" s="128"/>
      <c r="AW222" s="128"/>
      <c r="AX222" s="128"/>
      <c r="AY222" s="128"/>
      <c r="AZ222" s="128"/>
      <c r="BA222" s="128"/>
      <c r="BB222" s="128"/>
      <c r="BC222" s="128"/>
      <c r="BD222" s="128"/>
      <c r="BE222" s="128"/>
      <c r="BF222" s="128"/>
      <c r="BG222" s="128"/>
      <c r="BH222" s="128"/>
      <c r="BI222" s="128"/>
      <c r="BJ222" s="128"/>
      <c r="BK222" s="128"/>
      <c r="BL222" s="128"/>
      <c r="BM222" s="128"/>
      <c r="BN222" s="128"/>
      <c r="BO222" s="128"/>
      <c r="BP222" s="128"/>
      <c r="BQ222" s="128"/>
      <c r="BR222" s="128"/>
      <c r="BS222" s="128"/>
      <c r="BT222" s="128"/>
      <c r="BU222" s="128"/>
      <c r="BV222" s="128"/>
      <c r="BW222" s="128"/>
      <c r="BX222" s="128"/>
      <c r="BY222" s="128"/>
      <c r="BZ222" s="128"/>
      <c r="CA222" s="128"/>
      <c r="CB222" s="128"/>
      <c r="CC222" s="128"/>
      <c r="CD222" s="128"/>
      <c r="CE222" s="128"/>
      <c r="CF222" s="128"/>
      <c r="CG222" s="128"/>
      <c r="CH222" s="128"/>
      <c r="CI222" s="128"/>
      <c r="CJ222" s="128"/>
      <c r="CK222" s="128"/>
      <c r="CL222" s="128"/>
      <c r="CM222" s="128"/>
      <c r="CN222" s="128"/>
      <c r="CO222" s="128"/>
      <c r="CP222" s="128"/>
      <c r="CQ222" s="128"/>
      <c r="CR222" s="128"/>
      <c r="CS222" s="128"/>
      <c r="CT222" s="128"/>
      <c r="CU222" s="128"/>
      <c r="CV222" s="128"/>
      <c r="CW222" s="128"/>
      <c r="CX222" s="128"/>
      <c r="CY222" s="128"/>
      <c r="CZ222" s="128"/>
      <c r="DA222" s="128"/>
      <c r="DB222" s="128"/>
      <c r="DC222" s="128"/>
      <c r="DD222" s="128"/>
      <c r="DE222" s="128"/>
      <c r="DF222" s="128"/>
      <c r="DG222" s="128"/>
      <c r="DH222" s="128"/>
      <c r="DI222" s="128"/>
      <c r="DJ222" s="128"/>
      <c r="DK222" s="128"/>
      <c r="DL222" s="128"/>
      <c r="DM222" s="128"/>
      <c r="DN222" s="128"/>
      <c r="DO222" s="128"/>
      <c r="DP222" s="128"/>
      <c r="DQ222" s="128"/>
      <c r="DR222" s="128"/>
      <c r="DS222" s="128"/>
      <c r="DT222" s="128"/>
      <c r="DU222" s="128"/>
      <c r="DV222" s="128"/>
      <c r="DW222" s="128"/>
      <c r="DX222" s="128"/>
      <c r="DY222" s="128"/>
      <c r="DZ222" s="128"/>
      <c r="EA222" s="128"/>
      <c r="EB222" s="128"/>
      <c r="EC222" s="128"/>
      <c r="ED222" s="128"/>
      <c r="EE222" s="128"/>
      <c r="EF222" s="128"/>
      <c r="EG222" s="128"/>
      <c r="EH222" s="128"/>
      <c r="EI222" s="128"/>
      <c r="EJ222" s="128"/>
      <c r="EK222" s="128"/>
      <c r="EL222" s="128"/>
      <c r="EM222" s="128"/>
      <c r="EN222" s="128"/>
      <c r="EO222" s="128"/>
      <c r="EP222" s="128"/>
      <c r="EQ222" s="128"/>
      <c r="ER222" s="128"/>
      <c r="ES222" s="128"/>
      <c r="ET222" s="128"/>
      <c r="EU222" s="128"/>
      <c r="EV222" s="128"/>
      <c r="EW222" s="128"/>
      <c r="EX222" s="128"/>
      <c r="EY222" s="128"/>
      <c r="EZ222" s="128"/>
      <c r="FA222" s="128"/>
      <c r="FB222" s="128"/>
      <c r="FC222" s="128"/>
      <c r="FD222" s="128"/>
      <c r="FE222" s="128"/>
      <c r="FF222" s="128"/>
      <c r="FG222" s="128"/>
      <c r="FH222" s="128"/>
      <c r="FI222" s="128"/>
      <c r="FJ222" s="128"/>
      <c r="FK222" s="128"/>
      <c r="FL222" s="128"/>
      <c r="FM222" s="128"/>
      <c r="FN222" s="128"/>
      <c r="FO222" s="128"/>
      <c r="FP222" s="128"/>
      <c r="FQ222" s="128"/>
      <c r="FR222" s="128"/>
      <c r="FS222" s="128"/>
      <c r="FT222" s="128"/>
      <c r="FU222" s="128"/>
      <c r="FV222" s="128"/>
      <c r="FW222" s="128"/>
      <c r="FX222" s="128"/>
      <c r="FY222" s="128"/>
      <c r="FZ222" s="128"/>
      <c r="GA222" s="128"/>
      <c r="GB222" s="128"/>
      <c r="GC222" s="128"/>
      <c r="GD222" s="128"/>
      <c r="GE222" s="128"/>
      <c r="GF222" s="128"/>
      <c r="GG222" s="128"/>
      <c r="GH222" s="128"/>
      <c r="GI222" s="128"/>
      <c r="GJ222" s="128"/>
      <c r="GK222" s="128"/>
      <c r="GL222" s="128"/>
      <c r="GM222" s="128"/>
      <c r="GN222" s="128"/>
      <c r="GO222" s="128"/>
      <c r="GP222" s="128"/>
      <c r="GQ222" s="128"/>
      <c r="GR222" s="128"/>
      <c r="GS222" s="128"/>
      <c r="GT222" s="128"/>
      <c r="GU222" s="128"/>
      <c r="GV222" s="128"/>
      <c r="GW222" s="128"/>
      <c r="GX222" s="128"/>
      <c r="GY222" s="128"/>
      <c r="GZ222" s="128"/>
      <c r="HA222" s="128"/>
      <c r="HB222" s="128"/>
      <c r="HC222" s="128"/>
      <c r="HD222" s="128"/>
      <c r="HE222" s="128"/>
      <c r="HF222" s="128"/>
      <c r="HG222" s="128"/>
      <c r="HH222" s="128"/>
      <c r="HI222" s="128"/>
      <c r="HJ222" s="128"/>
      <c r="HK222" s="128"/>
      <c r="HL222" s="128"/>
      <c r="HM222" s="128"/>
      <c r="HN222" s="128"/>
      <c r="HO222" s="128"/>
      <c r="HP222" s="128"/>
      <c r="HQ222" s="128"/>
      <c r="HR222" s="128"/>
      <c r="HS222" s="128"/>
      <c r="HT222" s="128"/>
      <c r="HU222" s="128"/>
      <c r="HV222" s="128"/>
      <c r="HW222" s="128"/>
      <c r="HX222" s="128"/>
      <c r="HY222" s="128"/>
      <c r="HZ222" s="128"/>
      <c r="IA222" s="128"/>
      <c r="IB222" s="128"/>
      <c r="IC222" s="128"/>
      <c r="ID222" s="128"/>
      <c r="IE222" s="128"/>
      <c r="IF222" s="128"/>
      <c r="IG222" s="128"/>
      <c r="IH222" s="128"/>
      <c r="II222" s="128"/>
      <c r="IJ222" s="128"/>
      <c r="IK222" s="128"/>
      <c r="IL222" s="128"/>
      <c r="IM222" s="128"/>
      <c r="IN222" s="128"/>
      <c r="IO222" s="128"/>
      <c r="IP222" s="128"/>
      <c r="IQ222" s="128"/>
      <c r="IR222" s="128"/>
      <c r="IS222" s="128"/>
      <c r="IT222" s="128"/>
      <c r="IU222" s="128"/>
      <c r="IV222" s="128"/>
      <c r="IW222" s="128"/>
      <c r="IX222" s="128"/>
      <c r="IY222" s="128"/>
      <c r="IZ222" s="128"/>
      <c r="JA222" s="128"/>
      <c r="JB222" s="128"/>
      <c r="JC222" s="128"/>
      <c r="JD222" s="128"/>
      <c r="JE222" s="128"/>
      <c r="JF222" s="128"/>
      <c r="JG222" s="128"/>
      <c r="JH222" s="128"/>
      <c r="JI222" s="128"/>
      <c r="JJ222" s="128"/>
      <c r="JK222" s="128"/>
      <c r="JL222" s="128"/>
      <c r="JM222" s="128"/>
      <c r="JN222" s="128"/>
      <c r="JO222" s="128"/>
      <c r="JP222" s="128"/>
      <c r="JQ222" s="128"/>
      <c r="JR222" s="128"/>
      <c r="JS222" s="128"/>
      <c r="JT222" s="128"/>
      <c r="JU222" s="128"/>
      <c r="JV222" s="128"/>
      <c r="JW222" s="128"/>
      <c r="JX222" s="128"/>
      <c r="JY222" s="128"/>
      <c r="JZ222" s="128"/>
      <c r="KA222" s="128"/>
      <c r="KB222" s="128"/>
      <c r="KC222" s="128"/>
      <c r="KD222" s="128"/>
      <c r="KE222" s="128"/>
      <c r="KF222" s="128"/>
      <c r="KG222" s="128"/>
      <c r="KH222" s="128"/>
      <c r="KI222" s="128"/>
      <c r="KJ222" s="128"/>
      <c r="KK222" s="128"/>
      <c r="KL222" s="128"/>
      <c r="KM222" s="128"/>
      <c r="KN222" s="128"/>
      <c r="KO222" s="128"/>
      <c r="KP222" s="128"/>
      <c r="KQ222" s="128"/>
      <c r="KR222" s="128"/>
      <c r="KS222" s="128"/>
      <c r="KT222" s="128"/>
      <c r="KU222" s="128"/>
      <c r="KV222" s="128"/>
      <c r="KW222" s="128"/>
      <c r="KX222" s="128"/>
      <c r="KY222" s="128"/>
      <c r="KZ222" s="128"/>
      <c r="LA222" s="128"/>
      <c r="LB222" s="128"/>
      <c r="LC222" s="128"/>
      <c r="LD222" s="128"/>
      <c r="LE222" s="128"/>
      <c r="LF222" s="128"/>
      <c r="LG222" s="128"/>
      <c r="LH222" s="128"/>
      <c r="LI222" s="128"/>
      <c r="LJ222" s="128"/>
      <c r="LK222" s="128"/>
      <c r="LL222" s="128"/>
      <c r="LM222" s="128"/>
      <c r="LN222" s="128"/>
      <c r="LO222" s="128"/>
      <c r="LP222" s="128"/>
      <c r="LQ222" s="128"/>
      <c r="LR222" s="128"/>
      <c r="LS222" s="128"/>
      <c r="LT222" s="128"/>
      <c r="LU222" s="128"/>
      <c r="LV222" s="128"/>
      <c r="LW222" s="128"/>
      <c r="LX222" s="128"/>
      <c r="LY222" s="128"/>
      <c r="LZ222" s="128"/>
      <c r="MA222" s="128"/>
      <c r="MB222" s="128"/>
      <c r="MC222" s="128"/>
      <c r="MD222" s="128"/>
      <c r="ME222" s="128"/>
      <c r="MF222" s="128"/>
      <c r="MG222" s="128"/>
      <c r="MH222" s="128"/>
      <c r="MI222" s="128"/>
      <c r="MJ222" s="128"/>
      <c r="MK222" s="128"/>
      <c r="ML222" s="128"/>
      <c r="MM222" s="128"/>
      <c r="MN222" s="128"/>
      <c r="MO222" s="128"/>
      <c r="MP222" s="128"/>
      <c r="MQ222" s="128"/>
      <c r="MR222" s="128"/>
      <c r="MS222" s="128"/>
      <c r="MT222" s="128"/>
      <c r="MU222" s="128"/>
      <c r="MV222" s="128"/>
      <c r="MW222" s="128"/>
      <c r="MX222" s="128"/>
      <c r="MY222" s="128"/>
      <c r="MZ222" s="128"/>
      <c r="NA222" s="128"/>
      <c r="NB222" s="128"/>
      <c r="NC222" s="128"/>
      <c r="ND222" s="128"/>
      <c r="NE222" s="128"/>
      <c r="NF222" s="128"/>
      <c r="NG222" s="128"/>
      <c r="NH222" s="128"/>
      <c r="NI222" s="128"/>
      <c r="NJ222" s="128"/>
      <c r="NK222" s="128"/>
      <c r="NL222" s="128"/>
      <c r="NM222" s="128"/>
      <c r="NN222" s="128"/>
      <c r="NO222" s="128"/>
      <c r="NP222" s="128"/>
      <c r="NQ222" s="128"/>
      <c r="NR222" s="128"/>
      <c r="NS222" s="128"/>
      <c r="NT222" s="128"/>
      <c r="NU222" s="128"/>
      <c r="NV222" s="128"/>
      <c r="NW222" s="128"/>
      <c r="NX222" s="128"/>
      <c r="NY222" s="128"/>
      <c r="NZ222" s="128"/>
      <c r="OA222" s="128"/>
      <c r="OB222" s="128"/>
      <c r="OC222" s="128"/>
      <c r="OD222" s="128"/>
      <c r="OE222" s="128"/>
      <c r="OF222" s="128"/>
      <c r="OG222" s="128"/>
      <c r="OH222" s="128"/>
      <c r="OI222" s="128"/>
      <c r="OJ222" s="128"/>
      <c r="OK222" s="128"/>
      <c r="OL222" s="128"/>
      <c r="OM222" s="128"/>
      <c r="ON222" s="128"/>
      <c r="OO222" s="128"/>
      <c r="OP222" s="128"/>
      <c r="OQ222" s="128"/>
      <c r="OR222" s="128"/>
      <c r="OS222" s="128"/>
      <c r="OT222" s="128"/>
      <c r="OU222" s="128"/>
      <c r="OV222" s="128"/>
      <c r="OW222" s="128"/>
      <c r="OX222" s="128"/>
      <c r="OY222" s="128"/>
      <c r="OZ222" s="128"/>
      <c r="PA222" s="128"/>
      <c r="PB222" s="128"/>
      <c r="PC222" s="128"/>
      <c r="PD222" s="128"/>
      <c r="PE222" s="128"/>
      <c r="PF222" s="128"/>
      <c r="PG222" s="128"/>
      <c r="PH222" s="128"/>
      <c r="PI222" s="128"/>
      <c r="PJ222" s="128"/>
      <c r="PK222" s="128"/>
      <c r="PL222" s="128"/>
      <c r="PM222" s="128"/>
      <c r="PN222" s="128"/>
      <c r="PO222" s="128"/>
      <c r="PP222" s="128"/>
      <c r="PQ222" s="128"/>
      <c r="PR222" s="128"/>
      <c r="PS222" s="128"/>
      <c r="PT222" s="128"/>
      <c r="PU222" s="128"/>
      <c r="PV222" s="128"/>
      <c r="PW222" s="128"/>
      <c r="PX222" s="128"/>
      <c r="PY222" s="128"/>
      <c r="PZ222" s="128"/>
      <c r="QA222" s="128"/>
      <c r="QB222" s="128"/>
      <c r="QC222" s="128"/>
      <c r="QD222" s="128"/>
      <c r="QE222" s="128"/>
      <c r="QF222" s="128"/>
      <c r="QG222" s="128"/>
      <c r="QH222" s="128"/>
      <c r="QI222" s="128"/>
      <c r="QJ222" s="128"/>
      <c r="QK222" s="128"/>
      <c r="QL222" s="128"/>
      <c r="QM222" s="128"/>
      <c r="QN222" s="128"/>
      <c r="QO222" s="128"/>
      <c r="QP222" s="128"/>
      <c r="QQ222" s="128"/>
      <c r="QR222" s="128"/>
      <c r="QS222" s="128"/>
      <c r="QT222" s="128"/>
      <c r="QU222" s="128"/>
      <c r="QV222" s="128"/>
      <c r="QW222" s="128"/>
      <c r="QX222" s="128"/>
      <c r="QY222" s="128"/>
      <c r="QZ222" s="128"/>
      <c r="RA222" s="128"/>
      <c r="RB222" s="128"/>
      <c r="RC222" s="128"/>
      <c r="RD222" s="128"/>
      <c r="RE222" s="128"/>
      <c r="RF222" s="128"/>
      <c r="RG222" s="128"/>
      <c r="RH222" s="128"/>
      <c r="RI222" s="128"/>
      <c r="RJ222" s="128"/>
      <c r="RK222" s="128"/>
      <c r="RL222" s="128"/>
      <c r="RM222" s="128"/>
      <c r="RN222" s="128"/>
      <c r="RO222" s="128"/>
      <c r="RP222" s="128"/>
      <c r="RQ222" s="128"/>
      <c r="RR222" s="128"/>
      <c r="RS222" s="128"/>
      <c r="RT222" s="128"/>
      <c r="RU222" s="128"/>
      <c r="RV222" s="128"/>
      <c r="RW222" s="128"/>
      <c r="RX222" s="128"/>
      <c r="RY222" s="128"/>
      <c r="RZ222" s="128"/>
      <c r="SA222" s="128"/>
      <c r="SB222" s="128"/>
      <c r="SC222" s="128"/>
      <c r="SD222" s="128"/>
      <c r="SE222" s="128"/>
      <c r="SF222" s="128"/>
      <c r="SG222" s="128"/>
      <c r="SH222" s="128"/>
      <c r="SI222" s="128"/>
      <c r="SJ222" s="128"/>
      <c r="SK222" s="128"/>
      <c r="SL222" s="128"/>
      <c r="SM222" s="128"/>
      <c r="SN222" s="128"/>
      <c r="SO222" s="128"/>
      <c r="SP222" s="128"/>
      <c r="SQ222" s="128"/>
      <c r="SR222" s="128"/>
      <c r="SS222" s="128"/>
      <c r="ST222" s="128"/>
      <c r="SU222" s="128"/>
      <c r="SV222" s="128"/>
      <c r="SW222" s="128"/>
      <c r="SX222" s="128"/>
      <c r="SY222" s="128"/>
      <c r="SZ222" s="128"/>
      <c r="TA222" s="128"/>
      <c r="TB222" s="128"/>
      <c r="TC222" s="128"/>
      <c r="TD222" s="128"/>
      <c r="TE222" s="128"/>
      <c r="TF222" s="128"/>
      <c r="TG222" s="128"/>
      <c r="TH222" s="128"/>
      <c r="TI222" s="128"/>
      <c r="TJ222" s="128"/>
      <c r="TK222" s="128"/>
      <c r="TL222" s="128"/>
      <c r="TM222" s="128"/>
      <c r="TN222" s="128"/>
      <c r="TO222" s="128"/>
      <c r="TP222" s="128"/>
      <c r="TQ222" s="128"/>
      <c r="TR222" s="128"/>
      <c r="TS222" s="128"/>
      <c r="TT222" s="128"/>
      <c r="TU222" s="128"/>
      <c r="TV222" s="128"/>
      <c r="TW222" s="128"/>
      <c r="TX222" s="128"/>
      <c r="TY222" s="128"/>
      <c r="TZ222" s="128"/>
      <c r="UA222" s="128"/>
      <c r="UB222" s="128"/>
      <c r="UC222" s="128"/>
      <c r="UD222" s="128"/>
      <c r="UE222" s="128"/>
      <c r="UF222" s="128"/>
      <c r="UG222" s="128"/>
      <c r="UH222" s="128"/>
      <c r="UI222" s="128"/>
      <c r="UJ222" s="128"/>
      <c r="UK222" s="128"/>
      <c r="UL222" s="128"/>
      <c r="UM222" s="128"/>
      <c r="UN222" s="128"/>
      <c r="UO222" s="128"/>
      <c r="UP222" s="128"/>
      <c r="UQ222" s="128"/>
      <c r="UR222" s="128"/>
      <c r="US222" s="128"/>
      <c r="UT222" s="128"/>
      <c r="UU222" s="128"/>
      <c r="UV222" s="128"/>
      <c r="UW222" s="128"/>
      <c r="UX222" s="128"/>
      <c r="UY222" s="128"/>
      <c r="UZ222" s="128"/>
      <c r="VA222" s="128"/>
      <c r="VB222" s="128"/>
      <c r="VC222" s="128"/>
      <c r="VD222" s="128"/>
      <c r="VE222" s="128"/>
      <c r="VF222" s="128"/>
      <c r="VG222" s="128"/>
      <c r="VH222" s="128"/>
      <c r="VI222" s="128"/>
      <c r="VJ222" s="128"/>
      <c r="VK222" s="128"/>
      <c r="VL222" s="128"/>
      <c r="VM222" s="128"/>
      <c r="VN222" s="128"/>
      <c r="VO222" s="128"/>
      <c r="VP222" s="128"/>
      <c r="VQ222" s="128"/>
      <c r="VR222" s="128"/>
      <c r="VS222" s="128"/>
      <c r="VT222" s="128"/>
      <c r="VU222" s="128"/>
      <c r="VV222" s="128"/>
      <c r="VW222" s="128"/>
      <c r="VX222" s="128"/>
      <c r="VY222" s="128"/>
      <c r="VZ222" s="128"/>
      <c r="WA222" s="128"/>
      <c r="WB222" s="128"/>
      <c r="WC222" s="128"/>
      <c r="WD222" s="128"/>
      <c r="WE222" s="128"/>
      <c r="WF222" s="128"/>
      <c r="WG222" s="128"/>
      <c r="WH222" s="128"/>
      <c r="WI222" s="128"/>
      <c r="WJ222" s="128"/>
      <c r="WK222" s="128"/>
      <c r="WL222" s="128"/>
      <c r="WM222" s="128"/>
      <c r="WN222" s="128"/>
      <c r="WO222" s="128"/>
      <c r="WP222" s="128"/>
      <c r="WQ222" s="128"/>
      <c r="WR222" s="128"/>
      <c r="WS222" s="128"/>
      <c r="WT222" s="128"/>
      <c r="WU222" s="128"/>
      <c r="WV222" s="128"/>
      <c r="WW222" s="128"/>
      <c r="WX222" s="128"/>
      <c r="WY222" s="128"/>
      <c r="WZ222" s="128"/>
      <c r="XA222" s="128"/>
      <c r="XB222" s="128"/>
      <c r="XC222" s="128"/>
      <c r="XD222" s="128"/>
      <c r="XE222" s="128"/>
      <c r="XF222" s="128"/>
      <c r="XG222" s="128"/>
      <c r="XH222" s="128"/>
      <c r="XI222" s="128"/>
      <c r="XJ222" s="128"/>
      <c r="XK222" s="128"/>
      <c r="XL222" s="128"/>
      <c r="XM222" s="128"/>
      <c r="XN222" s="128"/>
      <c r="XO222" s="128"/>
      <c r="XP222" s="128"/>
      <c r="XQ222" s="128"/>
      <c r="XR222" s="128"/>
      <c r="XS222" s="128"/>
      <c r="XT222" s="128"/>
      <c r="XU222" s="128"/>
      <c r="XV222" s="128"/>
      <c r="XW222" s="128"/>
      <c r="XX222" s="128"/>
      <c r="XY222" s="128"/>
      <c r="XZ222" s="128"/>
      <c r="YA222" s="128"/>
      <c r="YB222" s="128"/>
      <c r="YC222" s="128"/>
      <c r="YD222" s="128"/>
      <c r="YE222" s="128"/>
      <c r="YF222" s="128"/>
      <c r="YG222" s="128"/>
      <c r="YH222" s="128"/>
      <c r="YI222" s="128"/>
      <c r="YJ222" s="128"/>
      <c r="YK222" s="128"/>
      <c r="YL222" s="128"/>
      <c r="YM222" s="128"/>
      <c r="YN222" s="128"/>
      <c r="YO222" s="128"/>
      <c r="YP222" s="128"/>
      <c r="YQ222" s="128"/>
      <c r="YR222" s="128"/>
      <c r="YS222" s="128"/>
      <c r="YT222" s="128"/>
      <c r="YU222" s="128"/>
      <c r="YV222" s="128"/>
      <c r="YW222" s="128"/>
      <c r="YX222" s="128"/>
      <c r="YY222" s="128"/>
      <c r="YZ222" s="128"/>
      <c r="ZA222" s="128"/>
      <c r="ZB222" s="128"/>
      <c r="ZC222" s="128"/>
      <c r="ZD222" s="128"/>
      <c r="ZE222" s="128"/>
      <c r="ZF222" s="128"/>
      <c r="ZG222" s="128"/>
      <c r="ZH222" s="128"/>
      <c r="ZI222" s="128"/>
      <c r="ZJ222" s="128"/>
      <c r="ZK222" s="128"/>
      <c r="ZL222" s="128"/>
      <c r="ZM222" s="128"/>
      <c r="ZN222" s="128"/>
      <c r="ZO222" s="128"/>
      <c r="ZP222" s="128"/>
      <c r="ZQ222" s="128"/>
      <c r="ZR222" s="128"/>
      <c r="ZS222" s="128"/>
      <c r="ZT222" s="128"/>
      <c r="ZU222" s="128"/>
      <c r="ZV222" s="128"/>
      <c r="ZW222" s="128"/>
      <c r="ZX222" s="128"/>
      <c r="ZY222" s="128"/>
      <c r="ZZ222" s="128"/>
      <c r="AAA222" s="128"/>
      <c r="AAB222" s="128"/>
      <c r="AAC222" s="128"/>
      <c r="AAD222" s="128"/>
      <c r="AAE222" s="128"/>
      <c r="AAF222" s="128"/>
      <c r="AAG222" s="128"/>
      <c r="AAH222" s="128"/>
      <c r="AAI222" s="128"/>
      <c r="AAJ222" s="128"/>
      <c r="AAK222" s="128"/>
      <c r="AAL222" s="128"/>
      <c r="AAM222" s="128"/>
      <c r="AAN222" s="128"/>
      <c r="AAO222" s="128"/>
      <c r="AAP222" s="128"/>
      <c r="AAQ222" s="128"/>
      <c r="AAR222" s="128"/>
      <c r="AAS222" s="128"/>
      <c r="AAT222" s="128"/>
      <c r="AAU222" s="128"/>
      <c r="AAV222" s="128"/>
      <c r="AAW222" s="128"/>
      <c r="AAX222" s="128"/>
      <c r="AAY222" s="128"/>
      <c r="AAZ222" s="128"/>
      <c r="ABA222" s="128"/>
      <c r="ABB222" s="128"/>
      <c r="ABC222" s="128"/>
      <c r="ABD222" s="128"/>
      <c r="ABE222" s="128"/>
      <c r="ABF222" s="128"/>
      <c r="ABG222" s="128"/>
      <c r="ABH222" s="128"/>
      <c r="ABI222" s="128"/>
      <c r="ABJ222" s="128"/>
      <c r="ABK222" s="128"/>
      <c r="ABL222" s="128"/>
      <c r="ABM222" s="128"/>
      <c r="ABN222" s="128"/>
      <c r="ABO222" s="128"/>
      <c r="ABP222" s="128"/>
      <c r="ABQ222" s="128"/>
      <c r="ABR222" s="128"/>
      <c r="ABS222" s="128"/>
      <c r="ABT222" s="128"/>
      <c r="ABU222" s="128"/>
      <c r="ABV222" s="128"/>
      <c r="ABW222" s="128"/>
      <c r="ABX222" s="128"/>
      <c r="ABY222" s="128"/>
      <c r="ABZ222" s="128"/>
      <c r="ACA222" s="128"/>
      <c r="ACB222" s="128"/>
      <c r="ACC222" s="128"/>
      <c r="ACD222" s="128"/>
      <c r="ACE222" s="128"/>
      <c r="ACF222" s="128"/>
      <c r="ACG222" s="128"/>
      <c r="ACH222" s="128"/>
      <c r="ACI222" s="128"/>
      <c r="ACJ222" s="128"/>
      <c r="ACK222" s="128"/>
      <c r="ACL222" s="128"/>
      <c r="ACM222" s="128"/>
      <c r="ACN222" s="128"/>
      <c r="ACO222" s="128"/>
      <c r="ACP222" s="128"/>
      <c r="ACQ222" s="128"/>
      <c r="ACR222" s="128"/>
      <c r="ACS222" s="128"/>
      <c r="ACT222" s="128"/>
      <c r="ACU222" s="128"/>
      <c r="ACV222" s="128"/>
      <c r="ACW222" s="128"/>
      <c r="ACX222" s="128"/>
      <c r="ACY222" s="128"/>
      <c r="ACZ222" s="128"/>
      <c r="ADA222" s="128"/>
      <c r="ADB222" s="128"/>
      <c r="ADC222" s="128"/>
      <c r="ADD222" s="128"/>
      <c r="ADE222" s="128"/>
      <c r="ADF222" s="128"/>
      <c r="ADG222" s="128"/>
      <c r="ADH222" s="128"/>
      <c r="ADI222" s="128"/>
      <c r="ADJ222" s="128"/>
      <c r="ADK222" s="128"/>
      <c r="ADL222" s="128"/>
      <c r="ADM222" s="128"/>
      <c r="ADN222" s="128"/>
      <c r="ADO222" s="128"/>
      <c r="ADP222" s="128"/>
      <c r="ADQ222" s="128"/>
      <c r="ADR222" s="128"/>
      <c r="ADS222" s="128"/>
      <c r="ADT222" s="128"/>
      <c r="ADU222" s="128"/>
      <c r="ADV222" s="128"/>
      <c r="ADW222" s="128"/>
      <c r="ADX222" s="128"/>
      <c r="ADY222" s="128"/>
      <c r="ADZ222" s="128"/>
      <c r="AEA222" s="128"/>
      <c r="AEB222" s="128"/>
      <c r="AEC222" s="128"/>
      <c r="AED222" s="128"/>
      <c r="AEE222" s="128"/>
      <c r="AEF222" s="128"/>
      <c r="AEG222" s="128"/>
      <c r="AEH222" s="128"/>
      <c r="AEI222" s="128"/>
      <c r="AEJ222" s="128"/>
      <c r="AEK222" s="128"/>
      <c r="AEL222" s="128"/>
      <c r="AEM222" s="128"/>
      <c r="AEN222" s="128"/>
      <c r="AEO222" s="128"/>
      <c r="AEP222" s="128"/>
      <c r="AEQ222" s="128"/>
      <c r="AER222" s="128"/>
      <c r="AES222" s="128"/>
      <c r="AET222" s="128"/>
      <c r="AEU222" s="128"/>
      <c r="AEV222" s="128"/>
      <c r="AEW222" s="128"/>
      <c r="AEX222" s="128"/>
      <c r="AEY222" s="128"/>
      <c r="AEZ222" s="128"/>
      <c r="AFA222" s="128"/>
      <c r="AFB222" s="128"/>
      <c r="AFC222" s="128"/>
      <c r="AFD222" s="128"/>
      <c r="AFE222" s="128"/>
      <c r="AFF222" s="128"/>
      <c r="AFG222" s="128"/>
      <c r="AFH222" s="128"/>
      <c r="AFI222" s="128"/>
      <c r="AFJ222" s="128"/>
      <c r="AFK222" s="128"/>
      <c r="AFL222" s="128"/>
      <c r="AFM222" s="128"/>
      <c r="AFN222" s="128"/>
      <c r="AFO222" s="128"/>
      <c r="AFP222" s="128"/>
      <c r="AFQ222" s="128"/>
      <c r="AFR222" s="128"/>
      <c r="AFS222" s="128"/>
      <c r="AFT222" s="128"/>
      <c r="AFU222" s="128"/>
      <c r="AFV222" s="128"/>
      <c r="AFW222" s="128"/>
      <c r="AFX222" s="128"/>
      <c r="AFY222" s="128"/>
      <c r="AFZ222" s="128"/>
      <c r="AGA222" s="128"/>
      <c r="AGB222" s="128"/>
      <c r="AGC222" s="128"/>
      <c r="AGD222" s="128"/>
      <c r="AGE222" s="128"/>
      <c r="AGF222" s="128"/>
      <c r="AGG222" s="128"/>
      <c r="AGH222" s="128"/>
      <c r="AGI222" s="128"/>
      <c r="AGJ222" s="128"/>
      <c r="AGK222" s="128"/>
      <c r="AGL222" s="128"/>
      <c r="AGM222" s="128"/>
      <c r="AGN222" s="128"/>
      <c r="AGO222" s="128"/>
      <c r="AGP222" s="128"/>
      <c r="AGQ222" s="128"/>
      <c r="AGR222" s="128"/>
      <c r="AGS222" s="128"/>
      <c r="AGT222" s="128"/>
      <c r="AGU222" s="128"/>
      <c r="AGV222" s="128"/>
      <c r="AGW222" s="128"/>
      <c r="AGX222" s="128"/>
      <c r="AGY222" s="128"/>
      <c r="AGZ222" s="128"/>
      <c r="AHA222" s="128"/>
      <c r="AHB222" s="128"/>
      <c r="AHC222" s="128"/>
      <c r="AHD222" s="128"/>
      <c r="AHE222" s="128"/>
      <c r="AHF222" s="128"/>
      <c r="AHG222" s="128"/>
      <c r="AHH222" s="128"/>
      <c r="AHI222" s="128"/>
      <c r="AHJ222" s="128"/>
      <c r="AHK222" s="128"/>
      <c r="AHL222" s="128"/>
      <c r="AHM222" s="128"/>
      <c r="AHN222" s="128"/>
      <c r="AHO222" s="128"/>
      <c r="AHP222" s="128"/>
      <c r="AHQ222" s="128"/>
      <c r="AHR222" s="128"/>
      <c r="AHS222" s="128"/>
      <c r="AHT222" s="128"/>
      <c r="AHU222" s="128"/>
      <c r="AHV222" s="128"/>
      <c r="AHW222" s="128"/>
      <c r="AHX222" s="128"/>
      <c r="AHY222" s="128"/>
      <c r="AHZ222" s="128"/>
      <c r="AIA222" s="128"/>
      <c r="AIB222" s="128"/>
      <c r="AIC222" s="128"/>
      <c r="AID222" s="128"/>
      <c r="AIE222" s="128"/>
      <c r="AIF222" s="128"/>
      <c r="AIG222" s="128"/>
      <c r="AIH222" s="128"/>
      <c r="AII222" s="128"/>
      <c r="AIJ222" s="128"/>
      <c r="AIK222" s="128"/>
      <c r="AIL222" s="128"/>
      <c r="AIM222" s="128"/>
      <c r="AIN222" s="128"/>
      <c r="AIO222" s="128"/>
      <c r="AIP222" s="128"/>
      <c r="AIQ222" s="128"/>
      <c r="AIR222" s="128"/>
      <c r="AIS222" s="128"/>
      <c r="AIT222" s="128"/>
      <c r="AIU222" s="128"/>
      <c r="AIV222" s="128"/>
      <c r="AIW222" s="128"/>
      <c r="AIX222" s="128"/>
      <c r="AIY222" s="128"/>
      <c r="AIZ222" s="128"/>
      <c r="AJA222" s="128"/>
      <c r="AJB222" s="128"/>
      <c r="AJC222" s="128"/>
      <c r="AJD222" s="128"/>
      <c r="AJE222" s="128"/>
      <c r="AJF222" s="128"/>
      <c r="AJG222" s="128"/>
      <c r="AJH222" s="128"/>
      <c r="AJI222" s="128"/>
      <c r="AJJ222" s="128"/>
      <c r="AJK222" s="128"/>
      <c r="AJL222" s="128"/>
      <c r="AJM222" s="128"/>
      <c r="AJN222" s="128"/>
      <c r="AJO222" s="128"/>
      <c r="AJP222" s="128"/>
      <c r="AJQ222" s="128"/>
      <c r="AJR222" s="128"/>
      <c r="AJS222" s="128"/>
      <c r="AJT222" s="128"/>
      <c r="AJU222" s="128"/>
      <c r="AJV222" s="128"/>
      <c r="AJW222" s="128"/>
      <c r="AJX222" s="128"/>
      <c r="AJY222" s="128"/>
      <c r="AJZ222" s="128"/>
      <c r="AKA222" s="128"/>
      <c r="AKB222" s="128"/>
      <c r="AKC222" s="128"/>
      <c r="AKD222" s="128"/>
      <c r="AKE222" s="128"/>
      <c r="AKF222" s="128"/>
      <c r="AKG222" s="128"/>
      <c r="AKH222" s="128"/>
      <c r="AKI222" s="128"/>
      <c r="AKJ222" s="128"/>
      <c r="AKK222" s="128"/>
      <c r="AKL222" s="128"/>
      <c r="AKM222" s="128"/>
      <c r="AKN222" s="128"/>
      <c r="AKO222" s="128"/>
      <c r="AKP222" s="128"/>
      <c r="AKQ222" s="128"/>
      <c r="AKR222" s="128"/>
      <c r="AKS222" s="128"/>
      <c r="AKT222" s="128"/>
      <c r="AKU222" s="128"/>
      <c r="AKV222" s="128"/>
      <c r="AKW222" s="128"/>
      <c r="AKX222" s="128"/>
      <c r="AKY222" s="128"/>
      <c r="AKZ222" s="128"/>
      <c r="ALA222" s="128"/>
      <c r="ALB222" s="128"/>
      <c r="ALC222" s="128"/>
      <c r="ALD222" s="128"/>
      <c r="ALE222" s="128"/>
      <c r="ALF222" s="128"/>
      <c r="ALG222" s="128"/>
      <c r="ALH222" s="128"/>
      <c r="ALI222" s="128"/>
      <c r="ALJ222" s="128"/>
      <c r="ALK222" s="128"/>
      <c r="ALL222" s="128"/>
      <c r="ALM222" s="128"/>
      <c r="ALN222" s="128"/>
      <c r="ALO222" s="128"/>
      <c r="ALP222" s="128"/>
      <c r="ALQ222" s="128"/>
      <c r="ALR222" s="128"/>
      <c r="ALS222" s="128"/>
      <c r="ALT222" s="128"/>
      <c r="ALU222" s="128"/>
      <c r="ALV222" s="128"/>
      <c r="ALW222" s="128"/>
      <c r="ALX222" s="128"/>
      <c r="ALY222" s="128"/>
      <c r="ALZ222" s="128"/>
      <c r="AMA222"/>
      <c r="AMB222"/>
      <c r="AMC222"/>
      <c r="AMD222"/>
    </row>
    <row r="223" spans="1:1018" s="96" customFormat="1" ht="12" customHeight="1">
      <c r="A223" s="129"/>
      <c r="B223" s="129"/>
      <c r="C223" s="129"/>
      <c r="D223" s="129"/>
      <c r="E223" s="129"/>
      <c r="F223" s="129"/>
      <c r="I223" s="225"/>
      <c r="K223" s="159"/>
      <c r="P223" s="173"/>
      <c r="T223" s="277"/>
      <c r="X223"/>
      <c r="Y223" s="179"/>
      <c r="AA223" s="159"/>
      <c r="AC223"/>
      <c r="AE223" s="128"/>
      <c r="AF223"/>
      <c r="AG223" s="128"/>
      <c r="AH223" s="128"/>
      <c r="AI223" s="128"/>
      <c r="AJ223" s="128"/>
      <c r="AK223" s="128"/>
      <c r="AL223" s="128"/>
      <c r="AM223" s="128"/>
      <c r="AN223" s="128"/>
      <c r="AO223" s="128"/>
      <c r="AP223" s="128"/>
      <c r="AQ223" s="128"/>
      <c r="AR223" s="128"/>
      <c r="AS223" s="128"/>
      <c r="AT223" s="128"/>
      <c r="AU223" s="128"/>
      <c r="AV223" s="128"/>
      <c r="AW223" s="128"/>
      <c r="AX223" s="128"/>
      <c r="AY223" s="128"/>
      <c r="AZ223" s="128"/>
      <c r="BA223" s="128"/>
      <c r="BB223" s="128"/>
      <c r="BC223" s="128"/>
      <c r="BD223" s="128"/>
      <c r="BE223" s="128"/>
      <c r="BF223" s="128"/>
      <c r="BG223" s="128"/>
      <c r="BH223" s="128"/>
      <c r="BI223" s="128"/>
      <c r="BJ223" s="128"/>
      <c r="BK223" s="128"/>
      <c r="BL223" s="128"/>
      <c r="BM223" s="128"/>
      <c r="BN223" s="128"/>
      <c r="BO223" s="128"/>
      <c r="BP223" s="128"/>
      <c r="BQ223" s="128"/>
      <c r="BR223" s="128"/>
      <c r="BS223" s="128"/>
      <c r="BT223" s="128"/>
      <c r="BU223" s="128"/>
      <c r="BV223" s="128"/>
      <c r="BW223" s="128"/>
      <c r="BX223" s="128"/>
      <c r="BY223" s="128"/>
      <c r="BZ223" s="128"/>
      <c r="CA223" s="128"/>
      <c r="CB223" s="128"/>
      <c r="CC223" s="128"/>
      <c r="CD223" s="128"/>
      <c r="CE223" s="128"/>
      <c r="CF223" s="128"/>
      <c r="CG223" s="128"/>
      <c r="CH223" s="128"/>
      <c r="CI223" s="128"/>
      <c r="CJ223" s="128"/>
      <c r="CK223" s="128"/>
      <c r="CL223" s="128"/>
      <c r="CM223" s="128"/>
      <c r="CN223" s="128"/>
      <c r="CO223" s="128"/>
      <c r="CP223" s="128"/>
      <c r="CQ223" s="128"/>
      <c r="CR223" s="128"/>
      <c r="CS223" s="128"/>
      <c r="CT223" s="128"/>
      <c r="CU223" s="128"/>
      <c r="CV223" s="128"/>
      <c r="CW223" s="128"/>
      <c r="CX223" s="128"/>
      <c r="CY223" s="128"/>
      <c r="CZ223" s="128"/>
      <c r="DA223" s="128"/>
      <c r="DB223" s="128"/>
      <c r="DC223" s="128"/>
      <c r="DD223" s="128"/>
      <c r="DE223" s="128"/>
      <c r="DF223" s="128"/>
      <c r="DG223" s="128"/>
      <c r="DH223" s="128"/>
      <c r="DI223" s="128"/>
      <c r="DJ223" s="128"/>
      <c r="DK223" s="128"/>
      <c r="DL223" s="128"/>
      <c r="DM223" s="128"/>
      <c r="DN223" s="128"/>
      <c r="DO223" s="128"/>
      <c r="DP223" s="128"/>
      <c r="DQ223" s="128"/>
      <c r="DR223" s="128"/>
      <c r="DS223" s="128"/>
      <c r="DT223" s="128"/>
      <c r="DU223" s="128"/>
      <c r="DV223" s="128"/>
      <c r="DW223" s="128"/>
      <c r="DX223" s="128"/>
      <c r="DY223" s="128"/>
      <c r="DZ223" s="128"/>
      <c r="EA223" s="128"/>
      <c r="EB223" s="128"/>
      <c r="EC223" s="128"/>
      <c r="ED223" s="128"/>
      <c r="EE223" s="128"/>
      <c r="EF223" s="128"/>
      <c r="EG223" s="128"/>
      <c r="EH223" s="128"/>
      <c r="EI223" s="128"/>
      <c r="EJ223" s="128"/>
      <c r="EK223" s="128"/>
      <c r="EL223" s="128"/>
      <c r="EM223" s="128"/>
      <c r="EN223" s="128"/>
      <c r="EO223" s="128"/>
      <c r="EP223" s="128"/>
      <c r="EQ223" s="128"/>
      <c r="ER223" s="128"/>
      <c r="ES223" s="128"/>
      <c r="ET223" s="128"/>
      <c r="EU223" s="128"/>
      <c r="EV223" s="128"/>
      <c r="EW223" s="128"/>
      <c r="EX223" s="128"/>
      <c r="EY223" s="128"/>
      <c r="EZ223" s="128"/>
      <c r="FA223" s="128"/>
      <c r="FB223" s="128"/>
      <c r="FC223" s="128"/>
      <c r="FD223" s="128"/>
      <c r="FE223" s="128"/>
      <c r="FF223" s="128"/>
      <c r="FG223" s="128"/>
      <c r="FH223" s="128"/>
      <c r="FI223" s="128"/>
      <c r="FJ223" s="128"/>
      <c r="FK223" s="128"/>
      <c r="FL223" s="128"/>
      <c r="FM223" s="128"/>
      <c r="FN223" s="128"/>
      <c r="FO223" s="128"/>
      <c r="FP223" s="128"/>
      <c r="FQ223" s="128"/>
      <c r="FR223" s="128"/>
      <c r="FS223" s="128"/>
      <c r="FT223" s="128"/>
      <c r="FU223" s="128"/>
      <c r="FV223" s="128"/>
      <c r="FW223" s="128"/>
      <c r="FX223" s="128"/>
      <c r="FY223" s="128"/>
      <c r="FZ223" s="128"/>
      <c r="GA223" s="128"/>
      <c r="GB223" s="128"/>
      <c r="GC223" s="128"/>
      <c r="GD223" s="128"/>
      <c r="GE223" s="128"/>
      <c r="GF223" s="128"/>
      <c r="GG223" s="128"/>
      <c r="GH223" s="128"/>
      <c r="GI223" s="128"/>
      <c r="GJ223" s="128"/>
      <c r="GK223" s="128"/>
      <c r="GL223" s="128"/>
      <c r="GM223" s="128"/>
      <c r="GN223" s="128"/>
      <c r="GO223" s="128"/>
      <c r="GP223" s="128"/>
      <c r="GQ223" s="128"/>
      <c r="GR223" s="128"/>
      <c r="GS223" s="128"/>
      <c r="GT223" s="128"/>
      <c r="GU223" s="128"/>
      <c r="GV223" s="128"/>
      <c r="GW223" s="128"/>
      <c r="GX223" s="128"/>
      <c r="GY223" s="128"/>
      <c r="GZ223" s="128"/>
      <c r="HA223" s="128"/>
      <c r="HB223" s="128"/>
      <c r="HC223" s="128"/>
      <c r="HD223" s="128"/>
      <c r="HE223" s="128"/>
      <c r="HF223" s="128"/>
      <c r="HG223" s="128"/>
      <c r="HH223" s="128"/>
      <c r="HI223" s="128"/>
      <c r="HJ223" s="128"/>
      <c r="HK223" s="128"/>
      <c r="HL223" s="128"/>
      <c r="HM223" s="128"/>
      <c r="HN223" s="128"/>
      <c r="HO223" s="128"/>
      <c r="HP223" s="128"/>
      <c r="HQ223" s="128"/>
      <c r="HR223" s="128"/>
      <c r="HS223" s="128"/>
      <c r="HT223" s="128"/>
      <c r="HU223" s="128"/>
      <c r="HV223" s="128"/>
      <c r="HW223" s="128"/>
      <c r="HX223" s="128"/>
      <c r="HY223" s="128"/>
      <c r="HZ223" s="128"/>
      <c r="IA223" s="128"/>
      <c r="IB223" s="128"/>
      <c r="IC223" s="128"/>
      <c r="ID223" s="128"/>
      <c r="IE223" s="128"/>
      <c r="IF223" s="128"/>
      <c r="IG223" s="128"/>
      <c r="IH223" s="128"/>
      <c r="II223" s="128"/>
      <c r="IJ223" s="128"/>
      <c r="IK223" s="128"/>
      <c r="IL223" s="128"/>
      <c r="IM223" s="128"/>
      <c r="IN223" s="128"/>
      <c r="IO223" s="128"/>
      <c r="IP223" s="128"/>
      <c r="IQ223" s="128"/>
      <c r="IR223" s="128"/>
      <c r="IS223" s="128"/>
      <c r="IT223" s="128"/>
      <c r="IU223" s="128"/>
      <c r="IV223" s="128"/>
      <c r="IW223" s="128"/>
      <c r="IX223" s="128"/>
      <c r="IY223" s="128"/>
      <c r="IZ223" s="128"/>
      <c r="JA223" s="128"/>
      <c r="JB223" s="128"/>
      <c r="JC223" s="128"/>
      <c r="JD223" s="128"/>
      <c r="JE223" s="128"/>
      <c r="JF223" s="128"/>
      <c r="JG223" s="128"/>
      <c r="JH223" s="128"/>
      <c r="JI223" s="128"/>
      <c r="JJ223" s="128"/>
      <c r="JK223" s="128"/>
      <c r="JL223" s="128"/>
      <c r="JM223" s="128"/>
      <c r="JN223" s="128"/>
      <c r="JO223" s="128"/>
      <c r="JP223" s="128"/>
      <c r="JQ223" s="128"/>
      <c r="JR223" s="128"/>
      <c r="JS223" s="128"/>
      <c r="JT223" s="128"/>
      <c r="JU223" s="128"/>
      <c r="JV223" s="128"/>
      <c r="JW223" s="128"/>
      <c r="JX223" s="128"/>
      <c r="JY223" s="128"/>
      <c r="JZ223" s="128"/>
      <c r="KA223" s="128"/>
      <c r="KB223" s="128"/>
      <c r="KC223" s="128"/>
      <c r="KD223" s="128"/>
      <c r="KE223" s="128"/>
      <c r="KF223" s="128"/>
      <c r="KG223" s="128"/>
      <c r="KH223" s="128"/>
      <c r="KI223" s="128"/>
      <c r="KJ223" s="128"/>
      <c r="KK223" s="128"/>
      <c r="KL223" s="128"/>
      <c r="KM223" s="128"/>
      <c r="KN223" s="128"/>
      <c r="KO223" s="128"/>
      <c r="KP223" s="128"/>
      <c r="KQ223" s="128"/>
      <c r="KR223" s="128"/>
      <c r="KS223" s="128"/>
      <c r="KT223" s="128"/>
      <c r="KU223" s="128"/>
      <c r="KV223" s="128"/>
      <c r="KW223" s="128"/>
      <c r="KX223" s="128"/>
      <c r="KY223" s="128"/>
      <c r="KZ223" s="128"/>
      <c r="LA223" s="128"/>
      <c r="LB223" s="128"/>
      <c r="LC223" s="128"/>
      <c r="LD223" s="128"/>
      <c r="LE223" s="128"/>
      <c r="LF223" s="128"/>
      <c r="LG223" s="128"/>
      <c r="LH223" s="128"/>
      <c r="LI223" s="128"/>
      <c r="LJ223" s="128"/>
      <c r="LK223" s="128"/>
      <c r="LL223" s="128"/>
      <c r="LM223" s="128"/>
      <c r="LN223" s="128"/>
      <c r="LO223" s="128"/>
      <c r="LP223" s="128"/>
      <c r="LQ223" s="128"/>
      <c r="LR223" s="128"/>
      <c r="LS223" s="128"/>
      <c r="LT223" s="128"/>
      <c r="LU223" s="128"/>
      <c r="LV223" s="128"/>
      <c r="LW223" s="128"/>
      <c r="LX223" s="128"/>
      <c r="LY223" s="128"/>
      <c r="LZ223" s="128"/>
      <c r="MA223" s="128"/>
      <c r="MB223" s="128"/>
      <c r="MC223" s="128"/>
      <c r="MD223" s="128"/>
      <c r="ME223" s="128"/>
      <c r="MF223" s="128"/>
      <c r="MG223" s="128"/>
      <c r="MH223" s="128"/>
      <c r="MI223" s="128"/>
      <c r="MJ223" s="128"/>
      <c r="MK223" s="128"/>
      <c r="ML223" s="128"/>
      <c r="MM223" s="128"/>
      <c r="MN223" s="128"/>
      <c r="MO223" s="128"/>
      <c r="MP223" s="128"/>
      <c r="MQ223" s="128"/>
      <c r="MR223" s="128"/>
      <c r="MS223" s="128"/>
      <c r="MT223" s="128"/>
      <c r="MU223" s="128"/>
      <c r="MV223" s="128"/>
      <c r="MW223" s="128"/>
      <c r="MX223" s="128"/>
      <c r="MY223" s="128"/>
      <c r="MZ223" s="128"/>
      <c r="NA223" s="128"/>
      <c r="NB223" s="128"/>
      <c r="NC223" s="128"/>
      <c r="ND223" s="128"/>
      <c r="NE223" s="128"/>
      <c r="NF223" s="128"/>
      <c r="NG223" s="128"/>
      <c r="NH223" s="128"/>
      <c r="NI223" s="128"/>
      <c r="NJ223" s="128"/>
      <c r="NK223" s="128"/>
      <c r="NL223" s="128"/>
      <c r="NM223" s="128"/>
      <c r="NN223" s="128"/>
      <c r="NO223" s="128"/>
      <c r="NP223" s="128"/>
      <c r="NQ223" s="128"/>
      <c r="NR223" s="128"/>
      <c r="NS223" s="128"/>
      <c r="NT223" s="128"/>
      <c r="NU223" s="128"/>
      <c r="NV223" s="128"/>
      <c r="NW223" s="128"/>
      <c r="NX223" s="128"/>
      <c r="NY223" s="128"/>
      <c r="NZ223" s="128"/>
      <c r="OA223" s="128"/>
      <c r="OB223" s="128"/>
      <c r="OC223" s="128"/>
      <c r="OD223" s="128"/>
      <c r="OE223" s="128"/>
      <c r="OF223" s="128"/>
      <c r="OG223" s="128"/>
      <c r="OH223" s="128"/>
      <c r="OI223" s="128"/>
      <c r="OJ223" s="128"/>
      <c r="OK223" s="128"/>
      <c r="OL223" s="128"/>
      <c r="OM223" s="128"/>
      <c r="ON223" s="128"/>
      <c r="OO223" s="128"/>
      <c r="OP223" s="128"/>
      <c r="OQ223" s="128"/>
      <c r="OR223" s="128"/>
      <c r="OS223" s="128"/>
      <c r="OT223" s="128"/>
      <c r="OU223" s="128"/>
      <c r="OV223" s="128"/>
      <c r="OW223" s="128"/>
      <c r="OX223" s="128"/>
      <c r="OY223" s="128"/>
      <c r="OZ223" s="128"/>
      <c r="PA223" s="128"/>
      <c r="PB223" s="128"/>
      <c r="PC223" s="128"/>
      <c r="PD223" s="128"/>
      <c r="PE223" s="128"/>
      <c r="PF223" s="128"/>
      <c r="PG223" s="128"/>
      <c r="PH223" s="128"/>
      <c r="PI223" s="128"/>
      <c r="PJ223" s="128"/>
      <c r="PK223" s="128"/>
      <c r="PL223" s="128"/>
      <c r="PM223" s="128"/>
      <c r="PN223" s="128"/>
      <c r="PO223" s="128"/>
      <c r="PP223" s="128"/>
      <c r="PQ223" s="128"/>
      <c r="PR223" s="128"/>
      <c r="PS223" s="128"/>
      <c r="PT223" s="128"/>
      <c r="PU223" s="128"/>
      <c r="PV223" s="128"/>
      <c r="PW223" s="128"/>
      <c r="PX223" s="128"/>
      <c r="PY223" s="128"/>
      <c r="PZ223" s="128"/>
      <c r="QA223" s="128"/>
      <c r="QB223" s="128"/>
      <c r="QC223" s="128"/>
      <c r="QD223" s="128"/>
      <c r="QE223" s="128"/>
      <c r="QF223" s="128"/>
      <c r="QG223" s="128"/>
      <c r="QH223" s="128"/>
      <c r="QI223" s="128"/>
      <c r="QJ223" s="128"/>
      <c r="QK223" s="128"/>
      <c r="QL223" s="128"/>
      <c r="QM223" s="128"/>
      <c r="QN223" s="128"/>
      <c r="QO223" s="128"/>
      <c r="QP223" s="128"/>
      <c r="QQ223" s="128"/>
      <c r="QR223" s="128"/>
      <c r="QS223" s="128"/>
      <c r="QT223" s="128"/>
      <c r="QU223" s="128"/>
      <c r="QV223" s="128"/>
      <c r="QW223" s="128"/>
      <c r="QX223" s="128"/>
      <c r="QY223" s="128"/>
      <c r="QZ223" s="128"/>
      <c r="RA223" s="128"/>
      <c r="RB223" s="128"/>
      <c r="RC223" s="128"/>
      <c r="RD223" s="128"/>
      <c r="RE223" s="128"/>
      <c r="RF223" s="128"/>
      <c r="RG223" s="128"/>
      <c r="RH223" s="128"/>
      <c r="RI223" s="128"/>
      <c r="RJ223" s="128"/>
      <c r="RK223" s="128"/>
      <c r="RL223" s="128"/>
      <c r="RM223" s="128"/>
      <c r="RN223" s="128"/>
      <c r="RO223" s="128"/>
      <c r="RP223" s="128"/>
      <c r="RQ223" s="128"/>
      <c r="RR223" s="128"/>
      <c r="RS223" s="128"/>
      <c r="RT223" s="128"/>
      <c r="RU223" s="128"/>
      <c r="RV223" s="128"/>
      <c r="RW223" s="128"/>
      <c r="RX223" s="128"/>
      <c r="RY223" s="128"/>
      <c r="RZ223" s="128"/>
      <c r="SA223" s="128"/>
      <c r="SB223" s="128"/>
      <c r="SC223" s="128"/>
      <c r="SD223" s="128"/>
      <c r="SE223" s="128"/>
      <c r="SF223" s="128"/>
      <c r="SG223" s="128"/>
      <c r="SH223" s="128"/>
      <c r="SI223" s="128"/>
      <c r="SJ223" s="128"/>
      <c r="SK223" s="128"/>
      <c r="SL223" s="128"/>
      <c r="SM223" s="128"/>
      <c r="SN223" s="128"/>
      <c r="SO223" s="128"/>
      <c r="SP223" s="128"/>
      <c r="SQ223" s="128"/>
      <c r="SR223" s="128"/>
      <c r="SS223" s="128"/>
      <c r="ST223" s="128"/>
      <c r="SU223" s="128"/>
      <c r="SV223" s="128"/>
      <c r="SW223" s="128"/>
      <c r="SX223" s="128"/>
      <c r="SY223" s="128"/>
      <c r="SZ223" s="128"/>
      <c r="TA223" s="128"/>
      <c r="TB223" s="128"/>
      <c r="TC223" s="128"/>
      <c r="TD223" s="128"/>
      <c r="TE223" s="128"/>
      <c r="TF223" s="128"/>
      <c r="TG223" s="128"/>
      <c r="TH223" s="128"/>
      <c r="TI223" s="128"/>
      <c r="TJ223" s="128"/>
      <c r="TK223" s="128"/>
      <c r="TL223" s="128"/>
      <c r="TM223" s="128"/>
      <c r="TN223" s="128"/>
      <c r="TO223" s="128"/>
      <c r="TP223" s="128"/>
      <c r="TQ223" s="128"/>
      <c r="TR223" s="128"/>
      <c r="TS223" s="128"/>
      <c r="TT223" s="128"/>
      <c r="TU223" s="128"/>
      <c r="TV223" s="128"/>
      <c r="TW223" s="128"/>
      <c r="TX223" s="128"/>
      <c r="TY223" s="128"/>
      <c r="TZ223" s="128"/>
      <c r="UA223" s="128"/>
      <c r="UB223" s="128"/>
      <c r="UC223" s="128"/>
      <c r="UD223" s="128"/>
      <c r="UE223" s="128"/>
      <c r="UF223" s="128"/>
      <c r="UG223" s="128"/>
      <c r="UH223" s="128"/>
      <c r="UI223" s="128"/>
      <c r="UJ223" s="128"/>
      <c r="UK223" s="128"/>
      <c r="UL223" s="128"/>
      <c r="UM223" s="128"/>
      <c r="UN223" s="128"/>
      <c r="UO223" s="128"/>
      <c r="UP223" s="128"/>
      <c r="UQ223" s="128"/>
      <c r="UR223" s="128"/>
      <c r="US223" s="128"/>
      <c r="UT223" s="128"/>
      <c r="UU223" s="128"/>
      <c r="UV223" s="128"/>
      <c r="UW223" s="128"/>
      <c r="UX223" s="128"/>
      <c r="UY223" s="128"/>
      <c r="UZ223" s="128"/>
      <c r="VA223" s="128"/>
      <c r="VB223" s="128"/>
      <c r="VC223" s="128"/>
      <c r="VD223" s="128"/>
      <c r="VE223" s="128"/>
      <c r="VF223" s="128"/>
      <c r="VG223" s="128"/>
      <c r="VH223" s="128"/>
      <c r="VI223" s="128"/>
      <c r="VJ223" s="128"/>
      <c r="VK223" s="128"/>
      <c r="VL223" s="128"/>
      <c r="VM223" s="128"/>
      <c r="VN223" s="128"/>
      <c r="VO223" s="128"/>
      <c r="VP223" s="128"/>
      <c r="VQ223" s="128"/>
      <c r="VR223" s="128"/>
      <c r="VS223" s="128"/>
      <c r="VT223" s="128"/>
      <c r="VU223" s="128"/>
      <c r="VV223" s="128"/>
      <c r="VW223" s="128"/>
      <c r="VX223" s="128"/>
      <c r="VY223" s="128"/>
      <c r="VZ223" s="128"/>
      <c r="WA223" s="128"/>
      <c r="WB223" s="128"/>
      <c r="WC223" s="128"/>
      <c r="WD223" s="128"/>
      <c r="WE223" s="128"/>
      <c r="WF223" s="128"/>
      <c r="WG223" s="128"/>
      <c r="WH223" s="128"/>
      <c r="WI223" s="128"/>
      <c r="WJ223" s="128"/>
      <c r="WK223" s="128"/>
      <c r="WL223" s="128"/>
      <c r="WM223" s="128"/>
      <c r="WN223" s="128"/>
      <c r="WO223" s="128"/>
      <c r="WP223" s="128"/>
      <c r="WQ223" s="128"/>
      <c r="WR223" s="128"/>
      <c r="WS223" s="128"/>
      <c r="WT223" s="128"/>
      <c r="WU223" s="128"/>
      <c r="WV223" s="128"/>
      <c r="WW223" s="128"/>
      <c r="WX223" s="128"/>
      <c r="WY223" s="128"/>
      <c r="WZ223" s="128"/>
      <c r="XA223" s="128"/>
      <c r="XB223" s="128"/>
      <c r="XC223" s="128"/>
      <c r="XD223" s="128"/>
      <c r="XE223" s="128"/>
      <c r="XF223" s="128"/>
      <c r="XG223" s="128"/>
      <c r="XH223" s="128"/>
      <c r="XI223" s="128"/>
      <c r="XJ223" s="128"/>
      <c r="XK223" s="128"/>
      <c r="XL223" s="128"/>
      <c r="XM223" s="128"/>
      <c r="XN223" s="128"/>
      <c r="XO223" s="128"/>
      <c r="XP223" s="128"/>
      <c r="XQ223" s="128"/>
      <c r="XR223" s="128"/>
      <c r="XS223" s="128"/>
      <c r="XT223" s="128"/>
      <c r="XU223" s="128"/>
      <c r="XV223" s="128"/>
      <c r="XW223" s="128"/>
      <c r="XX223" s="128"/>
      <c r="XY223" s="128"/>
      <c r="XZ223" s="128"/>
      <c r="YA223" s="128"/>
      <c r="YB223" s="128"/>
      <c r="YC223" s="128"/>
      <c r="YD223" s="128"/>
      <c r="YE223" s="128"/>
      <c r="YF223" s="128"/>
      <c r="YG223" s="128"/>
      <c r="YH223" s="128"/>
      <c r="YI223" s="128"/>
      <c r="YJ223" s="128"/>
      <c r="YK223" s="128"/>
      <c r="YL223" s="128"/>
      <c r="YM223" s="128"/>
      <c r="YN223" s="128"/>
      <c r="YO223" s="128"/>
      <c r="YP223" s="128"/>
      <c r="YQ223" s="128"/>
      <c r="YR223" s="128"/>
      <c r="YS223" s="128"/>
      <c r="YT223" s="128"/>
      <c r="YU223" s="128"/>
      <c r="YV223" s="128"/>
      <c r="YW223" s="128"/>
      <c r="YX223" s="128"/>
      <c r="YY223" s="128"/>
      <c r="YZ223" s="128"/>
      <c r="ZA223" s="128"/>
      <c r="ZB223" s="128"/>
      <c r="ZC223" s="128"/>
      <c r="ZD223" s="128"/>
      <c r="ZE223" s="128"/>
      <c r="ZF223" s="128"/>
      <c r="ZG223" s="128"/>
      <c r="ZH223" s="128"/>
      <c r="ZI223" s="128"/>
      <c r="ZJ223" s="128"/>
      <c r="ZK223" s="128"/>
      <c r="ZL223" s="128"/>
      <c r="ZM223" s="128"/>
      <c r="ZN223" s="128"/>
      <c r="ZO223" s="128"/>
      <c r="ZP223" s="128"/>
      <c r="ZQ223" s="128"/>
      <c r="ZR223" s="128"/>
      <c r="ZS223" s="128"/>
      <c r="ZT223" s="128"/>
      <c r="ZU223" s="128"/>
      <c r="ZV223" s="128"/>
      <c r="ZW223" s="128"/>
      <c r="ZX223" s="128"/>
      <c r="ZY223" s="128"/>
      <c r="ZZ223" s="128"/>
      <c r="AAA223" s="128"/>
      <c r="AAB223" s="128"/>
      <c r="AAC223" s="128"/>
      <c r="AAD223" s="128"/>
      <c r="AAE223" s="128"/>
      <c r="AAF223" s="128"/>
      <c r="AAG223" s="128"/>
      <c r="AAH223" s="128"/>
      <c r="AAI223" s="128"/>
      <c r="AAJ223" s="128"/>
      <c r="AAK223" s="128"/>
      <c r="AAL223" s="128"/>
      <c r="AAM223" s="128"/>
      <c r="AAN223" s="128"/>
      <c r="AAO223" s="128"/>
      <c r="AAP223" s="128"/>
      <c r="AAQ223" s="128"/>
      <c r="AAR223" s="128"/>
      <c r="AAS223" s="128"/>
      <c r="AAT223" s="128"/>
      <c r="AAU223" s="128"/>
      <c r="AAV223" s="128"/>
      <c r="AAW223" s="128"/>
      <c r="AAX223" s="128"/>
      <c r="AAY223" s="128"/>
      <c r="AAZ223" s="128"/>
      <c r="ABA223" s="128"/>
      <c r="ABB223" s="128"/>
      <c r="ABC223" s="128"/>
      <c r="ABD223" s="128"/>
      <c r="ABE223" s="128"/>
      <c r="ABF223" s="128"/>
      <c r="ABG223" s="128"/>
      <c r="ABH223" s="128"/>
      <c r="ABI223" s="128"/>
      <c r="ABJ223" s="128"/>
      <c r="ABK223" s="128"/>
      <c r="ABL223" s="128"/>
      <c r="ABM223" s="128"/>
      <c r="ABN223" s="128"/>
      <c r="ABO223" s="128"/>
      <c r="ABP223" s="128"/>
      <c r="ABQ223" s="128"/>
      <c r="ABR223" s="128"/>
      <c r="ABS223" s="128"/>
      <c r="ABT223" s="128"/>
      <c r="ABU223" s="128"/>
      <c r="ABV223" s="128"/>
      <c r="ABW223" s="128"/>
      <c r="ABX223" s="128"/>
      <c r="ABY223" s="128"/>
      <c r="ABZ223" s="128"/>
      <c r="ACA223" s="128"/>
      <c r="ACB223" s="128"/>
      <c r="ACC223" s="128"/>
      <c r="ACD223" s="128"/>
      <c r="ACE223" s="128"/>
      <c r="ACF223" s="128"/>
      <c r="ACG223" s="128"/>
      <c r="ACH223" s="128"/>
      <c r="ACI223" s="128"/>
      <c r="ACJ223" s="128"/>
      <c r="ACK223" s="128"/>
      <c r="ACL223" s="128"/>
      <c r="ACM223" s="128"/>
      <c r="ACN223" s="128"/>
      <c r="ACO223" s="128"/>
      <c r="ACP223" s="128"/>
      <c r="ACQ223" s="128"/>
      <c r="ACR223" s="128"/>
      <c r="ACS223" s="128"/>
      <c r="ACT223" s="128"/>
      <c r="ACU223" s="128"/>
      <c r="ACV223" s="128"/>
      <c r="ACW223" s="128"/>
      <c r="ACX223" s="128"/>
      <c r="ACY223" s="128"/>
      <c r="ACZ223" s="128"/>
      <c r="ADA223" s="128"/>
      <c r="ADB223" s="128"/>
      <c r="ADC223" s="128"/>
      <c r="ADD223" s="128"/>
      <c r="ADE223" s="128"/>
      <c r="ADF223" s="128"/>
      <c r="ADG223" s="128"/>
      <c r="ADH223" s="128"/>
      <c r="ADI223" s="128"/>
      <c r="ADJ223" s="128"/>
      <c r="ADK223" s="128"/>
      <c r="ADL223" s="128"/>
      <c r="ADM223" s="128"/>
      <c r="ADN223" s="128"/>
      <c r="ADO223" s="128"/>
      <c r="ADP223" s="128"/>
      <c r="ADQ223" s="128"/>
      <c r="ADR223" s="128"/>
      <c r="ADS223" s="128"/>
      <c r="ADT223" s="128"/>
      <c r="ADU223" s="128"/>
      <c r="ADV223" s="128"/>
      <c r="ADW223" s="128"/>
      <c r="ADX223" s="128"/>
      <c r="ADY223" s="128"/>
      <c r="ADZ223" s="128"/>
      <c r="AEA223" s="128"/>
      <c r="AEB223" s="128"/>
      <c r="AEC223" s="128"/>
      <c r="AED223" s="128"/>
      <c r="AEE223" s="128"/>
      <c r="AEF223" s="128"/>
      <c r="AEG223" s="128"/>
      <c r="AEH223" s="128"/>
      <c r="AEI223" s="128"/>
      <c r="AEJ223" s="128"/>
      <c r="AEK223" s="128"/>
      <c r="AEL223" s="128"/>
      <c r="AEM223" s="128"/>
      <c r="AEN223" s="128"/>
      <c r="AEO223" s="128"/>
      <c r="AEP223" s="128"/>
      <c r="AEQ223" s="128"/>
      <c r="AER223" s="128"/>
      <c r="AES223" s="128"/>
      <c r="AET223" s="128"/>
      <c r="AEU223" s="128"/>
      <c r="AEV223" s="128"/>
      <c r="AEW223" s="128"/>
      <c r="AEX223" s="128"/>
      <c r="AEY223" s="128"/>
      <c r="AEZ223" s="128"/>
      <c r="AFA223" s="128"/>
      <c r="AFB223" s="128"/>
      <c r="AFC223" s="128"/>
      <c r="AFD223" s="128"/>
      <c r="AFE223" s="128"/>
      <c r="AFF223" s="128"/>
      <c r="AFG223" s="128"/>
      <c r="AFH223" s="128"/>
      <c r="AFI223" s="128"/>
      <c r="AFJ223" s="128"/>
      <c r="AFK223" s="128"/>
      <c r="AFL223" s="128"/>
      <c r="AFM223" s="128"/>
      <c r="AFN223" s="128"/>
      <c r="AFO223" s="128"/>
      <c r="AFP223" s="128"/>
      <c r="AFQ223" s="128"/>
      <c r="AFR223" s="128"/>
      <c r="AFS223" s="128"/>
      <c r="AFT223" s="128"/>
      <c r="AFU223" s="128"/>
      <c r="AFV223" s="128"/>
      <c r="AFW223" s="128"/>
      <c r="AFX223" s="128"/>
      <c r="AFY223" s="128"/>
      <c r="AFZ223" s="128"/>
      <c r="AGA223" s="128"/>
      <c r="AGB223" s="128"/>
      <c r="AGC223" s="128"/>
      <c r="AGD223" s="128"/>
      <c r="AGE223" s="128"/>
      <c r="AGF223" s="128"/>
      <c r="AGG223" s="128"/>
      <c r="AGH223" s="128"/>
      <c r="AGI223" s="128"/>
      <c r="AGJ223" s="128"/>
      <c r="AGK223" s="128"/>
      <c r="AGL223" s="128"/>
      <c r="AGM223" s="128"/>
      <c r="AGN223" s="128"/>
      <c r="AGO223" s="128"/>
      <c r="AGP223" s="128"/>
      <c r="AGQ223" s="128"/>
      <c r="AGR223" s="128"/>
      <c r="AGS223" s="128"/>
      <c r="AGT223" s="128"/>
      <c r="AGU223" s="128"/>
      <c r="AGV223" s="128"/>
      <c r="AGW223" s="128"/>
      <c r="AGX223" s="128"/>
      <c r="AGY223" s="128"/>
      <c r="AGZ223" s="128"/>
      <c r="AHA223" s="128"/>
      <c r="AHB223" s="128"/>
      <c r="AHC223" s="128"/>
      <c r="AHD223" s="128"/>
      <c r="AHE223" s="128"/>
      <c r="AHF223" s="128"/>
      <c r="AHG223" s="128"/>
      <c r="AHH223" s="128"/>
      <c r="AHI223" s="128"/>
      <c r="AHJ223" s="128"/>
      <c r="AHK223" s="128"/>
      <c r="AHL223" s="128"/>
      <c r="AHM223" s="128"/>
      <c r="AHN223" s="128"/>
      <c r="AHO223" s="128"/>
      <c r="AHP223" s="128"/>
      <c r="AHQ223" s="128"/>
      <c r="AHR223" s="128"/>
      <c r="AHS223" s="128"/>
      <c r="AHT223" s="128"/>
      <c r="AHU223" s="128"/>
      <c r="AHV223" s="128"/>
      <c r="AHW223" s="128"/>
      <c r="AHX223" s="128"/>
      <c r="AHY223" s="128"/>
      <c r="AHZ223" s="128"/>
      <c r="AIA223" s="128"/>
      <c r="AIB223" s="128"/>
      <c r="AIC223" s="128"/>
      <c r="AID223" s="128"/>
      <c r="AIE223" s="128"/>
      <c r="AIF223" s="128"/>
      <c r="AIG223" s="128"/>
      <c r="AIH223" s="128"/>
      <c r="AII223" s="128"/>
      <c r="AIJ223" s="128"/>
      <c r="AIK223" s="128"/>
      <c r="AIL223" s="128"/>
      <c r="AIM223" s="128"/>
      <c r="AIN223" s="128"/>
      <c r="AIO223" s="128"/>
      <c r="AIP223" s="128"/>
      <c r="AIQ223" s="128"/>
      <c r="AIR223" s="128"/>
      <c r="AIS223" s="128"/>
      <c r="AIT223" s="128"/>
      <c r="AIU223" s="128"/>
      <c r="AIV223" s="128"/>
      <c r="AIW223" s="128"/>
      <c r="AIX223" s="128"/>
      <c r="AIY223" s="128"/>
      <c r="AIZ223" s="128"/>
      <c r="AJA223" s="128"/>
      <c r="AJB223" s="128"/>
      <c r="AJC223" s="128"/>
      <c r="AJD223" s="128"/>
      <c r="AJE223" s="128"/>
      <c r="AJF223" s="128"/>
      <c r="AJG223" s="128"/>
      <c r="AJH223" s="128"/>
      <c r="AJI223" s="128"/>
      <c r="AJJ223" s="128"/>
      <c r="AJK223" s="128"/>
      <c r="AJL223" s="128"/>
      <c r="AJM223" s="128"/>
      <c r="AJN223" s="128"/>
      <c r="AJO223" s="128"/>
      <c r="AJP223" s="128"/>
      <c r="AJQ223" s="128"/>
      <c r="AJR223" s="128"/>
      <c r="AJS223" s="128"/>
      <c r="AJT223" s="128"/>
      <c r="AJU223" s="128"/>
      <c r="AJV223" s="128"/>
      <c r="AJW223" s="128"/>
      <c r="AJX223" s="128"/>
      <c r="AJY223" s="128"/>
      <c r="AJZ223" s="128"/>
      <c r="AKA223" s="128"/>
      <c r="AKB223" s="128"/>
      <c r="AKC223" s="128"/>
      <c r="AKD223" s="128"/>
      <c r="AKE223" s="128"/>
      <c r="AKF223" s="128"/>
      <c r="AKG223" s="128"/>
      <c r="AKH223" s="128"/>
      <c r="AKI223" s="128"/>
      <c r="AKJ223" s="128"/>
      <c r="AKK223" s="128"/>
      <c r="AKL223" s="128"/>
      <c r="AKM223" s="128"/>
      <c r="AKN223" s="128"/>
      <c r="AKO223" s="128"/>
      <c r="AKP223" s="128"/>
      <c r="AKQ223" s="128"/>
      <c r="AKR223" s="128"/>
      <c r="AKS223" s="128"/>
      <c r="AKT223" s="128"/>
      <c r="AKU223" s="128"/>
      <c r="AKV223" s="128"/>
      <c r="AKW223" s="128"/>
      <c r="AKX223" s="128"/>
      <c r="AKY223" s="128"/>
      <c r="AKZ223" s="128"/>
      <c r="ALA223" s="128"/>
      <c r="ALB223" s="128"/>
      <c r="ALC223" s="128"/>
      <c r="ALD223" s="128"/>
      <c r="ALE223" s="128"/>
      <c r="ALF223" s="128"/>
      <c r="ALG223" s="128"/>
      <c r="ALH223" s="128"/>
      <c r="ALI223" s="128"/>
      <c r="ALJ223" s="128"/>
      <c r="ALK223" s="128"/>
      <c r="ALL223" s="128"/>
      <c r="ALM223" s="128"/>
      <c r="ALN223" s="128"/>
      <c r="ALO223" s="128"/>
      <c r="ALP223" s="128"/>
      <c r="ALQ223" s="128"/>
      <c r="ALR223" s="128"/>
      <c r="ALS223" s="128"/>
      <c r="ALT223" s="128"/>
      <c r="ALU223" s="128"/>
      <c r="ALV223" s="128"/>
      <c r="ALW223" s="128"/>
      <c r="ALX223" s="128"/>
      <c r="ALY223" s="128"/>
      <c r="ALZ223" s="128"/>
      <c r="AMA223"/>
      <c r="AMB223"/>
      <c r="AMC223"/>
      <c r="AMD223"/>
    </row>
    <row r="224" spans="1:1018" s="96" customFormat="1" ht="12" customHeight="1">
      <c r="A224" s="129"/>
      <c r="B224" s="129"/>
      <c r="C224" s="129"/>
      <c r="D224" s="129"/>
      <c r="E224" s="129"/>
      <c r="F224" s="129"/>
      <c r="I224" s="225"/>
      <c r="K224" s="159"/>
      <c r="P224" s="173"/>
      <c r="T224" s="277"/>
      <c r="X224"/>
      <c r="Y224" s="179"/>
      <c r="AA224" s="159"/>
      <c r="AC224"/>
      <c r="AE224" s="128"/>
      <c r="AF224"/>
      <c r="AG224" s="128"/>
      <c r="AH224" s="128"/>
      <c r="AI224" s="128"/>
      <c r="AJ224" s="128"/>
      <c r="AK224" s="128"/>
      <c r="AL224" s="128"/>
      <c r="AM224" s="128"/>
      <c r="AN224" s="128"/>
      <c r="AO224" s="128"/>
      <c r="AP224" s="128"/>
      <c r="AQ224" s="128"/>
      <c r="AR224" s="128"/>
      <c r="AS224" s="128"/>
      <c r="AT224" s="128"/>
      <c r="AU224" s="128"/>
      <c r="AV224" s="128"/>
      <c r="AW224" s="128"/>
      <c r="AX224" s="128"/>
      <c r="AY224" s="128"/>
      <c r="AZ224" s="128"/>
      <c r="BA224" s="128"/>
      <c r="BB224" s="128"/>
      <c r="BC224" s="128"/>
      <c r="BD224" s="128"/>
      <c r="BE224" s="128"/>
      <c r="BF224" s="128"/>
      <c r="BG224" s="128"/>
      <c r="BH224" s="128"/>
      <c r="BI224" s="128"/>
      <c r="BJ224" s="128"/>
      <c r="BK224" s="128"/>
      <c r="BL224" s="128"/>
      <c r="BM224" s="128"/>
      <c r="BN224" s="128"/>
      <c r="BO224" s="128"/>
      <c r="BP224" s="128"/>
      <c r="BQ224" s="128"/>
      <c r="BR224" s="128"/>
      <c r="BS224" s="128"/>
      <c r="BT224" s="128"/>
      <c r="BU224" s="128"/>
      <c r="BV224" s="128"/>
      <c r="BW224" s="128"/>
      <c r="BX224" s="128"/>
      <c r="BY224" s="128"/>
      <c r="BZ224" s="128"/>
      <c r="CA224" s="128"/>
      <c r="CB224" s="128"/>
      <c r="CC224" s="128"/>
      <c r="CD224" s="128"/>
      <c r="CE224" s="128"/>
      <c r="CF224" s="128"/>
      <c r="CG224" s="128"/>
      <c r="CH224" s="128"/>
      <c r="CI224" s="128"/>
      <c r="CJ224" s="128"/>
      <c r="CK224" s="128"/>
      <c r="CL224" s="128"/>
      <c r="CM224" s="128"/>
      <c r="CN224" s="128"/>
      <c r="CO224" s="128"/>
      <c r="CP224" s="128"/>
      <c r="CQ224" s="128"/>
      <c r="CR224" s="128"/>
      <c r="CS224" s="128"/>
      <c r="CT224" s="128"/>
      <c r="CU224" s="128"/>
      <c r="CV224" s="128"/>
      <c r="CW224" s="128"/>
      <c r="CX224" s="128"/>
      <c r="CY224" s="128"/>
      <c r="CZ224" s="128"/>
      <c r="DA224" s="128"/>
      <c r="DB224" s="128"/>
      <c r="DC224" s="128"/>
      <c r="DD224" s="128"/>
      <c r="DE224" s="128"/>
      <c r="DF224" s="128"/>
      <c r="DG224" s="128"/>
      <c r="DH224" s="128"/>
      <c r="DI224" s="128"/>
      <c r="DJ224" s="128"/>
      <c r="DK224" s="128"/>
      <c r="DL224" s="128"/>
      <c r="DM224" s="128"/>
      <c r="DN224" s="128"/>
      <c r="DO224" s="128"/>
      <c r="DP224" s="128"/>
      <c r="DQ224" s="128"/>
      <c r="DR224" s="128"/>
      <c r="DS224" s="128"/>
      <c r="DT224" s="128"/>
      <c r="DU224" s="128"/>
      <c r="DV224" s="128"/>
      <c r="DW224" s="128"/>
      <c r="DX224" s="128"/>
      <c r="DY224" s="128"/>
      <c r="DZ224" s="128"/>
      <c r="EA224" s="128"/>
      <c r="EB224" s="128"/>
      <c r="EC224" s="128"/>
      <c r="ED224" s="128"/>
      <c r="EE224" s="128"/>
      <c r="EF224" s="128"/>
      <c r="EG224" s="128"/>
      <c r="EH224" s="128"/>
      <c r="EI224" s="128"/>
      <c r="EJ224" s="128"/>
      <c r="EK224" s="128"/>
      <c r="EL224" s="128"/>
      <c r="EM224" s="128"/>
      <c r="EN224" s="128"/>
      <c r="EO224" s="128"/>
      <c r="EP224" s="128"/>
      <c r="EQ224" s="128"/>
      <c r="ER224" s="128"/>
      <c r="ES224" s="128"/>
      <c r="ET224" s="128"/>
      <c r="EU224" s="128"/>
      <c r="EV224" s="128"/>
      <c r="EW224" s="128"/>
      <c r="EX224" s="128"/>
      <c r="EY224" s="128"/>
      <c r="EZ224" s="128"/>
      <c r="FA224" s="128"/>
      <c r="FB224" s="128"/>
      <c r="FC224" s="128"/>
      <c r="FD224" s="128"/>
      <c r="FE224" s="128"/>
      <c r="FF224" s="128"/>
      <c r="FG224" s="128"/>
      <c r="FH224" s="128"/>
      <c r="FI224" s="128"/>
      <c r="FJ224" s="128"/>
      <c r="FK224" s="128"/>
      <c r="FL224" s="128"/>
      <c r="FM224" s="128"/>
      <c r="FN224" s="128"/>
      <c r="FO224" s="128"/>
      <c r="FP224" s="128"/>
      <c r="FQ224" s="128"/>
      <c r="FR224" s="128"/>
      <c r="FS224" s="128"/>
      <c r="FT224" s="128"/>
      <c r="FU224" s="128"/>
      <c r="FV224" s="128"/>
      <c r="FW224" s="128"/>
      <c r="FX224" s="128"/>
      <c r="FY224" s="128"/>
      <c r="FZ224" s="128"/>
      <c r="GA224" s="128"/>
      <c r="GB224" s="128"/>
      <c r="GC224" s="128"/>
      <c r="GD224" s="128"/>
      <c r="GE224" s="128"/>
      <c r="GF224" s="128"/>
      <c r="GG224" s="128"/>
      <c r="GH224" s="128"/>
      <c r="GI224" s="128"/>
      <c r="GJ224" s="128"/>
      <c r="GK224" s="128"/>
      <c r="GL224" s="128"/>
      <c r="GM224" s="128"/>
      <c r="GN224" s="128"/>
      <c r="GO224" s="128"/>
      <c r="GP224" s="128"/>
      <c r="GQ224" s="128"/>
      <c r="GR224" s="128"/>
      <c r="GS224" s="128"/>
      <c r="GT224" s="128"/>
      <c r="GU224" s="128"/>
      <c r="GV224" s="128"/>
      <c r="GW224" s="128"/>
      <c r="GX224" s="128"/>
      <c r="GY224" s="128"/>
      <c r="GZ224" s="128"/>
      <c r="HA224" s="128"/>
      <c r="HB224" s="128"/>
      <c r="HC224" s="128"/>
      <c r="HD224" s="128"/>
      <c r="HE224" s="128"/>
      <c r="HF224" s="128"/>
      <c r="HG224" s="128"/>
      <c r="HH224" s="128"/>
      <c r="HI224" s="128"/>
      <c r="HJ224" s="128"/>
      <c r="HK224" s="128"/>
      <c r="HL224" s="128"/>
      <c r="HM224" s="128"/>
      <c r="HN224" s="128"/>
      <c r="HO224" s="128"/>
      <c r="HP224" s="128"/>
      <c r="HQ224" s="128"/>
      <c r="HR224" s="128"/>
      <c r="HS224" s="128"/>
      <c r="HT224" s="128"/>
      <c r="HU224" s="128"/>
      <c r="HV224" s="128"/>
      <c r="HW224" s="128"/>
      <c r="HX224" s="128"/>
      <c r="HY224" s="128"/>
      <c r="HZ224" s="128"/>
      <c r="IA224" s="128"/>
      <c r="IB224" s="128"/>
      <c r="IC224" s="128"/>
      <c r="ID224" s="128"/>
      <c r="IE224" s="128"/>
      <c r="IF224" s="128"/>
      <c r="IG224" s="128"/>
      <c r="IH224" s="128"/>
      <c r="II224" s="128"/>
      <c r="IJ224" s="128"/>
      <c r="IK224" s="128"/>
      <c r="IL224" s="128"/>
      <c r="IM224" s="128"/>
      <c r="IN224" s="128"/>
      <c r="IO224" s="128"/>
      <c r="IP224" s="128"/>
      <c r="IQ224" s="128"/>
      <c r="IR224" s="128"/>
      <c r="IS224" s="128"/>
      <c r="IT224" s="128"/>
      <c r="IU224" s="128"/>
      <c r="IV224" s="128"/>
      <c r="IW224" s="128"/>
      <c r="IX224" s="128"/>
      <c r="IY224" s="128"/>
      <c r="IZ224" s="128"/>
      <c r="JA224" s="128"/>
      <c r="JB224" s="128"/>
      <c r="JC224" s="128"/>
      <c r="JD224" s="128"/>
      <c r="JE224" s="128"/>
      <c r="JF224" s="128"/>
      <c r="JG224" s="128"/>
      <c r="JH224" s="128"/>
      <c r="JI224" s="128"/>
      <c r="JJ224" s="128"/>
      <c r="JK224" s="128"/>
      <c r="JL224" s="128"/>
      <c r="JM224" s="128"/>
      <c r="JN224" s="128"/>
      <c r="JO224" s="128"/>
      <c r="JP224" s="128"/>
      <c r="JQ224" s="128"/>
      <c r="JR224" s="128"/>
      <c r="JS224" s="128"/>
      <c r="JT224" s="128"/>
      <c r="JU224" s="128"/>
      <c r="JV224" s="128"/>
      <c r="JW224" s="128"/>
      <c r="JX224" s="128"/>
      <c r="JY224" s="128"/>
      <c r="JZ224" s="128"/>
      <c r="KA224" s="128"/>
      <c r="KB224" s="128"/>
      <c r="KC224" s="128"/>
      <c r="KD224" s="128"/>
      <c r="KE224" s="128"/>
      <c r="KF224" s="128"/>
      <c r="KG224" s="128"/>
      <c r="KH224" s="128"/>
      <c r="KI224" s="128"/>
      <c r="KJ224" s="128"/>
      <c r="KK224" s="128"/>
      <c r="KL224" s="128"/>
      <c r="KM224" s="128"/>
      <c r="KN224" s="128"/>
      <c r="KO224" s="128"/>
      <c r="KP224" s="128"/>
      <c r="KQ224" s="128"/>
      <c r="KR224" s="128"/>
      <c r="KS224" s="128"/>
      <c r="KT224" s="128"/>
      <c r="KU224" s="128"/>
      <c r="KV224" s="128"/>
      <c r="KW224" s="128"/>
      <c r="KX224" s="128"/>
      <c r="KY224" s="128"/>
      <c r="KZ224" s="128"/>
      <c r="LA224" s="128"/>
      <c r="LB224" s="128"/>
      <c r="LC224" s="128"/>
      <c r="LD224" s="128"/>
      <c r="LE224" s="128"/>
      <c r="LF224" s="128"/>
      <c r="LG224" s="128"/>
      <c r="LH224" s="128"/>
      <c r="LI224" s="128"/>
      <c r="LJ224" s="128"/>
      <c r="LK224" s="128"/>
      <c r="LL224" s="128"/>
      <c r="LM224" s="128"/>
      <c r="LN224" s="128"/>
      <c r="LO224" s="128"/>
      <c r="LP224" s="128"/>
      <c r="LQ224" s="128"/>
      <c r="LR224" s="128"/>
      <c r="LS224" s="128"/>
      <c r="LT224" s="128"/>
      <c r="LU224" s="128"/>
      <c r="LV224" s="128"/>
      <c r="LW224" s="128"/>
      <c r="LX224" s="128"/>
      <c r="LY224" s="128"/>
      <c r="LZ224" s="128"/>
      <c r="MA224" s="128"/>
      <c r="MB224" s="128"/>
      <c r="MC224" s="128"/>
      <c r="MD224" s="128"/>
      <c r="ME224" s="128"/>
      <c r="MF224" s="128"/>
      <c r="MG224" s="128"/>
      <c r="MH224" s="128"/>
      <c r="MI224" s="128"/>
      <c r="MJ224" s="128"/>
      <c r="MK224" s="128"/>
      <c r="ML224" s="128"/>
      <c r="MM224" s="128"/>
      <c r="MN224" s="128"/>
      <c r="MO224" s="128"/>
      <c r="MP224" s="128"/>
      <c r="MQ224" s="128"/>
      <c r="MR224" s="128"/>
      <c r="MS224" s="128"/>
      <c r="MT224" s="128"/>
      <c r="MU224" s="128"/>
      <c r="MV224" s="128"/>
      <c r="MW224" s="128"/>
      <c r="MX224" s="128"/>
      <c r="MY224" s="128"/>
      <c r="MZ224" s="128"/>
      <c r="NA224" s="128"/>
      <c r="NB224" s="128"/>
      <c r="NC224" s="128"/>
      <c r="ND224" s="128"/>
      <c r="NE224" s="128"/>
      <c r="NF224" s="128"/>
      <c r="NG224" s="128"/>
      <c r="NH224" s="128"/>
      <c r="NI224" s="128"/>
      <c r="NJ224" s="128"/>
      <c r="NK224" s="128"/>
      <c r="NL224" s="128"/>
      <c r="NM224" s="128"/>
      <c r="NN224" s="128"/>
      <c r="NO224" s="128"/>
      <c r="NP224" s="128"/>
      <c r="NQ224" s="128"/>
      <c r="NR224" s="128"/>
      <c r="NS224" s="128"/>
      <c r="NT224" s="128"/>
      <c r="NU224" s="128"/>
      <c r="NV224" s="128"/>
      <c r="NW224" s="128"/>
      <c r="NX224" s="128"/>
      <c r="NY224" s="128"/>
      <c r="NZ224" s="128"/>
      <c r="OA224" s="128"/>
      <c r="OB224" s="128"/>
      <c r="OC224" s="128"/>
      <c r="OD224" s="128"/>
      <c r="OE224" s="128"/>
      <c r="OF224" s="128"/>
      <c r="OG224" s="128"/>
      <c r="OH224" s="128"/>
      <c r="OI224" s="128"/>
      <c r="OJ224" s="128"/>
      <c r="OK224" s="128"/>
      <c r="OL224" s="128"/>
      <c r="OM224" s="128"/>
      <c r="ON224" s="128"/>
      <c r="OO224" s="128"/>
      <c r="OP224" s="128"/>
      <c r="OQ224" s="128"/>
      <c r="OR224" s="128"/>
      <c r="OS224" s="128"/>
      <c r="OT224" s="128"/>
      <c r="OU224" s="128"/>
      <c r="OV224" s="128"/>
      <c r="OW224" s="128"/>
      <c r="OX224" s="128"/>
      <c r="OY224" s="128"/>
      <c r="OZ224" s="128"/>
      <c r="PA224" s="128"/>
      <c r="PB224" s="128"/>
      <c r="PC224" s="128"/>
      <c r="PD224" s="128"/>
      <c r="PE224" s="128"/>
      <c r="PF224" s="128"/>
      <c r="PG224" s="128"/>
      <c r="PH224" s="128"/>
      <c r="PI224" s="128"/>
      <c r="PJ224" s="128"/>
      <c r="PK224" s="128"/>
      <c r="PL224" s="128"/>
      <c r="PM224" s="128"/>
      <c r="PN224" s="128"/>
      <c r="PO224" s="128"/>
      <c r="PP224" s="128"/>
      <c r="PQ224" s="128"/>
      <c r="PR224" s="128"/>
      <c r="PS224" s="128"/>
      <c r="PT224" s="128"/>
      <c r="PU224" s="128"/>
      <c r="PV224" s="128"/>
      <c r="PW224" s="128"/>
      <c r="PX224" s="128"/>
      <c r="PY224" s="128"/>
      <c r="PZ224" s="128"/>
      <c r="QA224" s="128"/>
      <c r="QB224" s="128"/>
      <c r="QC224" s="128"/>
      <c r="QD224" s="128"/>
      <c r="QE224" s="128"/>
      <c r="QF224" s="128"/>
      <c r="QG224" s="128"/>
      <c r="QH224" s="128"/>
      <c r="QI224" s="128"/>
      <c r="QJ224" s="128"/>
      <c r="QK224" s="128"/>
      <c r="QL224" s="128"/>
      <c r="QM224" s="128"/>
      <c r="QN224" s="128"/>
      <c r="QO224" s="128"/>
      <c r="QP224" s="128"/>
      <c r="QQ224" s="128"/>
      <c r="QR224" s="128"/>
      <c r="QS224" s="128"/>
      <c r="QT224" s="128"/>
      <c r="QU224" s="128"/>
      <c r="QV224" s="128"/>
      <c r="QW224" s="128"/>
      <c r="QX224" s="128"/>
      <c r="QY224" s="128"/>
      <c r="QZ224" s="128"/>
      <c r="RA224" s="128"/>
      <c r="RB224" s="128"/>
      <c r="RC224" s="128"/>
      <c r="RD224" s="128"/>
      <c r="RE224" s="128"/>
      <c r="RF224" s="128"/>
      <c r="RG224" s="128"/>
      <c r="RH224" s="128"/>
      <c r="RI224" s="128"/>
      <c r="RJ224" s="128"/>
      <c r="RK224" s="128"/>
      <c r="RL224" s="128"/>
      <c r="RM224" s="128"/>
      <c r="RN224" s="128"/>
      <c r="RO224" s="128"/>
      <c r="RP224" s="128"/>
      <c r="RQ224" s="128"/>
      <c r="RR224" s="128"/>
      <c r="RS224" s="128"/>
      <c r="RT224" s="128"/>
      <c r="RU224" s="128"/>
      <c r="RV224" s="128"/>
      <c r="RW224" s="128"/>
      <c r="RX224" s="128"/>
      <c r="RY224" s="128"/>
      <c r="RZ224" s="128"/>
      <c r="SA224" s="128"/>
      <c r="SB224" s="128"/>
      <c r="SC224" s="128"/>
      <c r="SD224" s="128"/>
      <c r="SE224" s="128"/>
      <c r="SF224" s="128"/>
      <c r="SG224" s="128"/>
      <c r="SH224" s="128"/>
      <c r="SI224" s="128"/>
      <c r="SJ224" s="128"/>
      <c r="SK224" s="128"/>
      <c r="SL224" s="128"/>
      <c r="SM224" s="128"/>
      <c r="SN224" s="128"/>
      <c r="SO224" s="128"/>
      <c r="SP224" s="128"/>
      <c r="SQ224" s="128"/>
      <c r="SR224" s="128"/>
      <c r="SS224" s="128"/>
      <c r="ST224" s="128"/>
      <c r="SU224" s="128"/>
      <c r="SV224" s="128"/>
      <c r="SW224" s="128"/>
      <c r="SX224" s="128"/>
      <c r="SY224" s="128"/>
      <c r="SZ224" s="128"/>
      <c r="TA224" s="128"/>
      <c r="TB224" s="128"/>
      <c r="TC224" s="128"/>
      <c r="TD224" s="128"/>
      <c r="TE224" s="128"/>
      <c r="TF224" s="128"/>
      <c r="TG224" s="128"/>
      <c r="TH224" s="128"/>
      <c r="TI224" s="128"/>
      <c r="TJ224" s="128"/>
      <c r="TK224" s="128"/>
      <c r="TL224" s="128"/>
      <c r="TM224" s="128"/>
      <c r="TN224" s="128"/>
      <c r="TO224" s="128"/>
      <c r="TP224" s="128"/>
      <c r="TQ224" s="128"/>
      <c r="TR224" s="128"/>
      <c r="TS224" s="128"/>
      <c r="TT224" s="128"/>
      <c r="TU224" s="128"/>
      <c r="TV224" s="128"/>
      <c r="TW224" s="128"/>
      <c r="TX224" s="128"/>
      <c r="TY224" s="128"/>
      <c r="TZ224" s="128"/>
      <c r="UA224" s="128"/>
      <c r="UB224" s="128"/>
      <c r="UC224" s="128"/>
      <c r="UD224" s="128"/>
      <c r="UE224" s="128"/>
      <c r="UF224" s="128"/>
      <c r="UG224" s="128"/>
      <c r="UH224" s="128"/>
      <c r="UI224" s="128"/>
      <c r="UJ224" s="128"/>
      <c r="UK224" s="128"/>
      <c r="UL224" s="128"/>
      <c r="UM224" s="128"/>
      <c r="UN224" s="128"/>
      <c r="UO224" s="128"/>
      <c r="UP224" s="128"/>
      <c r="UQ224" s="128"/>
      <c r="UR224" s="128"/>
      <c r="US224" s="128"/>
      <c r="UT224" s="128"/>
      <c r="UU224" s="128"/>
      <c r="UV224" s="128"/>
      <c r="UW224" s="128"/>
      <c r="UX224" s="128"/>
      <c r="UY224" s="128"/>
      <c r="UZ224" s="128"/>
      <c r="VA224" s="128"/>
      <c r="VB224" s="128"/>
      <c r="VC224" s="128"/>
      <c r="VD224" s="128"/>
      <c r="VE224" s="128"/>
      <c r="VF224" s="128"/>
      <c r="VG224" s="128"/>
      <c r="VH224" s="128"/>
      <c r="VI224" s="128"/>
      <c r="VJ224" s="128"/>
      <c r="VK224" s="128"/>
      <c r="VL224" s="128"/>
      <c r="VM224" s="128"/>
      <c r="VN224" s="128"/>
      <c r="VO224" s="128"/>
      <c r="VP224" s="128"/>
      <c r="VQ224" s="128"/>
      <c r="VR224" s="128"/>
      <c r="VS224" s="128"/>
      <c r="VT224" s="128"/>
      <c r="VU224" s="128"/>
      <c r="VV224" s="128"/>
      <c r="VW224" s="128"/>
      <c r="VX224" s="128"/>
      <c r="VY224" s="128"/>
      <c r="VZ224" s="128"/>
      <c r="WA224" s="128"/>
      <c r="WB224" s="128"/>
      <c r="WC224" s="128"/>
      <c r="WD224" s="128"/>
      <c r="WE224" s="128"/>
      <c r="WF224" s="128"/>
      <c r="WG224" s="128"/>
      <c r="WH224" s="128"/>
      <c r="WI224" s="128"/>
      <c r="WJ224" s="128"/>
      <c r="WK224" s="128"/>
      <c r="WL224" s="128"/>
      <c r="WM224" s="128"/>
      <c r="WN224" s="128"/>
      <c r="WO224" s="128"/>
      <c r="WP224" s="128"/>
      <c r="WQ224" s="128"/>
      <c r="WR224" s="128"/>
      <c r="WS224" s="128"/>
      <c r="WT224" s="128"/>
      <c r="WU224" s="128"/>
      <c r="WV224" s="128"/>
      <c r="WW224" s="128"/>
      <c r="WX224" s="128"/>
      <c r="WY224" s="128"/>
      <c r="WZ224" s="128"/>
      <c r="XA224" s="128"/>
      <c r="XB224" s="128"/>
      <c r="XC224" s="128"/>
      <c r="XD224" s="128"/>
      <c r="XE224" s="128"/>
      <c r="XF224" s="128"/>
      <c r="XG224" s="128"/>
      <c r="XH224" s="128"/>
      <c r="XI224" s="128"/>
      <c r="XJ224" s="128"/>
      <c r="XK224" s="128"/>
      <c r="XL224" s="128"/>
      <c r="XM224" s="128"/>
      <c r="XN224" s="128"/>
      <c r="XO224" s="128"/>
      <c r="XP224" s="128"/>
      <c r="XQ224" s="128"/>
      <c r="XR224" s="128"/>
      <c r="XS224" s="128"/>
      <c r="XT224" s="128"/>
      <c r="XU224" s="128"/>
      <c r="XV224" s="128"/>
      <c r="XW224" s="128"/>
      <c r="XX224" s="128"/>
      <c r="XY224" s="128"/>
      <c r="XZ224" s="128"/>
      <c r="YA224" s="128"/>
      <c r="YB224" s="128"/>
      <c r="YC224" s="128"/>
      <c r="YD224" s="128"/>
      <c r="YE224" s="128"/>
      <c r="YF224" s="128"/>
      <c r="YG224" s="128"/>
      <c r="YH224" s="128"/>
      <c r="YI224" s="128"/>
      <c r="YJ224" s="128"/>
      <c r="YK224" s="128"/>
      <c r="YL224" s="128"/>
      <c r="YM224" s="128"/>
      <c r="YN224" s="128"/>
      <c r="YO224" s="128"/>
      <c r="YP224" s="128"/>
      <c r="YQ224" s="128"/>
      <c r="YR224" s="128"/>
      <c r="YS224" s="128"/>
      <c r="YT224" s="128"/>
      <c r="YU224" s="128"/>
      <c r="YV224" s="128"/>
      <c r="YW224" s="128"/>
      <c r="YX224" s="128"/>
      <c r="YY224" s="128"/>
      <c r="YZ224" s="128"/>
      <c r="ZA224" s="128"/>
      <c r="ZB224" s="128"/>
      <c r="ZC224" s="128"/>
      <c r="ZD224" s="128"/>
      <c r="ZE224" s="128"/>
      <c r="ZF224" s="128"/>
      <c r="ZG224" s="128"/>
      <c r="ZH224" s="128"/>
      <c r="ZI224" s="128"/>
      <c r="ZJ224" s="128"/>
      <c r="ZK224" s="128"/>
      <c r="ZL224" s="128"/>
      <c r="ZM224" s="128"/>
      <c r="ZN224" s="128"/>
      <c r="ZO224" s="128"/>
      <c r="ZP224" s="128"/>
      <c r="ZQ224" s="128"/>
      <c r="ZR224" s="128"/>
      <c r="ZS224" s="128"/>
      <c r="ZT224" s="128"/>
      <c r="ZU224" s="128"/>
      <c r="ZV224" s="128"/>
      <c r="ZW224" s="128"/>
      <c r="ZX224" s="128"/>
      <c r="ZY224" s="128"/>
      <c r="ZZ224" s="128"/>
      <c r="AAA224" s="128"/>
      <c r="AAB224" s="128"/>
      <c r="AAC224" s="128"/>
      <c r="AAD224" s="128"/>
      <c r="AAE224" s="128"/>
      <c r="AAF224" s="128"/>
      <c r="AAG224" s="128"/>
      <c r="AAH224" s="128"/>
      <c r="AAI224" s="128"/>
      <c r="AAJ224" s="128"/>
      <c r="AAK224" s="128"/>
      <c r="AAL224" s="128"/>
      <c r="AAM224" s="128"/>
      <c r="AAN224" s="128"/>
      <c r="AAO224" s="128"/>
      <c r="AAP224" s="128"/>
      <c r="AAQ224" s="128"/>
      <c r="AAR224" s="128"/>
      <c r="AAS224" s="128"/>
      <c r="AAT224" s="128"/>
      <c r="AAU224" s="128"/>
      <c r="AAV224" s="128"/>
      <c r="AAW224" s="128"/>
      <c r="AAX224" s="128"/>
      <c r="AAY224" s="128"/>
      <c r="AAZ224" s="128"/>
      <c r="ABA224" s="128"/>
      <c r="ABB224" s="128"/>
      <c r="ABC224" s="128"/>
      <c r="ABD224" s="128"/>
      <c r="ABE224" s="128"/>
      <c r="ABF224" s="128"/>
      <c r="ABG224" s="128"/>
      <c r="ABH224" s="128"/>
      <c r="ABI224" s="128"/>
      <c r="ABJ224" s="128"/>
      <c r="ABK224" s="128"/>
      <c r="ABL224" s="128"/>
      <c r="ABM224" s="128"/>
      <c r="ABN224" s="128"/>
      <c r="ABO224" s="128"/>
      <c r="ABP224" s="128"/>
      <c r="ABQ224" s="128"/>
      <c r="ABR224" s="128"/>
      <c r="ABS224" s="128"/>
      <c r="ABT224" s="128"/>
      <c r="ABU224" s="128"/>
      <c r="ABV224" s="128"/>
      <c r="ABW224" s="128"/>
      <c r="ABX224" s="128"/>
      <c r="ABY224" s="128"/>
      <c r="ABZ224" s="128"/>
      <c r="ACA224" s="128"/>
      <c r="ACB224" s="128"/>
      <c r="ACC224" s="128"/>
      <c r="ACD224" s="128"/>
      <c r="ACE224" s="128"/>
      <c r="ACF224" s="128"/>
      <c r="ACG224" s="128"/>
      <c r="ACH224" s="128"/>
      <c r="ACI224" s="128"/>
      <c r="ACJ224" s="128"/>
      <c r="ACK224" s="128"/>
      <c r="ACL224" s="128"/>
      <c r="ACM224" s="128"/>
      <c r="ACN224" s="128"/>
      <c r="ACO224" s="128"/>
      <c r="ACP224" s="128"/>
      <c r="ACQ224" s="128"/>
      <c r="ACR224" s="128"/>
      <c r="ACS224" s="128"/>
      <c r="ACT224" s="128"/>
      <c r="ACU224" s="128"/>
      <c r="ACV224" s="128"/>
      <c r="ACW224" s="128"/>
      <c r="ACX224" s="128"/>
      <c r="ACY224" s="128"/>
      <c r="ACZ224" s="128"/>
      <c r="ADA224" s="128"/>
      <c r="ADB224" s="128"/>
      <c r="ADC224" s="128"/>
      <c r="ADD224" s="128"/>
      <c r="ADE224" s="128"/>
      <c r="ADF224" s="128"/>
      <c r="ADG224" s="128"/>
      <c r="ADH224" s="128"/>
      <c r="ADI224" s="128"/>
      <c r="ADJ224" s="128"/>
      <c r="ADK224" s="128"/>
      <c r="ADL224" s="128"/>
      <c r="ADM224" s="128"/>
      <c r="ADN224" s="128"/>
      <c r="ADO224" s="128"/>
      <c r="ADP224" s="128"/>
      <c r="ADQ224" s="128"/>
      <c r="ADR224" s="128"/>
      <c r="ADS224" s="128"/>
      <c r="ADT224" s="128"/>
      <c r="ADU224" s="128"/>
      <c r="ADV224" s="128"/>
      <c r="ADW224" s="128"/>
      <c r="ADX224" s="128"/>
      <c r="ADY224" s="128"/>
      <c r="ADZ224" s="128"/>
      <c r="AEA224" s="128"/>
      <c r="AEB224" s="128"/>
      <c r="AEC224" s="128"/>
      <c r="AED224" s="128"/>
      <c r="AEE224" s="128"/>
      <c r="AEF224" s="128"/>
      <c r="AEG224" s="128"/>
      <c r="AEH224" s="128"/>
      <c r="AEI224" s="128"/>
      <c r="AEJ224" s="128"/>
      <c r="AEK224" s="128"/>
      <c r="AEL224" s="128"/>
      <c r="AEM224" s="128"/>
      <c r="AEN224" s="128"/>
      <c r="AEO224" s="128"/>
      <c r="AEP224" s="128"/>
      <c r="AEQ224" s="128"/>
      <c r="AER224" s="128"/>
      <c r="AES224" s="128"/>
      <c r="AET224" s="128"/>
      <c r="AEU224" s="128"/>
      <c r="AEV224" s="128"/>
      <c r="AEW224" s="128"/>
      <c r="AEX224" s="128"/>
      <c r="AEY224" s="128"/>
      <c r="AEZ224" s="128"/>
      <c r="AFA224" s="128"/>
      <c r="AFB224" s="128"/>
      <c r="AFC224" s="128"/>
      <c r="AFD224" s="128"/>
      <c r="AFE224" s="128"/>
      <c r="AFF224" s="128"/>
      <c r="AFG224" s="128"/>
      <c r="AFH224" s="128"/>
      <c r="AFI224" s="128"/>
      <c r="AFJ224" s="128"/>
      <c r="AFK224" s="128"/>
      <c r="AFL224" s="128"/>
      <c r="AFM224" s="128"/>
      <c r="AFN224" s="128"/>
      <c r="AFO224" s="128"/>
      <c r="AFP224" s="128"/>
      <c r="AFQ224" s="128"/>
      <c r="AFR224" s="128"/>
      <c r="AFS224" s="128"/>
      <c r="AFT224" s="128"/>
      <c r="AFU224" s="128"/>
      <c r="AFV224" s="128"/>
      <c r="AFW224" s="128"/>
      <c r="AFX224" s="128"/>
      <c r="AFY224" s="128"/>
      <c r="AFZ224" s="128"/>
      <c r="AGA224" s="128"/>
      <c r="AGB224" s="128"/>
      <c r="AGC224" s="128"/>
      <c r="AGD224" s="128"/>
      <c r="AGE224" s="128"/>
      <c r="AGF224" s="128"/>
      <c r="AGG224" s="128"/>
      <c r="AGH224" s="128"/>
      <c r="AGI224" s="128"/>
      <c r="AGJ224" s="128"/>
      <c r="AGK224" s="128"/>
      <c r="AGL224" s="128"/>
      <c r="AGM224" s="128"/>
      <c r="AGN224" s="128"/>
      <c r="AGO224" s="128"/>
      <c r="AGP224" s="128"/>
      <c r="AGQ224" s="128"/>
      <c r="AGR224" s="128"/>
      <c r="AGS224" s="128"/>
      <c r="AGT224" s="128"/>
      <c r="AGU224" s="128"/>
      <c r="AGV224" s="128"/>
      <c r="AGW224" s="128"/>
      <c r="AGX224" s="128"/>
      <c r="AGY224" s="128"/>
      <c r="AGZ224" s="128"/>
      <c r="AHA224" s="128"/>
      <c r="AHB224" s="128"/>
      <c r="AHC224" s="128"/>
      <c r="AHD224" s="128"/>
      <c r="AHE224" s="128"/>
      <c r="AHF224" s="128"/>
      <c r="AHG224" s="128"/>
      <c r="AHH224" s="128"/>
      <c r="AHI224" s="128"/>
      <c r="AHJ224" s="128"/>
      <c r="AHK224" s="128"/>
      <c r="AHL224" s="128"/>
      <c r="AHM224" s="128"/>
      <c r="AHN224" s="128"/>
      <c r="AHO224" s="128"/>
      <c r="AHP224" s="128"/>
      <c r="AHQ224" s="128"/>
      <c r="AHR224" s="128"/>
      <c r="AHS224" s="128"/>
      <c r="AHT224" s="128"/>
      <c r="AHU224" s="128"/>
      <c r="AHV224" s="128"/>
      <c r="AHW224" s="128"/>
      <c r="AHX224" s="128"/>
      <c r="AHY224" s="128"/>
      <c r="AHZ224" s="128"/>
      <c r="AIA224" s="128"/>
      <c r="AIB224" s="128"/>
      <c r="AIC224" s="128"/>
      <c r="AID224" s="128"/>
      <c r="AIE224" s="128"/>
      <c r="AIF224" s="128"/>
      <c r="AIG224" s="128"/>
      <c r="AIH224" s="128"/>
      <c r="AII224" s="128"/>
      <c r="AIJ224" s="128"/>
      <c r="AIK224" s="128"/>
      <c r="AIL224" s="128"/>
      <c r="AIM224" s="128"/>
      <c r="AIN224" s="128"/>
      <c r="AIO224" s="128"/>
      <c r="AIP224" s="128"/>
      <c r="AIQ224" s="128"/>
      <c r="AIR224" s="128"/>
      <c r="AIS224" s="128"/>
      <c r="AIT224" s="128"/>
      <c r="AIU224" s="128"/>
      <c r="AIV224" s="128"/>
      <c r="AIW224" s="128"/>
      <c r="AIX224" s="128"/>
      <c r="AIY224" s="128"/>
      <c r="AIZ224" s="128"/>
      <c r="AJA224" s="128"/>
      <c r="AJB224" s="128"/>
      <c r="AJC224" s="128"/>
      <c r="AJD224" s="128"/>
      <c r="AJE224" s="128"/>
      <c r="AJF224" s="128"/>
      <c r="AJG224" s="128"/>
      <c r="AJH224" s="128"/>
      <c r="AJI224" s="128"/>
      <c r="AJJ224" s="128"/>
      <c r="AJK224" s="128"/>
      <c r="AJL224" s="128"/>
      <c r="AJM224" s="128"/>
      <c r="AJN224" s="128"/>
      <c r="AJO224" s="128"/>
      <c r="AJP224" s="128"/>
      <c r="AJQ224" s="128"/>
      <c r="AJR224" s="128"/>
      <c r="AJS224" s="128"/>
      <c r="AJT224" s="128"/>
      <c r="AJU224" s="128"/>
      <c r="AJV224" s="128"/>
      <c r="AJW224" s="128"/>
      <c r="AJX224" s="128"/>
      <c r="AJY224" s="128"/>
      <c r="AJZ224" s="128"/>
      <c r="AKA224" s="128"/>
      <c r="AKB224" s="128"/>
      <c r="AKC224" s="128"/>
      <c r="AKD224" s="128"/>
      <c r="AKE224" s="128"/>
      <c r="AKF224" s="128"/>
      <c r="AKG224" s="128"/>
      <c r="AKH224" s="128"/>
      <c r="AKI224" s="128"/>
      <c r="AKJ224" s="128"/>
      <c r="AKK224" s="128"/>
      <c r="AKL224" s="128"/>
      <c r="AKM224" s="128"/>
      <c r="AKN224" s="128"/>
      <c r="AKO224" s="128"/>
      <c r="AKP224" s="128"/>
      <c r="AKQ224" s="128"/>
      <c r="AKR224" s="128"/>
      <c r="AKS224" s="128"/>
      <c r="AKT224" s="128"/>
      <c r="AKU224" s="128"/>
      <c r="AKV224" s="128"/>
      <c r="AKW224" s="128"/>
      <c r="AKX224" s="128"/>
      <c r="AKY224" s="128"/>
      <c r="AKZ224" s="128"/>
      <c r="ALA224" s="128"/>
      <c r="ALB224" s="128"/>
      <c r="ALC224" s="128"/>
      <c r="ALD224" s="128"/>
      <c r="ALE224" s="128"/>
      <c r="ALF224" s="128"/>
      <c r="ALG224" s="128"/>
      <c r="ALH224" s="128"/>
      <c r="ALI224" s="128"/>
      <c r="ALJ224" s="128"/>
      <c r="ALK224" s="128"/>
      <c r="ALL224" s="128"/>
      <c r="ALM224" s="128"/>
      <c r="ALN224" s="128"/>
      <c r="ALO224" s="128"/>
      <c r="ALP224" s="128"/>
      <c r="ALQ224" s="128"/>
      <c r="ALR224" s="128"/>
      <c r="ALS224" s="128"/>
      <c r="ALT224" s="128"/>
      <c r="ALU224" s="128"/>
      <c r="ALV224" s="128"/>
      <c r="ALW224" s="128"/>
      <c r="ALX224" s="128"/>
      <c r="ALY224" s="128"/>
      <c r="ALZ224" s="128"/>
      <c r="AMA224"/>
      <c r="AMB224"/>
      <c r="AMC224"/>
      <c r="AMD224"/>
    </row>
    <row r="225" spans="1:1018" s="96" customFormat="1" ht="12" customHeight="1">
      <c r="A225" s="129"/>
      <c r="B225" s="129"/>
      <c r="C225" s="129"/>
      <c r="D225" s="129"/>
      <c r="E225" s="129"/>
      <c r="F225" s="129"/>
      <c r="I225" s="225"/>
      <c r="K225" s="159"/>
      <c r="P225" s="173"/>
      <c r="T225" s="277"/>
      <c r="X225"/>
      <c r="Y225" s="179"/>
      <c r="AA225" s="159"/>
      <c r="AC225"/>
      <c r="AE225" s="128"/>
      <c r="AF225"/>
      <c r="AG225" s="128"/>
      <c r="AH225" s="128"/>
      <c r="AI225" s="128"/>
      <c r="AJ225" s="128"/>
      <c r="AK225" s="128"/>
      <c r="AL225" s="128"/>
      <c r="AM225" s="128"/>
      <c r="AN225" s="128"/>
      <c r="AO225" s="128"/>
      <c r="AP225" s="128"/>
      <c r="AQ225" s="128"/>
      <c r="AR225" s="128"/>
      <c r="AS225" s="128"/>
      <c r="AT225" s="128"/>
      <c r="AU225" s="128"/>
      <c r="AV225" s="128"/>
      <c r="AW225" s="128"/>
      <c r="AX225" s="128"/>
      <c r="AY225" s="128"/>
      <c r="AZ225" s="128"/>
      <c r="BA225" s="128"/>
      <c r="BB225" s="128"/>
      <c r="BC225" s="128"/>
      <c r="BD225" s="128"/>
      <c r="BE225" s="128"/>
      <c r="BF225" s="128"/>
      <c r="BG225" s="128"/>
      <c r="BH225" s="128"/>
      <c r="BI225" s="128"/>
      <c r="BJ225" s="128"/>
      <c r="BK225" s="128"/>
      <c r="BL225" s="128"/>
      <c r="BM225" s="128"/>
      <c r="BN225" s="128"/>
      <c r="BO225" s="128"/>
      <c r="BP225" s="128"/>
      <c r="BQ225" s="128"/>
      <c r="BR225" s="128"/>
      <c r="BS225" s="128"/>
      <c r="BT225" s="128"/>
      <c r="BU225" s="128"/>
      <c r="BV225" s="128"/>
      <c r="BW225" s="128"/>
      <c r="BX225" s="128"/>
      <c r="BY225" s="128"/>
      <c r="BZ225" s="128"/>
      <c r="CA225" s="128"/>
      <c r="CB225" s="128"/>
      <c r="CC225" s="128"/>
      <c r="CD225" s="128"/>
      <c r="CE225" s="128"/>
      <c r="CF225" s="128"/>
      <c r="CG225" s="128"/>
      <c r="CH225" s="128"/>
      <c r="CI225" s="128"/>
      <c r="CJ225" s="128"/>
      <c r="CK225" s="128"/>
      <c r="CL225" s="128"/>
      <c r="CM225" s="128"/>
      <c r="CN225" s="128"/>
      <c r="CO225" s="128"/>
      <c r="CP225" s="128"/>
      <c r="CQ225" s="128"/>
      <c r="CR225" s="128"/>
      <c r="CS225" s="128"/>
      <c r="CT225" s="128"/>
      <c r="CU225" s="128"/>
      <c r="CV225" s="128"/>
      <c r="CW225" s="128"/>
      <c r="CX225" s="128"/>
      <c r="CY225" s="128"/>
      <c r="CZ225" s="128"/>
      <c r="DA225" s="128"/>
      <c r="DB225" s="128"/>
      <c r="DC225" s="128"/>
      <c r="DD225" s="128"/>
      <c r="DE225" s="128"/>
      <c r="DF225" s="128"/>
      <c r="DG225" s="128"/>
      <c r="DH225" s="128"/>
      <c r="DI225" s="128"/>
      <c r="DJ225" s="128"/>
      <c r="DK225" s="128"/>
      <c r="DL225" s="128"/>
      <c r="DM225" s="128"/>
      <c r="DN225" s="128"/>
      <c r="DO225" s="128"/>
      <c r="DP225" s="128"/>
      <c r="DQ225" s="128"/>
      <c r="DR225" s="128"/>
      <c r="DS225" s="128"/>
      <c r="DT225" s="128"/>
      <c r="DU225" s="128"/>
      <c r="DV225" s="128"/>
      <c r="DW225" s="128"/>
      <c r="DX225" s="128"/>
      <c r="DY225" s="128"/>
      <c r="DZ225" s="128"/>
      <c r="EA225" s="128"/>
      <c r="EB225" s="128"/>
      <c r="EC225" s="128"/>
      <c r="ED225" s="128"/>
      <c r="EE225" s="128"/>
      <c r="EF225" s="128"/>
      <c r="EG225" s="128"/>
      <c r="EH225" s="128"/>
      <c r="EI225" s="128"/>
      <c r="EJ225" s="128"/>
      <c r="EK225" s="128"/>
      <c r="EL225" s="128"/>
      <c r="EM225" s="128"/>
      <c r="EN225" s="128"/>
      <c r="EO225" s="128"/>
      <c r="EP225" s="128"/>
      <c r="EQ225" s="128"/>
      <c r="ER225" s="128"/>
      <c r="ES225" s="128"/>
      <c r="ET225" s="128"/>
      <c r="EU225" s="128"/>
      <c r="EV225" s="128"/>
      <c r="EW225" s="128"/>
      <c r="EX225" s="128"/>
      <c r="EY225" s="128"/>
      <c r="EZ225" s="128"/>
      <c r="FA225" s="128"/>
      <c r="FB225" s="128"/>
      <c r="FC225" s="128"/>
      <c r="FD225" s="128"/>
      <c r="FE225" s="128"/>
      <c r="FF225" s="128"/>
      <c r="FG225" s="128"/>
      <c r="FH225" s="128"/>
      <c r="FI225" s="128"/>
      <c r="FJ225" s="128"/>
      <c r="FK225" s="128"/>
      <c r="FL225" s="128"/>
      <c r="FM225" s="128"/>
      <c r="FN225" s="128"/>
      <c r="FO225" s="128"/>
      <c r="FP225" s="128"/>
      <c r="FQ225" s="128"/>
      <c r="FR225" s="128"/>
      <c r="FS225" s="128"/>
      <c r="FT225" s="128"/>
      <c r="FU225" s="128"/>
      <c r="FV225" s="128"/>
      <c r="FW225" s="128"/>
      <c r="FX225" s="128"/>
      <c r="FY225" s="128"/>
      <c r="FZ225" s="128"/>
      <c r="GA225" s="128"/>
      <c r="GB225" s="128"/>
      <c r="GC225" s="128"/>
      <c r="GD225" s="128"/>
      <c r="GE225" s="128"/>
      <c r="GF225" s="128"/>
      <c r="GG225" s="128"/>
      <c r="GH225" s="128"/>
      <c r="GI225" s="128"/>
      <c r="GJ225" s="128"/>
      <c r="GK225" s="128"/>
      <c r="GL225" s="128"/>
      <c r="GM225" s="128"/>
      <c r="GN225" s="128"/>
      <c r="GO225" s="128"/>
      <c r="GP225" s="128"/>
      <c r="GQ225" s="128"/>
      <c r="GR225" s="128"/>
      <c r="GS225" s="128"/>
      <c r="GT225" s="128"/>
      <c r="GU225" s="128"/>
      <c r="GV225" s="128"/>
      <c r="GW225" s="128"/>
      <c r="GX225" s="128"/>
      <c r="GY225" s="128"/>
      <c r="GZ225" s="128"/>
      <c r="HA225" s="128"/>
      <c r="HB225" s="128"/>
      <c r="HC225" s="128"/>
      <c r="HD225" s="128"/>
      <c r="HE225" s="128"/>
      <c r="HF225" s="128"/>
      <c r="HG225" s="128"/>
      <c r="HH225" s="128"/>
      <c r="HI225" s="128"/>
      <c r="HJ225" s="128"/>
      <c r="HK225" s="128"/>
      <c r="HL225" s="128"/>
      <c r="HM225" s="128"/>
      <c r="HN225" s="128"/>
      <c r="HO225" s="128"/>
      <c r="HP225" s="128"/>
      <c r="HQ225" s="128"/>
      <c r="HR225" s="128"/>
      <c r="HS225" s="128"/>
      <c r="HT225" s="128"/>
      <c r="HU225" s="128"/>
      <c r="HV225" s="128"/>
      <c r="HW225" s="128"/>
      <c r="HX225" s="128"/>
      <c r="HY225" s="128"/>
      <c r="HZ225" s="128"/>
      <c r="IA225" s="128"/>
      <c r="IB225" s="128"/>
      <c r="IC225" s="128"/>
      <c r="ID225" s="128"/>
      <c r="IE225" s="128"/>
      <c r="IF225" s="128"/>
      <c r="IG225" s="128"/>
      <c r="IH225" s="128"/>
      <c r="II225" s="128"/>
      <c r="IJ225" s="128"/>
      <c r="IK225" s="128"/>
      <c r="IL225" s="128"/>
      <c r="IM225" s="128"/>
      <c r="IN225" s="128"/>
      <c r="IO225" s="128"/>
      <c r="IP225" s="128"/>
      <c r="IQ225" s="128"/>
      <c r="IR225" s="128"/>
      <c r="IS225" s="128"/>
      <c r="IT225" s="128"/>
      <c r="IU225" s="128"/>
      <c r="IV225" s="128"/>
      <c r="IW225" s="128"/>
      <c r="IX225" s="128"/>
      <c r="IY225" s="128"/>
      <c r="IZ225" s="128"/>
      <c r="JA225" s="128"/>
      <c r="JB225" s="128"/>
      <c r="JC225" s="128"/>
      <c r="JD225" s="128"/>
      <c r="JE225" s="128"/>
      <c r="JF225" s="128"/>
      <c r="JG225" s="128"/>
      <c r="JH225" s="128"/>
      <c r="JI225" s="128"/>
      <c r="JJ225" s="128"/>
      <c r="JK225" s="128"/>
      <c r="JL225" s="128"/>
      <c r="JM225" s="128"/>
      <c r="JN225" s="128"/>
      <c r="JO225" s="128"/>
      <c r="JP225" s="128"/>
      <c r="JQ225" s="128"/>
      <c r="JR225" s="128"/>
      <c r="JS225" s="128"/>
      <c r="JT225" s="128"/>
      <c r="JU225" s="128"/>
      <c r="JV225" s="128"/>
      <c r="JW225" s="128"/>
      <c r="JX225" s="128"/>
      <c r="JY225" s="128"/>
      <c r="JZ225" s="128"/>
      <c r="KA225" s="128"/>
      <c r="KB225" s="128"/>
      <c r="KC225" s="128"/>
      <c r="KD225" s="128"/>
      <c r="KE225" s="128"/>
      <c r="KF225" s="128"/>
      <c r="KG225" s="128"/>
      <c r="KH225" s="128"/>
      <c r="KI225" s="128"/>
      <c r="KJ225" s="128"/>
      <c r="KK225" s="128"/>
      <c r="KL225" s="128"/>
      <c r="KM225" s="128"/>
      <c r="KN225" s="128"/>
      <c r="KO225" s="128"/>
      <c r="KP225" s="128"/>
      <c r="KQ225" s="128"/>
      <c r="KR225" s="128"/>
      <c r="KS225" s="128"/>
      <c r="KT225" s="128"/>
      <c r="KU225" s="128"/>
      <c r="KV225" s="128"/>
      <c r="KW225" s="128"/>
      <c r="KX225" s="128"/>
      <c r="KY225" s="128"/>
      <c r="KZ225" s="128"/>
      <c r="LA225" s="128"/>
      <c r="LB225" s="128"/>
      <c r="LC225" s="128"/>
      <c r="LD225" s="128"/>
      <c r="LE225" s="128"/>
      <c r="LF225" s="128"/>
      <c r="LG225" s="128"/>
      <c r="LH225" s="128"/>
      <c r="LI225" s="128"/>
      <c r="LJ225" s="128"/>
      <c r="LK225" s="128"/>
      <c r="LL225" s="128"/>
      <c r="LM225" s="128"/>
      <c r="LN225" s="128"/>
      <c r="LO225" s="128"/>
      <c r="LP225" s="128"/>
      <c r="LQ225" s="128"/>
      <c r="LR225" s="128"/>
      <c r="LS225" s="128"/>
      <c r="LT225" s="128"/>
      <c r="LU225" s="128"/>
      <c r="LV225" s="128"/>
      <c r="LW225" s="128"/>
      <c r="LX225" s="128"/>
      <c r="LY225" s="128"/>
      <c r="LZ225" s="128"/>
      <c r="MA225" s="128"/>
      <c r="MB225" s="128"/>
      <c r="MC225" s="128"/>
      <c r="MD225" s="128"/>
      <c r="ME225" s="128"/>
      <c r="MF225" s="128"/>
      <c r="MG225" s="128"/>
      <c r="MH225" s="128"/>
      <c r="MI225" s="128"/>
      <c r="MJ225" s="128"/>
      <c r="MK225" s="128"/>
      <c r="ML225" s="128"/>
      <c r="MM225" s="128"/>
      <c r="MN225" s="128"/>
      <c r="MO225" s="128"/>
      <c r="MP225" s="128"/>
      <c r="MQ225" s="128"/>
      <c r="MR225" s="128"/>
      <c r="MS225" s="128"/>
      <c r="MT225" s="128"/>
      <c r="MU225" s="128"/>
      <c r="MV225" s="128"/>
      <c r="MW225" s="128"/>
      <c r="MX225" s="128"/>
      <c r="MY225" s="128"/>
      <c r="MZ225" s="128"/>
      <c r="NA225" s="128"/>
      <c r="NB225" s="128"/>
      <c r="NC225" s="128"/>
      <c r="ND225" s="128"/>
      <c r="NE225" s="128"/>
      <c r="NF225" s="128"/>
      <c r="NG225" s="128"/>
      <c r="NH225" s="128"/>
      <c r="NI225" s="128"/>
      <c r="NJ225" s="128"/>
      <c r="NK225" s="128"/>
      <c r="NL225" s="128"/>
      <c r="NM225" s="128"/>
      <c r="NN225" s="128"/>
      <c r="NO225" s="128"/>
      <c r="NP225" s="128"/>
      <c r="NQ225" s="128"/>
      <c r="NR225" s="128"/>
      <c r="NS225" s="128"/>
      <c r="NT225" s="128"/>
      <c r="NU225" s="128"/>
      <c r="NV225" s="128"/>
      <c r="NW225" s="128"/>
      <c r="NX225" s="128"/>
      <c r="NY225" s="128"/>
      <c r="NZ225" s="128"/>
      <c r="OA225" s="128"/>
      <c r="OB225" s="128"/>
      <c r="OC225" s="128"/>
      <c r="OD225" s="128"/>
      <c r="OE225" s="128"/>
      <c r="OF225" s="128"/>
      <c r="OG225" s="128"/>
      <c r="OH225" s="128"/>
      <c r="OI225" s="128"/>
      <c r="OJ225" s="128"/>
      <c r="OK225" s="128"/>
      <c r="OL225" s="128"/>
      <c r="OM225" s="128"/>
      <c r="ON225" s="128"/>
      <c r="OO225" s="128"/>
      <c r="OP225" s="128"/>
      <c r="OQ225" s="128"/>
      <c r="OR225" s="128"/>
      <c r="OS225" s="128"/>
      <c r="OT225" s="128"/>
      <c r="OU225" s="128"/>
      <c r="OV225" s="128"/>
      <c r="OW225" s="128"/>
      <c r="OX225" s="128"/>
      <c r="OY225" s="128"/>
      <c r="OZ225" s="128"/>
      <c r="PA225" s="128"/>
      <c r="PB225" s="128"/>
      <c r="PC225" s="128"/>
      <c r="PD225" s="128"/>
      <c r="PE225" s="128"/>
      <c r="PF225" s="128"/>
      <c r="PG225" s="128"/>
      <c r="PH225" s="128"/>
      <c r="PI225" s="128"/>
      <c r="PJ225" s="128"/>
      <c r="PK225" s="128"/>
      <c r="PL225" s="128"/>
      <c r="PM225" s="128"/>
      <c r="PN225" s="128"/>
      <c r="PO225" s="128"/>
      <c r="PP225" s="128"/>
      <c r="PQ225" s="128"/>
      <c r="PR225" s="128"/>
      <c r="PS225" s="128"/>
      <c r="PT225" s="128"/>
      <c r="PU225" s="128"/>
      <c r="PV225" s="128"/>
      <c r="PW225" s="128"/>
      <c r="PX225" s="128"/>
      <c r="PY225" s="128"/>
      <c r="PZ225" s="128"/>
      <c r="QA225" s="128"/>
      <c r="QB225" s="128"/>
      <c r="QC225" s="128"/>
      <c r="QD225" s="128"/>
      <c r="QE225" s="128"/>
      <c r="QF225" s="128"/>
      <c r="QG225" s="128"/>
      <c r="QH225" s="128"/>
      <c r="QI225" s="128"/>
      <c r="QJ225" s="128"/>
      <c r="QK225" s="128"/>
      <c r="QL225" s="128"/>
      <c r="QM225" s="128"/>
      <c r="QN225" s="128"/>
      <c r="QO225" s="128"/>
      <c r="QP225" s="128"/>
      <c r="QQ225" s="128"/>
      <c r="QR225" s="128"/>
      <c r="QS225" s="128"/>
      <c r="QT225" s="128"/>
      <c r="QU225" s="128"/>
      <c r="QV225" s="128"/>
      <c r="QW225" s="128"/>
      <c r="QX225" s="128"/>
      <c r="QY225" s="128"/>
      <c r="QZ225" s="128"/>
      <c r="RA225" s="128"/>
      <c r="RB225" s="128"/>
      <c r="RC225" s="128"/>
      <c r="RD225" s="128"/>
      <c r="RE225" s="128"/>
      <c r="RF225" s="128"/>
      <c r="RG225" s="128"/>
      <c r="RH225" s="128"/>
      <c r="RI225" s="128"/>
      <c r="RJ225" s="128"/>
      <c r="RK225" s="128"/>
      <c r="RL225" s="128"/>
      <c r="RM225" s="128"/>
      <c r="RN225" s="128"/>
      <c r="RO225" s="128"/>
      <c r="RP225" s="128"/>
      <c r="RQ225" s="128"/>
      <c r="RR225" s="128"/>
      <c r="RS225" s="128"/>
      <c r="RT225" s="128"/>
      <c r="RU225" s="128"/>
      <c r="RV225" s="128"/>
      <c r="RW225" s="128"/>
      <c r="RX225" s="128"/>
      <c r="RY225" s="128"/>
      <c r="RZ225" s="128"/>
      <c r="SA225" s="128"/>
      <c r="SB225" s="128"/>
      <c r="SC225" s="128"/>
      <c r="SD225" s="128"/>
      <c r="SE225" s="128"/>
      <c r="SF225" s="128"/>
      <c r="SG225" s="128"/>
      <c r="SH225" s="128"/>
      <c r="SI225" s="128"/>
      <c r="SJ225" s="128"/>
      <c r="SK225" s="128"/>
      <c r="SL225" s="128"/>
      <c r="SM225" s="128"/>
      <c r="SN225" s="128"/>
      <c r="SO225" s="128"/>
      <c r="SP225" s="128"/>
      <c r="SQ225" s="128"/>
      <c r="SR225" s="128"/>
      <c r="SS225" s="128"/>
      <c r="ST225" s="128"/>
      <c r="SU225" s="128"/>
      <c r="SV225" s="128"/>
      <c r="SW225" s="128"/>
      <c r="SX225" s="128"/>
      <c r="SY225" s="128"/>
      <c r="SZ225" s="128"/>
      <c r="TA225" s="128"/>
      <c r="TB225" s="128"/>
      <c r="TC225" s="128"/>
      <c r="TD225" s="128"/>
      <c r="TE225" s="128"/>
      <c r="TF225" s="128"/>
      <c r="TG225" s="128"/>
      <c r="TH225" s="128"/>
      <c r="TI225" s="128"/>
      <c r="TJ225" s="128"/>
      <c r="TK225" s="128"/>
      <c r="TL225" s="128"/>
      <c r="TM225" s="128"/>
      <c r="TN225" s="128"/>
      <c r="TO225" s="128"/>
      <c r="TP225" s="128"/>
      <c r="TQ225" s="128"/>
      <c r="TR225" s="128"/>
      <c r="TS225" s="128"/>
      <c r="TT225" s="128"/>
      <c r="TU225" s="128"/>
      <c r="TV225" s="128"/>
      <c r="TW225" s="128"/>
      <c r="TX225" s="128"/>
      <c r="TY225" s="128"/>
      <c r="TZ225" s="128"/>
      <c r="UA225" s="128"/>
      <c r="UB225" s="128"/>
      <c r="UC225" s="128"/>
      <c r="UD225" s="128"/>
      <c r="UE225" s="128"/>
      <c r="UF225" s="128"/>
      <c r="UG225" s="128"/>
      <c r="UH225" s="128"/>
      <c r="UI225" s="128"/>
      <c r="UJ225" s="128"/>
      <c r="UK225" s="128"/>
      <c r="UL225" s="128"/>
      <c r="UM225" s="128"/>
      <c r="UN225" s="128"/>
      <c r="UO225" s="128"/>
      <c r="UP225" s="128"/>
      <c r="UQ225" s="128"/>
      <c r="UR225" s="128"/>
      <c r="US225" s="128"/>
      <c r="UT225" s="128"/>
      <c r="UU225" s="128"/>
      <c r="UV225" s="128"/>
      <c r="UW225" s="128"/>
      <c r="UX225" s="128"/>
      <c r="UY225" s="128"/>
      <c r="UZ225" s="128"/>
      <c r="VA225" s="128"/>
      <c r="VB225" s="128"/>
      <c r="VC225" s="128"/>
      <c r="VD225" s="128"/>
      <c r="VE225" s="128"/>
      <c r="VF225" s="128"/>
      <c r="VG225" s="128"/>
      <c r="VH225" s="128"/>
      <c r="VI225" s="128"/>
      <c r="VJ225" s="128"/>
      <c r="VK225" s="128"/>
      <c r="VL225" s="128"/>
      <c r="VM225" s="128"/>
      <c r="VN225" s="128"/>
      <c r="VO225" s="128"/>
      <c r="VP225" s="128"/>
      <c r="VQ225" s="128"/>
      <c r="VR225" s="128"/>
      <c r="VS225" s="128"/>
      <c r="VT225" s="128"/>
      <c r="VU225" s="128"/>
      <c r="VV225" s="128"/>
      <c r="VW225" s="128"/>
      <c r="VX225" s="128"/>
      <c r="VY225" s="128"/>
      <c r="VZ225" s="128"/>
      <c r="WA225" s="128"/>
      <c r="WB225" s="128"/>
      <c r="WC225" s="128"/>
      <c r="WD225" s="128"/>
      <c r="WE225" s="128"/>
      <c r="WF225" s="128"/>
      <c r="WG225" s="128"/>
      <c r="WH225" s="128"/>
      <c r="WI225" s="128"/>
      <c r="WJ225" s="128"/>
      <c r="WK225" s="128"/>
      <c r="WL225" s="128"/>
      <c r="WM225" s="128"/>
      <c r="WN225" s="128"/>
      <c r="WO225" s="128"/>
      <c r="WP225" s="128"/>
      <c r="WQ225" s="128"/>
      <c r="WR225" s="128"/>
      <c r="WS225" s="128"/>
      <c r="WT225" s="128"/>
      <c r="WU225" s="128"/>
      <c r="WV225" s="128"/>
      <c r="WW225" s="128"/>
      <c r="WX225" s="128"/>
      <c r="WY225" s="128"/>
      <c r="WZ225" s="128"/>
      <c r="XA225" s="128"/>
      <c r="XB225" s="128"/>
      <c r="XC225" s="128"/>
      <c r="XD225" s="128"/>
      <c r="XE225" s="128"/>
      <c r="XF225" s="128"/>
      <c r="XG225" s="128"/>
      <c r="XH225" s="128"/>
      <c r="XI225" s="128"/>
      <c r="XJ225" s="128"/>
      <c r="XK225" s="128"/>
      <c r="XL225" s="128"/>
      <c r="XM225" s="128"/>
      <c r="XN225" s="128"/>
      <c r="XO225" s="128"/>
      <c r="XP225" s="128"/>
      <c r="XQ225" s="128"/>
      <c r="XR225" s="128"/>
      <c r="XS225" s="128"/>
      <c r="XT225" s="128"/>
      <c r="XU225" s="128"/>
      <c r="XV225" s="128"/>
      <c r="XW225" s="128"/>
      <c r="XX225" s="128"/>
      <c r="XY225" s="128"/>
      <c r="XZ225" s="128"/>
      <c r="YA225" s="128"/>
      <c r="YB225" s="128"/>
      <c r="YC225" s="128"/>
      <c r="YD225" s="128"/>
      <c r="YE225" s="128"/>
      <c r="YF225" s="128"/>
      <c r="YG225" s="128"/>
      <c r="YH225" s="128"/>
      <c r="YI225" s="128"/>
      <c r="YJ225" s="128"/>
      <c r="YK225" s="128"/>
      <c r="YL225" s="128"/>
      <c r="YM225" s="128"/>
      <c r="YN225" s="128"/>
      <c r="YO225" s="128"/>
      <c r="YP225" s="128"/>
      <c r="YQ225" s="128"/>
      <c r="YR225" s="128"/>
      <c r="YS225" s="128"/>
      <c r="YT225" s="128"/>
      <c r="YU225" s="128"/>
      <c r="YV225" s="128"/>
      <c r="YW225" s="128"/>
      <c r="YX225" s="128"/>
      <c r="YY225" s="128"/>
      <c r="YZ225" s="128"/>
      <c r="ZA225" s="128"/>
      <c r="ZB225" s="128"/>
      <c r="ZC225" s="128"/>
      <c r="ZD225" s="128"/>
      <c r="ZE225" s="128"/>
      <c r="ZF225" s="128"/>
      <c r="ZG225" s="128"/>
      <c r="ZH225" s="128"/>
      <c r="ZI225" s="128"/>
      <c r="ZJ225" s="128"/>
      <c r="ZK225" s="128"/>
      <c r="ZL225" s="128"/>
      <c r="ZM225" s="128"/>
      <c r="ZN225" s="128"/>
      <c r="ZO225" s="128"/>
      <c r="ZP225" s="128"/>
      <c r="ZQ225" s="128"/>
      <c r="ZR225" s="128"/>
      <c r="ZS225" s="128"/>
      <c r="ZT225" s="128"/>
      <c r="ZU225" s="128"/>
      <c r="ZV225" s="128"/>
      <c r="ZW225" s="128"/>
      <c r="ZX225" s="128"/>
      <c r="ZY225" s="128"/>
      <c r="ZZ225" s="128"/>
      <c r="AAA225" s="128"/>
      <c r="AAB225" s="128"/>
      <c r="AAC225" s="128"/>
      <c r="AAD225" s="128"/>
      <c r="AAE225" s="128"/>
      <c r="AAF225" s="128"/>
      <c r="AAG225" s="128"/>
      <c r="AAH225" s="128"/>
      <c r="AAI225" s="128"/>
      <c r="AAJ225" s="128"/>
      <c r="AAK225" s="128"/>
      <c r="AAL225" s="128"/>
      <c r="AAM225" s="128"/>
      <c r="AAN225" s="128"/>
      <c r="AAO225" s="128"/>
      <c r="AAP225" s="128"/>
      <c r="AAQ225" s="128"/>
      <c r="AAR225" s="128"/>
      <c r="AAS225" s="128"/>
      <c r="AAT225" s="128"/>
      <c r="AAU225" s="128"/>
      <c r="AAV225" s="128"/>
      <c r="AAW225" s="128"/>
      <c r="AAX225" s="128"/>
      <c r="AAY225" s="128"/>
      <c r="AAZ225" s="128"/>
      <c r="ABA225" s="128"/>
      <c r="ABB225" s="128"/>
      <c r="ABC225" s="128"/>
      <c r="ABD225" s="128"/>
      <c r="ABE225" s="128"/>
      <c r="ABF225" s="128"/>
      <c r="ABG225" s="128"/>
      <c r="ABH225" s="128"/>
      <c r="ABI225" s="128"/>
      <c r="ABJ225" s="128"/>
      <c r="ABK225" s="128"/>
      <c r="ABL225" s="128"/>
      <c r="ABM225" s="128"/>
      <c r="ABN225" s="128"/>
      <c r="ABO225" s="128"/>
      <c r="ABP225" s="128"/>
      <c r="ABQ225" s="128"/>
      <c r="ABR225" s="128"/>
      <c r="ABS225" s="128"/>
      <c r="ABT225" s="128"/>
      <c r="ABU225" s="128"/>
      <c r="ABV225" s="128"/>
      <c r="ABW225" s="128"/>
      <c r="ABX225" s="128"/>
      <c r="ABY225" s="128"/>
      <c r="ABZ225" s="128"/>
      <c r="ACA225" s="128"/>
      <c r="ACB225" s="128"/>
      <c r="ACC225" s="128"/>
      <c r="ACD225" s="128"/>
      <c r="ACE225" s="128"/>
      <c r="ACF225" s="128"/>
      <c r="ACG225" s="128"/>
      <c r="ACH225" s="128"/>
      <c r="ACI225" s="128"/>
      <c r="ACJ225" s="128"/>
      <c r="ACK225" s="128"/>
      <c r="ACL225" s="128"/>
      <c r="ACM225" s="128"/>
      <c r="ACN225" s="128"/>
      <c r="ACO225" s="128"/>
      <c r="ACP225" s="128"/>
      <c r="ACQ225" s="128"/>
      <c r="ACR225" s="128"/>
      <c r="ACS225" s="128"/>
      <c r="ACT225" s="128"/>
      <c r="ACU225" s="128"/>
      <c r="ACV225" s="128"/>
      <c r="ACW225" s="128"/>
      <c r="ACX225" s="128"/>
      <c r="ACY225" s="128"/>
      <c r="ACZ225" s="128"/>
      <c r="ADA225" s="128"/>
      <c r="ADB225" s="128"/>
      <c r="ADC225" s="128"/>
      <c r="ADD225" s="128"/>
      <c r="ADE225" s="128"/>
      <c r="ADF225" s="128"/>
      <c r="ADG225" s="128"/>
      <c r="ADH225" s="128"/>
      <c r="ADI225" s="128"/>
      <c r="ADJ225" s="128"/>
      <c r="ADK225" s="128"/>
      <c r="ADL225" s="128"/>
      <c r="ADM225" s="128"/>
      <c r="ADN225" s="128"/>
      <c r="ADO225" s="128"/>
      <c r="ADP225" s="128"/>
      <c r="ADQ225" s="128"/>
      <c r="ADR225" s="128"/>
      <c r="ADS225" s="128"/>
      <c r="ADT225" s="128"/>
      <c r="ADU225" s="128"/>
      <c r="ADV225" s="128"/>
      <c r="ADW225" s="128"/>
      <c r="ADX225" s="128"/>
      <c r="ADY225" s="128"/>
      <c r="ADZ225" s="128"/>
      <c r="AEA225" s="128"/>
      <c r="AEB225" s="128"/>
      <c r="AEC225" s="128"/>
      <c r="AED225" s="128"/>
      <c r="AEE225" s="128"/>
      <c r="AEF225" s="128"/>
      <c r="AEG225" s="128"/>
      <c r="AEH225" s="128"/>
      <c r="AEI225" s="128"/>
      <c r="AEJ225" s="128"/>
      <c r="AEK225" s="128"/>
      <c r="AEL225" s="128"/>
      <c r="AEM225" s="128"/>
      <c r="AEN225" s="128"/>
      <c r="AEO225" s="128"/>
      <c r="AEP225" s="128"/>
      <c r="AEQ225" s="128"/>
      <c r="AER225" s="128"/>
      <c r="AES225" s="128"/>
      <c r="AET225" s="128"/>
      <c r="AEU225" s="128"/>
      <c r="AEV225" s="128"/>
      <c r="AEW225" s="128"/>
      <c r="AEX225" s="128"/>
      <c r="AEY225" s="128"/>
      <c r="AEZ225" s="128"/>
      <c r="AFA225" s="128"/>
      <c r="AFB225" s="128"/>
      <c r="AFC225" s="128"/>
      <c r="AFD225" s="128"/>
      <c r="AFE225" s="128"/>
      <c r="AFF225" s="128"/>
      <c r="AFG225" s="128"/>
      <c r="AFH225" s="128"/>
      <c r="AFI225" s="128"/>
      <c r="AFJ225" s="128"/>
      <c r="AFK225" s="128"/>
      <c r="AFL225" s="128"/>
      <c r="AFM225" s="128"/>
      <c r="AFN225" s="128"/>
      <c r="AFO225" s="128"/>
      <c r="AFP225" s="128"/>
      <c r="AFQ225" s="128"/>
      <c r="AFR225" s="128"/>
      <c r="AFS225" s="128"/>
      <c r="AFT225" s="128"/>
      <c r="AFU225" s="128"/>
      <c r="AFV225" s="128"/>
      <c r="AFW225" s="128"/>
      <c r="AFX225" s="128"/>
      <c r="AFY225" s="128"/>
      <c r="AFZ225" s="128"/>
      <c r="AGA225" s="128"/>
      <c r="AGB225" s="128"/>
      <c r="AGC225" s="128"/>
      <c r="AGD225" s="128"/>
      <c r="AGE225" s="128"/>
      <c r="AGF225" s="128"/>
      <c r="AGG225" s="128"/>
      <c r="AGH225" s="128"/>
      <c r="AGI225" s="128"/>
      <c r="AGJ225" s="128"/>
      <c r="AGK225" s="128"/>
      <c r="AGL225" s="128"/>
      <c r="AGM225" s="128"/>
      <c r="AGN225" s="128"/>
      <c r="AGO225" s="128"/>
      <c r="AGP225" s="128"/>
      <c r="AGQ225" s="128"/>
      <c r="AGR225" s="128"/>
      <c r="AGS225" s="128"/>
      <c r="AGT225" s="128"/>
      <c r="AGU225" s="128"/>
      <c r="AGV225" s="128"/>
      <c r="AGW225" s="128"/>
      <c r="AGX225" s="128"/>
      <c r="AGY225" s="128"/>
      <c r="AGZ225" s="128"/>
      <c r="AHA225" s="128"/>
      <c r="AHB225" s="128"/>
      <c r="AHC225" s="128"/>
      <c r="AHD225" s="128"/>
      <c r="AHE225" s="128"/>
      <c r="AHF225" s="128"/>
      <c r="AHG225" s="128"/>
      <c r="AHH225" s="128"/>
      <c r="AHI225" s="128"/>
      <c r="AHJ225" s="128"/>
      <c r="AHK225" s="128"/>
      <c r="AHL225" s="128"/>
      <c r="AHM225" s="128"/>
      <c r="AHN225" s="128"/>
      <c r="AHO225" s="128"/>
      <c r="AHP225" s="128"/>
      <c r="AHQ225" s="128"/>
      <c r="AHR225" s="128"/>
      <c r="AHS225" s="128"/>
      <c r="AHT225" s="128"/>
      <c r="AHU225" s="128"/>
      <c r="AHV225" s="128"/>
      <c r="AHW225" s="128"/>
      <c r="AHX225" s="128"/>
      <c r="AHY225" s="128"/>
      <c r="AHZ225" s="128"/>
      <c r="AIA225" s="128"/>
      <c r="AIB225" s="128"/>
      <c r="AIC225" s="128"/>
      <c r="AID225" s="128"/>
      <c r="AIE225" s="128"/>
      <c r="AIF225" s="128"/>
      <c r="AIG225" s="128"/>
      <c r="AIH225" s="128"/>
      <c r="AII225" s="128"/>
      <c r="AIJ225" s="128"/>
      <c r="AIK225" s="128"/>
      <c r="AIL225" s="128"/>
      <c r="AIM225" s="128"/>
      <c r="AIN225" s="128"/>
      <c r="AIO225" s="128"/>
      <c r="AIP225" s="128"/>
      <c r="AIQ225" s="128"/>
      <c r="AIR225" s="128"/>
      <c r="AIS225" s="128"/>
      <c r="AIT225" s="128"/>
      <c r="AIU225" s="128"/>
      <c r="AIV225" s="128"/>
      <c r="AIW225" s="128"/>
      <c r="AIX225" s="128"/>
      <c r="AIY225" s="128"/>
      <c r="AIZ225" s="128"/>
      <c r="AJA225" s="128"/>
      <c r="AJB225" s="128"/>
      <c r="AJC225" s="128"/>
      <c r="AJD225" s="128"/>
      <c r="AJE225" s="128"/>
      <c r="AJF225" s="128"/>
      <c r="AJG225" s="128"/>
      <c r="AJH225" s="128"/>
      <c r="AJI225" s="128"/>
      <c r="AJJ225" s="128"/>
      <c r="AJK225" s="128"/>
      <c r="AJL225" s="128"/>
      <c r="AJM225" s="128"/>
      <c r="AJN225" s="128"/>
      <c r="AJO225" s="128"/>
      <c r="AJP225" s="128"/>
      <c r="AJQ225" s="128"/>
      <c r="AJR225" s="128"/>
      <c r="AJS225" s="128"/>
      <c r="AJT225" s="128"/>
      <c r="AJU225" s="128"/>
      <c r="AJV225" s="128"/>
      <c r="AJW225" s="128"/>
      <c r="AJX225" s="128"/>
      <c r="AJY225" s="128"/>
      <c r="AJZ225" s="128"/>
      <c r="AKA225" s="128"/>
      <c r="AKB225" s="128"/>
      <c r="AKC225" s="128"/>
      <c r="AKD225" s="128"/>
      <c r="AKE225" s="128"/>
      <c r="AKF225" s="128"/>
      <c r="AKG225" s="128"/>
      <c r="AKH225" s="128"/>
      <c r="AKI225" s="128"/>
      <c r="AKJ225" s="128"/>
      <c r="AKK225" s="128"/>
      <c r="AKL225" s="128"/>
      <c r="AKM225" s="128"/>
      <c r="AKN225" s="128"/>
      <c r="AKO225" s="128"/>
      <c r="AKP225" s="128"/>
      <c r="AKQ225" s="128"/>
      <c r="AKR225" s="128"/>
      <c r="AKS225" s="128"/>
      <c r="AKT225" s="128"/>
      <c r="AKU225" s="128"/>
      <c r="AKV225" s="128"/>
      <c r="AKW225" s="128"/>
      <c r="AKX225" s="128"/>
      <c r="AKY225" s="128"/>
      <c r="AKZ225" s="128"/>
      <c r="ALA225" s="128"/>
      <c r="ALB225" s="128"/>
      <c r="ALC225" s="128"/>
      <c r="ALD225" s="128"/>
      <c r="ALE225" s="128"/>
      <c r="ALF225" s="128"/>
      <c r="ALG225" s="128"/>
      <c r="ALH225" s="128"/>
      <c r="ALI225" s="128"/>
      <c r="ALJ225" s="128"/>
      <c r="ALK225" s="128"/>
      <c r="ALL225" s="128"/>
      <c r="ALM225" s="128"/>
      <c r="ALN225" s="128"/>
      <c r="ALO225" s="128"/>
      <c r="ALP225" s="128"/>
      <c r="ALQ225" s="128"/>
      <c r="ALR225" s="128"/>
      <c r="ALS225" s="128"/>
      <c r="ALT225" s="128"/>
      <c r="ALU225" s="128"/>
      <c r="ALV225" s="128"/>
      <c r="ALW225" s="128"/>
      <c r="ALX225" s="128"/>
      <c r="ALY225" s="128"/>
      <c r="ALZ225" s="128"/>
      <c r="AMA225"/>
      <c r="AMB225"/>
      <c r="AMC225"/>
      <c r="AMD225"/>
    </row>
    <row r="226" spans="1:1018" ht="12" customHeight="1">
      <c r="A226" s="129"/>
      <c r="B226" s="129"/>
      <c r="C226" s="129"/>
      <c r="D226" s="129"/>
      <c r="E226" s="129"/>
      <c r="F226" s="129"/>
    </row>
    <row r="227" spans="1:1018" ht="12" customHeight="1">
      <c r="A227" s="129"/>
      <c r="B227" s="129"/>
      <c r="C227" s="129"/>
      <c r="D227" s="129"/>
      <c r="E227" s="129"/>
      <c r="F227" s="129"/>
    </row>
    <row r="228" spans="1:1018" ht="12" customHeight="1">
      <c r="A228" s="129"/>
      <c r="B228" s="129"/>
      <c r="C228" s="129"/>
      <c r="D228" s="129"/>
      <c r="E228" s="129"/>
      <c r="F228" s="129"/>
    </row>
    <row r="229" spans="1:1018"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77"/>
      <c r="U229" s="96"/>
      <c r="V229" s="96"/>
      <c r="W229" s="96"/>
      <c r="X229"/>
      <c r="Y229" s="179"/>
      <c r="Z229" s="96"/>
      <c r="AA229" s="161"/>
      <c r="AB229" s="96"/>
      <c r="AD229" s="96"/>
      <c r="AMB229"/>
    </row>
    <row r="230" spans="1:1018"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77"/>
      <c r="U230" s="96"/>
      <c r="V230" s="96"/>
      <c r="W230" s="96"/>
      <c r="X230"/>
      <c r="Y230" s="179"/>
      <c r="Z230" s="96"/>
      <c r="AA230" s="161"/>
      <c r="AB230" s="96"/>
      <c r="AD230" s="96"/>
      <c r="AMB230"/>
    </row>
    <row r="231" spans="1:1018" s="117" customFormat="1" ht="12" customHeight="1">
      <c r="A231" s="123"/>
      <c r="B231" s="123"/>
      <c r="C231" s="123"/>
      <c r="D231" s="123"/>
      <c r="E231" s="123"/>
      <c r="F231" s="123"/>
      <c r="G231" s="112"/>
      <c r="H231" s="112"/>
      <c r="I231" s="276"/>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8" s="117" customFormat="1" ht="12" customHeight="1">
      <c r="A232" s="123"/>
      <c r="B232" s="123"/>
      <c r="C232" s="123"/>
      <c r="D232" s="123"/>
      <c r="E232" s="123"/>
      <c r="F232" s="123"/>
      <c r="G232" s="112"/>
      <c r="H232" s="112"/>
      <c r="I232" s="276"/>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8" s="117" customFormat="1" ht="12" customHeight="1">
      <c r="A233" s="123"/>
      <c r="B233" s="123"/>
      <c r="C233" s="123"/>
      <c r="D233" s="123"/>
      <c r="E233" s="123"/>
      <c r="F233" s="123"/>
      <c r="G233" s="112"/>
      <c r="H233" s="112"/>
      <c r="I233" s="276"/>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8" s="117" customFormat="1" ht="12" customHeight="1">
      <c r="A234" s="123"/>
      <c r="B234" s="123"/>
      <c r="C234" s="123"/>
      <c r="D234" s="123"/>
      <c r="E234" s="123"/>
      <c r="F234" s="123"/>
      <c r="G234" s="112"/>
      <c r="H234" s="112"/>
      <c r="I234" s="276"/>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8" s="117" customFormat="1" ht="12" customHeight="1">
      <c r="A235" s="123"/>
      <c r="B235" s="123"/>
      <c r="C235" s="123"/>
      <c r="D235" s="123"/>
      <c r="E235" s="123"/>
      <c r="F235" s="123"/>
      <c r="G235" s="112"/>
      <c r="H235" s="112"/>
      <c r="I235" s="276"/>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8" ht="12" customHeight="1">
      <c r="A236" s="123"/>
      <c r="B236" s="123"/>
      <c r="C236" s="123"/>
      <c r="D236" s="123"/>
      <c r="E236" s="123"/>
      <c r="F236" s="123"/>
      <c r="G236" s="112"/>
      <c r="H236" s="112"/>
      <c r="I236" s="276"/>
      <c r="J236" s="112"/>
      <c r="K236" s="161"/>
      <c r="L236" s="112"/>
      <c r="M236" s="112"/>
      <c r="N236" s="112"/>
      <c r="O236" s="112"/>
      <c r="P236" s="190"/>
      <c r="Q236" s="112"/>
      <c r="R236" s="112"/>
      <c r="S236" s="112"/>
      <c r="T236" s="125"/>
      <c r="U236" s="112"/>
      <c r="V236" s="112"/>
      <c r="W236" s="112"/>
      <c r="Y236" s="180"/>
      <c r="Z236" s="112"/>
      <c r="AB236" s="112"/>
      <c r="AD236" s="112"/>
    </row>
    <row r="237" spans="1:1018" ht="12" customHeight="1">
      <c r="A237" s="123"/>
      <c r="B237" s="123"/>
      <c r="C237" s="123"/>
      <c r="D237" s="123"/>
      <c r="E237" s="123"/>
      <c r="F237" s="123"/>
      <c r="G237" s="112"/>
      <c r="H237" s="112"/>
      <c r="I237" s="276"/>
      <c r="J237" s="112"/>
      <c r="K237" s="161"/>
      <c r="L237" s="112"/>
      <c r="M237" s="112"/>
      <c r="N237" s="112"/>
      <c r="O237" s="112"/>
      <c r="P237" s="190"/>
      <c r="Q237" s="112"/>
      <c r="R237" s="112"/>
      <c r="S237" s="112"/>
      <c r="T237" s="125"/>
      <c r="U237" s="112"/>
      <c r="V237" s="112"/>
      <c r="W237" s="112"/>
      <c r="Y237" s="180"/>
      <c r="Z237" s="112"/>
      <c r="AB237" s="112"/>
      <c r="AD237" s="112"/>
    </row>
    <row r="238" spans="1:1018" ht="12" customHeight="1">
      <c r="A238" s="130"/>
      <c r="B238" s="130"/>
      <c r="C238" s="130"/>
      <c r="D238" s="130"/>
      <c r="E238" s="130"/>
      <c r="F238" s="130"/>
    </row>
    <row r="239" spans="1:1018" ht="12" customHeight="1">
      <c r="A239" s="130"/>
      <c r="B239" s="130"/>
      <c r="C239" s="130"/>
      <c r="D239" s="130"/>
      <c r="E239" s="130"/>
      <c r="F239" s="130"/>
    </row>
    <row r="240" spans="1:1018" ht="12" customHeight="1">
      <c r="A240" s="130"/>
      <c r="B240" s="130"/>
      <c r="C240" s="130"/>
      <c r="D240" s="130"/>
      <c r="E240" s="130"/>
      <c r="F240" s="130"/>
    </row>
    <row r="241" spans="1:1018" ht="12" customHeight="1">
      <c r="A241" s="136"/>
      <c r="B241" s="136"/>
      <c r="C241" s="136"/>
      <c r="D241" s="136"/>
      <c r="E241" s="136"/>
      <c r="F241" s="136"/>
    </row>
    <row r="242" spans="1:1018" s="96" customFormat="1" ht="12" customHeight="1">
      <c r="A242" s="136"/>
      <c r="B242" s="136"/>
      <c r="C242" s="136"/>
      <c r="D242" s="136"/>
      <c r="E242" s="136"/>
      <c r="F242" s="136"/>
      <c r="I242" s="225"/>
      <c r="K242" s="159"/>
      <c r="P242" s="173"/>
      <c r="T242" s="277"/>
      <c r="X242"/>
      <c r="Y242" s="179"/>
      <c r="AA242" s="159"/>
      <c r="AC242"/>
      <c r="AE242" s="128"/>
      <c r="AF242"/>
      <c r="AG242" s="128"/>
      <c r="AH242" s="128"/>
      <c r="AI242" s="128"/>
      <c r="AJ242" s="128"/>
      <c r="AK242" s="128"/>
      <c r="AL242" s="128"/>
      <c r="AM242" s="128"/>
      <c r="AN242" s="128"/>
      <c r="AO242" s="128"/>
      <c r="AP242" s="128"/>
      <c r="AQ242" s="128"/>
      <c r="AR242" s="128"/>
      <c r="AS242" s="128"/>
      <c r="AT242" s="128"/>
      <c r="AU242" s="128"/>
      <c r="AV242" s="128"/>
      <c r="AW242" s="128"/>
      <c r="AX242" s="128"/>
      <c r="AY242" s="128"/>
      <c r="AZ242" s="128"/>
      <c r="BA242" s="128"/>
      <c r="BB242" s="128"/>
      <c r="BC242" s="128"/>
      <c r="BD242" s="128"/>
      <c r="BE242" s="128"/>
      <c r="BF242" s="128"/>
      <c r="BG242" s="128"/>
      <c r="BH242" s="128"/>
      <c r="BI242" s="128"/>
      <c r="BJ242" s="128"/>
      <c r="BK242" s="128"/>
      <c r="BL242" s="128"/>
      <c r="BM242" s="128"/>
      <c r="BN242" s="128"/>
      <c r="BO242" s="128"/>
      <c r="BP242" s="128"/>
      <c r="BQ242" s="128"/>
      <c r="BR242" s="128"/>
      <c r="BS242" s="128"/>
      <c r="BT242" s="128"/>
      <c r="BU242" s="128"/>
      <c r="BV242" s="128"/>
      <c r="BW242" s="128"/>
      <c r="BX242" s="128"/>
      <c r="BY242" s="128"/>
      <c r="BZ242" s="128"/>
      <c r="CA242" s="128"/>
      <c r="CB242" s="128"/>
      <c r="CC242" s="128"/>
      <c r="CD242" s="128"/>
      <c r="CE242" s="128"/>
      <c r="CF242" s="128"/>
      <c r="CG242" s="128"/>
      <c r="CH242" s="128"/>
      <c r="CI242" s="128"/>
      <c r="CJ242" s="128"/>
      <c r="CK242" s="128"/>
      <c r="CL242" s="128"/>
      <c r="CM242" s="128"/>
      <c r="CN242" s="128"/>
      <c r="CO242" s="128"/>
      <c r="CP242" s="128"/>
      <c r="CQ242" s="128"/>
      <c r="CR242" s="128"/>
      <c r="CS242" s="128"/>
      <c r="CT242" s="128"/>
      <c r="CU242" s="128"/>
      <c r="CV242" s="128"/>
      <c r="CW242" s="128"/>
      <c r="CX242" s="128"/>
      <c r="CY242" s="128"/>
      <c r="CZ242" s="128"/>
      <c r="DA242" s="128"/>
      <c r="DB242" s="128"/>
      <c r="DC242" s="128"/>
      <c r="DD242" s="128"/>
      <c r="DE242" s="128"/>
      <c r="DF242" s="128"/>
      <c r="DG242" s="128"/>
      <c r="DH242" s="128"/>
      <c r="DI242" s="128"/>
      <c r="DJ242" s="128"/>
      <c r="DK242" s="128"/>
      <c r="DL242" s="128"/>
      <c r="DM242" s="128"/>
      <c r="DN242" s="128"/>
      <c r="DO242" s="128"/>
      <c r="DP242" s="128"/>
      <c r="DQ242" s="128"/>
      <c r="DR242" s="128"/>
      <c r="DS242" s="128"/>
      <c r="DT242" s="128"/>
      <c r="DU242" s="128"/>
      <c r="DV242" s="128"/>
      <c r="DW242" s="128"/>
      <c r="DX242" s="128"/>
      <c r="DY242" s="128"/>
      <c r="DZ242" s="128"/>
      <c r="EA242" s="128"/>
      <c r="EB242" s="128"/>
      <c r="EC242" s="128"/>
      <c r="ED242" s="128"/>
      <c r="EE242" s="128"/>
      <c r="EF242" s="128"/>
      <c r="EG242" s="128"/>
      <c r="EH242" s="128"/>
      <c r="EI242" s="128"/>
      <c r="EJ242" s="128"/>
      <c r="EK242" s="128"/>
      <c r="EL242" s="128"/>
      <c r="EM242" s="128"/>
      <c r="EN242" s="128"/>
      <c r="EO242" s="128"/>
      <c r="EP242" s="128"/>
      <c r="EQ242" s="128"/>
      <c r="ER242" s="128"/>
      <c r="ES242" s="128"/>
      <c r="ET242" s="128"/>
      <c r="EU242" s="128"/>
      <c r="EV242" s="128"/>
      <c r="EW242" s="128"/>
      <c r="EX242" s="128"/>
      <c r="EY242" s="128"/>
      <c r="EZ242" s="128"/>
      <c r="FA242" s="128"/>
      <c r="FB242" s="128"/>
      <c r="FC242" s="128"/>
      <c r="FD242" s="128"/>
      <c r="FE242" s="128"/>
      <c r="FF242" s="128"/>
      <c r="FG242" s="128"/>
      <c r="FH242" s="128"/>
      <c r="FI242" s="128"/>
      <c r="FJ242" s="128"/>
      <c r="FK242" s="128"/>
      <c r="FL242" s="128"/>
      <c r="FM242" s="128"/>
      <c r="FN242" s="128"/>
      <c r="FO242" s="128"/>
      <c r="FP242" s="128"/>
      <c r="FQ242" s="128"/>
      <c r="FR242" s="128"/>
      <c r="FS242" s="128"/>
      <c r="FT242" s="128"/>
      <c r="FU242" s="128"/>
      <c r="FV242" s="128"/>
      <c r="FW242" s="128"/>
      <c r="FX242" s="128"/>
      <c r="FY242" s="128"/>
      <c r="FZ242" s="128"/>
      <c r="GA242" s="128"/>
      <c r="GB242" s="128"/>
      <c r="GC242" s="128"/>
      <c r="GD242" s="128"/>
      <c r="GE242" s="128"/>
      <c r="GF242" s="128"/>
      <c r="GG242" s="128"/>
      <c r="GH242" s="128"/>
      <c r="GI242" s="128"/>
      <c r="GJ242" s="128"/>
      <c r="GK242" s="128"/>
      <c r="GL242" s="128"/>
      <c r="GM242" s="128"/>
      <c r="GN242" s="128"/>
      <c r="GO242" s="128"/>
      <c r="GP242" s="128"/>
      <c r="GQ242" s="128"/>
      <c r="GR242" s="128"/>
      <c r="GS242" s="128"/>
      <c r="GT242" s="128"/>
      <c r="GU242" s="128"/>
      <c r="GV242" s="128"/>
      <c r="GW242" s="128"/>
      <c r="GX242" s="128"/>
      <c r="GY242" s="128"/>
      <c r="GZ242" s="128"/>
      <c r="HA242" s="128"/>
      <c r="HB242" s="128"/>
      <c r="HC242" s="128"/>
      <c r="HD242" s="128"/>
      <c r="HE242" s="128"/>
      <c r="HF242" s="128"/>
      <c r="HG242" s="128"/>
      <c r="HH242" s="128"/>
      <c r="HI242" s="128"/>
      <c r="HJ242" s="128"/>
      <c r="HK242" s="128"/>
      <c r="HL242" s="128"/>
      <c r="HM242" s="128"/>
      <c r="HN242" s="128"/>
      <c r="HO242" s="128"/>
      <c r="HP242" s="128"/>
      <c r="HQ242" s="128"/>
      <c r="HR242" s="128"/>
      <c r="HS242" s="128"/>
      <c r="HT242" s="128"/>
      <c r="HU242" s="128"/>
      <c r="HV242" s="128"/>
      <c r="HW242" s="128"/>
      <c r="HX242" s="128"/>
      <c r="HY242" s="128"/>
      <c r="HZ242" s="128"/>
      <c r="IA242" s="128"/>
      <c r="IB242" s="128"/>
      <c r="IC242" s="128"/>
      <c r="ID242" s="128"/>
      <c r="IE242" s="128"/>
      <c r="IF242" s="128"/>
      <c r="IG242" s="128"/>
      <c r="IH242" s="128"/>
      <c r="II242" s="128"/>
      <c r="IJ242" s="128"/>
      <c r="IK242" s="128"/>
      <c r="IL242" s="128"/>
      <c r="IM242" s="128"/>
      <c r="IN242" s="128"/>
      <c r="IO242" s="128"/>
      <c r="IP242" s="128"/>
      <c r="IQ242" s="128"/>
      <c r="IR242" s="128"/>
      <c r="IS242" s="128"/>
      <c r="IT242" s="128"/>
      <c r="IU242" s="128"/>
      <c r="IV242" s="128"/>
      <c r="IW242" s="128"/>
      <c r="IX242" s="128"/>
      <c r="IY242" s="128"/>
      <c r="IZ242" s="128"/>
      <c r="JA242" s="128"/>
      <c r="JB242" s="128"/>
      <c r="JC242" s="128"/>
      <c r="JD242" s="128"/>
      <c r="JE242" s="128"/>
      <c r="JF242" s="128"/>
      <c r="JG242" s="128"/>
      <c r="JH242" s="128"/>
      <c r="JI242" s="128"/>
      <c r="JJ242" s="128"/>
      <c r="JK242" s="128"/>
      <c r="JL242" s="128"/>
      <c r="JM242" s="128"/>
      <c r="JN242" s="128"/>
      <c r="JO242" s="128"/>
      <c r="JP242" s="128"/>
      <c r="JQ242" s="128"/>
      <c r="JR242" s="128"/>
      <c r="JS242" s="128"/>
      <c r="JT242" s="128"/>
      <c r="JU242" s="128"/>
      <c r="JV242" s="128"/>
      <c r="JW242" s="128"/>
      <c r="JX242" s="128"/>
      <c r="JY242" s="128"/>
      <c r="JZ242" s="128"/>
      <c r="KA242" s="128"/>
      <c r="KB242" s="128"/>
      <c r="KC242" s="128"/>
      <c r="KD242" s="128"/>
      <c r="KE242" s="128"/>
      <c r="KF242" s="128"/>
      <c r="KG242" s="128"/>
      <c r="KH242" s="128"/>
      <c r="KI242" s="128"/>
      <c r="KJ242" s="128"/>
      <c r="KK242" s="128"/>
      <c r="KL242" s="128"/>
      <c r="KM242" s="128"/>
      <c r="KN242" s="128"/>
      <c r="KO242" s="128"/>
      <c r="KP242" s="128"/>
      <c r="KQ242" s="128"/>
      <c r="KR242" s="128"/>
      <c r="KS242" s="128"/>
      <c r="KT242" s="128"/>
      <c r="KU242" s="128"/>
      <c r="KV242" s="128"/>
      <c r="KW242" s="128"/>
      <c r="KX242" s="128"/>
      <c r="KY242" s="128"/>
      <c r="KZ242" s="128"/>
      <c r="LA242" s="128"/>
      <c r="LB242" s="128"/>
      <c r="LC242" s="128"/>
      <c r="LD242" s="128"/>
      <c r="LE242" s="128"/>
      <c r="LF242" s="128"/>
      <c r="LG242" s="128"/>
      <c r="LH242" s="128"/>
      <c r="LI242" s="128"/>
      <c r="LJ242" s="128"/>
      <c r="LK242" s="128"/>
      <c r="LL242" s="128"/>
      <c r="LM242" s="128"/>
      <c r="LN242" s="128"/>
      <c r="LO242" s="128"/>
      <c r="LP242" s="128"/>
      <c r="LQ242" s="128"/>
      <c r="LR242" s="128"/>
      <c r="LS242" s="128"/>
      <c r="LT242" s="128"/>
      <c r="LU242" s="128"/>
      <c r="LV242" s="128"/>
      <c r="LW242" s="128"/>
      <c r="LX242" s="128"/>
      <c r="LY242" s="128"/>
      <c r="LZ242" s="128"/>
      <c r="MA242" s="128"/>
      <c r="MB242" s="128"/>
      <c r="MC242" s="128"/>
      <c r="MD242" s="128"/>
      <c r="ME242" s="128"/>
      <c r="MF242" s="128"/>
      <c r="MG242" s="128"/>
      <c r="MH242" s="128"/>
      <c r="MI242" s="128"/>
      <c r="MJ242" s="128"/>
      <c r="MK242" s="128"/>
      <c r="ML242" s="128"/>
      <c r="MM242" s="128"/>
      <c r="MN242" s="128"/>
      <c r="MO242" s="128"/>
      <c r="MP242" s="128"/>
      <c r="MQ242" s="128"/>
      <c r="MR242" s="128"/>
      <c r="MS242" s="128"/>
      <c r="MT242" s="128"/>
      <c r="MU242" s="128"/>
      <c r="MV242" s="128"/>
      <c r="MW242" s="128"/>
      <c r="MX242" s="128"/>
      <c r="MY242" s="128"/>
      <c r="MZ242" s="128"/>
      <c r="NA242" s="128"/>
      <c r="NB242" s="128"/>
      <c r="NC242" s="128"/>
      <c r="ND242" s="128"/>
      <c r="NE242" s="128"/>
      <c r="NF242" s="128"/>
      <c r="NG242" s="128"/>
      <c r="NH242" s="128"/>
      <c r="NI242" s="128"/>
      <c r="NJ242" s="128"/>
      <c r="NK242" s="128"/>
      <c r="NL242" s="128"/>
      <c r="NM242" s="128"/>
      <c r="NN242" s="128"/>
      <c r="NO242" s="128"/>
      <c r="NP242" s="128"/>
      <c r="NQ242" s="128"/>
      <c r="NR242" s="128"/>
      <c r="NS242" s="128"/>
      <c r="NT242" s="128"/>
      <c r="NU242" s="128"/>
      <c r="NV242" s="128"/>
      <c r="NW242" s="128"/>
      <c r="NX242" s="128"/>
      <c r="NY242" s="128"/>
      <c r="NZ242" s="128"/>
      <c r="OA242" s="128"/>
      <c r="OB242" s="128"/>
      <c r="OC242" s="128"/>
      <c r="OD242" s="128"/>
      <c r="OE242" s="128"/>
      <c r="OF242" s="128"/>
      <c r="OG242" s="128"/>
      <c r="OH242" s="128"/>
      <c r="OI242" s="128"/>
      <c r="OJ242" s="128"/>
      <c r="OK242" s="128"/>
      <c r="OL242" s="128"/>
      <c r="OM242" s="128"/>
      <c r="ON242" s="128"/>
      <c r="OO242" s="128"/>
      <c r="OP242" s="128"/>
      <c r="OQ242" s="128"/>
      <c r="OR242" s="128"/>
      <c r="OS242" s="128"/>
      <c r="OT242" s="128"/>
      <c r="OU242" s="128"/>
      <c r="OV242" s="128"/>
      <c r="OW242" s="128"/>
      <c r="OX242" s="128"/>
      <c r="OY242" s="128"/>
      <c r="OZ242" s="128"/>
      <c r="PA242" s="128"/>
      <c r="PB242" s="128"/>
      <c r="PC242" s="128"/>
      <c r="PD242" s="128"/>
      <c r="PE242" s="128"/>
      <c r="PF242" s="128"/>
      <c r="PG242" s="128"/>
      <c r="PH242" s="128"/>
      <c r="PI242" s="128"/>
      <c r="PJ242" s="128"/>
      <c r="PK242" s="128"/>
      <c r="PL242" s="128"/>
      <c r="PM242" s="128"/>
      <c r="PN242" s="128"/>
      <c r="PO242" s="128"/>
      <c r="PP242" s="128"/>
      <c r="PQ242" s="128"/>
      <c r="PR242" s="128"/>
      <c r="PS242" s="128"/>
      <c r="PT242" s="128"/>
      <c r="PU242" s="128"/>
      <c r="PV242" s="128"/>
      <c r="PW242" s="128"/>
      <c r="PX242" s="128"/>
      <c r="PY242" s="128"/>
      <c r="PZ242" s="128"/>
      <c r="QA242" s="128"/>
      <c r="QB242" s="128"/>
      <c r="QC242" s="128"/>
      <c r="QD242" s="128"/>
      <c r="QE242" s="128"/>
      <c r="QF242" s="128"/>
      <c r="QG242" s="128"/>
      <c r="QH242" s="128"/>
      <c r="QI242" s="128"/>
      <c r="QJ242" s="128"/>
      <c r="QK242" s="128"/>
      <c r="QL242" s="128"/>
      <c r="QM242" s="128"/>
      <c r="QN242" s="128"/>
      <c r="QO242" s="128"/>
      <c r="QP242" s="128"/>
      <c r="QQ242" s="128"/>
      <c r="QR242" s="128"/>
      <c r="QS242" s="128"/>
      <c r="QT242" s="128"/>
      <c r="QU242" s="128"/>
      <c r="QV242" s="128"/>
      <c r="QW242" s="128"/>
      <c r="QX242" s="128"/>
      <c r="QY242" s="128"/>
      <c r="QZ242" s="128"/>
      <c r="RA242" s="128"/>
      <c r="RB242" s="128"/>
      <c r="RC242" s="128"/>
      <c r="RD242" s="128"/>
      <c r="RE242" s="128"/>
      <c r="RF242" s="128"/>
      <c r="RG242" s="128"/>
      <c r="RH242" s="128"/>
      <c r="RI242" s="128"/>
      <c r="RJ242" s="128"/>
      <c r="RK242" s="128"/>
      <c r="RL242" s="128"/>
      <c r="RM242" s="128"/>
      <c r="RN242" s="128"/>
      <c r="RO242" s="128"/>
      <c r="RP242" s="128"/>
      <c r="RQ242" s="128"/>
      <c r="RR242" s="128"/>
      <c r="RS242" s="128"/>
      <c r="RT242" s="128"/>
      <c r="RU242" s="128"/>
      <c r="RV242" s="128"/>
      <c r="RW242" s="128"/>
      <c r="RX242" s="128"/>
      <c r="RY242" s="128"/>
      <c r="RZ242" s="128"/>
      <c r="SA242" s="128"/>
      <c r="SB242" s="128"/>
      <c r="SC242" s="128"/>
      <c r="SD242" s="128"/>
      <c r="SE242" s="128"/>
      <c r="SF242" s="128"/>
      <c r="SG242" s="128"/>
      <c r="SH242" s="128"/>
      <c r="SI242" s="128"/>
      <c r="SJ242" s="128"/>
      <c r="SK242" s="128"/>
      <c r="SL242" s="128"/>
      <c r="SM242" s="128"/>
      <c r="SN242" s="128"/>
      <c r="SO242" s="128"/>
      <c r="SP242" s="128"/>
      <c r="SQ242" s="128"/>
      <c r="SR242" s="128"/>
      <c r="SS242" s="128"/>
      <c r="ST242" s="128"/>
      <c r="SU242" s="128"/>
      <c r="SV242" s="128"/>
      <c r="SW242" s="128"/>
      <c r="SX242" s="128"/>
      <c r="SY242" s="128"/>
      <c r="SZ242" s="128"/>
      <c r="TA242" s="128"/>
      <c r="TB242" s="128"/>
      <c r="TC242" s="128"/>
      <c r="TD242" s="128"/>
      <c r="TE242" s="128"/>
      <c r="TF242" s="128"/>
      <c r="TG242" s="128"/>
      <c r="TH242" s="128"/>
      <c r="TI242" s="128"/>
      <c r="TJ242" s="128"/>
      <c r="TK242" s="128"/>
      <c r="TL242" s="128"/>
      <c r="TM242" s="128"/>
      <c r="TN242" s="128"/>
      <c r="TO242" s="128"/>
      <c r="TP242" s="128"/>
      <c r="TQ242" s="128"/>
      <c r="TR242" s="128"/>
      <c r="TS242" s="128"/>
      <c r="TT242" s="128"/>
      <c r="TU242" s="128"/>
      <c r="TV242" s="128"/>
      <c r="TW242" s="128"/>
      <c r="TX242" s="128"/>
      <c r="TY242" s="128"/>
      <c r="TZ242" s="128"/>
      <c r="UA242" s="128"/>
      <c r="UB242" s="128"/>
      <c r="UC242" s="128"/>
      <c r="UD242" s="128"/>
      <c r="UE242" s="128"/>
      <c r="UF242" s="128"/>
      <c r="UG242" s="128"/>
      <c r="UH242" s="128"/>
      <c r="UI242" s="128"/>
      <c r="UJ242" s="128"/>
      <c r="UK242" s="128"/>
      <c r="UL242" s="128"/>
      <c r="UM242" s="128"/>
      <c r="UN242" s="128"/>
      <c r="UO242" s="128"/>
      <c r="UP242" s="128"/>
      <c r="UQ242" s="128"/>
      <c r="UR242" s="128"/>
      <c r="US242" s="128"/>
      <c r="UT242" s="128"/>
      <c r="UU242" s="128"/>
      <c r="UV242" s="128"/>
      <c r="UW242" s="128"/>
      <c r="UX242" s="128"/>
      <c r="UY242" s="128"/>
      <c r="UZ242" s="128"/>
      <c r="VA242" s="128"/>
      <c r="VB242" s="128"/>
      <c r="VC242" s="128"/>
      <c r="VD242" s="128"/>
      <c r="VE242" s="128"/>
      <c r="VF242" s="128"/>
      <c r="VG242" s="128"/>
      <c r="VH242" s="128"/>
      <c r="VI242" s="128"/>
      <c r="VJ242" s="128"/>
      <c r="VK242" s="128"/>
      <c r="VL242" s="128"/>
      <c r="VM242" s="128"/>
      <c r="VN242" s="128"/>
      <c r="VO242" s="128"/>
      <c r="VP242" s="128"/>
      <c r="VQ242" s="128"/>
      <c r="VR242" s="128"/>
      <c r="VS242" s="128"/>
      <c r="VT242" s="128"/>
      <c r="VU242" s="128"/>
      <c r="VV242" s="128"/>
      <c r="VW242" s="128"/>
      <c r="VX242" s="128"/>
      <c r="VY242" s="128"/>
      <c r="VZ242" s="128"/>
      <c r="WA242" s="128"/>
      <c r="WB242" s="128"/>
      <c r="WC242" s="128"/>
      <c r="WD242" s="128"/>
      <c r="WE242" s="128"/>
      <c r="WF242" s="128"/>
      <c r="WG242" s="128"/>
      <c r="WH242" s="128"/>
      <c r="WI242" s="128"/>
      <c r="WJ242" s="128"/>
      <c r="WK242" s="128"/>
      <c r="WL242" s="128"/>
      <c r="WM242" s="128"/>
      <c r="WN242" s="128"/>
      <c r="WO242" s="128"/>
      <c r="WP242" s="128"/>
      <c r="WQ242" s="128"/>
      <c r="WR242" s="128"/>
      <c r="WS242" s="128"/>
      <c r="WT242" s="128"/>
      <c r="WU242" s="128"/>
      <c r="WV242" s="128"/>
      <c r="WW242" s="128"/>
      <c r="WX242" s="128"/>
      <c r="WY242" s="128"/>
      <c r="WZ242" s="128"/>
      <c r="XA242" s="128"/>
      <c r="XB242" s="128"/>
      <c r="XC242" s="128"/>
      <c r="XD242" s="128"/>
      <c r="XE242" s="128"/>
      <c r="XF242" s="128"/>
      <c r="XG242" s="128"/>
      <c r="XH242" s="128"/>
      <c r="XI242" s="128"/>
      <c r="XJ242" s="128"/>
      <c r="XK242" s="128"/>
      <c r="XL242" s="128"/>
      <c r="XM242" s="128"/>
      <c r="XN242" s="128"/>
      <c r="XO242" s="128"/>
      <c r="XP242" s="128"/>
      <c r="XQ242" s="128"/>
      <c r="XR242" s="128"/>
      <c r="XS242" s="128"/>
      <c r="XT242" s="128"/>
      <c r="XU242" s="128"/>
      <c r="XV242" s="128"/>
      <c r="XW242" s="128"/>
      <c r="XX242" s="128"/>
      <c r="XY242" s="128"/>
      <c r="XZ242" s="128"/>
      <c r="YA242" s="128"/>
      <c r="YB242" s="128"/>
      <c r="YC242" s="128"/>
      <c r="YD242" s="128"/>
      <c r="YE242" s="128"/>
      <c r="YF242" s="128"/>
      <c r="YG242" s="128"/>
      <c r="YH242" s="128"/>
      <c r="YI242" s="128"/>
      <c r="YJ242" s="128"/>
      <c r="YK242" s="128"/>
      <c r="YL242" s="128"/>
      <c r="YM242" s="128"/>
      <c r="YN242" s="128"/>
      <c r="YO242" s="128"/>
      <c r="YP242" s="128"/>
      <c r="YQ242" s="128"/>
      <c r="YR242" s="128"/>
      <c r="YS242" s="128"/>
      <c r="YT242" s="128"/>
      <c r="YU242" s="128"/>
      <c r="YV242" s="128"/>
      <c r="YW242" s="128"/>
      <c r="YX242" s="128"/>
      <c r="YY242" s="128"/>
      <c r="YZ242" s="128"/>
      <c r="ZA242" s="128"/>
      <c r="ZB242" s="128"/>
      <c r="ZC242" s="128"/>
      <c r="ZD242" s="128"/>
      <c r="ZE242" s="128"/>
      <c r="ZF242" s="128"/>
      <c r="ZG242" s="128"/>
      <c r="ZH242" s="128"/>
      <c r="ZI242" s="128"/>
      <c r="ZJ242" s="128"/>
      <c r="ZK242" s="128"/>
      <c r="ZL242" s="128"/>
      <c r="ZM242" s="128"/>
      <c r="ZN242" s="128"/>
      <c r="ZO242" s="128"/>
      <c r="ZP242" s="128"/>
      <c r="ZQ242" s="128"/>
      <c r="ZR242" s="128"/>
      <c r="ZS242" s="128"/>
      <c r="ZT242" s="128"/>
      <c r="ZU242" s="128"/>
      <c r="ZV242" s="128"/>
      <c r="ZW242" s="128"/>
      <c r="ZX242" s="128"/>
      <c r="ZY242" s="128"/>
      <c r="ZZ242" s="128"/>
      <c r="AAA242" s="128"/>
      <c r="AAB242" s="128"/>
      <c r="AAC242" s="128"/>
      <c r="AAD242" s="128"/>
      <c r="AAE242" s="128"/>
      <c r="AAF242" s="128"/>
      <c r="AAG242" s="128"/>
      <c r="AAH242" s="128"/>
      <c r="AAI242" s="128"/>
      <c r="AAJ242" s="128"/>
      <c r="AAK242" s="128"/>
      <c r="AAL242" s="128"/>
      <c r="AAM242" s="128"/>
      <c r="AAN242" s="128"/>
      <c r="AAO242" s="128"/>
      <c r="AAP242" s="128"/>
      <c r="AAQ242" s="128"/>
      <c r="AAR242" s="128"/>
      <c r="AAS242" s="128"/>
      <c r="AAT242" s="128"/>
      <c r="AAU242" s="128"/>
      <c r="AAV242" s="128"/>
      <c r="AAW242" s="128"/>
      <c r="AAX242" s="128"/>
      <c r="AAY242" s="128"/>
      <c r="AAZ242" s="128"/>
      <c r="ABA242" s="128"/>
      <c r="ABB242" s="128"/>
      <c r="ABC242" s="128"/>
      <c r="ABD242" s="128"/>
      <c r="ABE242" s="128"/>
      <c r="ABF242" s="128"/>
      <c r="ABG242" s="128"/>
      <c r="ABH242" s="128"/>
      <c r="ABI242" s="128"/>
      <c r="ABJ242" s="128"/>
      <c r="ABK242" s="128"/>
      <c r="ABL242" s="128"/>
      <c r="ABM242" s="128"/>
      <c r="ABN242" s="128"/>
      <c r="ABO242" s="128"/>
      <c r="ABP242" s="128"/>
      <c r="ABQ242" s="128"/>
      <c r="ABR242" s="128"/>
      <c r="ABS242" s="128"/>
      <c r="ABT242" s="128"/>
      <c r="ABU242" s="128"/>
      <c r="ABV242" s="128"/>
      <c r="ABW242" s="128"/>
      <c r="ABX242" s="128"/>
      <c r="ABY242" s="128"/>
      <c r="ABZ242" s="128"/>
      <c r="ACA242" s="128"/>
      <c r="ACB242" s="128"/>
      <c r="ACC242" s="128"/>
      <c r="ACD242" s="128"/>
      <c r="ACE242" s="128"/>
      <c r="ACF242" s="128"/>
      <c r="ACG242" s="128"/>
      <c r="ACH242" s="128"/>
      <c r="ACI242" s="128"/>
      <c r="ACJ242" s="128"/>
      <c r="ACK242" s="128"/>
      <c r="ACL242" s="128"/>
      <c r="ACM242" s="128"/>
      <c r="ACN242" s="128"/>
      <c r="ACO242" s="128"/>
      <c r="ACP242" s="128"/>
      <c r="ACQ242" s="128"/>
      <c r="ACR242" s="128"/>
      <c r="ACS242" s="128"/>
      <c r="ACT242" s="128"/>
      <c r="ACU242" s="128"/>
      <c r="ACV242" s="128"/>
      <c r="ACW242" s="128"/>
      <c r="ACX242" s="128"/>
      <c r="ACY242" s="128"/>
      <c r="ACZ242" s="128"/>
      <c r="ADA242" s="128"/>
      <c r="ADB242" s="128"/>
      <c r="ADC242" s="128"/>
      <c r="ADD242" s="128"/>
      <c r="ADE242" s="128"/>
      <c r="ADF242" s="128"/>
      <c r="ADG242" s="128"/>
      <c r="ADH242" s="128"/>
      <c r="ADI242" s="128"/>
      <c r="ADJ242" s="128"/>
      <c r="ADK242" s="128"/>
      <c r="ADL242" s="128"/>
      <c r="ADM242" s="128"/>
      <c r="ADN242" s="128"/>
      <c r="ADO242" s="128"/>
      <c r="ADP242" s="128"/>
      <c r="ADQ242" s="128"/>
      <c r="ADR242" s="128"/>
      <c r="ADS242" s="128"/>
      <c r="ADT242" s="128"/>
      <c r="ADU242" s="128"/>
      <c r="ADV242" s="128"/>
      <c r="ADW242" s="128"/>
      <c r="ADX242" s="128"/>
      <c r="ADY242" s="128"/>
      <c r="ADZ242" s="128"/>
      <c r="AEA242" s="128"/>
      <c r="AEB242" s="128"/>
      <c r="AEC242" s="128"/>
      <c r="AED242" s="128"/>
      <c r="AEE242" s="128"/>
      <c r="AEF242" s="128"/>
      <c r="AEG242" s="128"/>
      <c r="AEH242" s="128"/>
      <c r="AEI242" s="128"/>
      <c r="AEJ242" s="128"/>
      <c r="AEK242" s="128"/>
      <c r="AEL242" s="128"/>
      <c r="AEM242" s="128"/>
      <c r="AEN242" s="128"/>
      <c r="AEO242" s="128"/>
      <c r="AEP242" s="128"/>
      <c r="AEQ242" s="128"/>
      <c r="AER242" s="128"/>
      <c r="AES242" s="128"/>
      <c r="AET242" s="128"/>
      <c r="AEU242" s="128"/>
      <c r="AEV242" s="128"/>
      <c r="AEW242" s="128"/>
      <c r="AEX242" s="128"/>
      <c r="AEY242" s="128"/>
      <c r="AEZ242" s="128"/>
      <c r="AFA242" s="128"/>
      <c r="AFB242" s="128"/>
      <c r="AFC242" s="128"/>
      <c r="AFD242" s="128"/>
      <c r="AFE242" s="128"/>
      <c r="AFF242" s="128"/>
      <c r="AFG242" s="128"/>
      <c r="AFH242" s="128"/>
      <c r="AFI242" s="128"/>
      <c r="AFJ242" s="128"/>
      <c r="AFK242" s="128"/>
      <c r="AFL242" s="128"/>
      <c r="AFM242" s="128"/>
      <c r="AFN242" s="128"/>
      <c r="AFO242" s="128"/>
      <c r="AFP242" s="128"/>
      <c r="AFQ242" s="128"/>
      <c r="AFR242" s="128"/>
      <c r="AFS242" s="128"/>
      <c r="AFT242" s="128"/>
      <c r="AFU242" s="128"/>
      <c r="AFV242" s="128"/>
      <c r="AFW242" s="128"/>
      <c r="AFX242" s="128"/>
      <c r="AFY242" s="128"/>
      <c r="AFZ242" s="128"/>
      <c r="AGA242" s="128"/>
      <c r="AGB242" s="128"/>
      <c r="AGC242" s="128"/>
      <c r="AGD242" s="128"/>
      <c r="AGE242" s="128"/>
      <c r="AGF242" s="128"/>
      <c r="AGG242" s="128"/>
      <c r="AGH242" s="128"/>
      <c r="AGI242" s="128"/>
      <c r="AGJ242" s="128"/>
      <c r="AGK242" s="128"/>
      <c r="AGL242" s="128"/>
      <c r="AGM242" s="128"/>
      <c r="AGN242" s="128"/>
      <c r="AGO242" s="128"/>
      <c r="AGP242" s="128"/>
      <c r="AGQ242" s="128"/>
      <c r="AGR242" s="128"/>
      <c r="AGS242" s="128"/>
      <c r="AGT242" s="128"/>
      <c r="AGU242" s="128"/>
      <c r="AGV242" s="128"/>
      <c r="AGW242" s="128"/>
      <c r="AGX242" s="128"/>
      <c r="AGY242" s="128"/>
      <c r="AGZ242" s="128"/>
      <c r="AHA242" s="128"/>
      <c r="AHB242" s="128"/>
      <c r="AHC242" s="128"/>
      <c r="AHD242" s="128"/>
      <c r="AHE242" s="128"/>
      <c r="AHF242" s="128"/>
      <c r="AHG242" s="128"/>
      <c r="AHH242" s="128"/>
      <c r="AHI242" s="128"/>
      <c r="AHJ242" s="128"/>
      <c r="AHK242" s="128"/>
      <c r="AHL242" s="128"/>
      <c r="AHM242" s="128"/>
      <c r="AHN242" s="128"/>
      <c r="AHO242" s="128"/>
      <c r="AHP242" s="128"/>
      <c r="AHQ242" s="128"/>
      <c r="AHR242" s="128"/>
      <c r="AHS242" s="128"/>
      <c r="AHT242" s="128"/>
      <c r="AHU242" s="128"/>
      <c r="AHV242" s="128"/>
      <c r="AHW242" s="128"/>
      <c r="AHX242" s="128"/>
      <c r="AHY242" s="128"/>
      <c r="AHZ242" s="128"/>
      <c r="AIA242" s="128"/>
      <c r="AIB242" s="128"/>
      <c r="AIC242" s="128"/>
      <c r="AID242" s="128"/>
      <c r="AIE242" s="128"/>
      <c r="AIF242" s="128"/>
      <c r="AIG242" s="128"/>
      <c r="AIH242" s="128"/>
      <c r="AII242" s="128"/>
      <c r="AIJ242" s="128"/>
      <c r="AIK242" s="128"/>
      <c r="AIL242" s="128"/>
      <c r="AIM242" s="128"/>
      <c r="AIN242" s="128"/>
      <c r="AIO242" s="128"/>
      <c r="AIP242" s="128"/>
      <c r="AIQ242" s="128"/>
      <c r="AIR242" s="128"/>
      <c r="AIS242" s="128"/>
      <c r="AIT242" s="128"/>
      <c r="AIU242" s="128"/>
      <c r="AIV242" s="128"/>
      <c r="AIW242" s="128"/>
      <c r="AIX242" s="128"/>
      <c r="AIY242" s="128"/>
      <c r="AIZ242" s="128"/>
      <c r="AJA242" s="128"/>
      <c r="AJB242" s="128"/>
      <c r="AJC242" s="128"/>
      <c r="AJD242" s="128"/>
      <c r="AJE242" s="128"/>
      <c r="AJF242" s="128"/>
      <c r="AJG242" s="128"/>
      <c r="AJH242" s="128"/>
      <c r="AJI242" s="128"/>
      <c r="AJJ242" s="128"/>
      <c r="AJK242" s="128"/>
      <c r="AJL242" s="128"/>
      <c r="AJM242" s="128"/>
      <c r="AJN242" s="128"/>
      <c r="AJO242" s="128"/>
      <c r="AJP242" s="128"/>
      <c r="AJQ242" s="128"/>
      <c r="AJR242" s="128"/>
      <c r="AJS242" s="128"/>
      <c r="AJT242" s="128"/>
      <c r="AJU242" s="128"/>
      <c r="AJV242" s="128"/>
      <c r="AJW242" s="128"/>
      <c r="AJX242" s="128"/>
      <c r="AJY242" s="128"/>
      <c r="AJZ242" s="128"/>
      <c r="AKA242" s="128"/>
      <c r="AKB242" s="128"/>
      <c r="AKC242" s="128"/>
      <c r="AKD242" s="128"/>
      <c r="AKE242" s="128"/>
      <c r="AKF242" s="128"/>
      <c r="AKG242" s="128"/>
      <c r="AKH242" s="128"/>
      <c r="AKI242" s="128"/>
      <c r="AKJ242" s="128"/>
      <c r="AKK242" s="128"/>
      <c r="AKL242" s="128"/>
      <c r="AKM242" s="128"/>
      <c r="AKN242" s="128"/>
      <c r="AKO242" s="128"/>
      <c r="AKP242" s="128"/>
      <c r="AKQ242" s="128"/>
      <c r="AKR242" s="128"/>
      <c r="AKS242" s="128"/>
      <c r="AKT242" s="128"/>
      <c r="AKU242" s="128"/>
      <c r="AKV242" s="128"/>
      <c r="AKW242" s="128"/>
      <c r="AKX242" s="128"/>
      <c r="AKY242" s="128"/>
      <c r="AKZ242" s="128"/>
      <c r="ALA242" s="128"/>
      <c r="ALB242" s="128"/>
      <c r="ALC242" s="128"/>
      <c r="ALD242" s="128"/>
      <c r="ALE242" s="128"/>
      <c r="ALF242" s="128"/>
      <c r="ALG242" s="128"/>
      <c r="ALH242" s="128"/>
      <c r="ALI242" s="128"/>
      <c r="ALJ242" s="128"/>
      <c r="ALK242" s="128"/>
      <c r="ALL242" s="128"/>
      <c r="ALM242" s="128"/>
      <c r="ALN242" s="128"/>
      <c r="ALO242" s="128"/>
      <c r="ALP242" s="128"/>
      <c r="ALQ242" s="128"/>
      <c r="ALR242" s="128"/>
      <c r="ALS242" s="128"/>
      <c r="ALT242" s="128"/>
      <c r="ALU242" s="128"/>
      <c r="ALV242" s="128"/>
      <c r="ALW242" s="128"/>
      <c r="ALX242" s="128"/>
      <c r="ALY242" s="128"/>
      <c r="ALZ242" s="128"/>
      <c r="AMA242"/>
      <c r="AMB242"/>
      <c r="AMC242"/>
      <c r="AMD242"/>
    </row>
  </sheetData>
  <mergeCells count="5">
    <mergeCell ref="H1:J2"/>
    <mergeCell ref="O1:P1"/>
    <mergeCell ref="L7:O7"/>
    <mergeCell ref="AC7:AD7"/>
    <mergeCell ref="V9:W10"/>
  </mergeCells>
  <conditionalFormatting sqref="A13:A165 B32:G41 B42:B43 D42:D43 F42:G43 B105:G128 E129:G132 B129:C139 F133:G134 E135:G139 D154:G154 B155:G165 A166:G166 D167:G167 B167:C172 A167:A191 D168:D172 F168:G172 B173:G191 B44:G90 B92:G103">
    <cfRule type="expression" dxfId="1691" priority="266">
      <formula>$AC13=1</formula>
    </cfRule>
  </conditionalFormatting>
  <conditionalFormatting sqref="A193:F194 A214:F1054">
    <cfRule type="expression" dxfId="1690" priority="259">
      <formula>OR($AD193="X",$AB193="X")</formula>
    </cfRule>
    <cfRule type="expression" dxfId="1689" priority="260">
      <formula>AND($AD193=1,$AB193=1)</formula>
    </cfRule>
    <cfRule type="expression" dxfId="1688" priority="261">
      <formula>$AD193=1</formula>
    </cfRule>
    <cfRule type="expression" dxfId="1687" priority="262">
      <formula>$AB193=1</formula>
    </cfRule>
  </conditionalFormatting>
  <conditionalFormatting sqref="A12:G12">
    <cfRule type="expression" dxfId="1686" priority="48">
      <formula>OR($AD12="X",$AC12="X")</formula>
    </cfRule>
    <cfRule type="expression" dxfId="1685" priority="49">
      <formula>AND($AD12=1,$AC12=1)</formula>
    </cfRule>
    <cfRule type="expression" dxfId="1684" priority="50">
      <formula>$AD12=1</formula>
    </cfRule>
    <cfRule type="expression" dxfId="1683" priority="51">
      <formula>$AC12=1</formula>
    </cfRule>
    <cfRule type="expression" dxfId="1682" priority="52">
      <formula>AND(NOT(ISBLANK($W12)),ISBLANK($AC12),ISBLANK($AD12))</formula>
    </cfRule>
  </conditionalFormatting>
  <conditionalFormatting sqref="A13:G24 B25:G30 A25:A165 B31:C31 E31:G31 B32:G40 D41:D43 B42:B43 F42:G43 E128:G132 B129:C139 F133:G134 E135:G139 D154:G154 B155:G165 A166:G166 D167:G167 B167:C172 A167:A191 D168:D172 F168:G172 B173:G191">
    <cfRule type="expression" dxfId="1681" priority="265">
      <formula>$AD13=1</formula>
    </cfRule>
  </conditionalFormatting>
  <conditionalFormatting sqref="A13:G30 A31:C31 A32:G40 D41:G41 A41:C43 D42:D43 F42:G43 B44:G132 A44:A165 B133:D134 F133:G134 B135:G139 B141:G165 A166:G166 D167:G167 B167:C172 A167:A191 D168:D172 F168:G172 B173:G191 E31:G31">
    <cfRule type="expression" dxfId="1680" priority="267">
      <formula>AND(NOT(ISBLANK($W13)),ISBLANK($AC13),ISBLANK($AD13))</formula>
    </cfRule>
  </conditionalFormatting>
  <conditionalFormatting sqref="B42:B43 E128:G132 B129:C139 F133:G134 E135:G139 B155:G165 B173:G191 A13:G24 B25:G30 B31:C31 E31:G31 D41:D43 B32:G40 D167:G167 D168:D172 A25:A165 F42:G43 D154:G154 A166:G166 B167:C172 A167:A191 F168:G172">
    <cfRule type="expression" dxfId="1679" priority="264">
      <formula>AND($AD13=1,$AC13=1)</formula>
    </cfRule>
  </conditionalFormatting>
  <conditionalFormatting sqref="B121:B124">
    <cfRule type="expression" dxfId="1678" priority="246">
      <formula>AND($R121="X",#REF!&lt;&gt;"")</formula>
    </cfRule>
  </conditionalFormatting>
  <conditionalFormatting sqref="B165 B167:B172">
    <cfRule type="expression" dxfId="1677" priority="279">
      <formula>AND($R165="X",#REF!&lt;&gt;"")</formula>
    </cfRule>
  </conditionalFormatting>
  <conditionalFormatting sqref="B140:C154 B155:G165 B173:G191 A166:G166 B32:G40 E140:G153 D167:G167 D41:D43 D154:G154 A13:A165 B41:C41 F42:G43 B167:C172 A167:A191 F168:G172">
    <cfRule type="expression" dxfId="1676" priority="176">
      <formula>OR($AD13="X",$AC13="X")</formula>
    </cfRule>
  </conditionalFormatting>
  <conditionalFormatting sqref="B41:D41 D129:D138 E139">
    <cfRule type="expression" dxfId="1675" priority="241">
      <formula>$AD41=1</formula>
    </cfRule>
  </conditionalFormatting>
  <conditionalFormatting sqref="B13:G30 B31:C31 D129:D138 E139 E31:G31">
    <cfRule type="expression" dxfId="1674" priority="239">
      <formula>OR($AD13="X",$AC13="X")</formula>
    </cfRule>
  </conditionalFormatting>
  <conditionalFormatting sqref="B44:G128 E129:G132 E135:G139 F133:G134 B129:C139 B42:B43">
    <cfRule type="expression" dxfId="1673" priority="263">
      <formula>OR($AD42="X",$AC42="X")</formula>
    </cfRule>
  </conditionalFormatting>
  <conditionalFormatting sqref="B44:G128">
    <cfRule type="expression" dxfId="1672" priority="244">
      <formula>AND($AD44=1,$AC44=1)</formula>
    </cfRule>
    <cfRule type="expression" dxfId="1671" priority="245">
      <formula>$AD44=1</formula>
    </cfRule>
  </conditionalFormatting>
  <conditionalFormatting sqref="B140:G140">
    <cfRule type="expression" dxfId="1670" priority="182">
      <formula>AND(NOT(ISBLANK($W140)),ISBLANK($AC140),ISBLANK($AD140))</formula>
    </cfRule>
  </conditionalFormatting>
  <conditionalFormatting sqref="C12">
    <cfRule type="expression" dxfId="1669" priority="47">
      <formula>AND($R12="X",$B12&lt;&gt;"")</formula>
    </cfRule>
  </conditionalFormatting>
  <conditionalFormatting sqref="C19">
    <cfRule type="expression" dxfId="1668" priority="1166">
      <formula>AND($R19="X",OR($B19&lt;&gt;"",#REF!&lt;&gt;""))</formula>
    </cfRule>
  </conditionalFormatting>
  <conditionalFormatting sqref="C41 D41:D43">
    <cfRule type="expression" dxfId="1667" priority="284">
      <formula>AND($R41="X",OR($B41&lt;&gt;"",#REF!&lt;&gt;""))</formula>
    </cfRule>
  </conditionalFormatting>
  <conditionalFormatting sqref="C42:C43">
    <cfRule type="expression" dxfId="1666" priority="67">
      <formula>AND($R42="X",OR(#REF!&lt;&gt;"",$B42&lt;&gt;""))</formula>
    </cfRule>
    <cfRule type="expression" dxfId="1665" priority="68">
      <formula>OR($AD42="X",$AC42="X")</formula>
    </cfRule>
    <cfRule type="expression" dxfId="1664" priority="69">
      <formula>AND($AD42=1,$AC42=1)</formula>
    </cfRule>
    <cfRule type="expression" dxfId="1663" priority="70">
      <formula>$AD42=1</formula>
    </cfRule>
    <cfRule type="expression" dxfId="1662" priority="71">
      <formula>$AC42=1</formula>
    </cfRule>
  </conditionalFormatting>
  <conditionalFormatting sqref="C45">
    <cfRule type="expression" dxfId="1661" priority="24">
      <formula>AND($R45="X",OR($B45&lt;&gt;"",$C45&lt;&gt;""))</formula>
    </cfRule>
  </conditionalFormatting>
  <conditionalFormatting sqref="C52:C53">
    <cfRule type="expression" dxfId="1660" priority="23">
      <formula>AND($R52="X",OR($B52&lt;&gt;"",$C52&lt;&gt;""))</formula>
    </cfRule>
  </conditionalFormatting>
  <conditionalFormatting sqref="C68">
    <cfRule type="expression" dxfId="1659" priority="1">
      <formula>AND($R68="X",OR($B68&lt;&gt;"",$C68&lt;&gt;"",$D68&lt;&gt;"",$E68&lt;&gt;""))</formula>
    </cfRule>
    <cfRule type="expression" dxfId="1658" priority="2">
      <formula>AND($R68="X",OR($B68&lt;&gt;"",$C68&lt;&gt;""))</formula>
    </cfRule>
  </conditionalFormatting>
  <conditionalFormatting sqref="C68:C70">
    <cfRule type="expression" dxfId="1657" priority="20">
      <formula>AND($R68="X",OR($B68&lt;&gt;"",$C68&lt;&gt;"",$D68&lt;&gt;""))</formula>
    </cfRule>
  </conditionalFormatting>
  <conditionalFormatting sqref="C140">
    <cfRule type="expression" dxfId="1656" priority="164">
      <formula>OR($AD140="X",$AC140="X")</formula>
    </cfRule>
    <cfRule type="expression" dxfId="1655" priority="165">
      <formula>AND($AD140=1,$AC140=1)</formula>
    </cfRule>
    <cfRule type="expression" dxfId="1654" priority="166">
      <formula>$AD140=1</formula>
    </cfRule>
    <cfRule type="expression" dxfId="1653" priority="167">
      <formula>$AC140=1</formula>
    </cfRule>
  </conditionalFormatting>
  <conditionalFormatting sqref="C152:C153">
    <cfRule type="expression" dxfId="1652" priority="14">
      <formula>AND($R152="X",OR($B152&lt;&gt;"",$C152&lt;&gt;"",$D152&lt;&gt;""))</formula>
    </cfRule>
    <cfRule type="expression" dxfId="1651" priority="15">
      <formula>OR($AD152="X",$AC152="X")</formula>
    </cfRule>
    <cfRule type="expression" dxfId="1650" priority="16">
      <formula>AND($AD152=1,$AC152=1)</formula>
    </cfRule>
    <cfRule type="expression" dxfId="1649" priority="17">
      <formula>$AD152=1</formula>
    </cfRule>
    <cfRule type="expression" dxfId="1648" priority="18">
      <formula>$AC152=1</formula>
    </cfRule>
  </conditionalFormatting>
  <conditionalFormatting sqref="C154 C165:G165">
    <cfRule type="expression" dxfId="1647" priority="109">
      <formula>AND($R154="X",OR($B154&lt;&gt;"",$C154&lt;&gt;""))</formula>
    </cfRule>
  </conditionalFormatting>
  <conditionalFormatting sqref="C154">
    <cfRule type="expression" dxfId="1646" priority="10">
      <formula>AND($AD154=1,$AC154=1)</formula>
    </cfRule>
    <cfRule type="expression" dxfId="1645" priority="11">
      <formula>$AD154=1</formula>
    </cfRule>
    <cfRule type="expression" dxfId="1644" priority="12">
      <formula>OR($AD154="X",$AC154="X")</formula>
    </cfRule>
    <cfRule type="expression" dxfId="1643" priority="13">
      <formula>$AC154=1</formula>
    </cfRule>
  </conditionalFormatting>
  <conditionalFormatting sqref="C157:C159">
    <cfRule type="expression" dxfId="1642" priority="19">
      <formula>AND($R157="X",OR($B157&lt;&gt;"",$C157&lt;&gt;""))</formula>
    </cfRule>
  </conditionalFormatting>
  <conditionalFormatting sqref="C166">
    <cfRule type="expression" dxfId="1641" priority="102">
      <formula>OR($AD166="X",$AC166="X")</formula>
    </cfRule>
    <cfRule type="expression" dxfId="1640" priority="103">
      <formula>AND($AD166=1,$AC166=1)</formula>
    </cfRule>
    <cfRule type="expression" dxfId="1639" priority="104">
      <formula>$AD166=1</formula>
    </cfRule>
    <cfRule type="expression" dxfId="1638" priority="105">
      <formula>AND($R166="X",$B166&lt;&gt;"")</formula>
    </cfRule>
  </conditionalFormatting>
  <conditionalFormatting sqref="C167:C172">
    <cfRule type="expression" dxfId="1637" priority="280">
      <formula>AND($R167="X",OR(#REF!&lt;&gt;"",$B167&lt;&gt;""))</formula>
    </cfRule>
  </conditionalFormatting>
  <conditionalFormatting sqref="C168">
    <cfRule type="expression" dxfId="1636" priority="154">
      <formula>OR($AD168="X",$AC168="X")</formula>
    </cfRule>
  </conditionalFormatting>
  <conditionalFormatting sqref="C173:C174 D139:E139 C140:D153 C154:C164 C13:C40 C184:C191 C44:C120 C125:C139 D131:D138">
    <cfRule type="expression" dxfId="1635" priority="235">
      <formula>AND($R13="X",$B13&lt;&gt;"")</formula>
    </cfRule>
  </conditionalFormatting>
  <conditionalFormatting sqref="C174">
    <cfRule type="expression" dxfId="1634" priority="225">
      <formula>OR($AD174="X",$AC174="X")</formula>
    </cfRule>
    <cfRule type="expression" dxfId="1633" priority="226">
      <formula>AND($AD174=1,$AC174=1)</formula>
    </cfRule>
    <cfRule type="expression" dxfId="1632" priority="227">
      <formula>$AD174=1</formula>
    </cfRule>
  </conditionalFormatting>
  <conditionalFormatting sqref="C175:C183">
    <cfRule type="expression" dxfId="1631" priority="273">
      <formula>AND($R175="X",OR($B175&lt;&gt;"",#REF!&lt;&gt;""))</formula>
    </cfRule>
  </conditionalFormatting>
  <conditionalFormatting sqref="C179">
    <cfRule type="expression" dxfId="1630" priority="53">
      <formula>OR($AD179="X",$AC179="X")</formula>
    </cfRule>
    <cfRule type="expression" dxfId="1629" priority="54">
      <formula>AND($AD179=1,$AC179=1)</formula>
    </cfRule>
    <cfRule type="expression" dxfId="1628" priority="55">
      <formula>$AD179=1</formula>
    </cfRule>
    <cfRule type="expression" dxfId="1627" priority="56">
      <formula>AND($R179="X",$B179&lt;&gt;"")</formula>
    </cfRule>
  </conditionalFormatting>
  <conditionalFormatting sqref="C122:D124">
    <cfRule type="expression" dxfId="1626" priority="247">
      <formula>AND($R122="X",OR(#REF!&lt;&gt;"",$B122&lt;&gt;""))</formula>
    </cfRule>
  </conditionalFormatting>
  <conditionalFormatting sqref="C160:D160">
    <cfRule type="expression" dxfId="1625" priority="268">
      <formula>AND($R160="X",OR($B160&lt;&gt;"",#REF!&lt;&gt;""))</formula>
    </cfRule>
  </conditionalFormatting>
  <conditionalFormatting sqref="C121:G121">
    <cfRule type="expression" dxfId="1624" priority="243">
      <formula>AND($R121="X",$B121&lt;&gt;"")</formula>
    </cfRule>
  </conditionalFormatting>
  <conditionalFormatting sqref="D12:D18">
    <cfRule type="expression" dxfId="1623" priority="43">
      <formula>AND($R12="X",OR($B12&lt;&gt;"",$C12&lt;&gt;""))</formula>
    </cfRule>
  </conditionalFormatting>
  <conditionalFormatting sqref="D20:D40">
    <cfRule type="expression" dxfId="1622" priority="25">
      <formula>AND($R20="X",OR($B20&lt;&gt;"",$C20&lt;&gt;""))</formula>
    </cfRule>
  </conditionalFormatting>
  <conditionalFormatting sqref="D30:D31">
    <cfRule type="expression" dxfId="1621" priority="26">
      <formula>AND($R30="X",$B30&lt;&gt;"")</formula>
    </cfRule>
  </conditionalFormatting>
  <conditionalFormatting sqref="D31">
    <cfRule type="expression" dxfId="1620" priority="27">
      <formula>OR($AD31="X",$AC31="X")</formula>
    </cfRule>
    <cfRule type="expression" dxfId="1619" priority="28">
      <formula>AND($AD31=1,$AC31=1)</formula>
    </cfRule>
    <cfRule type="expression" dxfId="1618" priority="29">
      <formula>$AD31=1</formula>
    </cfRule>
    <cfRule type="expression" dxfId="1617" priority="30">
      <formula>$AC31=1</formula>
    </cfRule>
    <cfRule type="expression" dxfId="1616" priority="31">
      <formula>AND(NOT(ISBLANK($W31)),ISBLANK($AC31),ISBLANK($AD31))</formula>
    </cfRule>
  </conditionalFormatting>
  <conditionalFormatting sqref="D41">
    <cfRule type="expression" dxfId="1615" priority="285">
      <formula>AND($R41="X",OR($B41&lt;&gt;"",#REF!&lt;&gt;"",$C41&lt;&gt;""))</formula>
    </cfRule>
    <cfRule type="expression" dxfId="1614" priority="286">
      <formula>AND($R41="X",OR($B41&lt;&gt;"",#REF!&lt;&gt;"",$C41&lt;&gt;"",$D41&lt;&gt;""))</formula>
    </cfRule>
    <cfRule type="expression" dxfId="1613" priority="287">
      <formula>AND($R41="X",OR($B41&lt;&gt;"",#REF!&lt;&gt;"",$D41&lt;&gt;"",#REF!&lt;&gt;""))</formula>
    </cfRule>
    <cfRule type="expression" dxfId="1612" priority="288">
      <formula>$AC41=1</formula>
    </cfRule>
    <cfRule type="expression" dxfId="1611" priority="289">
      <formula>AND($R41="X",OR($B41&lt;&gt;"",#REF!&lt;&gt;"",$C41&lt;&gt;""))</formula>
    </cfRule>
    <cfRule type="expression" dxfId="1610" priority="290">
      <formula>AND($AD41=1,$AC41=1)</formula>
    </cfRule>
    <cfRule type="expression" dxfId="1609" priority="291">
      <formula>$AD41=1</formula>
    </cfRule>
    <cfRule type="expression" dxfId="1608" priority="292">
      <formula>AND($R41="X",$B41&lt;&gt;"")</formula>
    </cfRule>
    <cfRule type="expression" dxfId="1607" priority="293">
      <formula>AND($R41="X",OR($B41&lt;&gt;"",#REF!&lt;&gt;""))</formula>
    </cfRule>
  </conditionalFormatting>
  <conditionalFormatting sqref="D68:D70">
    <cfRule type="expression" dxfId="1606" priority="21">
      <formula>AND($R68="X",OR($B68&lt;&gt;"",$C68&lt;&gt;"",$D68&lt;&gt;"",$E68&lt;&gt;""))</formula>
    </cfRule>
  </conditionalFormatting>
  <conditionalFormatting sqref="D122 D184:D191">
    <cfRule type="expression" dxfId="1605" priority="155">
      <formula>AND($R122="X",OR($B122&lt;&gt;"",$C122&lt;&gt;""))</formula>
    </cfRule>
  </conditionalFormatting>
  <conditionalFormatting sqref="D125:D128 E127:G127 D173:D174 D161:D164 C184">
    <cfRule type="expression" dxfId="1604" priority="253">
      <formula>AND($R125="X",OR($B125&lt;&gt;"",$C125&lt;&gt;""))</formula>
    </cfRule>
  </conditionalFormatting>
  <conditionalFormatting sqref="D129:D130">
    <cfRule type="expression" dxfId="1603" priority="232">
      <formula>AND($R129="X",OR(#REF!&lt;&gt;"",$B129&lt;&gt;""))</formula>
    </cfRule>
  </conditionalFormatting>
  <conditionalFormatting sqref="D129:D138 E139 B41:D41">
    <cfRule type="expression" dxfId="1602" priority="240">
      <formula>AND($AD41=1,$AC41=1)</formula>
    </cfRule>
  </conditionalFormatting>
  <conditionalFormatting sqref="D129:D153 E139 B13:G30 B31:C31 E31:G31">
    <cfRule type="expression" dxfId="1601" priority="242">
      <formula>$AC13=1</formula>
    </cfRule>
  </conditionalFormatting>
  <conditionalFormatting sqref="D139:D153">
    <cfRule type="expression" dxfId="1600" priority="217">
      <formula>OR($AD139="X",$AC139="X")</formula>
    </cfRule>
    <cfRule type="expression" dxfId="1599" priority="218">
      <formula>AND($AD139=1,$AC139=1)</formula>
    </cfRule>
    <cfRule type="expression" dxfId="1598" priority="219">
      <formula>$AD139=1</formula>
    </cfRule>
  </conditionalFormatting>
  <conditionalFormatting sqref="D140">
    <cfRule type="expression" dxfId="1597" priority="159">
      <formula>OR($AD140="X",$AC140="X")</formula>
    </cfRule>
    <cfRule type="expression" dxfId="1596" priority="160">
      <formula>AND($R140="X",OR($B140&lt;&gt;"",$C140&lt;&gt;"",$D140&lt;&gt;""))</formula>
    </cfRule>
    <cfRule type="expression" dxfId="1595" priority="161">
      <formula>AND($AD140=1,$AC140=1)</formula>
    </cfRule>
    <cfRule type="expression" dxfId="1594" priority="162">
      <formula>$AD140=1</formula>
    </cfRule>
    <cfRule type="expression" dxfId="1593" priority="163">
      <formula>$AC140=1</formula>
    </cfRule>
  </conditionalFormatting>
  <conditionalFormatting sqref="D155:D159 E128:E130 D44:D120">
    <cfRule type="expression" dxfId="1592" priority="233">
      <formula>AND($R44="X",OR($B44&lt;&gt;"",$C44&lt;&gt;""))</formula>
    </cfRule>
  </conditionalFormatting>
  <conditionalFormatting sqref="D164">
    <cfRule type="expression" dxfId="1591" priority="94">
      <formula>AND($R164="X",OR($B164&lt;&gt;"",$C164&lt;&gt;""))</formula>
    </cfRule>
    <cfRule type="expression" dxfId="1590" priority="203">
      <formula>$AC164=1</formula>
    </cfRule>
    <cfRule type="expression" dxfId="1589" priority="204">
      <formula>AND($R164="X",OR($B164&lt;&gt;"",$C164&lt;&gt;"",$D164&lt;&gt;"",$E164&lt;&gt;""))</formula>
    </cfRule>
    <cfRule type="expression" dxfId="1588" priority="205">
      <formula>AND($AD164=1,$AC164=1)</formula>
    </cfRule>
    <cfRule type="expression" dxfId="1587" priority="206">
      <formula>$AD164=1</formula>
    </cfRule>
    <cfRule type="expression" dxfId="1586" priority="207">
      <formula>AND($R164="X",OR($B164&lt;&gt;"",$C164&lt;&gt;"",$D164&lt;&gt;""))</formula>
    </cfRule>
    <cfRule type="expression" dxfId="1585" priority="208">
      <formula>$AC164=1</formula>
    </cfRule>
    <cfRule type="expression" dxfId="1584" priority="209">
      <formula>AND($R164="X",OR($B164&lt;&gt;"",$C164&lt;&gt;"",$D164&lt;&gt;"",$E164&lt;&gt;""))</formula>
    </cfRule>
    <cfRule type="expression" dxfId="1583" priority="210">
      <formula>AND($AD164=1,$AC164=1)</formula>
    </cfRule>
    <cfRule type="expression" dxfId="1582" priority="211">
      <formula>$AD164=1</formula>
    </cfRule>
    <cfRule type="expression" dxfId="1581" priority="212">
      <formula>AND($R164="X",OR($B164&lt;&gt;"",$C164&lt;&gt;"",$D164&lt;&gt;""))</formula>
    </cfRule>
  </conditionalFormatting>
  <conditionalFormatting sqref="D166">
    <cfRule type="expression" dxfId="1580" priority="82">
      <formula>AND($R166="X",OR($B166&lt;&gt;"",$C166&lt;&gt;""))</formula>
    </cfRule>
    <cfRule type="expression" dxfId="1579" priority="83">
      <formula>$AC166=1</formula>
    </cfRule>
    <cfRule type="expression" dxfId="1578" priority="84">
      <formula>AND($R166="X",OR($B166&lt;&gt;"",$C166&lt;&gt;"",$D166&lt;&gt;"",$E166&lt;&gt;""))</formula>
    </cfRule>
    <cfRule type="expression" dxfId="1577" priority="85">
      <formula>AND($AD166=1,$AC166=1)</formula>
    </cfRule>
    <cfRule type="expression" dxfId="1576" priority="86">
      <formula>$AD166=1</formula>
    </cfRule>
    <cfRule type="expression" dxfId="1575" priority="87">
      <formula>AND($R166="X",OR($B166&lt;&gt;"",$C166&lt;&gt;"",$D166&lt;&gt;""))</formula>
    </cfRule>
    <cfRule type="expression" dxfId="1574" priority="88">
      <formula>$AC166=1</formula>
    </cfRule>
    <cfRule type="expression" dxfId="1573" priority="89">
      <formula>AND($R166="X",OR($B166&lt;&gt;"",$C166&lt;&gt;"",$D166&lt;&gt;"",$E166&lt;&gt;""))</formula>
    </cfRule>
    <cfRule type="expression" dxfId="1572" priority="90">
      <formula>AND($AD166=1,$AC166=1)</formula>
    </cfRule>
    <cfRule type="expression" dxfId="1571" priority="91">
      <formula>$AD166=1</formula>
    </cfRule>
    <cfRule type="expression" dxfId="1570" priority="92">
      <formula>AND($R166="X",OR($B166&lt;&gt;"",$C166&lt;&gt;"",$D166&lt;&gt;""))</formula>
    </cfRule>
    <cfRule type="expression" dxfId="1569" priority="93">
      <formula>AND($R166="X",OR($B166&lt;&gt;"",$C166&lt;&gt;""))</formula>
    </cfRule>
    <cfRule type="expression" dxfId="1568" priority="95">
      <formula>OR($AD166="X",$AC166="X")</formula>
    </cfRule>
    <cfRule type="expression" dxfId="1567" priority="98">
      <formula>AND($R166="X",$B166&lt;&gt;"")</formula>
    </cfRule>
    <cfRule type="expression" dxfId="1566" priority="100">
      <formula>AND($AD166=1,$AC166=1)</formula>
    </cfRule>
    <cfRule type="expression" dxfId="1565" priority="101">
      <formula>$AD166=1</formula>
    </cfRule>
    <cfRule type="expression" dxfId="1564" priority="106">
      <formula>AND($R166="X",OR($B166&lt;&gt;"",$C166&lt;&gt;""))</formula>
    </cfRule>
  </conditionalFormatting>
  <conditionalFormatting sqref="D166:D172">
    <cfRule type="expression" dxfId="1563" priority="99">
      <formula>OR($AD166="X",$AC166="X")</formula>
    </cfRule>
  </conditionalFormatting>
  <conditionalFormatting sqref="D167:D168">
    <cfRule type="expression" dxfId="1562" priority="228">
      <formula>AND($AD167=1,$AC167=1)</formula>
    </cfRule>
    <cfRule type="expression" dxfId="1561" priority="229">
      <formula>$AD167=1</formula>
    </cfRule>
    <cfRule type="expression" dxfId="1560" priority="230">
      <formula>$AC167=1</formula>
    </cfRule>
    <cfRule type="expression" dxfId="1559" priority="231">
      <formula>AND($R167="X",#REF!&lt;&gt;"")</formula>
    </cfRule>
  </conditionalFormatting>
  <conditionalFormatting sqref="D167:D172">
    <cfRule type="expression" dxfId="1558" priority="281">
      <formula>AND($R167="X",OR(#REF!&lt;&gt;"",$B167&lt;&gt;"",$C167&lt;&gt;""))</formula>
    </cfRule>
  </conditionalFormatting>
  <conditionalFormatting sqref="D174">
    <cfRule type="expression" dxfId="1557" priority="221">
      <formula>AND($R174="X",$B174&lt;&gt;"")</formula>
    </cfRule>
    <cfRule type="expression" dxfId="1556" priority="222">
      <formula>OR($AD174="X",$AC174="X")</formula>
    </cfRule>
    <cfRule type="expression" dxfId="1555" priority="223">
      <formula>AND($AD174=1,$AC174=1)</formula>
    </cfRule>
    <cfRule type="expression" dxfId="1554" priority="224">
      <formula>$AD174=1</formula>
    </cfRule>
  </conditionalFormatting>
  <conditionalFormatting sqref="D175:D183">
    <cfRule type="expression" dxfId="1553" priority="274">
      <formula>AND($R175="X",OR($B175&lt;&gt;"",#REF!&lt;&gt;"",$C175&lt;&gt;""))</formula>
    </cfRule>
  </conditionalFormatting>
  <conditionalFormatting sqref="D19:E19">
    <cfRule type="expression" dxfId="1552" priority="1170">
      <formula>AND($R19="X",OR($B19&lt;&gt;"",#REF!&lt;&gt;"",$C19&lt;&gt;""))</formula>
    </cfRule>
  </conditionalFormatting>
  <conditionalFormatting sqref="D127:E127">
    <cfRule type="expression" dxfId="1551" priority="130">
      <formula>AND($R127="X",OR($B127&lt;&gt;"",$C127&lt;&gt;"",$D127&lt;&gt;"",$E127&lt;&gt;""))</formula>
    </cfRule>
    <cfRule type="expression" dxfId="1550" priority="131">
      <formula>AND($R127="X",OR($B127&lt;&gt;"",$C127&lt;&gt;"",$E127&lt;&gt;"",#REF!&lt;&gt;""))</formula>
    </cfRule>
    <cfRule type="expression" dxfId="1549" priority="132">
      <formula>$AC127=1</formula>
    </cfRule>
    <cfRule type="expression" dxfId="1548" priority="133">
      <formula>AND($R127="X",OR($B127&lt;&gt;"",$C127&lt;&gt;"",$D127&lt;&gt;""))</formula>
    </cfRule>
    <cfRule type="expression" dxfId="1547" priority="134">
      <formula>AND($AD127=1,$AC127=1)</formula>
    </cfRule>
    <cfRule type="expression" dxfId="1546" priority="135">
      <formula>$AD127=1</formula>
    </cfRule>
  </conditionalFormatting>
  <conditionalFormatting sqref="D41:G41">
    <cfRule type="expression" dxfId="1545" priority="57">
      <formula>AND($R41="X",OR($B41&lt;&gt;"",$C41&lt;&gt;"",$D41&lt;&gt;"",$E41&lt;&gt;"",$F41&lt;&gt;""))</formula>
    </cfRule>
    <cfRule type="expression" dxfId="1544" priority="58">
      <formula>AND($AD41=1,$AC41=1)</formula>
    </cfRule>
    <cfRule type="expression" dxfId="1543" priority="59">
      <formula>$AD41=1</formula>
    </cfRule>
    <cfRule type="expression" dxfId="1542" priority="60">
      <formula>OR($AD41="X",$AC41="X")</formula>
    </cfRule>
  </conditionalFormatting>
  <conditionalFormatting sqref="D125:G125">
    <cfRule type="expression" dxfId="1541" priority="145">
      <formula>AND($R125="X",$B125&lt;&gt;"")</formula>
    </cfRule>
  </conditionalFormatting>
  <conditionalFormatting sqref="D127:G127">
    <cfRule type="expression" dxfId="1540" priority="144">
      <formula>AND($R127="X",$B127&lt;&gt;"")</formula>
    </cfRule>
  </conditionalFormatting>
  <conditionalFormatting sqref="D154:G154">
    <cfRule type="expression" dxfId="1539" priority="3">
      <formula>AND($R154="X",OR($B154&lt;&gt;"",$C154&lt;&gt;"",$D154&lt;&gt;"",$E154&lt;&gt;""))</formula>
    </cfRule>
  </conditionalFormatting>
  <conditionalFormatting sqref="D166:G166">
    <cfRule type="expression" dxfId="1538" priority="97">
      <formula>AND($R166="X",OR($B166&lt;&gt;"",$C166&lt;&gt;""))</formula>
    </cfRule>
  </conditionalFormatting>
  <conditionalFormatting sqref="E12:E18">
    <cfRule type="expression" dxfId="1537" priority="40">
      <formula>AND($R12="X",OR($B12&lt;&gt;"",$C12&lt;&gt;"",$D12&lt;&gt;""))</formula>
    </cfRule>
  </conditionalFormatting>
  <conditionalFormatting sqref="E20:E40 E140:E153">
    <cfRule type="expression" dxfId="1536" priority="72">
      <formula>AND($R20="X",OR($B20&lt;&gt;"",$C20&lt;&gt;"",$D20&lt;&gt;""))</formula>
    </cfRule>
  </conditionalFormatting>
  <conditionalFormatting sqref="E42:E43">
    <cfRule type="expression" dxfId="1535" priority="61">
      <formula>OR($AD42="X",$AC42="X")</formula>
    </cfRule>
    <cfRule type="expression" dxfId="1534" priority="62">
      <formula>AND($AD42=1,$AC42=1)</formula>
    </cfRule>
    <cfRule type="expression" dxfId="1533" priority="63">
      <formula>$AD42=1</formula>
    </cfRule>
    <cfRule type="expression" dxfId="1532" priority="64">
      <formula>$AC42=1</formula>
    </cfRule>
    <cfRule type="expression" dxfId="1531" priority="65">
      <formula>AND(NOT(ISBLANK($W42)),ISBLANK($AC42),ISBLANK($AD42))</formula>
    </cfRule>
    <cfRule type="expression" dxfId="1530" priority="66">
      <formula>AND($R42="X",OR($B42&lt;&gt;"",#REF!&lt;&gt;"",$D42&lt;&gt;"",#REF!&lt;&gt;""))</formula>
    </cfRule>
  </conditionalFormatting>
  <conditionalFormatting sqref="E68:E70">
    <cfRule type="expression" dxfId="1529" priority="22">
      <formula>AND($R68="X",OR($B68&lt;&gt;"",$C68&lt;&gt;"",$D68&lt;&gt;"",$E68&lt;&gt;"",$F68&lt;&gt;""))</formula>
    </cfRule>
  </conditionalFormatting>
  <conditionalFormatting sqref="E89">
    <cfRule type="expression" dxfId="1528" priority="191">
      <formula>AND($R89="X",OR($B89&lt;&gt;"",$C89&lt;&gt;"",$D89&lt;&gt;"",$E89&lt;&gt;""))</formula>
    </cfRule>
    <cfRule type="expression" dxfId="1527" priority="192">
      <formula>AND($AD89=1,$AC89=1)</formula>
    </cfRule>
    <cfRule type="expression" dxfId="1526" priority="193">
      <formula>$AD89=1</formula>
    </cfRule>
    <cfRule type="expression" dxfId="1525" priority="194">
      <formula>AND($R89="X",OR($B89&lt;&gt;"",$C89&lt;&gt;"",$E89&lt;&gt;"",#REF!&lt;&gt;""))</formula>
    </cfRule>
  </conditionalFormatting>
  <conditionalFormatting sqref="E92">
    <cfRule type="expression" dxfId="1524" priority="185">
      <formula>AND($R92="X",OR($B92&lt;&gt;"",$C92&lt;&gt;"",$D92&lt;&gt;"",$E92&lt;&gt;""))</formula>
    </cfRule>
    <cfRule type="expression" dxfId="1523" priority="186">
      <formula>AND($AD92=1,$AC92=1)</formula>
    </cfRule>
    <cfRule type="expression" dxfId="1522" priority="187">
      <formula>$AD92=1</formula>
    </cfRule>
    <cfRule type="expression" dxfId="1521" priority="188">
      <formula>$AC92=1</formula>
    </cfRule>
    <cfRule type="expression" dxfId="1520" priority="189">
      <formula>AND($R92="X",OR($B92&lt;&gt;"",$C92&lt;&gt;"",$E92&lt;&gt;"",#REF!&lt;&gt;""))</formula>
    </cfRule>
    <cfRule type="expression" dxfId="1519" priority="190">
      <formula>$AC92=1</formula>
    </cfRule>
  </conditionalFormatting>
  <conditionalFormatting sqref="E111">
    <cfRule type="expression" dxfId="1518" priority="195">
      <formula>AND($R111="X",OR($B111&lt;&gt;"",$C111&lt;&gt;"",$D111&lt;&gt;"",$E111&lt;&gt;""))</formula>
    </cfRule>
    <cfRule type="expression" dxfId="1517" priority="196">
      <formula>AND($AD111=1,$AC111=1)</formula>
    </cfRule>
    <cfRule type="expression" dxfId="1516" priority="197">
      <formula>$AD111=1</formula>
    </cfRule>
    <cfRule type="expression" dxfId="1515" priority="198">
      <formula>$AC111=1</formula>
    </cfRule>
    <cfRule type="expression" dxfId="1514" priority="199">
      <formula>AND($R111="X",OR($B111&lt;&gt;"",$C111&lt;&gt;"",$E111&lt;&gt;"",#REF!&lt;&gt;""))</formula>
    </cfRule>
  </conditionalFormatting>
  <conditionalFormatting sqref="E122 E155:E159 E161:E164 E173 E184:E191">
    <cfRule type="expression" dxfId="1513" priority="156">
      <formula>AND($R122="X",OR($B122&lt;&gt;"",$C122&lt;&gt;"",$D122&lt;&gt;""))</formula>
    </cfRule>
  </conditionalFormatting>
  <conditionalFormatting sqref="E122:E124">
    <cfRule type="expression" dxfId="1512" priority="248">
      <formula>AND($R122="X",OR(#REF!&lt;&gt;"",$B122&lt;&gt;"",$C122&lt;&gt;""))</formula>
    </cfRule>
  </conditionalFormatting>
  <conditionalFormatting sqref="E125:E128">
    <cfRule type="expression" dxfId="1511" priority="254">
      <formula>AND($R125="X",OR($B125&lt;&gt;"",$C125&lt;&gt;"",$D125&lt;&gt;""))</formula>
    </cfRule>
  </conditionalFormatting>
  <conditionalFormatting sqref="E126">
    <cfRule type="expression" dxfId="1510" priority="136">
      <formula>AND($R126="X",OR($B126&lt;&gt;"",$C126&lt;&gt;"",$D126&lt;&gt;"",$E126&lt;&gt;""))</formula>
    </cfRule>
    <cfRule type="expression" dxfId="1509" priority="137">
      <formula>AND($R126="X",OR($B126&lt;&gt;"",$C126&lt;&gt;"",$E126&lt;&gt;"",#REF!&lt;&gt;""))</formula>
    </cfRule>
    <cfRule type="expression" dxfId="1508" priority="138">
      <formula>$AC126=1</formula>
    </cfRule>
    <cfRule type="expression" dxfId="1507" priority="139">
      <formula>AND($R126="X",OR($B126&lt;&gt;"",$C126&lt;&gt;"",$D126&lt;&gt;""))</formula>
    </cfRule>
  </conditionalFormatting>
  <conditionalFormatting sqref="E131">
    <cfRule type="expression" dxfId="1506" priority="200">
      <formula>AND($R131="X",OR($B131&lt;&gt;"",$C131&lt;&gt;"",$D131&lt;&gt;"",$E131&lt;&gt;""))</formula>
    </cfRule>
    <cfRule type="expression" dxfId="1505" priority="201">
      <formula>AND($R131="X",OR($B131&lt;&gt;"",$C131&lt;&gt;"",$E131&lt;&gt;"",#REF!&lt;&gt;""))</formula>
    </cfRule>
    <cfRule type="expression" dxfId="1504" priority="202">
      <formula>$AC131=1</formula>
    </cfRule>
  </conditionalFormatting>
  <conditionalFormatting sqref="E131:E132 E44:E120 F133:F134 E135:E138">
    <cfRule type="expression" dxfId="1503" priority="236">
      <formula>AND($R44="X",OR($B44&lt;&gt;"",$C44&lt;&gt;"",$D44&lt;&gt;""))</formula>
    </cfRule>
  </conditionalFormatting>
  <conditionalFormatting sqref="E133:E134">
    <cfRule type="expression" dxfId="1502" priority="148">
      <formula>AND($R133="X",$B133&lt;&gt;"")</formula>
    </cfRule>
    <cfRule type="expression" dxfId="1501" priority="149">
      <formula>AND($AD133=1,$AC133=1)</formula>
    </cfRule>
    <cfRule type="expression" dxfId="1500" priority="150">
      <formula>$AD133=1</formula>
    </cfRule>
    <cfRule type="expression" dxfId="1499" priority="151">
      <formula>OR($AD133="X",$AC133="X")</formula>
    </cfRule>
    <cfRule type="expression" dxfId="1498" priority="152">
      <formula>$AC133=1</formula>
    </cfRule>
    <cfRule type="expression" dxfId="1497" priority="153">
      <formula>AND(NOT(ISBLANK($W133)),ISBLANK($AC133),ISBLANK($AD133))</formula>
    </cfRule>
  </conditionalFormatting>
  <conditionalFormatting sqref="E160">
    <cfRule type="expression" dxfId="1496" priority="269">
      <formula>AND($R160="X",OR($B160&lt;&gt;"",#REF!&lt;&gt;"",$D160&lt;&gt;""))</formula>
    </cfRule>
  </conditionalFormatting>
  <conditionalFormatting sqref="E163">
    <cfRule type="expression" dxfId="1495" priority="213">
      <formula>$AC163=1</formula>
    </cfRule>
    <cfRule type="expression" dxfId="1494" priority="214">
      <formula>AND($R163="X",OR($B163&lt;&gt;"",$C163&lt;&gt;"",$D163&lt;&gt;"",$E163&lt;&gt;""))</formula>
    </cfRule>
    <cfRule type="expression" dxfId="1493" priority="215">
      <formula>AND($AD163=1,$AC163=1)</formula>
    </cfRule>
    <cfRule type="expression" dxfId="1492" priority="216">
      <formula>$AD163=1</formula>
    </cfRule>
  </conditionalFormatting>
  <conditionalFormatting sqref="E166">
    <cfRule type="expression" dxfId="1491" priority="96">
      <formula>AND($R166="X",OR($B166&lt;&gt;"",$C166&lt;&gt;"",$D166&lt;&gt;""))</formula>
    </cfRule>
  </conditionalFormatting>
  <conditionalFormatting sqref="E168:E172">
    <cfRule type="expression" dxfId="1490" priority="76">
      <formula>OR($AD168="X",$AC168="X")</formula>
    </cfRule>
    <cfRule type="expression" dxfId="1489" priority="77">
      <formula>AND($AD168=1,$AC168=1)</formula>
    </cfRule>
    <cfRule type="expression" dxfId="1488" priority="78">
      <formula>$AD168=1</formula>
    </cfRule>
    <cfRule type="expression" dxfId="1487" priority="79">
      <formula>$AC168=1</formula>
    </cfRule>
    <cfRule type="expression" dxfId="1486" priority="80">
      <formula>AND(NOT(ISBLANK($W168)),ISBLANK($AC168),ISBLANK($AD168))</formula>
    </cfRule>
    <cfRule type="expression" dxfId="1485" priority="81">
      <formula>AND($R168="X",OR(#REF!&lt;&gt;"",$B168&lt;&gt;"",$C168&lt;&gt;"",$D168&lt;&gt;""))</formula>
    </cfRule>
  </conditionalFormatting>
  <conditionalFormatting sqref="E175:E183">
    <cfRule type="expression" dxfId="1484" priority="146">
      <formula>AND($R175="X",OR($B175&lt;&gt;"",#REF!&lt;&gt;"",$C175&lt;&gt;"",$D175&lt;&gt;""))</formula>
    </cfRule>
  </conditionalFormatting>
  <conditionalFormatting sqref="E166:F166">
    <cfRule type="expression" dxfId="1483" priority="107">
      <formula>AND($R166="X",OR($B166&lt;&gt;"",$C166&lt;&gt;"",$D166&lt;&gt;"",#REF!&lt;&gt;""))</formula>
    </cfRule>
  </conditionalFormatting>
  <conditionalFormatting sqref="E174:F174">
    <cfRule type="expression" dxfId="1482" priority="277">
      <formula>AND($R174="X",OR($B174&lt;&gt;"",$C174&lt;&gt;"",$D174&lt;&gt;"",#REF!&lt;&gt;""))</formula>
    </cfRule>
  </conditionalFormatting>
  <conditionalFormatting sqref="E126:G126">
    <cfRule type="expression" dxfId="1481" priority="142">
      <formula>AND($AD126=1,$AC126=1)</formula>
    </cfRule>
    <cfRule type="expression" dxfId="1480" priority="143">
      <formula>$AD126=1</formula>
    </cfRule>
  </conditionalFormatting>
  <conditionalFormatting sqref="E128:G128">
    <cfRule type="expression" dxfId="1479" priority="114">
      <formula>AND($R128="X",OR($B128&lt;&gt;"",$C128&lt;&gt;"",$D128&lt;&gt;"",$E128&lt;&gt;""))</formula>
    </cfRule>
    <cfRule type="expression" dxfId="1478" priority="115">
      <formula>AND($R128="X",OR($B128&lt;&gt;"",$C128&lt;&gt;"",$E128&lt;&gt;"",#REF!&lt;&gt;""))</formula>
    </cfRule>
    <cfRule type="expression" dxfId="1477" priority="116">
      <formula>$AC128=1</formula>
    </cfRule>
    <cfRule type="expression" dxfId="1476" priority="117">
      <formula>AND($R128="X",OR($B128&lt;&gt;"",$C128&lt;&gt;"",$D128&lt;&gt;""))</formula>
    </cfRule>
    <cfRule type="expression" dxfId="1475" priority="118">
      <formula>AND($AD128=1,$AC128=1)</formula>
    </cfRule>
    <cfRule type="expression" dxfId="1474" priority="119">
      <formula>$AD128=1</formula>
    </cfRule>
    <cfRule type="expression" dxfId="1473" priority="120">
      <formula>AND($R128="X",$B128&lt;&gt;"")</formula>
    </cfRule>
    <cfRule type="expression" dxfId="1472" priority="121">
      <formula>AND($R128="X",OR($B128&lt;&gt;"",$C128&lt;&gt;""))</formula>
    </cfRule>
  </conditionalFormatting>
  <conditionalFormatting sqref="E140:G153 B140:C154">
    <cfRule type="expression" dxfId="1471" priority="179">
      <formula>AND($AD140=1,$AC140=1)</formula>
    </cfRule>
    <cfRule type="expression" dxfId="1470" priority="180">
      <formula>$AD140=1</formula>
    </cfRule>
    <cfRule type="expression" dxfId="1469" priority="181">
      <formula>$AC140=1</formula>
    </cfRule>
  </conditionalFormatting>
  <conditionalFormatting sqref="F1:F2">
    <cfRule type="dataBar" priority="257">
      <dataBar>
        <cfvo type="num" val="0"/>
        <cfvo type="num" val="1"/>
        <color rgb="FF63C384"/>
      </dataBar>
      <extLst>
        <ext xmlns:x14="http://schemas.microsoft.com/office/spreadsheetml/2009/9/main" uri="{B025F937-C7B1-47D3-B67F-A62EFF666E3E}">
          <x14:id>{F081F026-47F3-4879-BC15-366CA48AF43C}</x14:id>
        </ext>
      </extLst>
    </cfRule>
  </conditionalFormatting>
  <conditionalFormatting sqref="F12:F18">
    <cfRule type="expression" dxfId="1468" priority="41">
      <formula>AND($R12="X",OR($B12&lt;&gt;"",$C12&lt;&gt;"",$D12&lt;&gt;"",$E12&lt;&gt;""))</formula>
    </cfRule>
  </conditionalFormatting>
  <conditionalFormatting sqref="F19">
    <cfRule type="expression" dxfId="1467" priority="1172">
      <formula>AND($R19="X",OR($B19&lt;&gt;"",#REF!&lt;&gt;"",$C19&lt;&gt;"",$E19&lt;&gt;""))</formula>
    </cfRule>
  </conditionalFormatting>
  <conditionalFormatting sqref="F20:F40 F131:F153 F155:F159 E183 G183">
    <cfRule type="expression" dxfId="1466" priority="73">
      <formula>AND($R20="X",OR($B20&lt;&gt;"",$C20&lt;&gt;"",$D20&lt;&gt;"",$E20&lt;&gt;""))</formula>
    </cfRule>
  </conditionalFormatting>
  <conditionalFormatting sqref="F42:F43">
    <cfRule type="expression" dxfId="1465" priority="294">
      <formula>AND($R42="X",OR($B42&lt;&gt;"",#REF!&lt;&gt;"",$D42&lt;&gt;"",#REF!&lt;&gt;""))</formula>
    </cfRule>
  </conditionalFormatting>
  <conditionalFormatting sqref="F44:F120">
    <cfRule type="expression" dxfId="1464" priority="237">
      <formula>AND($R44="X",OR($B44&lt;&gt;"",$C44&lt;&gt;"",$D44&lt;&gt;"",$E44&lt;&gt;""))</formula>
    </cfRule>
  </conditionalFormatting>
  <conditionalFormatting sqref="F122 F161:F164 F173 F184:F191">
    <cfRule type="expression" dxfId="1463" priority="157">
      <formula>AND($R122="X",OR($B122&lt;&gt;"",$C122&lt;&gt;"",$D122&lt;&gt;"",$E122&lt;&gt;""))</formula>
    </cfRule>
  </conditionalFormatting>
  <conditionalFormatting sqref="F122:F124">
    <cfRule type="expression" dxfId="1462" priority="249">
      <formula>AND($R122="X",OR(#REF!&lt;&gt;"",$B122&lt;&gt;"",$C122&lt;&gt;"",$E122&lt;&gt;""))</formula>
    </cfRule>
  </conditionalFormatting>
  <conditionalFormatting sqref="F125:F128">
    <cfRule type="expression" dxfId="1461" priority="255">
      <formula>AND($R125="X",OR($B125&lt;&gt;"",$C125&lt;&gt;"",$D125&lt;&gt;"",$E125&lt;&gt;""))</formula>
    </cfRule>
  </conditionalFormatting>
  <conditionalFormatting sqref="F126">
    <cfRule type="expression" dxfId="1460" priority="140">
      <formula>AND($R126="X",OR($B126&lt;&gt;"",$C126&lt;&gt;"",$D126&lt;&gt;"",$E126&lt;&gt;""))</formula>
    </cfRule>
  </conditionalFormatting>
  <conditionalFormatting sqref="F127 G161:G164 G173">
    <cfRule type="expression" dxfId="1459" priority="122">
      <formula>AND($R127="X",OR($B127&lt;&gt;"",$C127&lt;&gt;"",$D127&lt;&gt;"",$E127&lt;&gt;"",$F127&lt;&gt;""))</formula>
    </cfRule>
  </conditionalFormatting>
  <conditionalFormatting sqref="F128:F130 F139:G139">
    <cfRule type="expression" dxfId="1458" priority="251">
      <formula>AND($R128="X",OR($B128&lt;&gt;"",$C128&lt;&gt;"",$E128&lt;&gt;"",#REF!&lt;&gt;""))</formula>
    </cfRule>
  </conditionalFormatting>
  <conditionalFormatting sqref="F138">
    <cfRule type="expression" dxfId="1457" priority="184">
      <formula>AND($R138="X",OR($B138&lt;&gt;"",$C138&lt;&gt;"",$E138&lt;&gt;"",#REF!&lt;&gt;""))</formula>
    </cfRule>
  </conditionalFormatting>
  <conditionalFormatting sqref="F160">
    <cfRule type="expression" dxfId="1456" priority="270">
      <formula>AND($R160="X",OR($B160&lt;&gt;"",#REF!&lt;&gt;"",$D160&lt;&gt;"",$E160&lt;&gt;""))</formula>
    </cfRule>
  </conditionalFormatting>
  <conditionalFormatting sqref="F168:F172">
    <cfRule type="expression" dxfId="1455" priority="282">
      <formula>AND($R168="X",OR(#REF!&lt;&gt;"",$B168&lt;&gt;"",$C168&lt;&gt;"",$D168&lt;&gt;""))</formula>
    </cfRule>
  </conditionalFormatting>
  <conditionalFormatting sqref="F175:F183">
    <cfRule type="expression" dxfId="1454" priority="147">
      <formula>AND($R175="X",OR($B175&lt;&gt;"",#REF!&lt;&gt;"",$C175&lt;&gt;"",$D175&lt;&gt;"",$F175&lt;&gt;""))</formula>
    </cfRule>
    <cfRule type="expression" dxfId="1453" priority="275">
      <formula>AND($R175="X",OR($B175&lt;&gt;"",#REF!&lt;&gt;"",$C175&lt;&gt;"",$D175&lt;&gt;""))</formula>
    </cfRule>
  </conditionalFormatting>
  <conditionalFormatting sqref="F183">
    <cfRule type="expression" dxfId="1452" priority="74">
      <formula>AND($R183="X",OR($B183&lt;&gt;"",$C183&lt;&gt;"",$D183&lt;&gt;"",$E183&lt;&gt;"",$F183&lt;&gt;""))</formula>
    </cfRule>
  </conditionalFormatting>
  <conditionalFormatting sqref="F127:G127">
    <cfRule type="expression" dxfId="1451" priority="123">
      <formula>AND($R127="X",OR($B127&lt;&gt;"",$C127&lt;&gt;"",$D127&lt;&gt;"",$E127&lt;&gt;""))</formula>
    </cfRule>
    <cfRule type="expression" dxfId="1450" priority="124">
      <formula>AND($R127="X",OR($B127&lt;&gt;"",$C127&lt;&gt;"",$E127&lt;&gt;"",#REF!&lt;&gt;""))</formula>
    </cfRule>
    <cfRule type="expression" dxfId="1449" priority="125">
      <formula>$AC127=1</formula>
    </cfRule>
    <cfRule type="expression" dxfId="1448" priority="126">
      <formula>AND($R127="X",OR($B127&lt;&gt;"",$C127&lt;&gt;"",$D127&lt;&gt;""))</formula>
    </cfRule>
    <cfRule type="expression" dxfId="1447" priority="127">
      <formula>AND($AD127=1,$AC127=1)</formula>
    </cfRule>
    <cfRule type="expression" dxfId="1446" priority="128">
      <formula>$AD127=1</formula>
    </cfRule>
    <cfRule type="expression" dxfId="1445" priority="129">
      <formula>AND($R127="X",OR($B127&lt;&gt;"",$C127&lt;&gt;"",$D127&lt;&gt;""))</formula>
    </cfRule>
  </conditionalFormatting>
  <conditionalFormatting sqref="F128:G128">
    <cfRule type="expression" dxfId="1444" priority="112">
      <formula>AND($R128="X",OR($B128&lt;&gt;"",$C128&lt;&gt;""))</formula>
    </cfRule>
    <cfRule type="expression" dxfId="1443" priority="113">
      <formula>AND($R128="X",OR($B128&lt;&gt;"",$C128&lt;&gt;"",$D128&lt;&gt;""))</formula>
    </cfRule>
  </conditionalFormatting>
  <conditionalFormatting sqref="F166:G166">
    <cfRule type="expression" dxfId="1442" priority="108">
      <formula>AND($R166="X",OR($B166&lt;&gt;"",$C166&lt;&gt;"",$D166&lt;&gt;"",#REF!&lt;&gt;"",$F166&lt;&gt;""))</formula>
    </cfRule>
  </conditionalFormatting>
  <conditionalFormatting sqref="F174:G174">
    <cfRule type="expression" dxfId="1441" priority="278">
      <formula>AND($R174="X",OR($B174&lt;&gt;"",$C174&lt;&gt;"",$D174&lt;&gt;"",#REF!&lt;&gt;"",$F174&lt;&gt;""))</formula>
    </cfRule>
  </conditionalFormatting>
  <conditionalFormatting sqref="G12:G18">
    <cfRule type="expression" dxfId="1440" priority="42">
      <formula>AND($R12="X",OR($B12&lt;&gt;"",$C12&lt;&gt;"",$D12&lt;&gt;"",$E12&lt;&gt;"",$F12&lt;&gt;""))</formula>
    </cfRule>
  </conditionalFormatting>
  <conditionalFormatting sqref="G19">
    <cfRule type="expression" dxfId="1439" priority="1168">
      <formula>AND($R19="X",OR($B19&lt;&gt;"",#REF!&lt;&gt;"",$C19&lt;&gt;"",$E19&lt;&gt;"",$F19&lt;&gt;""))</formula>
    </cfRule>
  </conditionalFormatting>
  <conditionalFormatting sqref="G20:G40 G140:G153 G155:G159 D167:G167">
    <cfRule type="expression" dxfId="1438" priority="75">
      <formula>AND($R20="X",OR($B20&lt;&gt;"",$C20&lt;&gt;"",$D20&lt;&gt;"",$E20&lt;&gt;"",$F20&lt;&gt;""))</formula>
    </cfRule>
  </conditionalFormatting>
  <conditionalFormatting sqref="G42:G43">
    <cfRule type="expression" dxfId="1437" priority="295">
      <formula>AND($R42="X",OR($B42&lt;&gt;"",#REF!&lt;&gt;"",$D42&lt;&gt;"",#REF!&lt;&gt;"",$F42&lt;&gt;""))</formula>
    </cfRule>
  </conditionalFormatting>
  <conditionalFormatting sqref="G122">
    <cfRule type="expression" dxfId="1436" priority="158">
      <formula>AND($R122="X",OR($B122&lt;&gt;"",$C122&lt;&gt;"",$D122&lt;&gt;"",$E122&lt;&gt;"",$F122&lt;&gt;""))</formula>
    </cfRule>
  </conditionalFormatting>
  <conditionalFormatting sqref="G122:G124">
    <cfRule type="expression" dxfId="1435" priority="250">
      <formula>AND($R122="X",OR(#REF!&lt;&gt;"",$B122&lt;&gt;"",$C122&lt;&gt;"",$E122&lt;&gt;"",$F122&lt;&gt;""))</formula>
    </cfRule>
  </conditionalFormatting>
  <conditionalFormatting sqref="G125:G128">
    <cfRule type="expression" dxfId="1434" priority="256">
      <formula>AND($R125="X",OR($B125&lt;&gt;"",$C125&lt;&gt;"",$D125&lt;&gt;"",$E125&lt;&gt;"",$F125&lt;&gt;""))</formula>
    </cfRule>
  </conditionalFormatting>
  <conditionalFormatting sqref="G126">
    <cfRule type="expression" dxfId="1433" priority="141">
      <formula>AND($R126="X",OR($B126&lt;&gt;"",$C126&lt;&gt;"",$D126&lt;&gt;"",$E126&lt;&gt;"",$F126&lt;&gt;""))</formula>
    </cfRule>
  </conditionalFormatting>
  <conditionalFormatting sqref="G128">
    <cfRule type="expression" dxfId="1432" priority="110">
      <formula>AND($R128="X",OR($B128&lt;&gt;"",$C128&lt;&gt;"",$E128&lt;&gt;"",#REF!&lt;&gt;""))</formula>
    </cfRule>
    <cfRule type="expression" dxfId="1431" priority="111">
      <formula>AND($R128="X",OR($B128&lt;&gt;"",$C128&lt;&gt;"",$D128&lt;&gt;"",$E128&lt;&gt;""))</formula>
    </cfRule>
  </conditionalFormatting>
  <conditionalFormatting sqref="G128:G130">
    <cfRule type="expression" dxfId="1430" priority="252">
      <formula>AND($R128="X",OR($B128&lt;&gt;"",$C128&lt;&gt;"",$E128&lt;&gt;"",#REF!&lt;&gt;"",$F128&lt;&gt;""))</formula>
    </cfRule>
  </conditionalFormatting>
  <conditionalFormatting sqref="G139">
    <cfRule type="expression" dxfId="1429" priority="220">
      <formula>AND($R139="X",OR($B139&lt;&gt;"",$C139&lt;&gt;"",$D139&lt;&gt;"",$E139&lt;&gt;""))</formula>
    </cfRule>
    <cfRule type="expression" dxfId="1428" priority="272">
      <formula>AND($R139="X",OR($B139&lt;&gt;"",$C139&lt;&gt;"",$E139&lt;&gt;"",#REF!&lt;&gt;"",$F139&lt;&gt;""))</formula>
    </cfRule>
  </conditionalFormatting>
  <conditionalFormatting sqref="G160">
    <cfRule type="expression" dxfId="1427" priority="271">
      <formula>AND($R160="X",OR($B160&lt;&gt;"",#REF!&lt;&gt;"",$D160&lt;&gt;"",$E160&lt;&gt;"",$F160&lt;&gt;""))</formula>
    </cfRule>
  </conditionalFormatting>
  <conditionalFormatting sqref="G168:G172">
    <cfRule type="expression" dxfId="1426" priority="283">
      <formula>AND($R168="X",OR(#REF!&lt;&gt;"",$B168&lt;&gt;"",$C168&lt;&gt;"",$D168&lt;&gt;"",$F168&lt;&gt;""))</formula>
    </cfRule>
  </conditionalFormatting>
  <conditionalFormatting sqref="G175:G183">
    <cfRule type="expression" dxfId="1425" priority="276">
      <formula>AND($R175="X",OR($B175&lt;&gt;"",#REF!&lt;&gt;"",$C175&lt;&gt;"",$D175&lt;&gt;"",$F175&lt;&gt;""))</formula>
    </cfRule>
  </conditionalFormatting>
  <conditionalFormatting sqref="G184:G191 G44:G120 G131:G138">
    <cfRule type="expression" dxfId="1424" priority="238">
      <formula>AND($R44="X",OR($B44&lt;&gt;"",$C44&lt;&gt;"",$D44&lt;&gt;"",$E44&lt;&gt;"",$F44&lt;&gt;""))</formula>
    </cfRule>
  </conditionalFormatting>
  <conditionalFormatting sqref="H193:H194 H214:H1054">
    <cfRule type="expression" dxfId="1423" priority="258">
      <formula>$Q193="X"</formula>
    </cfRule>
  </conditionalFormatting>
  <conditionalFormatting sqref="I14:I29 I31:I191">
    <cfRule type="expression" dxfId="1422" priority="234">
      <formula>$R14="X"</formula>
    </cfRule>
  </conditionalFormatting>
  <conditionalFormatting sqref="Q12:Q191">
    <cfRule type="cellIs" dxfId="1421" priority="44" operator="equal">
      <formula>"1..1"</formula>
    </cfRule>
    <cfRule type="cellIs" dxfId="1420" priority="45" operator="equal">
      <formula>"0..n"</formula>
    </cfRule>
    <cfRule type="cellIs" dxfId="1419" priority="46" operator="equal">
      <formula>"0..1"</formula>
    </cfRule>
  </conditionalFormatting>
  <hyperlinks>
    <hyperlink ref="I117" r:id="rId1" xr:uid="{59799421-C339-49C4-AD04-2503884400D0}"/>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81F026-47F3-4879-BC15-366CA48AF43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080199A3-B817-4C63-A6AD-6E2BB0AB8780}">
  <ds:schemaRefs>
    <ds:schemaRef ds:uri="http://schemas.microsoft.com/DataMashup"/>
  </ds:schemaRefs>
</ds:datastoreItem>
</file>

<file path=customXml/itemProps3.xml><?xml version="1.0" encoding="utf-8"?>
<ds:datastoreItem xmlns:ds="http://schemas.openxmlformats.org/officeDocument/2006/customXml" ds:itemID="{E4D95615-A5B7-4942-A09B-B853408305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B0337C0-7C30-4DE4-B94C-0687DC3BE604}">
  <ds:schemaRefs>
    <ds:schemaRef ds:uri="1720d4e8-2b1e-4bd1-aad5-1b4debf9b56d"/>
    <ds:schemaRef ds:uri="http://www.w3.org/XML/1998/namespace"/>
    <ds:schemaRef ds:uri="http://purl.org/dc/elements/1.1/"/>
    <ds:schemaRef ds:uri="http://purl.org/dc/dcmitype/"/>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f6ca01e7-bd19-41f1-999c-e032ef5104c3"/>
    <ds:schemaRef ds:uri="http://schemas.microsoft.com/sharepoint/v3"/>
    <ds:schemaRef ds:uri="http://purl.org/dc/te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28</vt:i4>
      </vt:variant>
      <vt:variant>
        <vt:lpstr>Plages nommées</vt:lpstr>
      </vt:variant>
      <vt:variant>
        <vt:i4>1</vt:i4>
      </vt:variant>
    </vt:vector>
  </HeadingPairs>
  <TitlesOfParts>
    <vt:vector size="29" baseType="lpstr">
      <vt:lpstr>Données_attributaires</vt:lpstr>
      <vt:lpstr>Processus_CISU</vt:lpstr>
      <vt:lpstr>Type_de_message</vt:lpstr>
      <vt:lpstr>Distribution</vt:lpstr>
      <vt:lpstr>Sommaire</vt:lpstr>
      <vt:lpstr>Mode d'emploi</vt:lpstr>
      <vt:lpstr>RC-DE</vt:lpstr>
      <vt:lpstr>RC-COM</vt:lpstr>
      <vt:lpstr>Modèle ExosRRAMU</vt:lpstr>
      <vt:lpstr>RC-EDA</vt:lpstr>
      <vt:lpstr>EMSI</vt:lpstr>
      <vt:lpstr>RS-RIG</vt:lpstr>
      <vt:lpstr>RS-DDR</vt:lpstr>
      <vt:lpstr>RS-RDR</vt:lpstr>
      <vt:lpstr>RS-BPV</vt:lpstr>
      <vt:lpstr>RS-BPV-WIP</vt:lpstr>
      <vt:lpstr>RC-DEC</vt:lpstr>
      <vt:lpstr>RS-SIT</vt:lpstr>
      <vt:lpstr>MAINT</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2024-06-04T09:56:52Z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